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tabRatio="867" firstSheet="2" activeTab="2"/>
  </bookViews>
  <sheets>
    <sheet name="Daftar isi" sheetId="1" r:id="rId1"/>
    <sheet name="dataUMUM" sheetId="2" r:id="rId2"/>
    <sheet name="dataUMUM2" sheetId="5" r:id="rId3"/>
    <sheet name="dataSTAT" sheetId="3" r:id="rId4"/>
    <sheet name="dataSASARAN" sheetId="4" r:id="rId5"/>
    <sheet name="Sheet1" sheetId="6" r:id="rId6"/>
    <sheet name="Sheet2" sheetId="7" r:id="rId7"/>
    <sheet name="Sheet3" sheetId="8" r:id="rId8"/>
    <sheet name="tambahan tabel" sheetId="9" r:id="rId9"/>
    <sheet name="Sheet4" sheetId="10" r:id="rId10"/>
    <sheet name="Sheet5" sheetId="11" r:id="rId11"/>
    <sheet name="Sheet6" sheetId="12" r:id="rId12"/>
  </sheets>
  <externalReferences>
    <externalReference r:id="rId13"/>
  </externalReferences>
  <definedNames>
    <definedName name="_xlnm.Print_Area" localSheetId="0">'Daftar isi'!$A$1:$G$189</definedName>
    <definedName name="_xlnm.Print_Area" localSheetId="4">dataSASARAN!$A$1:$H$230</definedName>
    <definedName name="_xlnm.Print_Area" localSheetId="3">dataSTAT!$A$1:$AJ$776</definedName>
    <definedName name="_xlnm.Print_Area" localSheetId="1">dataUMUM!$A$1:$N$203</definedName>
  </definedNames>
  <calcPr calcId="124519"/>
</workbook>
</file>

<file path=xl/calcChain.xml><?xml version="1.0" encoding="utf-8"?>
<calcChain xmlns="http://schemas.openxmlformats.org/spreadsheetml/2006/main">
  <c r="D11" i="12"/>
  <c r="D10"/>
  <c r="D9"/>
  <c r="D8"/>
  <c r="C7"/>
  <c r="C5" s="1"/>
  <c r="B7"/>
  <c r="B5" s="1"/>
  <c r="D6"/>
  <c r="E29" i="11"/>
  <c r="E19"/>
  <c r="E14"/>
  <c r="E8"/>
  <c r="G13" i="10"/>
  <c r="E13"/>
  <c r="D13"/>
  <c r="C13"/>
  <c r="H12"/>
  <c r="F12"/>
  <c r="H11"/>
  <c r="H10"/>
  <c r="H9"/>
  <c r="F8"/>
  <c r="F13" s="1"/>
  <c r="E14" i="2"/>
  <c r="E13"/>
  <c r="E769" i="3"/>
  <c r="C741"/>
  <c r="D5" i="12" l="1"/>
  <c r="D7"/>
  <c r="H13" i="10"/>
  <c r="H8"/>
  <c r="R15" i="3"/>
  <c r="H20" i="9"/>
  <c r="G20"/>
  <c r="H19"/>
  <c r="G19"/>
  <c r="H18"/>
  <c r="G18"/>
  <c r="H17"/>
  <c r="G17"/>
  <c r="F16"/>
  <c r="E16"/>
  <c r="E14" s="1"/>
  <c r="D16"/>
  <c r="D14" s="1"/>
  <c r="C16"/>
  <c r="C14" s="1"/>
  <c r="H15"/>
  <c r="G15"/>
  <c r="F14"/>
  <c r="H12"/>
  <c r="G12"/>
  <c r="H11"/>
  <c r="G11"/>
  <c r="H10"/>
  <c r="G10"/>
  <c r="H9"/>
  <c r="G9"/>
  <c r="F8"/>
  <c r="F6" s="1"/>
  <c r="E8"/>
  <c r="E6" s="1"/>
  <c r="D8"/>
  <c r="D6" s="1"/>
  <c r="D21" s="1"/>
  <c r="C8"/>
  <c r="C6" s="1"/>
  <c r="H7"/>
  <c r="G7"/>
  <c r="C21" l="1"/>
  <c r="F21"/>
  <c r="E21"/>
  <c r="H21"/>
  <c r="G21"/>
  <c r="H8"/>
  <c r="H16"/>
  <c r="H14"/>
  <c r="G16"/>
  <c r="G14"/>
  <c r="G8"/>
  <c r="H6"/>
  <c r="G6"/>
  <c r="G338" i="3" l="1"/>
  <c r="O14" i="8"/>
  <c r="O8"/>
  <c r="N14"/>
  <c r="K15"/>
  <c r="O15" s="1"/>
  <c r="J15"/>
  <c r="N15" s="1"/>
  <c r="M13"/>
  <c r="O13" s="1"/>
  <c r="L13"/>
  <c r="N13" s="1"/>
  <c r="M12"/>
  <c r="O12" s="1"/>
  <c r="L12"/>
  <c r="J12"/>
  <c r="M11"/>
  <c r="O11" s="1"/>
  <c r="L11"/>
  <c r="N11" s="1"/>
  <c r="M10"/>
  <c r="O10" s="1"/>
  <c r="L10"/>
  <c r="N10" s="1"/>
  <c r="L9"/>
  <c r="K9"/>
  <c r="O9" s="1"/>
  <c r="O7" s="1"/>
  <c r="J9"/>
  <c r="Q7"/>
  <c r="L8"/>
  <c r="L7" s="1"/>
  <c r="J8"/>
  <c r="P7"/>
  <c r="M7"/>
  <c r="K7"/>
  <c r="J7"/>
  <c r="C16"/>
  <c r="G16"/>
  <c r="E16"/>
  <c r="H16" s="1"/>
  <c r="D16"/>
  <c r="H15"/>
  <c r="H14"/>
  <c r="H13"/>
  <c r="H12"/>
  <c r="H11"/>
  <c r="F11"/>
  <c r="F16" s="1"/>
  <c r="H10"/>
  <c r="H9"/>
  <c r="H8"/>
  <c r="H7"/>
  <c r="N9" l="1"/>
  <c r="N12"/>
  <c r="N8"/>
  <c r="N7" l="1"/>
  <c r="Y15" i="3"/>
  <c r="Y14"/>
  <c r="Y13"/>
  <c r="Y12"/>
  <c r="Y10"/>
  <c r="Y9"/>
  <c r="C70" i="4"/>
  <c r="S6" i="3"/>
  <c r="S14"/>
  <c r="S13"/>
  <c r="S12"/>
  <c r="S11"/>
  <c r="S10"/>
  <c r="S9"/>
  <c r="S308"/>
  <c r="S301"/>
  <c r="S299" s="1"/>
  <c r="S252"/>
  <c r="S182"/>
  <c r="S163"/>
  <c r="G693"/>
  <c r="G460"/>
  <c r="G457"/>
  <c r="G455"/>
  <c r="G429"/>
  <c r="G424"/>
  <c r="G340"/>
  <c r="G337"/>
  <c r="G335"/>
  <c r="G309"/>
  <c r="G304"/>
  <c r="G302"/>
  <c r="E767"/>
  <c r="E763"/>
  <c r="E772" s="1"/>
  <c r="H220" i="4"/>
  <c r="C42" l="1"/>
  <c r="AI11" i="3"/>
  <c r="S367"/>
  <c r="S368"/>
  <c r="S366"/>
  <c r="P131"/>
  <c r="S126"/>
  <c r="G659"/>
  <c r="G658"/>
  <c r="G657"/>
  <c r="G655"/>
  <c r="G653"/>
  <c r="G652"/>
  <c r="X42" l="1"/>
  <c r="P393"/>
  <c r="R367"/>
  <c r="Q367"/>
  <c r="P367"/>
  <c r="O367"/>
  <c r="R366"/>
  <c r="Q366"/>
  <c r="P366"/>
  <c r="O366"/>
  <c r="O368" s="1"/>
  <c r="R335"/>
  <c r="Q309"/>
  <c r="R301"/>
  <c r="Q301"/>
  <c r="R183"/>
  <c r="Q183"/>
  <c r="R182"/>
  <c r="Q161"/>
  <c r="R159"/>
  <c r="Q159"/>
  <c r="R158"/>
  <c r="Q158"/>
  <c r="R157"/>
  <c r="Q157"/>
  <c r="Q156"/>
  <c r="Q154"/>
  <c r="R126"/>
  <c r="Q126"/>
  <c r="R44"/>
  <c r="R42"/>
  <c r="R41"/>
  <c r="R40"/>
  <c r="R39"/>
  <c r="R38"/>
  <c r="R37"/>
  <c r="F736"/>
  <c r="F741" s="1"/>
  <c r="D715"/>
  <c r="F712"/>
  <c r="E712"/>
  <c r="D712"/>
  <c r="F691"/>
  <c r="E691"/>
  <c r="D691"/>
  <c r="F689"/>
  <c r="E689"/>
  <c r="D689"/>
  <c r="F688"/>
  <c r="E688"/>
  <c r="D688"/>
  <c r="F687"/>
  <c r="E687"/>
  <c r="D687"/>
  <c r="E686"/>
  <c r="D686"/>
  <c r="E659"/>
  <c r="E658"/>
  <c r="E657"/>
  <c r="F655"/>
  <c r="E655"/>
  <c r="F653"/>
  <c r="E653"/>
  <c r="F652"/>
  <c r="E652"/>
  <c r="E651"/>
  <c r="F627"/>
  <c r="F623"/>
  <c r="F566"/>
  <c r="E566"/>
  <c r="D566"/>
  <c r="C566"/>
  <c r="F479"/>
  <c r="F477"/>
  <c r="E461"/>
  <c r="D461"/>
  <c r="F460"/>
  <c r="E460"/>
  <c r="E456" s="1"/>
  <c r="D460"/>
  <c r="F457"/>
  <c r="F456" s="1"/>
  <c r="E457"/>
  <c r="D457"/>
  <c r="D456"/>
  <c r="C456"/>
  <c r="F455"/>
  <c r="E455"/>
  <c r="F447"/>
  <c r="E447"/>
  <c r="D447"/>
  <c r="C447"/>
  <c r="F429"/>
  <c r="E429"/>
  <c r="F426"/>
  <c r="E426"/>
  <c r="D426"/>
  <c r="C426"/>
  <c r="F424"/>
  <c r="E424"/>
  <c r="F421"/>
  <c r="E421"/>
  <c r="D421"/>
  <c r="C421"/>
  <c r="F417"/>
  <c r="E417"/>
  <c r="D417"/>
  <c r="C417"/>
  <c r="F395"/>
  <c r="E395"/>
  <c r="E394"/>
  <c r="F393"/>
  <c r="E393"/>
  <c r="F392"/>
  <c r="E392"/>
  <c r="F391"/>
  <c r="E391"/>
  <c r="F390"/>
  <c r="E390"/>
  <c r="F389"/>
  <c r="E389"/>
  <c r="F388"/>
  <c r="E388"/>
  <c r="F340"/>
  <c r="E340"/>
  <c r="F337"/>
  <c r="F336"/>
  <c r="E336"/>
  <c r="D336"/>
  <c r="C336"/>
  <c r="E335"/>
  <c r="F327"/>
  <c r="E327"/>
  <c r="D327"/>
  <c r="C327"/>
  <c r="E309"/>
  <c r="F306"/>
  <c r="E306"/>
  <c r="D306"/>
  <c r="C306"/>
  <c r="F301"/>
  <c r="E301"/>
  <c r="D301"/>
  <c r="C301"/>
  <c r="F297"/>
  <c r="E297"/>
  <c r="D297"/>
  <c r="C297"/>
  <c r="F279"/>
  <c r="F278"/>
  <c r="F276"/>
  <c r="F275"/>
  <c r="F274"/>
  <c r="F273"/>
  <c r="F272"/>
  <c r="F271"/>
  <c r="F242"/>
  <c r="F240"/>
  <c r="F218"/>
  <c r="F217"/>
  <c r="F216"/>
  <c r="F215"/>
  <c r="F214"/>
  <c r="F213"/>
  <c r="F212"/>
  <c r="F211"/>
  <c r="F190"/>
  <c r="F189"/>
  <c r="F188"/>
  <c r="F187"/>
  <c r="F186"/>
  <c r="F185"/>
  <c r="F184"/>
  <c r="F183"/>
  <c r="F154"/>
  <c r="E154"/>
  <c r="F125"/>
  <c r="H18"/>
  <c r="D15"/>
  <c r="C15"/>
  <c r="D12"/>
  <c r="C12"/>
  <c r="F9"/>
  <c r="E9"/>
  <c r="D9"/>
  <c r="C9"/>
  <c r="H6" i="5"/>
  <c r="I11" i="7"/>
  <c r="H11"/>
  <c r="G11"/>
  <c r="F11"/>
  <c r="J11" s="1"/>
  <c r="J10"/>
  <c r="J9"/>
  <c r="J8"/>
  <c r="J7"/>
  <c r="J6"/>
  <c r="J5"/>
  <c r="J4"/>
  <c r="J3"/>
  <c r="J2"/>
  <c r="J1"/>
  <c r="I1"/>
  <c r="H1"/>
  <c r="G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I3"/>
  <c r="H3"/>
  <c r="G3"/>
  <c r="I2"/>
  <c r="H2"/>
  <c r="G2"/>
  <c r="F10"/>
  <c r="F9"/>
  <c r="F8"/>
  <c r="F7"/>
  <c r="F6"/>
  <c r="F5"/>
  <c r="F4"/>
  <c r="F3"/>
  <c r="F2"/>
  <c r="F1"/>
  <c r="G771" i="3" l="1"/>
  <c r="G770"/>
  <c r="G769"/>
  <c r="G768"/>
  <c r="G766"/>
  <c r="G765"/>
  <c r="G764"/>
  <c r="H740"/>
  <c r="H739"/>
  <c r="H738"/>
  <c r="H737"/>
  <c r="H735"/>
  <c r="H734"/>
  <c r="H733"/>
  <c r="H732"/>
  <c r="D772"/>
  <c r="C772"/>
  <c r="G767"/>
  <c r="G763"/>
  <c r="E741"/>
  <c r="D741"/>
  <c r="G741"/>
  <c r="H741" l="1"/>
  <c r="H736"/>
  <c r="F772"/>
  <c r="G772" s="1"/>
  <c r="G78" i="6" l="1"/>
  <c r="G75"/>
  <c r="G72"/>
  <c r="G69"/>
  <c r="G66"/>
  <c r="H55" l="1"/>
  <c r="E55"/>
  <c r="C55"/>
  <c r="H35"/>
  <c r="E35"/>
  <c r="C35"/>
  <c r="C10"/>
  <c r="C9"/>
  <c r="C7"/>
  <c r="H16"/>
  <c r="E16"/>
  <c r="C15"/>
  <c r="C16"/>
  <c r="R384" i="3"/>
  <c r="Q15"/>
  <c r="G9"/>
  <c r="H11"/>
  <c r="H10"/>
  <c r="R392"/>
  <c r="R391"/>
  <c r="R390"/>
  <c r="R389"/>
  <c r="R388"/>
  <c r="R387"/>
  <c r="R386"/>
  <c r="R385"/>
  <c r="Q393"/>
  <c r="O393"/>
  <c r="G629"/>
  <c r="R393" l="1"/>
  <c r="G176" i="4"/>
  <c r="G182"/>
  <c r="G179"/>
  <c r="F9"/>
  <c r="G68" l="1"/>
  <c r="G69"/>
  <c r="G65"/>
  <c r="F68"/>
  <c r="F67"/>
  <c r="E69"/>
  <c r="E67"/>
  <c r="E65"/>
  <c r="D68"/>
  <c r="D66"/>
  <c r="G66"/>
  <c r="G67"/>
  <c r="F69"/>
  <c r="F66"/>
  <c r="F65"/>
  <c r="E68"/>
  <c r="E66"/>
  <c r="D69"/>
  <c r="D67"/>
  <c r="D65"/>
  <c r="H9"/>
  <c r="S335" i="3"/>
  <c r="T130" l="1"/>
  <c r="T66" l="1"/>
  <c r="T67"/>
  <c r="T68"/>
  <c r="T69"/>
  <c r="T70"/>
  <c r="T71"/>
  <c r="T72"/>
  <c r="T73"/>
  <c r="T74"/>
  <c r="G103" l="1"/>
  <c r="S183"/>
  <c r="G242"/>
  <c r="G102"/>
  <c r="G101"/>
  <c r="G100"/>
  <c r="G99"/>
  <c r="G98"/>
  <c r="G97"/>
  <c r="G96"/>
  <c r="G95"/>
  <c r="T334"/>
  <c r="T333"/>
  <c r="T332"/>
  <c r="T331"/>
  <c r="T330"/>
  <c r="T329"/>
  <c r="T328"/>
  <c r="T327"/>
  <c r="T326"/>
  <c r="C163"/>
  <c r="D131"/>
  <c r="G131"/>
  <c r="F131"/>
  <c r="E131"/>
  <c r="C131"/>
  <c r="F104"/>
  <c r="E104"/>
  <c r="D104"/>
  <c r="C104"/>
  <c r="E49"/>
  <c r="D49"/>
  <c r="C49"/>
  <c r="D75"/>
  <c r="C75"/>
  <c r="F75"/>
  <c r="E75"/>
  <c r="P15"/>
  <c r="O15"/>
  <c r="AH11"/>
  <c r="AG11"/>
  <c r="AF11"/>
  <c r="AE11"/>
  <c r="AD11"/>
  <c r="AJ10"/>
  <c r="AJ9"/>
  <c r="AJ8"/>
  <c r="AJ7"/>
  <c r="AJ6"/>
  <c r="G104" l="1"/>
  <c r="AJ11"/>
  <c r="Q368" l="1"/>
  <c r="P368"/>
  <c r="T362"/>
  <c r="T361"/>
  <c r="T360"/>
  <c r="T359"/>
  <c r="T358"/>
  <c r="T366" l="1"/>
  <c r="T367"/>
  <c r="Q335"/>
  <c r="P335"/>
  <c r="O335"/>
  <c r="Z14" i="5"/>
  <c r="Z13"/>
  <c r="Z12"/>
  <c r="Z11"/>
  <c r="Z10"/>
  <c r="Z9"/>
  <c r="Z8"/>
  <c r="Z7"/>
  <c r="Z6"/>
  <c r="Y14"/>
  <c r="Y13"/>
  <c r="Y12"/>
  <c r="Y11"/>
  <c r="Y10"/>
  <c r="Y9"/>
  <c r="Y8"/>
  <c r="Y7"/>
  <c r="Y6"/>
  <c r="Y15" s="1"/>
  <c r="Z15"/>
  <c r="R131" i="3"/>
  <c r="Q131"/>
  <c r="T335" l="1"/>
  <c r="AA14" i="5"/>
  <c r="AA13"/>
  <c r="AA12"/>
  <c r="AA11"/>
  <c r="AA10"/>
  <c r="AA9"/>
  <c r="AA8"/>
  <c r="AA7"/>
  <c r="AA6"/>
  <c r="AA15" s="1"/>
  <c r="C280" i="3" l="1"/>
  <c r="E280" l="1"/>
  <c r="D280" l="1"/>
  <c r="D251"/>
  <c r="F192" l="1"/>
  <c r="F13" s="1"/>
  <c r="F12" s="1"/>
  <c r="Y18" l="1"/>
  <c r="X18"/>
  <c r="H203" i="4" l="1"/>
  <c r="Z18" i="3"/>
  <c r="S131"/>
  <c r="H182" i="4" l="1"/>
  <c r="H179"/>
  <c r="H176"/>
  <c r="C96" l="1"/>
  <c r="D96"/>
  <c r="D70" l="1"/>
  <c r="G14" l="1"/>
  <c r="F14"/>
  <c r="E14"/>
  <c r="D14"/>
  <c r="C14"/>
  <c r="H13"/>
  <c r="H12"/>
  <c r="H11"/>
  <c r="H10"/>
  <c r="G720" i="3"/>
  <c r="F720"/>
  <c r="E720"/>
  <c r="D720"/>
  <c r="C720"/>
  <c r="H718"/>
  <c r="H717"/>
  <c r="H716"/>
  <c r="H720" l="1"/>
  <c r="D42" i="4"/>
  <c r="H14"/>
  <c r="H715" i="3"/>
  <c r="A715"/>
  <c r="A716" s="1"/>
  <c r="A717" s="1"/>
  <c r="A718" s="1"/>
  <c r="H714"/>
  <c r="H713"/>
  <c r="H712" l="1"/>
  <c r="A712"/>
  <c r="A713" s="1"/>
  <c r="H711"/>
  <c r="E694"/>
  <c r="D694"/>
  <c r="C694"/>
  <c r="H693"/>
  <c r="H692"/>
  <c r="H690"/>
  <c r="H689"/>
  <c r="H688"/>
  <c r="H687"/>
  <c r="H685"/>
  <c r="H684"/>
  <c r="F660"/>
  <c r="E660"/>
  <c r="C660"/>
  <c r="H658"/>
  <c r="H657"/>
  <c r="H656"/>
  <c r="H654"/>
  <c r="H653"/>
  <c r="H652"/>
  <c r="G660"/>
  <c r="H650"/>
  <c r="F629"/>
  <c r="E629"/>
  <c r="D629"/>
  <c r="C629"/>
  <c r="H628"/>
  <c r="H627"/>
  <c r="H626"/>
  <c r="H625"/>
  <c r="H624"/>
  <c r="H623"/>
  <c r="G602"/>
  <c r="F602"/>
  <c r="E602"/>
  <c r="D602"/>
  <c r="C602"/>
  <c r="H601"/>
  <c r="H600"/>
  <c r="H599"/>
  <c r="H598"/>
  <c r="H597"/>
  <c r="H596"/>
  <c r="H595"/>
  <c r="H594"/>
  <c r="H593"/>
  <c r="H570"/>
  <c r="H569"/>
  <c r="H568"/>
  <c r="H567"/>
  <c r="G566"/>
  <c r="H565"/>
  <c r="H564"/>
  <c r="G544"/>
  <c r="F544"/>
  <c r="E544"/>
  <c r="D544"/>
  <c r="C544"/>
  <c r="H543"/>
  <c r="H542"/>
  <c r="H541"/>
  <c r="H540"/>
  <c r="H539"/>
  <c r="H538"/>
  <c r="H537"/>
  <c r="H536"/>
  <c r="H535"/>
  <c r="G516"/>
  <c r="H14" s="1"/>
  <c r="F516"/>
  <c r="E516"/>
  <c r="D516"/>
  <c r="C516"/>
  <c r="H515"/>
  <c r="H514"/>
  <c r="H513"/>
  <c r="H512"/>
  <c r="H511"/>
  <c r="H510"/>
  <c r="H509"/>
  <c r="H508"/>
  <c r="H507"/>
  <c r="F488"/>
  <c r="E488"/>
  <c r="D488"/>
  <c r="C488"/>
  <c r="H487"/>
  <c r="H486"/>
  <c r="H485"/>
  <c r="H484"/>
  <c r="H483"/>
  <c r="H482"/>
  <c r="H481"/>
  <c r="H480"/>
  <c r="G694" l="1"/>
  <c r="H686"/>
  <c r="F694"/>
  <c r="H691"/>
  <c r="H602"/>
  <c r="H516"/>
  <c r="H544"/>
  <c r="H629"/>
  <c r="H651"/>
  <c r="H655"/>
  <c r="H659"/>
  <c r="H566"/>
  <c r="F571"/>
  <c r="D660"/>
  <c r="H660" s="1"/>
  <c r="H479"/>
  <c r="H478"/>
  <c r="H477"/>
  <c r="H694" l="1"/>
  <c r="G488"/>
  <c r="H488" s="1"/>
  <c r="H461"/>
  <c r="H460"/>
  <c r="H459"/>
  <c r="H458"/>
  <c r="H457"/>
  <c r="G456" l="1"/>
  <c r="H455"/>
  <c r="H454"/>
  <c r="H453"/>
  <c r="H452"/>
  <c r="H451"/>
  <c r="H450"/>
  <c r="H449"/>
  <c r="H448"/>
  <c r="G447"/>
  <c r="H430"/>
  <c r="H429"/>
  <c r="H428"/>
  <c r="H427"/>
  <c r="H425"/>
  <c r="H424"/>
  <c r="H423"/>
  <c r="H422"/>
  <c r="H420"/>
  <c r="H419"/>
  <c r="H418"/>
  <c r="G417"/>
  <c r="H416"/>
  <c r="H417" l="1"/>
  <c r="H447"/>
  <c r="G421"/>
  <c r="H421" s="1"/>
  <c r="G426"/>
  <c r="H426" s="1"/>
  <c r="D462"/>
  <c r="F462"/>
  <c r="E462" s="1"/>
  <c r="H456"/>
  <c r="F397"/>
  <c r="E397"/>
  <c r="D397"/>
  <c r="C397"/>
  <c r="H396"/>
  <c r="H395"/>
  <c r="H394"/>
  <c r="H393"/>
  <c r="H392"/>
  <c r="H391"/>
  <c r="H390"/>
  <c r="H389"/>
  <c r="H388"/>
  <c r="G397"/>
  <c r="G368"/>
  <c r="F368"/>
  <c r="E368"/>
  <c r="D368"/>
  <c r="C368"/>
  <c r="H366"/>
  <c r="H365"/>
  <c r="H364"/>
  <c r="H363"/>
  <c r="H362"/>
  <c r="H361"/>
  <c r="H360"/>
  <c r="H368" l="1"/>
  <c r="C462"/>
  <c r="H397"/>
  <c r="H341"/>
  <c r="H340"/>
  <c r="H339"/>
  <c r="H338"/>
  <c r="H335"/>
  <c r="H334"/>
  <c r="H333"/>
  <c r="H332"/>
  <c r="H331"/>
  <c r="H330"/>
  <c r="H329"/>
  <c r="G327"/>
  <c r="T311"/>
  <c r="T310"/>
  <c r="T309"/>
  <c r="T308"/>
  <c r="G306"/>
  <c r="T307"/>
  <c r="S306"/>
  <c r="R306"/>
  <c r="Q306"/>
  <c r="P306"/>
  <c r="O306"/>
  <c r="T304"/>
  <c r="T303"/>
  <c r="G301"/>
  <c r="T302"/>
  <c r="T301"/>
  <c r="T300"/>
  <c r="R299"/>
  <c r="Q299"/>
  <c r="T306" l="1"/>
  <c r="H327"/>
  <c r="G336"/>
  <c r="H336" s="1"/>
  <c r="H337"/>
  <c r="P299"/>
  <c r="O299"/>
  <c r="G297"/>
  <c r="G342" s="1"/>
  <c r="F342"/>
  <c r="E342"/>
  <c r="D342"/>
  <c r="C342"/>
  <c r="S282"/>
  <c r="R282"/>
  <c r="Q282"/>
  <c r="P282"/>
  <c r="O282"/>
  <c r="T281"/>
  <c r="T280"/>
  <c r="T279"/>
  <c r="F280"/>
  <c r="T278"/>
  <c r="H279"/>
  <c r="T277"/>
  <c r="H278"/>
  <c r="T276"/>
  <c r="H277"/>
  <c r="T275"/>
  <c r="H276"/>
  <c r="T274"/>
  <c r="H275"/>
  <c r="T273"/>
  <c r="G280"/>
  <c r="T272"/>
  <c r="H273"/>
  <c r="T271"/>
  <c r="H272"/>
  <c r="T270"/>
  <c r="H271"/>
  <c r="R252"/>
  <c r="Q252"/>
  <c r="P252"/>
  <c r="O252"/>
  <c r="F251"/>
  <c r="E251"/>
  <c r="C251"/>
  <c r="H250"/>
  <c r="H249"/>
  <c r="H248"/>
  <c r="H247"/>
  <c r="H246"/>
  <c r="H245"/>
  <c r="H244"/>
  <c r="H243"/>
  <c r="H242"/>
  <c r="H241"/>
  <c r="H240"/>
  <c r="T282" l="1"/>
  <c r="T299"/>
  <c r="H280"/>
  <c r="H274"/>
  <c r="S222"/>
  <c r="R222"/>
  <c r="Q222"/>
  <c r="P222"/>
  <c r="O222"/>
  <c r="T221"/>
  <c r="T220"/>
  <c r="T219"/>
  <c r="F220"/>
  <c r="F16" s="1"/>
  <c r="F15" s="1"/>
  <c r="E220"/>
  <c r="E16" s="1"/>
  <c r="E15" s="1"/>
  <c r="D220"/>
  <c r="C220"/>
  <c r="T218"/>
  <c r="H219"/>
  <c r="T217"/>
  <c r="H218"/>
  <c r="T216"/>
  <c r="H217"/>
  <c r="T215"/>
  <c r="H216"/>
  <c r="T214"/>
  <c r="H215"/>
  <c r="T213"/>
  <c r="H214"/>
  <c r="T212"/>
  <c r="H213"/>
  <c r="T211"/>
  <c r="H212"/>
  <c r="T210"/>
  <c r="G220"/>
  <c r="G16" s="1"/>
  <c r="G15" s="1"/>
  <c r="S191"/>
  <c r="R191"/>
  <c r="Q191"/>
  <c r="P191"/>
  <c r="O191"/>
  <c r="G192"/>
  <c r="G13" s="1"/>
  <c r="D192"/>
  <c r="H191"/>
  <c r="T189"/>
  <c r="T188"/>
  <c r="H189"/>
  <c r="T187"/>
  <c r="T186"/>
  <c r="M186"/>
  <c r="T185"/>
  <c r="H186"/>
  <c r="T184"/>
  <c r="H15" l="1"/>
  <c r="G12"/>
  <c r="H185"/>
  <c r="H187"/>
  <c r="H188"/>
  <c r="H220"/>
  <c r="M187"/>
  <c r="H190"/>
  <c r="M188"/>
  <c r="M189" s="1"/>
  <c r="H211"/>
  <c r="T222"/>
  <c r="T191"/>
  <c r="T183"/>
  <c r="M183"/>
  <c r="M184" s="1"/>
  <c r="C192"/>
  <c r="T182"/>
  <c r="E192"/>
  <c r="E13" s="1"/>
  <c r="E12" s="1"/>
  <c r="R164"/>
  <c r="R190" s="1"/>
  <c r="Q164"/>
  <c r="P164"/>
  <c r="P190" s="1"/>
  <c r="P192" s="1"/>
  <c r="O164"/>
  <c r="T163"/>
  <c r="T162"/>
  <c r="F163"/>
  <c r="E163"/>
  <c r="D163"/>
  <c r="T161"/>
  <c r="T160"/>
  <c r="H161"/>
  <c r="T159"/>
  <c r="H160"/>
  <c r="T158"/>
  <c r="H159"/>
  <c r="T157"/>
  <c r="H158"/>
  <c r="T156"/>
  <c r="H157"/>
  <c r="T155"/>
  <c r="H156"/>
  <c r="S164"/>
  <c r="S190" s="1"/>
  <c r="S192" s="1"/>
  <c r="H155"/>
  <c r="H13" l="1"/>
  <c r="H12"/>
  <c r="T154"/>
  <c r="Q190"/>
  <c r="Q192" s="1"/>
  <c r="H183"/>
  <c r="H192"/>
  <c r="O190"/>
  <c r="O192" s="1"/>
  <c r="T164"/>
  <c r="H184"/>
  <c r="R192"/>
  <c r="O131"/>
  <c r="H131"/>
  <c r="T129"/>
  <c r="H130"/>
  <c r="T128"/>
  <c r="H129"/>
  <c r="T127"/>
  <c r="H128"/>
  <c r="T126"/>
  <c r="H127"/>
  <c r="H126"/>
  <c r="H125"/>
  <c r="H124"/>
  <c r="H123"/>
  <c r="H122"/>
  <c r="H103"/>
  <c r="H102"/>
  <c r="S100"/>
  <c r="R100"/>
  <c r="Q100"/>
  <c r="P100"/>
  <c r="O100"/>
  <c r="H101"/>
  <c r="T99"/>
  <c r="H100"/>
  <c r="T98"/>
  <c r="H99"/>
  <c r="T97"/>
  <c r="H98"/>
  <c r="T96"/>
  <c r="H97"/>
  <c r="T95"/>
  <c r="H96"/>
  <c r="T94"/>
  <c r="H95" s="1"/>
  <c r="S75"/>
  <c r="R75"/>
  <c r="Q75"/>
  <c r="P75"/>
  <c r="O75"/>
  <c r="G74"/>
  <c r="H74" s="1"/>
  <c r="G68"/>
  <c r="H68" l="1"/>
  <c r="T75"/>
  <c r="T100"/>
  <c r="T131"/>
  <c r="T192"/>
  <c r="G163"/>
  <c r="H163" s="1"/>
  <c r="H154"/>
  <c r="H104"/>
  <c r="T190"/>
  <c r="G48"/>
  <c r="S46"/>
  <c r="R46"/>
  <c r="Q46"/>
  <c r="P46"/>
  <c r="O46"/>
  <c r="G47"/>
  <c r="T45"/>
  <c r="G46"/>
  <c r="T44"/>
  <c r="G45"/>
  <c r="T43"/>
  <c r="G44"/>
  <c r="T42"/>
  <c r="G43"/>
  <c r="T41"/>
  <c r="G42"/>
  <c r="T40"/>
  <c r="H44" l="1"/>
  <c r="H42"/>
  <c r="H46"/>
  <c r="T46"/>
  <c r="H48"/>
  <c r="H47"/>
  <c r="H43"/>
  <c r="H45"/>
  <c r="G41"/>
  <c r="T39"/>
  <c r="G40"/>
  <c r="T38"/>
  <c r="T37"/>
  <c r="H17"/>
  <c r="S8"/>
  <c r="S7"/>
  <c r="X15" i="5"/>
  <c r="W15"/>
  <c r="V15"/>
  <c r="U15"/>
  <c r="T15"/>
  <c r="S15"/>
  <c r="N15"/>
  <c r="M15"/>
  <c r="S15" i="3" l="1"/>
  <c r="H9"/>
  <c r="G49"/>
  <c r="H41"/>
  <c r="F49"/>
  <c r="H40"/>
  <c r="C15" i="5"/>
  <c r="G14"/>
  <c r="D14"/>
  <c r="AL13"/>
  <c r="AJ13"/>
  <c r="G13"/>
  <c r="D13"/>
  <c r="AL12"/>
  <c r="AJ12"/>
  <c r="G12"/>
  <c r="D12"/>
  <c r="AL11"/>
  <c r="AJ11"/>
  <c r="AM11" s="1"/>
  <c r="Q11"/>
  <c r="J11"/>
  <c r="G11"/>
  <c r="D11"/>
  <c r="A11"/>
  <c r="AL10"/>
  <c r="AJ10"/>
  <c r="H14" l="1"/>
  <c r="H12"/>
  <c r="H49" i="3"/>
  <c r="AM10" i="5"/>
  <c r="H11"/>
  <c r="H13"/>
  <c r="AM13"/>
  <c r="AM12"/>
  <c r="F15"/>
  <c r="E15"/>
  <c r="D10"/>
  <c r="AL9"/>
  <c r="G9"/>
  <c r="D9"/>
  <c r="AL8"/>
  <c r="AJ8"/>
  <c r="G8"/>
  <c r="D8"/>
  <c r="AL7"/>
  <c r="AJ7"/>
  <c r="G7"/>
  <c r="D7"/>
  <c r="G6"/>
  <c r="D6"/>
  <c r="G571" i="3"/>
  <c r="E571"/>
  <c r="D571"/>
  <c r="C571"/>
  <c r="H16"/>
  <c r="G71"/>
  <c r="H71" s="1"/>
  <c r="G67"/>
  <c r="H67" s="1"/>
  <c r="G72"/>
  <c r="H72" s="1"/>
  <c r="G73"/>
  <c r="H73" s="1"/>
  <c r="G69"/>
  <c r="H69" s="1"/>
  <c r="G66"/>
  <c r="G70"/>
  <c r="H66"/>
  <c r="G251"/>
  <c r="H251" s="1"/>
  <c r="G462"/>
  <c r="H462" s="1"/>
  <c r="D719"/>
  <c r="C719"/>
  <c r="E719"/>
  <c r="F719"/>
  <c r="G719"/>
  <c r="E42" i="4"/>
  <c r="F42"/>
  <c r="G42"/>
  <c r="H42" s="1"/>
  <c r="H39"/>
  <c r="H69"/>
  <c r="H68"/>
  <c r="H67"/>
  <c r="H40"/>
  <c r="F70"/>
  <c r="E70"/>
  <c r="H65"/>
  <c r="H66"/>
  <c r="H38"/>
  <c r="H120"/>
  <c r="H93"/>
  <c r="E96"/>
  <c r="F96"/>
  <c r="G96"/>
  <c r="H123"/>
  <c r="H91"/>
  <c r="H150"/>
  <c r="H126"/>
  <c r="H96" l="1"/>
  <c r="G70"/>
  <c r="H70" s="1"/>
  <c r="G75" i="3"/>
  <c r="H75" s="1"/>
  <c r="D15" i="5"/>
  <c r="H8"/>
  <c r="H7"/>
  <c r="AM7"/>
  <c r="H9"/>
  <c r="G10"/>
  <c r="H10" s="1"/>
  <c r="AM8"/>
  <c r="H719" i="3"/>
  <c r="H571"/>
  <c r="H70"/>
  <c r="G15" i="5" l="1"/>
  <c r="T365" i="3"/>
  <c r="T364"/>
  <c r="T363"/>
  <c r="R368"/>
  <c r="T368" s="1"/>
</calcChain>
</file>

<file path=xl/comments1.xml><?xml version="1.0" encoding="utf-8"?>
<comments xmlns="http://schemas.openxmlformats.org/spreadsheetml/2006/main">
  <authors>
    <author>USER</author>
  </authors>
  <commentList>
    <comment ref="G3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Jangan diinput, ini formula!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Jangan diinput, ini formula!</t>
        </r>
      </text>
    </comment>
    <comment ref="G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Jangan diinput, ini formula!</t>
        </r>
      </text>
    </comment>
  </commentList>
</comments>
</file>

<file path=xl/sharedStrings.xml><?xml version="1.0" encoding="utf-8"?>
<sst xmlns="http://schemas.openxmlformats.org/spreadsheetml/2006/main" count="1800" uniqueCount="829">
  <si>
    <t>DAFTAR ISI</t>
  </si>
  <si>
    <t xml:space="preserve">                                                                             </t>
  </si>
  <si>
    <t>Halaman</t>
  </si>
  <si>
    <t>i</t>
  </si>
  <si>
    <t>ii</t>
  </si>
  <si>
    <t xml:space="preserve">I     </t>
  </si>
  <si>
    <t>Tabel 1.</t>
  </si>
  <si>
    <t xml:space="preserve">Pertumbuhan Penduduk, RTP Tangkap, RTP   </t>
  </si>
  <si>
    <t>Budidaya, Nelayan, Pembudidaya Ikan dan Konsumsi</t>
  </si>
  <si>
    <t xml:space="preserve">Tabel 2. </t>
  </si>
  <si>
    <t>Pertumbuhan Rumah Tangga/Perusahaan Perikanan</t>
  </si>
  <si>
    <t xml:space="preserve">Tabel 3. </t>
  </si>
  <si>
    <t>Tabel 4.</t>
  </si>
  <si>
    <t xml:space="preserve">Pertumbuhan Rumah Tangga/Perusahaan Perikanan </t>
  </si>
  <si>
    <t xml:space="preserve">                 </t>
  </si>
  <si>
    <t>Tabel 10.</t>
  </si>
  <si>
    <t>Tabel 11.</t>
  </si>
  <si>
    <t>Tabel 12.</t>
  </si>
  <si>
    <t>V</t>
  </si>
  <si>
    <t>VI</t>
  </si>
  <si>
    <t>Tabel 15.</t>
  </si>
  <si>
    <t>Tabel 16.</t>
  </si>
  <si>
    <t xml:space="preserve">                     </t>
  </si>
  <si>
    <t>Tabel 17.</t>
  </si>
  <si>
    <t>Tabel 18.</t>
  </si>
  <si>
    <t>Tabel 19.</t>
  </si>
  <si>
    <t>Tabel 20.</t>
  </si>
  <si>
    <t>Tabel 21.</t>
  </si>
  <si>
    <t>Tabel 22.</t>
  </si>
  <si>
    <t>Tabel 23.</t>
  </si>
  <si>
    <t>Tabel 24.</t>
  </si>
  <si>
    <t xml:space="preserve">               </t>
  </si>
  <si>
    <t>Tabel 25.</t>
  </si>
  <si>
    <t>Tabel 26.</t>
  </si>
  <si>
    <t>Tabel 28.</t>
  </si>
  <si>
    <t>Tabel 29.</t>
  </si>
  <si>
    <t>Tabel 30.</t>
  </si>
  <si>
    <t>Pertumbuhan Nilai Ekspor Komoditas Perikanan</t>
  </si>
  <si>
    <t xml:space="preserve">                      </t>
  </si>
  <si>
    <t>Tabel 31.</t>
  </si>
  <si>
    <t>Tabel 33.</t>
  </si>
  <si>
    <t>Tabel 34.</t>
  </si>
  <si>
    <t>Tabel 35.</t>
  </si>
  <si>
    <t>Tabel 36.</t>
  </si>
  <si>
    <t>Tabel 37.</t>
  </si>
  <si>
    <t>Tabel 38.</t>
  </si>
  <si>
    <t>Sasaran Pendapatan Nelayan/Pembudidaya Ikan</t>
  </si>
  <si>
    <t>Pertumbuhan Produksi Perikanan Budidaya</t>
  </si>
  <si>
    <t>Pertumbuhan Produksi Perikanan</t>
  </si>
  <si>
    <t>Pertumbuhan Nilai Produksi Perikanan</t>
  </si>
  <si>
    <t>VII</t>
  </si>
  <si>
    <t>Tabel 5.</t>
  </si>
  <si>
    <t>Pertumbuhan Nelayan dan Pembudidaya Ikan</t>
  </si>
  <si>
    <t>Pertumbuhan Perahu/Kapal Motor Menurut Jenis dan</t>
  </si>
  <si>
    <t xml:space="preserve">Pertumbuhan Produksi Perikanan Tangkap </t>
  </si>
  <si>
    <t>Pertumbuhan Nilai Produksi Perikanan Tangkap</t>
  </si>
  <si>
    <t>Pertumbuhan Perlakuan Terhadap Produksi Perikanan</t>
  </si>
  <si>
    <t>Pertumbuhan UPI Skala Kecil/Menengah Menurut</t>
  </si>
  <si>
    <t>VIII</t>
  </si>
  <si>
    <t>Pertumbuhan Luas Pemeliharaan Perikanan Budidaya</t>
  </si>
  <si>
    <t>Pertumbuhan Produksi Perikanan Budidaya Menurut</t>
  </si>
  <si>
    <t>Pertumbuhan Produksi 10 Besar Perikanan Budidaya</t>
  </si>
  <si>
    <t>Pertumbuhan Nilai Produksi Perikanan Budidaya</t>
  </si>
  <si>
    <t>Pertumbuhan Produksi Benih Perikanan Budidaya</t>
  </si>
  <si>
    <t>Tabel 8.</t>
  </si>
  <si>
    <t>Pertumbuhan Produksi Perikanan Tangkap Menurut</t>
  </si>
  <si>
    <t>Tabel 27.</t>
  </si>
  <si>
    <t>Pertumbuhan Volume Ekspor Komoditi Perikanan</t>
  </si>
  <si>
    <t>Pertumbuhan Nilai Ekspor Komoditi Perikanan</t>
  </si>
  <si>
    <t>Pertumbuhan Volume &amp; Nilai Ekspor Menurut</t>
  </si>
  <si>
    <t xml:space="preserve">        </t>
  </si>
  <si>
    <t>Sasaran Luas Areal Perikanan Budidaya</t>
  </si>
  <si>
    <t>Sasaran Produksi Perikanan budidaya</t>
  </si>
  <si>
    <t>Sasaran Produksi Perikanan Tangkap</t>
  </si>
  <si>
    <t>Sasaran Ekspor Komoditas Perikanan</t>
  </si>
  <si>
    <t>Sasaran Konsumsi Ikan</t>
  </si>
  <si>
    <t>Tabel 39.</t>
  </si>
  <si>
    <t xml:space="preserve">              ________________ Buku  Statistik Perikanan Provinsi Bali           ii                   </t>
  </si>
  <si>
    <t xml:space="preserve">             ________________ Buku  Statistik Perikanan Provinsi Bali           iii                   </t>
  </si>
  <si>
    <t>KATA PENGANTAR ………………………………………...…………………………………...................................</t>
  </si>
  <si>
    <t>DAFTAR ISI…..……………………………………………………..……………………............................................</t>
  </si>
  <si>
    <t>DATA UMUM..………………………………………………………………………….………………….………....................</t>
  </si>
  <si>
    <t>KOMODITAS REVITALISASI PERIKANAN....................................................................</t>
  </si>
  <si>
    <t>SENTRA PRODUKSI PERIKANAN....................................................................................</t>
  </si>
  <si>
    <t xml:space="preserve">SARANA/PRASARANA PERIKANAN......................................................................................................   </t>
  </si>
  <si>
    <t>.</t>
  </si>
  <si>
    <t xml:space="preserve">PROYEKSI/TARGET PENCAPAIAN SASARAN PERIKANAN </t>
  </si>
  <si>
    <t>I. DATA UMUM</t>
  </si>
  <si>
    <t>1.</t>
  </si>
  <si>
    <t>Letak Geografis Provinsi Bali</t>
  </si>
  <si>
    <t>80 03’ 40” – 080 50’ 48”   LS</t>
  </si>
  <si>
    <t>114 25’ 53” - 1150 42’ 40” BT</t>
  </si>
  <si>
    <t>2.</t>
  </si>
  <si>
    <t>Luas Wilayah Bali</t>
  </si>
  <si>
    <t>Luas Perairan Laut</t>
  </si>
  <si>
    <t>Luas Daratan</t>
  </si>
  <si>
    <t>Luas Desa Pantai</t>
  </si>
  <si>
    <t>9.634.35 Km2</t>
  </si>
  <si>
    <t>5.636,66 Km2</t>
  </si>
  <si>
    <t>1.858,71 Km2 (33,0 %)</t>
  </si>
  <si>
    <t>3.</t>
  </si>
  <si>
    <t>Panjang Pantai</t>
  </si>
  <si>
    <t>:</t>
  </si>
  <si>
    <t>4.</t>
  </si>
  <si>
    <t>Jumlah Kabupaten, Kec. Dan Desa/Kelurahan</t>
  </si>
  <si>
    <t>Kabupaten/Kota</t>
  </si>
  <si>
    <t>Kecamatan</t>
  </si>
  <si>
    <t>Desa/Kelurahan</t>
  </si>
  <si>
    <t>Desa Pantai/Pesisir</t>
  </si>
  <si>
    <t>Buah</t>
  </si>
  <si>
    <t>Km</t>
  </si>
  <si>
    <t>Kab/Kota</t>
  </si>
  <si>
    <t>Desa</t>
  </si>
  <si>
    <t>5.</t>
  </si>
  <si>
    <t>Pria</t>
  </si>
  <si>
    <t>Wanita</t>
  </si>
  <si>
    <t>Perikanan Budidaya</t>
  </si>
  <si>
    <t>Perikanan Tangkap</t>
  </si>
  <si>
    <t xml:space="preserve">          ________________ Buku  Statistik Perikanan Provinsi Bali           1                   </t>
  </si>
  <si>
    <t>-</t>
  </si>
  <si>
    <t>Jembrana</t>
  </si>
  <si>
    <t>Denpasar</t>
  </si>
  <si>
    <t>Badung</t>
  </si>
  <si>
    <t>Klungkung</t>
  </si>
  <si>
    <t>Karangasem</t>
  </si>
  <si>
    <t>Buleleng</t>
  </si>
  <si>
    <t>%</t>
  </si>
  <si>
    <t>Komoditas Utama/Unggulan</t>
  </si>
  <si>
    <t>Tuna</t>
  </si>
  <si>
    <t>Rumput Laut</t>
  </si>
  <si>
    <t>Udang Vaname</t>
  </si>
  <si>
    <t>Komoditas Andalan</t>
  </si>
  <si>
    <t>Kerapu</t>
  </si>
  <si>
    <t>Udang Galah</t>
  </si>
  <si>
    <t xml:space="preserve">Nila </t>
  </si>
  <si>
    <t>Gurame</t>
  </si>
  <si>
    <t>Lele</t>
  </si>
  <si>
    <t>Mas</t>
  </si>
  <si>
    <t>Bandeng</t>
  </si>
  <si>
    <t>Tongkol</t>
  </si>
  <si>
    <t>Cakalang</t>
  </si>
  <si>
    <t>Lemuru</t>
  </si>
  <si>
    <t>Komoditas Rintisan</t>
  </si>
  <si>
    <t>Mutiara</t>
  </si>
  <si>
    <t>Abalone</t>
  </si>
  <si>
    <t>Lobster Laut</t>
  </si>
  <si>
    <t>Patin</t>
  </si>
  <si>
    <t>Kota Denpasar, Benoa</t>
  </si>
  <si>
    <t>Nener dan Kerapu</t>
  </si>
  <si>
    <t>Kab. Jembrana, Selat Bali</t>
  </si>
  <si>
    <t>Kab. Karangasem</t>
  </si>
  <si>
    <t>Rumput laut</t>
  </si>
  <si>
    <t>Kab. Klungkung, Nusa Penida</t>
  </si>
  <si>
    <t>Kab. Badung, Desa Kutuh</t>
  </si>
  <si>
    <t>Gurami</t>
  </si>
  <si>
    <t>6.</t>
  </si>
  <si>
    <t>Nila</t>
  </si>
  <si>
    <t>Kab. Bangli, Danau Batur</t>
  </si>
  <si>
    <t>Kab. Buleleng, Sumberkima dan Kalianget</t>
  </si>
  <si>
    <t>7.</t>
  </si>
  <si>
    <t>Ikan Hias</t>
  </si>
  <si>
    <t>Kab. Jembrana, Kec. Pekutatan, Ds.Pangiangan</t>
  </si>
  <si>
    <t>Kab. Jembrana, Kec. Negara, Ds.Kumbading</t>
  </si>
  <si>
    <t>Kab. Buleleng, Ds.Pejarakan, Musi dan Sangsit</t>
  </si>
  <si>
    <t>Kab. Karangasem, Kubu, Ds.Sukadana</t>
  </si>
  <si>
    <t>Kab. Buleleng, Ds.Sumberkima</t>
  </si>
  <si>
    <t>Kab. Gianyar, Ds.Blahbatuh</t>
  </si>
  <si>
    <t>Kab. Karangasem, Kec. Bandem Ds.Saren kauh</t>
  </si>
  <si>
    <t>Kab. Tabanan, Ds.Penebel</t>
  </si>
  <si>
    <t>Pelabuhan Benoa</t>
  </si>
  <si>
    <t>TPI Serangan</t>
  </si>
  <si>
    <t>TPI Tanjung Benoa</t>
  </si>
  <si>
    <t>PPN Pengambengan</t>
  </si>
  <si>
    <t>TPI Air Kuning</t>
  </si>
  <si>
    <t>TPI Yeh Sumbul</t>
  </si>
  <si>
    <t>PPI Sangsit</t>
  </si>
  <si>
    <t>TPI Tejakula</t>
  </si>
  <si>
    <t>TPI Amed</t>
  </si>
  <si>
    <t>TPI Batununggul</t>
  </si>
  <si>
    <t xml:space="preserve">             ________________ Buku  Statistik Perikanan Provinsi Bali          7</t>
  </si>
  <si>
    <t>BBI Sidakarya</t>
  </si>
  <si>
    <t>BBI Sentral Sangeh</t>
  </si>
  <si>
    <t>BBI Kapal</t>
  </si>
  <si>
    <t>KPI Petang</t>
  </si>
  <si>
    <t>Tabanan</t>
  </si>
  <si>
    <t>BBI Bolangan I, II, III</t>
  </si>
  <si>
    <t>BBI Pesiapan</t>
  </si>
  <si>
    <t>BBI Meliling</t>
  </si>
  <si>
    <t>BBI Baturiti</t>
  </si>
  <si>
    <t>BBI Tegakgede</t>
  </si>
  <si>
    <t>BBI Ringdikit</t>
  </si>
  <si>
    <t>BBI Selat</t>
  </si>
  <si>
    <t>BBI Karangasem</t>
  </si>
  <si>
    <t>BBI Takmung</t>
  </si>
  <si>
    <t>BBUG Klungkung</t>
  </si>
  <si>
    <t>Gianyar</t>
  </si>
  <si>
    <t>BBI Payangan</t>
  </si>
  <si>
    <t>8.</t>
  </si>
  <si>
    <t>Bangli</t>
  </si>
  <si>
    <t>9.</t>
  </si>
  <si>
    <t>BBI Serokadan</t>
  </si>
  <si>
    <t>BBI Sidembunut</t>
  </si>
  <si>
    <t>BBI Yangapi</t>
  </si>
  <si>
    <t>BBI Kedisan</t>
  </si>
  <si>
    <t>Sarana dan Prasarana Perikanan Budidaya</t>
  </si>
  <si>
    <t xml:space="preserve">             ________________ Buku  Statistik Perikanan Provinsi Bali          8</t>
  </si>
  <si>
    <t xml:space="preserve"> Sarana dan Prasarana Pengolahan dan Pemasaran</t>
  </si>
  <si>
    <t>Hasil Perikanan (P2HP)</t>
  </si>
  <si>
    <t>Sarana dan Prasarana Perikanan Tangkap</t>
  </si>
  <si>
    <t>Pasar Benih Ikan Hias (PBIH) Sidakarya</t>
  </si>
  <si>
    <t>Pasar Benih Ikan (PBI) Sanggalangit</t>
  </si>
  <si>
    <t>Sat : Jiwa/Buah/Kg</t>
  </si>
  <si>
    <t>NO</t>
  </si>
  <si>
    <t>Uraian</t>
  </si>
  <si>
    <t>Tahun</t>
  </si>
  <si>
    <t>RTP.Tangkap</t>
  </si>
  <si>
    <t>RTP. Budidaya</t>
  </si>
  <si>
    <t>Jumlah RTP.</t>
  </si>
  <si>
    <t>Nelayan</t>
  </si>
  <si>
    <t>Pembudidaya Ikan</t>
  </si>
  <si>
    <t>Jml. Pembud &amp; Nel.</t>
  </si>
  <si>
    <t>Konsumsi ikan/kapita/Th</t>
  </si>
  <si>
    <t>Sat : Buah</t>
  </si>
  <si>
    <t>Kab./Kota</t>
  </si>
  <si>
    <t>Jumlah</t>
  </si>
  <si>
    <t xml:space="preserve">                                          ________________ Buku  Statistik Perikanan Provinsi Bali          10</t>
  </si>
  <si>
    <t>Sat : Ton</t>
  </si>
  <si>
    <t xml:space="preserve">                                          ________________ Buku  Statistik Perikanan Provinsi Bali          11</t>
  </si>
  <si>
    <t>Sat : Rp1000,-</t>
  </si>
  <si>
    <t xml:space="preserve">                                          ________________ Buku  Statistik Perikanan Provinsi Bali          12</t>
  </si>
  <si>
    <t>Sat : Jiwa</t>
  </si>
  <si>
    <t xml:space="preserve">                                          ________________ Buku  Statistik Perikanan Provinsi Bali          14</t>
  </si>
  <si>
    <t>Konsumsi segar</t>
  </si>
  <si>
    <t>Kering/Asin</t>
  </si>
  <si>
    <t>Asap/panggang</t>
  </si>
  <si>
    <t>Pemindangan</t>
  </si>
  <si>
    <t>Pembekuan</t>
  </si>
  <si>
    <t>Pengalengan</t>
  </si>
  <si>
    <t>Penepungan</t>
  </si>
  <si>
    <t>Lain-lain</t>
  </si>
  <si>
    <t xml:space="preserve"> </t>
  </si>
  <si>
    <t xml:space="preserve">                                          ________________ Buku  Statistik Perikanan Provinsi Bali          15</t>
  </si>
  <si>
    <t xml:space="preserve">                                          ________________ Buku  Statistik Perikanan Provinsi Bali          16</t>
  </si>
  <si>
    <t xml:space="preserve">                                          ________________ Buku  Statistik Perikanan Provinsi Bali          17</t>
  </si>
  <si>
    <t>Armada</t>
  </si>
  <si>
    <t>Jukung</t>
  </si>
  <si>
    <t>Motor Tempel</t>
  </si>
  <si>
    <t>Kapal Motor</t>
  </si>
  <si>
    <t xml:space="preserve">     &lt; 5 GT.</t>
  </si>
  <si>
    <t xml:space="preserve">     5 - 10 GT</t>
  </si>
  <si>
    <t xml:space="preserve">  10 - 20 GT</t>
  </si>
  <si>
    <t xml:space="preserve">  20 - 30 GT</t>
  </si>
  <si>
    <t xml:space="preserve">  30 - 50 GT</t>
  </si>
  <si>
    <t xml:space="preserve">  50 - 100 GT</t>
  </si>
  <si>
    <t xml:space="preserve">  100 - 200 GT</t>
  </si>
  <si>
    <t xml:space="preserve">  &gt; 200 GT.</t>
  </si>
  <si>
    <t xml:space="preserve">                                          ________________ Buku  Statistik Perikanan Provinsi Bali          18</t>
  </si>
  <si>
    <t>Sat : Unit</t>
  </si>
  <si>
    <t xml:space="preserve">                                          ________________ Buku  Statistik Perikanan Provinsi Bali          19</t>
  </si>
  <si>
    <t xml:space="preserve">Pertumbuhan Nelayan Menurut Kabupaten/Kota </t>
  </si>
  <si>
    <t>Alat Tangkap</t>
  </si>
  <si>
    <t>Pukat Kantong</t>
  </si>
  <si>
    <t xml:space="preserve"> - Payang</t>
  </si>
  <si>
    <t xml:space="preserve"> - Pukat Pantai</t>
  </si>
  <si>
    <t xml:space="preserve"> - Pukat Cincin</t>
  </si>
  <si>
    <t>Jaring Insang</t>
  </si>
  <si>
    <t xml:space="preserve"> - J I. Hanyut</t>
  </si>
  <si>
    <t xml:space="preserve"> - J   Klitik</t>
  </si>
  <si>
    <t xml:space="preserve"> - J I. Tetap</t>
  </si>
  <si>
    <t xml:space="preserve"> - J Tiga Lapis</t>
  </si>
  <si>
    <t>Jaring Angkat</t>
  </si>
  <si>
    <t xml:space="preserve"> - Bagan  Apung</t>
  </si>
  <si>
    <t xml:space="preserve"> - Bagan Tancap</t>
  </si>
  <si>
    <t xml:space="preserve"> - Serok</t>
  </si>
  <si>
    <t xml:space="preserve"> - Anco</t>
  </si>
  <si>
    <t xml:space="preserve">Pertumbuhan Unit Penangkapan Ikan </t>
  </si>
  <si>
    <t>Pertumbuhan Unit Penangkapan Ikan</t>
  </si>
  <si>
    <t xml:space="preserve">                                          ________________ Buku  Statistik Perikanan Provinsi Bali          20</t>
  </si>
  <si>
    <t>Pancing</t>
  </si>
  <si>
    <t xml:space="preserve"> - Rawai Tuna</t>
  </si>
  <si>
    <t xml:space="preserve"> -</t>
  </si>
  <si>
    <t xml:space="preserve"> - R. Hanyut  T.</t>
  </si>
  <si>
    <t xml:space="preserve"> - Rawai Tetap</t>
  </si>
  <si>
    <t xml:space="preserve"> - Rawai Tetap Dasar</t>
  </si>
  <si>
    <t xml:space="preserve"> - P. Tonda </t>
  </si>
  <si>
    <t xml:space="preserve"> - P. Ulur</t>
  </si>
  <si>
    <t xml:space="preserve"> - P. Cumi</t>
  </si>
  <si>
    <t xml:space="preserve"> - P. Lainnya</t>
  </si>
  <si>
    <t>Lain Lain</t>
  </si>
  <si>
    <t xml:space="preserve"> - Bubu</t>
  </si>
  <si>
    <t xml:space="preserve"> - Perangkap L. ( Sero)</t>
  </si>
  <si>
    <t xml:space="preserve"> - A. Rumput Laut</t>
  </si>
  <si>
    <t xml:space="preserve"> - Jala tebar</t>
  </si>
  <si>
    <t xml:space="preserve"> - Garpu/Tombak</t>
  </si>
  <si>
    <t xml:space="preserve">                                          ________________ Buku  Statistik Perikanan Provinsi Bali          21</t>
  </si>
  <si>
    <t>Pertumbuhan Produksi Ikan Olahan Perikanan Tangkap di Laut</t>
  </si>
  <si>
    <t xml:space="preserve">                                          ________________ Buku  Statistik Perikanan Provinsi Bali          22</t>
  </si>
  <si>
    <t xml:space="preserve">                                          ________________ Buku  Statistik Perikanan Provinsi Bali          23</t>
  </si>
  <si>
    <t>Pukat Tarik</t>
  </si>
  <si>
    <t xml:space="preserve"> - Bagan Apung</t>
  </si>
  <si>
    <t xml:space="preserve">                                          ________________ Buku  Statistik Perikanan Provinsi Bali          24</t>
  </si>
  <si>
    <t>Nama Ikan</t>
  </si>
  <si>
    <t>Ikan Terbang</t>
  </si>
  <si>
    <t>Layang</t>
  </si>
  <si>
    <t>Kakap Merah</t>
  </si>
  <si>
    <t>Teri</t>
  </si>
  <si>
    <t>Selar</t>
  </si>
  <si>
    <t>Tembang</t>
  </si>
  <si>
    <t>Pertumbuhan Produksi 10 Besar Perikanan Tangkap Laut</t>
  </si>
  <si>
    <t xml:space="preserve">                                          ________________ Buku  Statistik Perikanan Provinsi Bali          25</t>
  </si>
  <si>
    <t xml:space="preserve">                                          ________________ Buku  Statistik Perikanan Provinsi Bali          26</t>
  </si>
  <si>
    <t xml:space="preserve">                                          ________________ Buku  Statistik Perikanan Provinsi Bali          27</t>
  </si>
  <si>
    <t xml:space="preserve">                                          ________________ Buku  Statistik Perikanan Provinsi Bali          28</t>
  </si>
  <si>
    <t>Sat : Ha.</t>
  </si>
  <si>
    <t>Jenis Budidaya</t>
  </si>
  <si>
    <t>Bud. di Laut</t>
  </si>
  <si>
    <t>Bud.  Tambak</t>
  </si>
  <si>
    <t>Bud. Air Tawar</t>
  </si>
  <si>
    <t xml:space="preserve"> - Kolam</t>
  </si>
  <si>
    <t xml:space="preserve"> - Sawah</t>
  </si>
  <si>
    <t xml:space="preserve"> - Jaka Apung</t>
  </si>
  <si>
    <t xml:space="preserve"> - Saluran Irigasi *)</t>
  </si>
  <si>
    <t>Keterangan *) : Berdasarkan Keputusan Direktorat Jenderal Perikanan Budidaya, untuk Budidaya di Saluran Irigasi Tahun 2011 dan untuk selanjutnya dimasukkan ke dalam Budidaya di Kolam</t>
  </si>
  <si>
    <t xml:space="preserve">                                          ________________ Buku  Statistik Perikanan Provinsi Bali          30</t>
  </si>
  <si>
    <t xml:space="preserve">                                          ________________ Buku  Statistik Perikanan Provinsi Bali          29</t>
  </si>
  <si>
    <t>Laut</t>
  </si>
  <si>
    <t>Tambak</t>
  </si>
  <si>
    <t>Kolam</t>
  </si>
  <si>
    <t>Sawah</t>
  </si>
  <si>
    <t>Japung</t>
  </si>
  <si>
    <t>Saluran Irigasi*)</t>
  </si>
  <si>
    <t xml:space="preserve">                                          ________________ Buku  Statistik Perikanan Provinsi Bali          31</t>
  </si>
  <si>
    <t xml:space="preserve">                                          ________________ Buku  Statistik Perikanan Provinsi Bali          32</t>
  </si>
  <si>
    <t xml:space="preserve">                                          ________________ Buku  Statistik Perikanan Provinsi Bali          33</t>
  </si>
  <si>
    <t>Sat :  Rp1000</t>
  </si>
  <si>
    <t>Saluran Irigasi *)</t>
  </si>
  <si>
    <t xml:space="preserve">                                          ________________ Buku  Statistik Perikanan Provinsi Bali          34</t>
  </si>
  <si>
    <t>Pertumbuhan Pembudidaya Ikan Menurut Kabupaten/Kota</t>
  </si>
  <si>
    <t>Sat : Ekor</t>
  </si>
  <si>
    <t>BBI</t>
  </si>
  <si>
    <t>BBUG</t>
  </si>
  <si>
    <t>Hatchery</t>
  </si>
  <si>
    <t>UPR</t>
  </si>
  <si>
    <t>HSRT</t>
  </si>
  <si>
    <t xml:space="preserve">                                          ________________ Buku  Statistik Perikanan Provinsi Bali          35</t>
  </si>
  <si>
    <t>Komoditas</t>
  </si>
  <si>
    <t>Tuna  Segar</t>
  </si>
  <si>
    <t>Tuna  Beku</t>
  </si>
  <si>
    <t>Tuna Olahan</t>
  </si>
  <si>
    <t>Setuhuk/Marlin</t>
  </si>
  <si>
    <t>Meka/Swordfish</t>
  </si>
  <si>
    <t>Napoleon</t>
  </si>
  <si>
    <t>Kakap</t>
  </si>
  <si>
    <t>Kepiting</t>
  </si>
  <si>
    <t>Lobster</t>
  </si>
  <si>
    <t>Sub Jumlah</t>
  </si>
  <si>
    <t xml:space="preserve">                                          ________________ Buku  Statistik Perikanan Provinsi Bali          36</t>
  </si>
  <si>
    <t>Sat : US$</t>
  </si>
  <si>
    <t xml:space="preserve">                                          ________________ Buku  Statistik Perikanan Provinsi Bali          37</t>
  </si>
  <si>
    <t>Udang</t>
  </si>
  <si>
    <t>Hiu/Sirip Hiu</t>
  </si>
  <si>
    <t>Ikan Kaleng</t>
  </si>
  <si>
    <t>Ikan Hias Laut *)</t>
  </si>
  <si>
    <t>Nener*)</t>
  </si>
  <si>
    <t>Lainnya*)</t>
  </si>
  <si>
    <t>Jumlah (Ton)</t>
  </si>
  <si>
    <t>Jumlah  (Ekor)   *)</t>
  </si>
  <si>
    <t xml:space="preserve">Jumlah </t>
  </si>
  <si>
    <t xml:space="preserve">                                          ________________ Buku  Statistik Perikanan Provinsi Bali          38</t>
  </si>
  <si>
    <t xml:space="preserve">                                          ________________ Buku  Statistik Perikanan Provinsi Bali          39</t>
  </si>
  <si>
    <t>Bulan</t>
  </si>
  <si>
    <t>Januari</t>
  </si>
  <si>
    <t>Februari</t>
  </si>
  <si>
    <t>Maret</t>
  </si>
  <si>
    <t>April</t>
  </si>
  <si>
    <t xml:space="preserve">Mei </t>
  </si>
  <si>
    <t>Juni</t>
  </si>
  <si>
    <t>Juli</t>
  </si>
  <si>
    <t xml:space="preserve">Agustus </t>
  </si>
  <si>
    <t>September</t>
  </si>
  <si>
    <t>Oktober</t>
  </si>
  <si>
    <t>Nopember</t>
  </si>
  <si>
    <t>Desember</t>
  </si>
  <si>
    <t xml:space="preserve">                                          ________________ Buku  Statistik Perikanan Provinsi Bali          40</t>
  </si>
  <si>
    <t xml:space="preserve">                                          ________________ Buku  Statistik Perikanan Provinsi Bali          41</t>
  </si>
  <si>
    <t xml:space="preserve">                                          ________________ Buku  Statistik Perikanan Provinsi Bali          42</t>
  </si>
  <si>
    <t>Sat : Ton/US$</t>
  </si>
  <si>
    <t>Volume (Ton)</t>
  </si>
  <si>
    <t>Tuna, Tongkol, Cakalang</t>
  </si>
  <si>
    <t>Ikan lainnya</t>
  </si>
  <si>
    <t>Lainnya (rumput laut)</t>
  </si>
  <si>
    <t>Nilai (US$)</t>
  </si>
  <si>
    <t xml:space="preserve">                                          ________________ Buku  Statistik Perikanan Provinsi Bali          43</t>
  </si>
  <si>
    <t>Sat : Ha/Unit</t>
  </si>
  <si>
    <t>KJA</t>
  </si>
  <si>
    <t xml:space="preserve">                                          ________________ Buku  Statistik Perikanan Provinsi Bali          44</t>
  </si>
  <si>
    <t xml:space="preserve">                                          ________________ Buku  Statistik Perikanan Provinsi Bali          45</t>
  </si>
  <si>
    <t xml:space="preserve">                                          ________________ Buku  Statistik Perikanan Provinsi Bali          46</t>
  </si>
  <si>
    <t>Perikanan Laut</t>
  </si>
  <si>
    <t>Perikanan Darat</t>
  </si>
  <si>
    <t xml:space="preserve">                                          ________________ Buku  Statistik Perikanan Provinsi Bali          47</t>
  </si>
  <si>
    <t>Sat : Ton/Ekor/US$</t>
  </si>
  <si>
    <t xml:space="preserve">Bukan Bahan </t>
  </si>
  <si>
    <t xml:space="preserve">                                          ________________ Buku  Statistik Perikanan Provinsi Bali          48</t>
  </si>
  <si>
    <t>Konsumsi per-</t>
  </si>
  <si>
    <t xml:space="preserve">kapita </t>
  </si>
  <si>
    <t>(kg/kapita/th)</t>
  </si>
  <si>
    <t>Sat : Rp./org</t>
  </si>
  <si>
    <t>URAIAN</t>
  </si>
  <si>
    <t xml:space="preserve">Pendapatan </t>
  </si>
  <si>
    <t>Pendapatan</t>
  </si>
  <si>
    <t>Pengolah</t>
  </si>
  <si>
    <t xml:space="preserve">                                          ________________ Buku  Statistik Perikanan Provinsi Bali          50</t>
  </si>
  <si>
    <t>Sasaran Jumlah Armada Perikanan Tangkap</t>
  </si>
  <si>
    <t xml:space="preserve"> - Perangkap L (sero)</t>
  </si>
  <si>
    <t xml:space="preserve"> - A Rum Laut</t>
  </si>
  <si>
    <t xml:space="preserve"> - Jala Tebar</t>
  </si>
  <si>
    <t xml:space="preserve"> - Garpu Tombak dll</t>
  </si>
  <si>
    <t>Kota Denpasar, Pulau Serangan</t>
  </si>
  <si>
    <t>Kab. Klungkung</t>
  </si>
  <si>
    <t>Makanan (ekor)</t>
  </si>
  <si>
    <t>Tahun*</t>
  </si>
  <si>
    <t>Kabupaten</t>
  </si>
  <si>
    <t>Ibu Kota Kabupaten</t>
  </si>
  <si>
    <t>Luas Area</t>
  </si>
  <si>
    <t>(Km2)</t>
  </si>
  <si>
    <t>Negara</t>
  </si>
  <si>
    <t>Singaraja</t>
  </si>
  <si>
    <t>Semarapura</t>
  </si>
  <si>
    <t>Amlapura</t>
  </si>
  <si>
    <t>Tabel 1. LUAS DAERAH, JUMLAH PENDUDUK DAN KEPADATAN PENDUDUK MENURUT KABUPATEN/KOTA</t>
  </si>
  <si>
    <t>Kepadatan</t>
  </si>
  <si>
    <t>per km2</t>
  </si>
  <si>
    <t>MISKIN</t>
  </si>
  <si>
    <t>Tangkap</t>
  </si>
  <si>
    <t>Budidaya</t>
  </si>
  <si>
    <t>HAMPIR MISKIN</t>
  </si>
  <si>
    <t>RENTAN MISKIN</t>
  </si>
  <si>
    <t>Luas Daerah, Jumlah Penduduk dan Kepadatan Penduduk</t>
  </si>
  <si>
    <t>Tabel 2. JUMLAH KECAMATAN DAN DESA MENURUT KABUPATEN/KOTA</t>
  </si>
  <si>
    <t>Mangupura</t>
  </si>
  <si>
    <t>Jumlah Kecamatan dan Desa Menurut Kabupaten/Kota</t>
  </si>
  <si>
    <t>Jumlah Rumah Tangga Sasaran Menurut Kategori Miskin</t>
  </si>
  <si>
    <t>Dan Lapangan Usaha Perikanan dari Kepala rumah Tangga</t>
  </si>
  <si>
    <t>Perkembangan Produksi Garam Menurut Kabupaten/Kota</t>
  </si>
  <si>
    <t>Perkembangan Nilai Produksi Garam Menurut Kabupaten/</t>
  </si>
  <si>
    <t xml:space="preserve">Tabel 6. </t>
  </si>
  <si>
    <t xml:space="preserve">Tabel 7. </t>
  </si>
  <si>
    <t>Tabel 9.</t>
  </si>
  <si>
    <t>Potensi dan Tingkat Pemanfaatan Lahan Perikanan</t>
  </si>
  <si>
    <t>Tabel 40.</t>
  </si>
  <si>
    <t>Tabel 41.</t>
  </si>
  <si>
    <t>Tabel 42.</t>
  </si>
  <si>
    <t>Tabel 43.</t>
  </si>
  <si>
    <t>Tabel 44.</t>
  </si>
  <si>
    <t>Tabel 47.</t>
  </si>
  <si>
    <t xml:space="preserve">Tabel 3. RUMAH TANGGA SASARAN MENURUT KATEGORI MISKIN DAN LAPANGAN USAHA PERIKANAN </t>
  </si>
  <si>
    <t xml:space="preserve">                                          ________________ Buku  Statistik Perikanan Provinsi Bali           2</t>
  </si>
  <si>
    <t xml:space="preserve">                                          ________________ Buku  Statistik Perikanan Provinsi Bali          3</t>
  </si>
  <si>
    <t xml:space="preserve">                                          ________________ Buku  Statistik Perikanan Provinsi Bali           4</t>
  </si>
  <si>
    <t>sumber : Pendataan Program Perlindungan Sosial (PPLS) 2011</t>
  </si>
  <si>
    <t>Tabel 4. POTENSI DAN TINGKAT PEMANFAATAN LAHAN PERIKANAN</t>
  </si>
  <si>
    <t>Kegiatan Perikanan</t>
  </si>
  <si>
    <t>Tingkat</t>
  </si>
  <si>
    <t>Pemanfaatan</t>
  </si>
  <si>
    <t>Peluang</t>
  </si>
  <si>
    <t>Potensi</t>
  </si>
  <si>
    <t>Lestari</t>
  </si>
  <si>
    <t>Perairan Laut (ton/th)</t>
  </si>
  <si>
    <t>Perairan Umum (ton/th)</t>
  </si>
  <si>
    <t>Budidaya Laut  (Ha)</t>
  </si>
  <si>
    <t>Budidaya Tambak (Ha)</t>
  </si>
  <si>
    <t>Budidaya Kolam (Ha)</t>
  </si>
  <si>
    <t>Budidaya Sawah (Ha)</t>
  </si>
  <si>
    <t xml:space="preserve">                                          ________________ Buku  Statistik Perikanan Provinsi Bali          5</t>
  </si>
  <si>
    <t>II</t>
  </si>
  <si>
    <t>IV</t>
  </si>
  <si>
    <t>X</t>
  </si>
  <si>
    <t>III</t>
  </si>
  <si>
    <t>IX</t>
  </si>
  <si>
    <t>II. KOMODITAS REVITALISASI PERIKANAN</t>
  </si>
  <si>
    <t xml:space="preserve">         ________________ Buku  Statistik Perikanan Provinsi Bali          6</t>
  </si>
  <si>
    <t>III. SENTRA PRODUKSI PERIKANAN</t>
  </si>
  <si>
    <t>IV. SARANA/PRASARANA PERIKANAN</t>
  </si>
  <si>
    <t xml:space="preserve">             ________________ Buku  Statistik Perikanan Provinsi Bali          9</t>
  </si>
  <si>
    <t xml:space="preserve">Tabel 5. PERTUMBUHAN PENDUDUK, RTP. TANGKAP, RTP. BUDIDAYA, NELAYAN, </t>
  </si>
  <si>
    <t xml:space="preserve">Tabel 6. PERTUMBUHAN RUMAH TANGGA/PERUSAHAAN PERIKANAN </t>
  </si>
  <si>
    <t xml:space="preserve">Tabel  7. PERTUMBUHAN PRODUKSI PERIKANAN </t>
  </si>
  <si>
    <t xml:space="preserve">Tabel 8. PERTUMBUHAN NILAI PRODUKSI PERIKANAN </t>
  </si>
  <si>
    <t>Tabel 9. PERTUMBUHAN NELAYAN DAN PEMBUDIDAYA IKAN</t>
  </si>
  <si>
    <t>Tabel 10.  PERTUMBUHAN UNIT PENGOLAHAN IKAN (UPI) SKALA KECIL,MENENGAH</t>
  </si>
  <si>
    <t>Tabel 19. PERTUMBUHAN PRODUKSI PERIKANAN TANGKAP (LAUT &amp; PU)</t>
  </si>
  <si>
    <t>Tabel 26. PERTUMBUHAN PRODUKSI PERIKANAN BUDIDAYA</t>
  </si>
  <si>
    <t>Tabel 29. PERTUMBUHAN NILAI PRODUKSI PERIKANAN BUDIDAYA</t>
  </si>
  <si>
    <t>Mangrove</t>
  </si>
  <si>
    <t>Terumbu Karang</t>
  </si>
  <si>
    <t>Padang Lamun</t>
  </si>
  <si>
    <t>Sat : Ha</t>
  </si>
  <si>
    <t>Jaka Apung</t>
  </si>
  <si>
    <t xml:space="preserve">                                          ________________ Buku  Statistik Perikanan Provinsi Bali          53</t>
  </si>
  <si>
    <t xml:space="preserve">                                          ________________ Buku  Statistik Perikanan Provinsi Bali          54</t>
  </si>
  <si>
    <t xml:space="preserve">                                          ________________ Buku  Statistik Perikanan Provinsi Bali          55</t>
  </si>
  <si>
    <t xml:space="preserve">                                          ________________ Buku  Statistik Perikanan Provinsi Bali          56</t>
  </si>
  <si>
    <t xml:space="preserve">Luasan Mangrove, Terumbu Karang dan  </t>
  </si>
  <si>
    <t xml:space="preserve">Padang Lamun Menurut Kabupaten/Kota </t>
  </si>
  <si>
    <t xml:space="preserve">Sasaran Produksi Garam </t>
  </si>
  <si>
    <t xml:space="preserve">Produksi Garam </t>
  </si>
  <si>
    <t>(ton/th)</t>
  </si>
  <si>
    <t>Persentase thd Luas Bali (%)</t>
  </si>
  <si>
    <t>Jumlah Total</t>
  </si>
  <si>
    <t>Kab. Jembrana, Ds. Tegak Gede, Ds. Pengragoan</t>
  </si>
  <si>
    <t>Kab.  Badung</t>
  </si>
  <si>
    <t>Kab. Tabanan</t>
  </si>
  <si>
    <t>Kota Denpasar</t>
  </si>
  <si>
    <t>Sentra Pengrajin Kekerangan, Kel Serangan</t>
  </si>
  <si>
    <t>Sentra Pengolahan Ikan (UPI) Kusamba</t>
  </si>
  <si>
    <t>TPI/PPI Kedonganan</t>
  </si>
  <si>
    <t>TPI/PPI Kusamba</t>
  </si>
  <si>
    <t>Sat : KK</t>
  </si>
  <si>
    <t>Kab.  Karangasem, Ds Padang Kertha, Buddakeling</t>
  </si>
  <si>
    <t>TOTAL</t>
  </si>
  <si>
    <t xml:space="preserve">Pertumbuhan Unit Pengolahan dan Pemasaran Nonkonsumsi </t>
  </si>
  <si>
    <t xml:space="preserve">Bahan Makanan </t>
  </si>
  <si>
    <t>(ton)</t>
  </si>
  <si>
    <t>Tabel 13.</t>
  </si>
  <si>
    <t xml:space="preserve">Tabel 14. </t>
  </si>
  <si>
    <t>Tabel 48.</t>
  </si>
  <si>
    <t>Tabel 49.</t>
  </si>
  <si>
    <t>Tabel 12.  PERTUMBUHAN PERLAKUAN TERHADAP PRODUKSI PERIKANAN TANGKAP</t>
  </si>
  <si>
    <t>Tabel 13. PERTUMBUHAN RUMAH TANGGA/PERUSAHAAN PERIKANAN TANGKAP (LAUT &amp; PU)</t>
  </si>
  <si>
    <t>Tabel 14. PERTUMBUHAN NELAYAN PERIKANAN TANGKAP (LAUT &amp; PU)</t>
  </si>
  <si>
    <t>Tabel 15. PERTUMBUHAN PERAHU/KAPAL MOTOR MENURUT JENIS DAN UKURAN</t>
  </si>
  <si>
    <t>Tabel 16. PERTUMBUHAN UNIT PENANGKAPAN IKAN  (LAUT &amp; PU)</t>
  </si>
  <si>
    <t>Tabel 17. PERTUMBUHAN UNIT PENANGKAPAN IKAN (LAUT &amp; PU)</t>
  </si>
  <si>
    <t>Tabel 17. PERTUMBUHAN UNIT PENANGKAPAN IKAN (LAUT &amp; PU) MENURUT JENIS  ALAT</t>
  </si>
  <si>
    <t>Tabel 18.  PERTUMBUHAN PRODUKSI IKAN OLAHAN PERIKANAN TANGKAP DI LAUT</t>
  </si>
  <si>
    <t>Tabel 20. PERTUMBUHAN PRODUKSI PERIKANAN TANGKAP (LAUT &amp; PU)</t>
  </si>
  <si>
    <t>Tabel 20. PERTUMBUHAN PRODUKSI PERIKANAN TANGKAP MENURUT (LAUT DAN PU)</t>
  </si>
  <si>
    <t>Tabel 21. PERTUMBUHAN PRODUKSI 10 BESAR</t>
  </si>
  <si>
    <t>Tabel 22. PERTUMBUHAN NILAI PRODUKSI PERIKANAN TANGKAP (LAUT &amp; PU)</t>
  </si>
  <si>
    <t xml:space="preserve">Tabel 23. PERTUMBUHAN RUMAH TANGGA/PERUSAHAAN PERIKANAN </t>
  </si>
  <si>
    <t>Tabel 24.  PERTUMBUHAN PEMBUDIDAYA IKAN  PERIKANAN BUDIDAYA</t>
  </si>
  <si>
    <t>Tabel 25. PERTUMBUHAN LUAS PEMELIHARAAN PERIKANAN BUDIDAYA</t>
  </si>
  <si>
    <t>Tabel 27. PERTUMBUHAN PRODUKSI PERIKANAN BUDIDAYA</t>
  </si>
  <si>
    <t>Tabel 28. PERTUMBUHAN PRODUKSI 10 BESAR</t>
  </si>
  <si>
    <t>Tabel 30. PERTUMBUHAN NILAI PRODUKSI PERIKANAN BUDIDAYA</t>
  </si>
  <si>
    <t>Tabel 31. PERTUMBUHAN PRODUKSI BENIH PERIKANAN BUDIDAYA</t>
  </si>
  <si>
    <t>Tawes</t>
  </si>
  <si>
    <t>Nener</t>
  </si>
  <si>
    <t>Lainnya</t>
  </si>
  <si>
    <t>Sat : 1000 ekor</t>
  </si>
  <si>
    <t xml:space="preserve">                                          ________________ Buku  Statistik Perikanan Provinsi Bali          57</t>
  </si>
  <si>
    <t xml:space="preserve">                                          ________________ Buku  Statistik Perikanan Provinsi Bali          58</t>
  </si>
  <si>
    <t>Tabel 32. PERTUMBUHAN PRODUKSI BENIH PERIKANAN BUDIDAYA</t>
  </si>
  <si>
    <t>Tabel 32.</t>
  </si>
  <si>
    <t>Pertumbuhan Produksi Ikan Hias Per Jenis Ikan</t>
  </si>
  <si>
    <t>Tabel 45.</t>
  </si>
  <si>
    <t>Tabel 50.</t>
  </si>
  <si>
    <t>Tabel 34. PERTUMBUHAN VOLUME EKSPOR KOMODITAS PERIKANAN</t>
  </si>
  <si>
    <t>Tabel 34. PERTUMBUHAN VOLUME EKSPOR KOMODITI PERIKANAN</t>
  </si>
  <si>
    <t>Tabel 35. PERTUMBUHAN NILAI EKSPOR KOMODITI PERIKANAN</t>
  </si>
  <si>
    <t>Tabel 36.  PERTUMBUHAN VOLUME EKSPOR KOMODITI PERIKANAN (BAHAN MAKANAN)</t>
  </si>
  <si>
    <t xml:space="preserve">Tabel 37.  PERTUMBUHAN VOLUME EKSPOR KOMODITI PERIKANAN </t>
  </si>
  <si>
    <t>Tabel 38.  PERTUMBUHAN NILAI EKSPOR KOMODITAS PERIKANAN (BAHAN MAKANAN)</t>
  </si>
  <si>
    <t>Tabel 39.  PERTUMBUHAN VOLUME DAN NILAI EKSPOR KOMODITAS PERIKANAN</t>
  </si>
  <si>
    <t xml:space="preserve">Tabel 48.  SASARAN KONSUMSI IKAN </t>
  </si>
  <si>
    <t xml:space="preserve">                                          ________________ Buku  Statistik Perikanan Provinsi Bali          59</t>
  </si>
  <si>
    <t>Kab./</t>
  </si>
  <si>
    <t>Kota</t>
  </si>
  <si>
    <t>Jenis Ikan</t>
  </si>
  <si>
    <t>Koi</t>
  </si>
  <si>
    <t>Manvis</t>
  </si>
  <si>
    <t>Mas Koki</t>
  </si>
  <si>
    <t>Plati</t>
  </si>
  <si>
    <t>Tabel 11. PERTUMBUHAN UNIT PENGOLAHAN DAN PEMASARAN</t>
  </si>
  <si>
    <t>Sat : 1.000 ekor</t>
  </si>
  <si>
    <t>Tabel 33. PRODUKSI IKAN HIAS PER JENIS IKAN</t>
  </si>
  <si>
    <t>Sat : ha</t>
  </si>
  <si>
    <t>Tabel 46.</t>
  </si>
  <si>
    <t>LUAS LAHAN GARAM MENURUT</t>
  </si>
  <si>
    <t>Kab. Buleleng, Desa Sukasada</t>
  </si>
  <si>
    <t>PROVINSI BALI TAHUN 2010 - 2014</t>
  </si>
  <si>
    <t>MENURUT JENIS OLAHAN, TAHUN 2010 - 2014</t>
  </si>
  <si>
    <t>Sat : Rp 1000,-</t>
  </si>
  <si>
    <t>PROVINSI BALI TAHUN 2012-2014</t>
  </si>
  <si>
    <t>Bangli*</t>
  </si>
  <si>
    <t>Ket* : Kabupaten Bangli hanya di PU</t>
  </si>
  <si>
    <t>KABUPATEN/KOTA PROVINSI BALI TAHUN 2014</t>
  </si>
  <si>
    <t xml:space="preserve">     </t>
  </si>
  <si>
    <t>Kab.Gianyar, Ds. Blahbatuh</t>
  </si>
  <si>
    <t>Jumlah Penduduk (000 jiwa)</t>
  </si>
  <si>
    <t>sumber : BPS Provinsi Bali (Angka Proyeksi)</t>
  </si>
  <si>
    <t>Laki-laki  ( 000 jiwa)</t>
  </si>
  <si>
    <t>Perempuan  (000 jiwa)</t>
  </si>
  <si>
    <t>Jml. Penduduk* (000 jiwa)</t>
  </si>
  <si>
    <t xml:space="preserve">             ________________ Buku  Statistik Perikanan Provinsi Bali           iv               </t>
  </si>
  <si>
    <t xml:space="preserve">              ________________ Buku  Statistik Perikanan Provinsi Bali           v                   </t>
  </si>
  <si>
    <t>Pertumbuhan Volume Import Menurut</t>
  </si>
  <si>
    <t>Tabel 51.</t>
  </si>
  <si>
    <t xml:space="preserve">Tabel 40. PERTUMBUHAN VOLUME IMPORT </t>
  </si>
  <si>
    <t>Salmon</t>
  </si>
  <si>
    <t>Cumi - cumi</t>
  </si>
  <si>
    <t>Mackerel</t>
  </si>
  <si>
    <t>Udang Lobster</t>
  </si>
  <si>
    <t>Udang Windu Beku</t>
  </si>
  <si>
    <t>Tiram</t>
  </si>
  <si>
    <t>Slengseng</t>
  </si>
  <si>
    <t>Tenggiri</t>
  </si>
  <si>
    <t xml:space="preserve">         ________________ Buku  Statistik Perikanan Provinsi Bali          49</t>
  </si>
  <si>
    <t>Tabel 41.  LUASAN MANGROVE, TERUMBU KARANG DAN PADANG LAMUN MENURUT KABUPATEN/KOTA</t>
  </si>
  <si>
    <t>Tabel 42.  PERKEMBANGAN PRODUKSI GARAM MENURUT KABUPATEN/KOTA</t>
  </si>
  <si>
    <t>Tabel 43.  PERKEMBANGAN NILAI PRODUKSI GARAM MENURUT KABUPATEN/KOTA</t>
  </si>
  <si>
    <t>Tabel 44. SASARAN LUAS AREAL PERIKANAN BUDIDAYA</t>
  </si>
  <si>
    <t>Tabel 45. SASARAN JUMLAH ARMADA PERIKANAN TANGKAP</t>
  </si>
  <si>
    <t>Tabel 46. SASARAN PRODUKSI PERIKANAN BUDIDAYA</t>
  </si>
  <si>
    <t>Tabel 47. SASARAN PRODUKSI PERIKANAN TANGKAP</t>
  </si>
  <si>
    <t xml:space="preserve">Tabel 48.  SASARAN EKSPOR KOMODITAS PERIKANAN </t>
  </si>
  <si>
    <t>Tabel 50.  SASARAN PENDAPATAN PERKAPITA NELAYAN DAN PEMBUDIDAYA IKAN</t>
  </si>
  <si>
    <t xml:space="preserve">Tabel 51.  SASARAN PRODUKSI GARAM </t>
  </si>
  <si>
    <t xml:space="preserve">                                          ________________ Buku  Statistik Perikanan Provinsi Bali          60</t>
  </si>
  <si>
    <t>Kab. Karangasem, Desa Padang Kertha</t>
  </si>
  <si>
    <t>Kab. Tabanan, Kec. Penebel, Ds, Bolangan</t>
  </si>
  <si>
    <t>Pasar Ikan Segar Kedonganan</t>
  </si>
  <si>
    <t>a</t>
  </si>
  <si>
    <t>b</t>
  </si>
  <si>
    <t xml:space="preserve">                                          ________________ Buku  Statistik Perikanan Provinsi Bali          13</t>
  </si>
  <si>
    <t xml:space="preserve"> PERTUMBUHAN PRODUKSI 10 BESAR PERIKANAN BUDIDAYA</t>
  </si>
  <si>
    <t>TAHUN 2010 - 2014</t>
  </si>
  <si>
    <t>PERTUMBUHAN PRODUKSI IKAN OLAHAN TANGKAPAN IKAN</t>
  </si>
  <si>
    <t>Setuhuk</t>
  </si>
  <si>
    <t>Ikan Pedang</t>
  </si>
  <si>
    <t>Kembung</t>
  </si>
  <si>
    <t>Lemadang</t>
  </si>
  <si>
    <t>Cumi</t>
  </si>
  <si>
    <t>PERIKANAN TANGKAP , TAHUN 2010 - 2014</t>
  </si>
  <si>
    <t>PERTUMBUHAN PRODUKSI 10 BESAR</t>
  </si>
  <si>
    <t>ANGGARAN VS REALISASI APBN DAN APBD</t>
  </si>
  <si>
    <t>SUMBER</t>
  </si>
  <si>
    <t>APBD</t>
  </si>
  <si>
    <t>APBN</t>
  </si>
  <si>
    <t>DK</t>
  </si>
  <si>
    <t>TP</t>
  </si>
  <si>
    <t>2011</t>
  </si>
  <si>
    <t>2012</t>
  </si>
  <si>
    <t>2013</t>
  </si>
  <si>
    <t>2014</t>
  </si>
  <si>
    <t>F</t>
  </si>
  <si>
    <t>K</t>
  </si>
  <si>
    <t>REALISASI (%)</t>
  </si>
  <si>
    <t>ANGGARAN (Rp)</t>
  </si>
  <si>
    <t xml:space="preserve">        ________________ Buku  Statistik Perikanan Provinsi Bali          51</t>
  </si>
  <si>
    <t xml:space="preserve">            ________________ Buku  Statistik Perikanan Provinsi Bali          52</t>
  </si>
  <si>
    <t>Sat : Rp.1000</t>
  </si>
  <si>
    <t>Menurut Kabupaten/Kota Provinsi Bali Tahun 2015…………………………………………….………...……….........</t>
  </si>
  <si>
    <t>Provinsi Bali Tahun 2015 ………………………….........................................…........</t>
  </si>
  <si>
    <t>Menurut Kabupaten/Kota, Provinsi Bali Tahun 2015 ………………………….........................................…........</t>
  </si>
  <si>
    <t>Provinsi Bali Tahun 2015………………………….........................................…........</t>
  </si>
  <si>
    <t xml:space="preserve">Menurut Kabupaten/Kota Tahun 2015 ………………………………………………………….………….....…   </t>
  </si>
  <si>
    <t>Komoditas Tahun 2013 - 2015 ………………………………..…............................</t>
  </si>
  <si>
    <t>STATISTIK PERIKANAN TAHUN 2011 - 2015…………………………...………..……..………….</t>
  </si>
  <si>
    <t>Per Kapita  Tahun 2011 - 2015 …………………………………………….………...……….........</t>
  </si>
  <si>
    <t>Menurut Kabupaten/Kota Tahun 2011 - 2015 ………………………….........................................…........</t>
  </si>
  <si>
    <t>Menurut Kabupaten/Kota Tahun 2011 - 2015..........................................</t>
  </si>
  <si>
    <t>Menurut Kabupaten/Kota Tahun 2011 - 2015...........................................................................</t>
  </si>
  <si>
    <t>Menurut Kabupaten/Kota Tahun 2011 - 2015…………………………………………………………………………..…………….</t>
  </si>
  <si>
    <t>Kabupaten/Kota Tahun 2011 - 2015………………………………………………………….…………….</t>
  </si>
  <si>
    <t>Menurut Kabupaten/Kota Tahun 2011 - 2015………………………………………………………….…………….</t>
  </si>
  <si>
    <t>STATISTIK PERIKANAN TANGKAP TAHUN 2011 - 2015…………………………...………..……..…</t>
  </si>
  <si>
    <t>Tangkap Menurut Jenis Perlakuan Tahun 2011 - 2015…………………………………………………………..………………….</t>
  </si>
  <si>
    <t>Tangkap Menurut Kabupaten/Kota Tahun 2011 - 2015 ………………………………………………………………..…………...…............</t>
  </si>
  <si>
    <t>Tahun 2011 - 2015 …………………………..………..……………………………………………………………….………...................</t>
  </si>
  <si>
    <t>Ukuran Perahu/Kapal Tahun 2011 - 2015 ………………………………….……………...……………………….............</t>
  </si>
  <si>
    <t>Menurut Kabupaten/Kota Tahun 2011 - 2015……………………….……………………</t>
  </si>
  <si>
    <t>Menurut Jenis Alat tangkap Tahun 2011 - 2015.............................................................................</t>
  </si>
  <si>
    <t>Menurut Jenis Olahan Tahun 2011 - 2015……………………………………………………..…………………</t>
  </si>
  <si>
    <t>Menurut Kabupaten/Kota Tahun 2011 - 2015………………………………..……………………………………………</t>
  </si>
  <si>
    <t>Jenis Alat tangkap Tahun 2011 - 2015……………………………………………………...……………………………</t>
  </si>
  <si>
    <t>Tahun 2011 - 2015……………………………….……………………………………………</t>
  </si>
  <si>
    <t>Menurut Kabupaten/Kota Tahun 2011 - 2015………………….……………………….……………………………………………</t>
  </si>
  <si>
    <t>STATISTIK PERIKANAN BUDIDAYA TAHUN 2011 - 2015…………………………...………..……..…</t>
  </si>
  <si>
    <t>Budidaya Menurut Kabupaten/Kota Tahun 2011 - 2015 ……………………………………….....................................................</t>
  </si>
  <si>
    <t xml:space="preserve">Tahun 2011 - 2015………………………………………………………….............  </t>
  </si>
  <si>
    <t>Menurut Jenis Budidaya Tahun 2011 - 2015 ………................................................................................</t>
  </si>
  <si>
    <t xml:space="preserve">Menurut Kabupaten/Kota Tahun 2011 - 2015………………………………………………....…………....….   </t>
  </si>
  <si>
    <t xml:space="preserve">Jenis Budidaya Menurut Kabupaten/Kota Tahun 2011 - 2015 ……………………………………...……....….   </t>
  </si>
  <si>
    <t xml:space="preserve">Tahun 2011 - 2015…………………………………….……………………………………...........  </t>
  </si>
  <si>
    <t xml:space="preserve">Menurut Kabupaten/Kota Tahun 2011 - 2015….….................................................................  </t>
  </si>
  <si>
    <t xml:space="preserve">Menurut Jenis Budidaya Tahun 2011 - 2015 ….................................................................................  </t>
  </si>
  <si>
    <t xml:space="preserve">Menurut Sumber Benih Tahun 2011 - 2015 ………………………………………………………….………….....…   </t>
  </si>
  <si>
    <t xml:space="preserve">Menurut Jenis Ikan Tahun 2011 - 2015 ………………………………………………………….………….....…   </t>
  </si>
  <si>
    <t>STATISTIK EKSPOR HASIL PERIKANAN 2011 - 2015…………………………...………..……..…</t>
  </si>
  <si>
    <t xml:space="preserve">Provinsi Bali Tahun 2011 - 2015………………………………………………….……...……..….......    </t>
  </si>
  <si>
    <t>Provinsi Bali Tahun 2011 - 2015 …......................................................................</t>
  </si>
  <si>
    <t xml:space="preserve">(Bahan Makanan) Per Bulan Tahun 2011 - 2015....................................................    </t>
  </si>
  <si>
    <t>(Bukan Bahan Makanan) Per Bulan Tahun 2011 - 2015………………………………..…</t>
  </si>
  <si>
    <t>Per Bulan Tahun 2011 - 2015…………………………………………...…..………………………………</t>
  </si>
  <si>
    <t>Komoditas Utama Tahun 2011 - 2015 ………………………………..…............................</t>
  </si>
  <si>
    <t xml:space="preserve">Provinsi Bali Tahun 2016 – 2020 …………………………...…………………………………..………..….....…..  </t>
  </si>
  <si>
    <t xml:space="preserve">Kota Provinsi Bali Tahun 2011 - 2015....................................................    </t>
  </si>
  <si>
    <t>STATISTIK SUMBERDAYA KELAUTAN,  2011 - 2015…………………………...………..……..…</t>
  </si>
  <si>
    <t xml:space="preserve">Provinsi Bali Tahun 2011 - 2015....................................................    </t>
  </si>
  <si>
    <t>TAHUN 2016 – 2020 .................................................................................................</t>
  </si>
  <si>
    <t xml:space="preserve"> PROVINSI BALI TAHUN 2015</t>
  </si>
  <si>
    <t>PROVINSI BALI TAHUN 2015</t>
  </si>
  <si>
    <t>PPI Karangdadi</t>
  </si>
  <si>
    <r>
      <t xml:space="preserve">sumber : </t>
    </r>
    <r>
      <rPr>
        <u/>
        <sz val="7"/>
        <rFont val="Calibri"/>
        <family val="2"/>
        <scheme val="minor"/>
      </rPr>
      <t>www.bali.bps.go.id</t>
    </r>
  </si>
  <si>
    <t>VI. STATISTIK PERIKANAN  TAHUN 2011 - 2015</t>
  </si>
  <si>
    <t>PEMBUDIDAYA IKAN DAN KONSUMSI IKAN PERKAPITA,TAHUN 2011 - 2015</t>
  </si>
  <si>
    <t>*Sumber : BPS Provinsi Bali (Angka Proyeksi)</t>
  </si>
  <si>
    <t>IX. STATISTIK SUMBERDAYA KELAUTAN TAHUN 2011 - 2015</t>
  </si>
  <si>
    <t>MENURUT KABUPATEN/KOTA,TAHUN 2011 - 2015</t>
  </si>
  <si>
    <t>MENURUT JENIS BUDIDAYA TAHUN 2011 - 2015</t>
  </si>
  <si>
    <t>MENURUT KABUPATEN/KOTA, TAHUN 2011 - 2015</t>
  </si>
  <si>
    <t>MENURUT SUMBER BENIH,TAHUN 2011 - 2015</t>
  </si>
  <si>
    <t>VII. STATISTIK PERIKANAN  TANGKAP TAHUN 2011 - 2015</t>
  </si>
  <si>
    <t>MENURUT JENIS PERLAKUAN, TAHUN 2011 - 2015</t>
  </si>
  <si>
    <t>PROVINSI BALI TAHUN 2011 - 2015</t>
  </si>
  <si>
    <t>PROVINSI BALI TAHUN 2011 - 2015 (Lanjutan)</t>
  </si>
  <si>
    <t>MENURUT KABUPATEN/KOTA TAHUN 2011 - 2015</t>
  </si>
  <si>
    <t>PROVINSI BALI PER BULAN TAHUN 2011 - 2015</t>
  </si>
  <si>
    <t>PERAHU/KAPAL, TAHUN 2011 - 2015</t>
  </si>
  <si>
    <t>(BUKAN BAHAN MAKANAN) PER BULAN TAHUN 2011 - 2015</t>
  </si>
  <si>
    <t>PER BULAN TAHUN 2011 - 2015</t>
  </si>
  <si>
    <t>MENURUT JENIS ALAT TANGKAP, TAHUN 2011 - 2015</t>
  </si>
  <si>
    <t>MENURUT KOMODITAS UTAMA, TAHUN 2011 - 2015</t>
  </si>
  <si>
    <t>MENURUT JENIS ALAT TANGKAP, TAHUN 2011 - 2015 (lanjutan)</t>
  </si>
  <si>
    <t>MENURUT JENIS IKAN TAHUN 2011 - 2015</t>
  </si>
  <si>
    <t>MENURUT JENIS OLAHAN, TAHUN 2011 - 2015</t>
  </si>
  <si>
    <t>JENIS ALAT TANGKAP, TAHUN 2011 - 2015 (Lanjutan)</t>
  </si>
  <si>
    <t>PERIKANAN TANGKAP LAUT, TAHUN 2011 - 2015</t>
  </si>
  <si>
    <t>VIII. STATISTIK PERIKANAN BUDIDAYA TAHUN 2011 - 2015</t>
  </si>
  <si>
    <t>BUDIDAYA MENURUT KABUPATEN/KOTA, TAHUN 2011 - 2015</t>
  </si>
  <si>
    <t>MENURUT JENIS BUDIDAYA, TAHUN 2011 - 2015</t>
  </si>
  <si>
    <t>PERIKANAN BUDIDAYA,TAHUN 2011 - 2015</t>
  </si>
  <si>
    <t>IX. STATISTIK EKSPOR HASIL PERIKANAN TAHUN 2011 - 2015</t>
  </si>
  <si>
    <t>PROVINSI BALI TAHUN 2012-2015</t>
  </si>
  <si>
    <t>MENURUT KABUPATEN/KOTA TAHUN 2015</t>
  </si>
  <si>
    <t>X. PROYEKSI/TARGET PENCAPAIAN SASARAN PERIKANAN  2014 - 2018</t>
  </si>
  <si>
    <t>PROVINSI BALI TAHUN 2014 - 2018</t>
  </si>
  <si>
    <t>*Sumber: Proyeksi Perikanan Tahun 2014 - 2018</t>
  </si>
  <si>
    <t xml:space="preserve">Produksi Olahan </t>
  </si>
  <si>
    <t>Tabel 52.  SASARAN JUMLAH PRODUKSI OLAHAN</t>
  </si>
  <si>
    <t>*Sumber: RENSTRA Dinas Kelautan dan Perikanan Provinsi Bali, 2014 - 2018</t>
  </si>
  <si>
    <t>DARI KEPALA RUMAH TANGGA  PER KABUPATEN/KOTA, PROVINSI BALI 2015</t>
  </si>
  <si>
    <t>NONKONSUMSI MENURUT KABUPATEN/KOTA,TAHUN 2011 - 2015</t>
  </si>
  <si>
    <t>MENURUT KOMODITAS TAHUN 2013 - 2015</t>
  </si>
  <si>
    <t>Kab. Gianyar</t>
  </si>
  <si>
    <t>Sumber : Dokumen Final RZWP3K Provinsi Bali Tahun 2013</t>
  </si>
  <si>
    <t>Luas Lahan</t>
  </si>
  <si>
    <t>Potensi(Ha)</t>
  </si>
  <si>
    <t>Produksi</t>
  </si>
  <si>
    <t>PERKEMBANGAN PRODUKSI GARAM MENURUT KABUPATEN/KOTA</t>
  </si>
  <si>
    <t>KABUPATEN</t>
  </si>
  <si>
    <t>Jumlah Petani</t>
  </si>
  <si>
    <t>Jumlah Pengolah</t>
  </si>
  <si>
    <t>Produksi (ton)</t>
  </si>
  <si>
    <t>Nilai Produksi          (Rp. 1000)</t>
  </si>
  <si>
    <t>Kelompok</t>
  </si>
  <si>
    <t>Orang</t>
  </si>
  <si>
    <t>JUMLAH</t>
  </si>
  <si>
    <t>DENPASAR</t>
  </si>
  <si>
    <t>BADUNG</t>
  </si>
  <si>
    <t>TABANAN</t>
  </si>
  <si>
    <t>JEMBRANA</t>
  </si>
  <si>
    <t>BULELENG</t>
  </si>
  <si>
    <t>KARANGASEM</t>
  </si>
  <si>
    <t>KLUNGKUNG</t>
  </si>
  <si>
    <t>GIANYAR</t>
  </si>
  <si>
    <t>GARAM</t>
  </si>
  <si>
    <t>BANGLI</t>
  </si>
  <si>
    <t>Jumlah Petani dan Pengolah</t>
  </si>
  <si>
    <t>TAHUN : 2015</t>
  </si>
  <si>
    <t>No</t>
  </si>
  <si>
    <t>Jenis Kegiatan</t>
  </si>
  <si>
    <t>% Naik/Turun</t>
  </si>
  <si>
    <t>Volume (ton)</t>
  </si>
  <si>
    <t>Nilai (Rp.000)</t>
  </si>
  <si>
    <t>I.</t>
  </si>
  <si>
    <t xml:space="preserve"> 1.1. Tangkap Laut</t>
  </si>
  <si>
    <t xml:space="preserve"> 1.2. Tangkap Perairan Umum</t>
  </si>
  <si>
    <t xml:space="preserve">        1.2.1. Waduk</t>
  </si>
  <si>
    <t xml:space="preserve">        1.2.2. Danau</t>
  </si>
  <si>
    <t xml:space="preserve">        1.2.3. Sungai</t>
  </si>
  <si>
    <t xml:space="preserve">        1.2.4. Rawa</t>
  </si>
  <si>
    <t>II.</t>
  </si>
  <si>
    <t>2.1. Budidaya di Laut</t>
  </si>
  <si>
    <t>2.2. Budidaya di Darat</t>
  </si>
  <si>
    <t xml:space="preserve">        2.2.1. Tambak</t>
  </si>
  <si>
    <t xml:space="preserve">        2.2.2. Kolam</t>
  </si>
  <si>
    <t xml:space="preserve">        2.2.3. Sawah</t>
  </si>
  <si>
    <t xml:space="preserve">        2.2.4. Jaka apung</t>
  </si>
  <si>
    <t>TAHUN 2014</t>
  </si>
  <si>
    <t>TAHUN 2015</t>
  </si>
  <si>
    <t xml:space="preserve">                                          ________________ Buku  Statistik Perikanan Provinsi Bali          </t>
  </si>
  <si>
    <t>Potensi (Ha)</t>
  </si>
  <si>
    <t>Jumlah Pulau Kecil dan Panjang Pantai *</t>
  </si>
  <si>
    <t>Jumlah Pulau Kecil</t>
  </si>
  <si>
    <t>*Sumber :</t>
  </si>
  <si>
    <t xml:space="preserve">Panjang garis pantai </t>
  </si>
  <si>
    <t>BWS Nusa Penida 2015</t>
  </si>
  <si>
    <t xml:space="preserve">Jumlah Pulau Kecil </t>
  </si>
  <si>
    <t>Dok. Final RZWP3K Prov. Bali 2013</t>
  </si>
  <si>
    <t>Pulau Kecil adalah</t>
  </si>
  <si>
    <r>
      <t xml:space="preserve">Pulau dengan luas </t>
    </r>
    <r>
      <rPr>
        <i/>
        <u val="singleAccounting"/>
        <sz val="8"/>
        <color theme="1"/>
        <rFont val="Calibri"/>
        <family val="2"/>
        <scheme val="minor"/>
      </rPr>
      <t xml:space="preserve">&lt; </t>
    </r>
    <r>
      <rPr>
        <i/>
        <sz val="8"/>
        <color theme="1"/>
        <rFont val="Calibri"/>
        <family val="2"/>
        <scheme val="minor"/>
      </rPr>
      <t xml:space="preserve">2.000 km2 </t>
    </r>
  </si>
  <si>
    <t>beserta kesatuan ekosistemnya</t>
  </si>
  <si>
    <t>PERTUMBUHAN PRODUKSI PERIKANAN BUDIDAYA</t>
  </si>
  <si>
    <t>KAWASAN KONSERVASI PERAIRAN</t>
  </si>
  <si>
    <t>KABUPATEN/KOTA DI BALI</t>
  </si>
  <si>
    <t>KABUPATEN/KOTA</t>
  </si>
  <si>
    <t>NAMA LOKASI/</t>
  </si>
  <si>
    <t>TEMPAT LOKASI</t>
  </si>
  <si>
    <t>Taman nasional Bali Barat (TNBB), Buleleng</t>
  </si>
  <si>
    <t>TWA - Buyan</t>
  </si>
  <si>
    <t>KKP Buleleng Barat, Pemuteran-Buleleng</t>
  </si>
  <si>
    <t>KKP Buleleng Tengah, Lovina-Buleleng</t>
  </si>
  <si>
    <t>KKP Buleleng Timur, Tejakula-Buleleng</t>
  </si>
  <si>
    <t xml:space="preserve">1. </t>
  </si>
  <si>
    <t>KKP Kab. Jembrana</t>
  </si>
  <si>
    <t>Kawasan Taman Pesisir Perancak</t>
  </si>
  <si>
    <t>KKP Perairan Melaya</t>
  </si>
  <si>
    <t>TNBB</t>
  </si>
  <si>
    <t>Tulamben - Kubu</t>
  </si>
  <si>
    <t>Amed - Seraya</t>
  </si>
  <si>
    <t>Padangbai - Candidasa</t>
  </si>
  <si>
    <t>LUAS PERAIRAN (Ha)</t>
  </si>
  <si>
    <t>Danau Batur</t>
  </si>
  <si>
    <t>Peninsula</t>
  </si>
  <si>
    <t>Kawasan Taman Pulau Kecil Pulau Pudut</t>
  </si>
  <si>
    <t>PERKEMBANGAN PRODUKSI PERIKANAN TANGKAP</t>
  </si>
</sst>
</file>

<file path=xl/styles.xml><?xml version="1.0" encoding="utf-8"?>
<styleSheet xmlns="http://schemas.openxmlformats.org/spreadsheetml/2006/main">
  <numFmts count="12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.0_);_(* \(#,##0.0\);_(* &quot;-&quot;??_);_(@_)"/>
    <numFmt numFmtId="167" formatCode="_(* #,##0.00_);_(* \(#,##0.00\);_(* &quot;-&quot;_);_(@_)"/>
    <numFmt numFmtId="168" formatCode="_(* #,##0.0_);_(* \(#,##0.0\);_(* &quot;-&quot;_);_(@_)"/>
    <numFmt numFmtId="169" formatCode="_(* #,##0.000_);_(* \(#,##0.000\);_(* &quot;-&quot;??_);_(@_)"/>
    <numFmt numFmtId="170" formatCode="#,##0.0_);\(#,##0.0\)"/>
    <numFmt numFmtId="171" formatCode="0.0"/>
    <numFmt numFmtId="172" formatCode="0.000"/>
    <numFmt numFmtId="173" formatCode="#,##0.0;[Red]#,##0.0"/>
  </numFmts>
  <fonts count="85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i/>
      <sz val="7"/>
      <color rgb="FF0000FF"/>
      <name val="Calibri"/>
      <family val="2"/>
      <scheme val="minor"/>
    </font>
    <font>
      <i/>
      <sz val="7"/>
      <color rgb="FF0000FF"/>
      <name val="Forte"/>
      <family val="4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6"/>
      <color theme="1"/>
      <name val="Calibri"/>
      <family val="2"/>
      <scheme val="minor"/>
    </font>
    <font>
      <b/>
      <i/>
      <sz val="8"/>
      <color theme="1"/>
      <name val="Bauhaus 93"/>
      <family val="5"/>
    </font>
    <font>
      <b/>
      <sz val="10"/>
      <color indexed="12"/>
      <name val="Tahoma"/>
      <family val="2"/>
    </font>
    <font>
      <sz val="7"/>
      <name val="Calibri"/>
      <family val="2"/>
      <scheme val="minor"/>
    </font>
    <font>
      <b/>
      <i/>
      <sz val="7"/>
      <name val="Calibri"/>
      <family val="2"/>
      <scheme val="minor"/>
    </font>
    <font>
      <b/>
      <i/>
      <sz val="7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name val="Calibri"/>
      <family val="2"/>
      <scheme val="minor"/>
    </font>
    <font>
      <sz val="7"/>
      <color indexed="12"/>
      <name val="Calibri"/>
      <family val="2"/>
      <scheme val="minor"/>
    </font>
    <font>
      <i/>
      <sz val="7"/>
      <color indexed="12"/>
      <name val="Calibri"/>
      <family val="2"/>
      <scheme val="minor"/>
    </font>
    <font>
      <b/>
      <i/>
      <sz val="6"/>
      <name val="Calibri"/>
      <family val="2"/>
      <scheme val="minor"/>
    </font>
    <font>
      <sz val="10"/>
      <name val="Arial"/>
      <family val="2"/>
    </font>
    <font>
      <b/>
      <sz val="7"/>
      <color indexed="12"/>
      <name val="Calibri"/>
      <family val="2"/>
      <scheme val="minor"/>
    </font>
    <font>
      <b/>
      <sz val="7"/>
      <color rgb="FF0000FF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6"/>
      <color indexed="12"/>
      <name val="Calibri"/>
      <family val="2"/>
      <scheme val="minor"/>
    </font>
    <font>
      <sz val="10"/>
      <name val="Tahoma"/>
      <family val="2"/>
    </font>
    <font>
      <sz val="7"/>
      <name val="Tahoma"/>
      <family val="2"/>
    </font>
    <font>
      <sz val="8"/>
      <color indexed="12"/>
      <name val="Tahoma"/>
      <family val="2"/>
    </font>
    <font>
      <i/>
      <sz val="8"/>
      <color indexed="12"/>
      <name val="Tahoma"/>
      <family val="2"/>
    </font>
    <font>
      <i/>
      <sz val="7"/>
      <name val="Calibri"/>
      <family val="2"/>
      <scheme val="minor"/>
    </font>
    <font>
      <sz val="6"/>
      <name val="Calibri"/>
      <family val="2"/>
      <scheme val="minor"/>
    </font>
    <font>
      <sz val="5"/>
      <name val="Calibri"/>
      <family val="2"/>
      <scheme val="minor"/>
    </font>
    <font>
      <b/>
      <sz val="6"/>
      <name val="Calibri"/>
      <family val="2"/>
      <scheme val="minor"/>
    </font>
    <font>
      <b/>
      <sz val="10"/>
      <color indexed="12"/>
      <name val="Calibri"/>
      <family val="2"/>
      <scheme val="minor"/>
    </font>
    <font>
      <i/>
      <sz val="5.8"/>
      <color rgb="FF0000FF"/>
      <name val="Forte"/>
      <family val="4"/>
    </font>
    <font>
      <b/>
      <sz val="8"/>
      <color indexed="12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i/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0"/>
      <name val="Forte"/>
      <family val="4"/>
    </font>
    <font>
      <i/>
      <sz val="7"/>
      <color theme="0"/>
      <name val="Forte"/>
      <family val="4"/>
    </font>
    <font>
      <sz val="5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0000FF"/>
      <name val="Forte"/>
      <family val="4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color rgb="FF0000FF"/>
      <name val="Forte"/>
      <family val="4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u/>
      <sz val="7"/>
      <name val="Calibri"/>
      <family val="2"/>
      <scheme val="minor"/>
    </font>
    <font>
      <i/>
      <sz val="7"/>
      <color rgb="FF0000FF"/>
      <name val="Arial"/>
      <family val="2"/>
    </font>
    <font>
      <i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indexed="12"/>
      <name val="Calibri"/>
      <family val="2"/>
      <scheme val="minor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i/>
      <u/>
      <sz val="11"/>
      <color rgb="FF0070C0"/>
      <name val="Arial Narrow"/>
      <family val="2"/>
    </font>
    <font>
      <sz val="11"/>
      <color theme="1"/>
      <name val="Arial Narrow"/>
      <family val="2"/>
    </font>
    <font>
      <b/>
      <sz val="10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libri"/>
      <family val="2"/>
      <charset val="1"/>
      <scheme val="minor"/>
    </font>
    <font>
      <b/>
      <i/>
      <sz val="8"/>
      <color theme="1"/>
      <name val="Arial"/>
      <family val="2"/>
    </font>
    <font>
      <b/>
      <i/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u val="singleAccounting"/>
      <sz val="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charset val="1"/>
      <scheme val="minor"/>
    </font>
    <font>
      <b/>
      <i/>
      <sz val="12"/>
      <color theme="1"/>
      <name val="Arial"/>
      <family val="2"/>
    </font>
    <font>
      <b/>
      <i/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6">
    <xf numFmtId="0" fontId="0" fillId="0" borderId="0"/>
    <xf numFmtId="43" fontId="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</cellStyleXfs>
  <cellXfs count="1282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justify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7" fillId="0" borderId="0" xfId="0" quotePrefix="1" applyFont="1" applyAlignment="1">
      <alignment horizontal="center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quotePrefix="1" applyFont="1"/>
    <xf numFmtId="0" fontId="1" fillId="0" borderId="0" xfId="0" quotePrefix="1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3" fontId="11" fillId="3" borderId="8" xfId="0" applyNumberFormat="1" applyFont="1" applyFill="1" applyBorder="1" applyAlignment="1">
      <alignment vertical="center"/>
    </xf>
    <xf numFmtId="4" fontId="11" fillId="0" borderId="8" xfId="0" applyNumberFormat="1" applyFont="1" applyBorder="1" applyAlignment="1">
      <alignment vertical="center"/>
    </xf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3" fontId="11" fillId="0" borderId="9" xfId="0" applyNumberFormat="1" applyFont="1" applyBorder="1" applyAlignment="1">
      <alignment vertical="center"/>
    </xf>
    <xf numFmtId="3" fontId="11" fillId="3" borderId="9" xfId="0" applyNumberFormat="1" applyFont="1" applyFill="1" applyBorder="1" applyAlignment="1">
      <alignment vertical="center"/>
    </xf>
    <xf numFmtId="4" fontId="11" fillId="0" borderId="9" xfId="0" applyNumberFormat="1" applyFont="1" applyBorder="1" applyAlignment="1">
      <alignment vertical="center"/>
    </xf>
    <xf numFmtId="3" fontId="12" fillId="0" borderId="9" xfId="0" applyNumberFormat="1" applyFont="1" applyBorder="1" applyAlignment="1">
      <alignment vertical="center"/>
    </xf>
    <xf numFmtId="4" fontId="12" fillId="0" borderId="9" xfId="0" applyNumberFormat="1" applyFont="1" applyBorder="1" applyAlignment="1">
      <alignment vertical="center"/>
    </xf>
    <xf numFmtId="3" fontId="11" fillId="0" borderId="9" xfId="0" applyNumberFormat="1" applyFont="1" applyFill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4" fontId="11" fillId="0" borderId="12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164" fontId="1" fillId="0" borderId="8" xfId="1" applyNumberFormat="1" applyFont="1" applyBorder="1" applyAlignment="1">
      <alignment vertical="center"/>
    </xf>
    <xf numFmtId="43" fontId="1" fillId="0" borderId="8" xfId="1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9" xfId="1" applyNumberFormat="1" applyFont="1" applyBorder="1" applyAlignment="1">
      <alignment vertical="center"/>
    </xf>
    <xf numFmtId="43" fontId="1" fillId="0" borderId="9" xfId="1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1" fillId="0" borderId="10" xfId="1" applyNumberFormat="1" applyFont="1" applyBorder="1" applyAlignment="1">
      <alignment vertical="center"/>
    </xf>
    <xf numFmtId="43" fontId="1" fillId="0" borderId="10" xfId="1" applyNumberFormat="1" applyFont="1" applyBorder="1" applyAlignment="1">
      <alignment vertical="center"/>
    </xf>
    <xf numFmtId="4" fontId="11" fillId="2" borderId="17" xfId="0" applyNumberFormat="1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0" borderId="8" xfId="1" applyNumberFormat="1" applyFont="1" applyBorder="1" applyAlignment="1">
      <alignment vertical="center"/>
    </xf>
    <xf numFmtId="166" fontId="1" fillId="0" borderId="9" xfId="1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15" fillId="2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2" fillId="5" borderId="6" xfId="1" applyNumberFormat="1" applyFont="1" applyFill="1" applyBorder="1" applyAlignment="1">
      <alignment vertical="center"/>
    </xf>
    <xf numFmtId="166" fontId="2" fillId="5" borderId="17" xfId="1" applyNumberFormat="1" applyFont="1" applyFill="1" applyBorder="1" applyAlignment="1">
      <alignment vertical="center"/>
    </xf>
    <xf numFmtId="43" fontId="1" fillId="0" borderId="8" xfId="1" applyFont="1" applyBorder="1" applyAlignment="1">
      <alignment vertical="center"/>
    </xf>
    <xf numFmtId="43" fontId="1" fillId="0" borderId="9" xfId="1" applyFont="1" applyBorder="1" applyAlignment="1">
      <alignment vertical="center"/>
    </xf>
    <xf numFmtId="43" fontId="2" fillId="5" borderId="17" xfId="1" applyFont="1" applyFill="1" applyBorder="1" applyAlignment="1">
      <alignment vertical="center"/>
    </xf>
    <xf numFmtId="164" fontId="2" fillId="5" borderId="17" xfId="1" applyNumberFormat="1" applyFont="1" applyFill="1" applyBorder="1" applyAlignment="1">
      <alignment vertical="center"/>
    </xf>
    <xf numFmtId="164" fontId="2" fillId="5" borderId="18" xfId="1" applyNumberFormat="1" applyFont="1" applyFill="1" applyBorder="1" applyAlignment="1">
      <alignment vertical="center"/>
    </xf>
    <xf numFmtId="0" fontId="17" fillId="0" borderId="0" xfId="4" applyFont="1" applyAlignment="1">
      <alignment horizontal="right" vertical="center"/>
    </xf>
    <xf numFmtId="0" fontId="11" fillId="0" borderId="0" xfId="4" applyFont="1" applyAlignment="1">
      <alignment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left" vertical="center"/>
    </xf>
    <xf numFmtId="165" fontId="11" fillId="0" borderId="8" xfId="4" applyNumberFormat="1" applyFont="1" applyBorder="1" applyAlignment="1">
      <alignment vertical="center"/>
    </xf>
    <xf numFmtId="0" fontId="11" fillId="0" borderId="9" xfId="4" applyFont="1" applyBorder="1" applyAlignment="1">
      <alignment horizontal="center" vertical="center"/>
    </xf>
    <xf numFmtId="0" fontId="11" fillId="0" borderId="9" xfId="4" applyFont="1" applyBorder="1" applyAlignment="1">
      <alignment horizontal="left" vertical="center"/>
    </xf>
    <xf numFmtId="165" fontId="11" fillId="0" borderId="9" xfId="4" applyNumberFormat="1" applyFont="1" applyBorder="1" applyAlignment="1">
      <alignment vertical="center"/>
    </xf>
    <xf numFmtId="0" fontId="11" fillId="0" borderId="14" xfId="4" applyFont="1" applyBorder="1" applyAlignment="1">
      <alignment horizontal="center" vertical="center"/>
    </xf>
    <xf numFmtId="0" fontId="11" fillId="0" borderId="14" xfId="4" applyFont="1" applyBorder="1" applyAlignment="1">
      <alignment horizontal="left" vertical="center"/>
    </xf>
    <xf numFmtId="165" fontId="11" fillId="0" borderId="14" xfId="4" applyNumberFormat="1" applyFont="1" applyBorder="1" applyAlignment="1">
      <alignment vertical="center"/>
    </xf>
    <xf numFmtId="165" fontId="15" fillId="2" borderId="17" xfId="4" applyNumberFormat="1" applyFont="1" applyFill="1" applyBorder="1" applyAlignment="1">
      <alignment vertical="center"/>
    </xf>
    <xf numFmtId="4" fontId="15" fillId="2" borderId="17" xfId="0" applyNumberFormat="1" applyFont="1" applyFill="1" applyBorder="1" applyAlignment="1">
      <alignment vertical="center"/>
    </xf>
    <xf numFmtId="0" fontId="17" fillId="0" borderId="0" xfId="5" applyFont="1" applyAlignment="1">
      <alignment horizontal="right" vertical="center"/>
    </xf>
    <xf numFmtId="0" fontId="11" fillId="0" borderId="0" xfId="5" applyFont="1" applyAlignment="1">
      <alignment vertical="center"/>
    </xf>
    <xf numFmtId="0" fontId="11" fillId="0" borderId="8" xfId="5" applyFont="1" applyBorder="1" applyAlignment="1">
      <alignment horizontal="center" vertical="center"/>
    </xf>
    <xf numFmtId="0" fontId="11" fillId="0" borderId="8" xfId="5" applyFont="1" applyBorder="1" applyAlignment="1">
      <alignment horizontal="left" vertical="center"/>
    </xf>
    <xf numFmtId="0" fontId="11" fillId="0" borderId="9" xfId="5" applyFont="1" applyBorder="1" applyAlignment="1">
      <alignment horizontal="center" vertical="center"/>
    </xf>
    <xf numFmtId="0" fontId="11" fillId="0" borderId="9" xfId="5" applyFont="1" applyBorder="1" applyAlignment="1">
      <alignment horizontal="left" vertical="center"/>
    </xf>
    <xf numFmtId="0" fontId="11" fillId="0" borderId="21" xfId="5" applyFont="1" applyBorder="1" applyAlignment="1">
      <alignment horizontal="left" vertical="center"/>
    </xf>
    <xf numFmtId="0" fontId="11" fillId="0" borderId="6" xfId="5" applyFont="1" applyBorder="1"/>
    <xf numFmtId="0" fontId="11" fillId="0" borderId="0" xfId="5" applyFont="1"/>
    <xf numFmtId="4" fontId="11" fillId="0" borderId="22" xfId="5" applyNumberFormat="1" applyFont="1" applyBorder="1" applyAlignment="1">
      <alignment vertical="center"/>
    </xf>
    <xf numFmtId="4" fontId="14" fillId="0" borderId="22" xfId="5" applyNumberFormat="1" applyFont="1" applyBorder="1" applyAlignment="1">
      <alignment vertical="center"/>
    </xf>
    <xf numFmtId="4" fontId="11" fillId="0" borderId="14" xfId="5" applyNumberFormat="1" applyFont="1" applyBorder="1" applyAlignment="1">
      <alignment vertical="center"/>
    </xf>
    <xf numFmtId="4" fontId="11" fillId="2" borderId="17" xfId="5" applyNumberFormat="1" applyFont="1" applyFill="1" applyBorder="1" applyAlignment="1">
      <alignment vertical="center"/>
    </xf>
    <xf numFmtId="165" fontId="11" fillId="0" borderId="8" xfId="5" applyNumberFormat="1" applyFont="1" applyBorder="1" applyAlignment="1">
      <alignment vertical="center"/>
    </xf>
    <xf numFmtId="165" fontId="11" fillId="0" borderId="9" xfId="5" applyNumberFormat="1" applyFont="1" applyBorder="1" applyAlignment="1">
      <alignment vertical="center"/>
    </xf>
    <xf numFmtId="165" fontId="11" fillId="0" borderId="8" xfId="0" applyNumberFormat="1" applyFont="1" applyBorder="1" applyAlignment="1">
      <alignment vertical="center"/>
    </xf>
    <xf numFmtId="165" fontId="11" fillId="0" borderId="13" xfId="0" applyNumberFormat="1" applyFont="1" applyBorder="1" applyAlignment="1">
      <alignment vertical="center"/>
    </xf>
    <xf numFmtId="165" fontId="11" fillId="0" borderId="9" xfId="0" applyNumberFormat="1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165" fontId="11" fillId="0" borderId="14" xfId="0" applyNumberFormat="1" applyFont="1" applyBorder="1" applyAlignment="1">
      <alignment vertical="center"/>
    </xf>
    <xf numFmtId="165" fontId="11" fillId="0" borderId="22" xfId="0" applyNumberFormat="1" applyFont="1" applyBorder="1" applyAlignment="1">
      <alignment vertical="center"/>
    </xf>
    <xf numFmtId="0" fontId="11" fillId="0" borderId="0" xfId="0" applyFont="1"/>
    <xf numFmtId="165" fontId="15" fillId="2" borderId="17" xfId="0" applyNumberFormat="1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16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165" fontId="11" fillId="0" borderId="23" xfId="0" applyNumberFormat="1" applyFont="1" applyBorder="1" applyAlignment="1">
      <alignment vertical="center"/>
    </xf>
    <xf numFmtId="165" fontId="11" fillId="2" borderId="17" xfId="0" applyNumberFormat="1" applyFont="1" applyFill="1" applyBorder="1" applyAlignment="1">
      <alignment vertical="center"/>
    </xf>
    <xf numFmtId="0" fontId="17" fillId="0" borderId="0" xfId="7" applyFont="1" applyAlignment="1">
      <alignment horizontal="right" vertical="center"/>
    </xf>
    <xf numFmtId="0" fontId="11" fillId="0" borderId="0" xfId="7" applyFont="1" applyAlignment="1">
      <alignment vertical="center"/>
    </xf>
    <xf numFmtId="0" fontId="11" fillId="0" borderId="8" xfId="7" applyFont="1" applyBorder="1" applyAlignment="1">
      <alignment vertical="center"/>
    </xf>
    <xf numFmtId="165" fontId="11" fillId="0" borderId="8" xfId="7" applyNumberFormat="1" applyFont="1" applyBorder="1" applyAlignment="1">
      <alignment vertical="center"/>
    </xf>
    <xf numFmtId="0" fontId="11" fillId="0" borderId="9" xfId="7" applyFont="1" applyBorder="1" applyAlignment="1">
      <alignment vertical="center"/>
    </xf>
    <xf numFmtId="165" fontId="11" fillId="0" borderId="9" xfId="7" applyNumberFormat="1" applyFont="1" applyBorder="1" applyAlignment="1">
      <alignment vertical="center"/>
    </xf>
    <xf numFmtId="0" fontId="11" fillId="0" borderId="14" xfId="7" applyFont="1" applyBorder="1" applyAlignment="1">
      <alignment vertical="center"/>
    </xf>
    <xf numFmtId="165" fontId="11" fillId="0" borderId="14" xfId="7" applyNumberFormat="1" applyFont="1" applyBorder="1" applyAlignment="1">
      <alignment vertical="center"/>
    </xf>
    <xf numFmtId="165" fontId="15" fillId="2" borderId="17" xfId="7" applyNumberFormat="1" applyFont="1" applyFill="1" applyBorder="1" applyAlignment="1">
      <alignment vertical="center"/>
    </xf>
    <xf numFmtId="165" fontId="15" fillId="2" borderId="6" xfId="7" applyNumberFormat="1" applyFont="1" applyFill="1" applyBorder="1" applyAlignment="1">
      <alignment vertical="center"/>
    </xf>
    <xf numFmtId="0" fontId="17" fillId="0" borderId="0" xfId="8" applyFont="1" applyAlignment="1">
      <alignment horizontal="right" vertical="center"/>
    </xf>
    <xf numFmtId="0" fontId="11" fillId="0" borderId="8" xfId="8" applyFont="1" applyBorder="1" applyAlignment="1">
      <alignment vertical="center"/>
    </xf>
    <xf numFmtId="0" fontId="11" fillId="0" borderId="9" xfId="8" applyFont="1" applyBorder="1" applyAlignment="1">
      <alignment vertical="center"/>
    </xf>
    <xf numFmtId="0" fontId="11" fillId="0" borderId="14" xfId="8" applyFont="1" applyBorder="1" applyAlignment="1">
      <alignment vertical="center"/>
    </xf>
    <xf numFmtId="0" fontId="11" fillId="0" borderId="22" xfId="8" applyFont="1" applyBorder="1" applyAlignment="1">
      <alignment vertical="center"/>
    </xf>
    <xf numFmtId="0" fontId="11" fillId="0" borderId="0" xfId="8" applyFont="1" applyAlignment="1">
      <alignment vertical="center"/>
    </xf>
    <xf numFmtId="0" fontId="11" fillId="0" borderId="8" xfId="8" applyFont="1" applyBorder="1" applyAlignment="1">
      <alignment horizontal="center" vertical="center"/>
    </xf>
    <xf numFmtId="165" fontId="12" fillId="0" borderId="8" xfId="8" applyNumberFormat="1" applyFont="1" applyBorder="1" applyAlignment="1">
      <alignment vertical="center"/>
    </xf>
    <xf numFmtId="4" fontId="12" fillId="0" borderId="8" xfId="0" applyNumberFormat="1" applyFont="1" applyBorder="1" applyAlignment="1">
      <alignment vertical="center"/>
    </xf>
    <xf numFmtId="0" fontId="11" fillId="0" borderId="9" xfId="8" applyFont="1" applyBorder="1" applyAlignment="1">
      <alignment horizontal="center" vertical="center"/>
    </xf>
    <xf numFmtId="165" fontId="11" fillId="0" borderId="9" xfId="8" applyNumberFormat="1" applyFont="1" applyBorder="1" applyAlignment="1">
      <alignment vertical="center"/>
    </xf>
    <xf numFmtId="4" fontId="11" fillId="0" borderId="9" xfId="0" applyNumberFormat="1" applyFont="1" applyBorder="1" applyAlignment="1">
      <alignment horizontal="center" vertical="center"/>
    </xf>
    <xf numFmtId="165" fontId="12" fillId="0" borderId="9" xfId="8" applyNumberFormat="1" applyFont="1" applyBorder="1" applyAlignment="1">
      <alignment vertical="center"/>
    </xf>
    <xf numFmtId="4" fontId="15" fillId="0" borderId="9" xfId="0" applyNumberFormat="1" applyFont="1" applyBorder="1" applyAlignment="1">
      <alignment vertical="center"/>
    </xf>
    <xf numFmtId="0" fontId="11" fillId="0" borderId="14" xfId="8" applyFont="1" applyBorder="1" applyAlignment="1">
      <alignment horizontal="center" vertical="center"/>
    </xf>
    <xf numFmtId="165" fontId="11" fillId="0" borderId="14" xfId="8" applyNumberFormat="1" applyFont="1" applyBorder="1" applyAlignment="1">
      <alignment vertical="center"/>
    </xf>
    <xf numFmtId="0" fontId="11" fillId="0" borderId="22" xfId="8" applyFont="1" applyBorder="1" applyAlignment="1">
      <alignment horizontal="center" vertical="center"/>
    </xf>
    <xf numFmtId="165" fontId="11" fillId="0" borderId="22" xfId="8" applyNumberFormat="1" applyFont="1" applyBorder="1" applyAlignment="1">
      <alignment vertical="center"/>
    </xf>
    <xf numFmtId="4" fontId="11" fillId="0" borderId="23" xfId="0" applyNumberFormat="1" applyFont="1" applyBorder="1" applyAlignment="1">
      <alignment vertical="center"/>
    </xf>
    <xf numFmtId="165" fontId="11" fillId="2" borderId="17" xfId="8" applyNumberFormat="1" applyFont="1" applyFill="1" applyBorder="1" applyAlignment="1">
      <alignment vertical="center"/>
    </xf>
    <xf numFmtId="0" fontId="17" fillId="0" borderId="0" xfId="6" applyFont="1" applyAlignment="1">
      <alignment horizontal="right" vertical="center"/>
    </xf>
    <xf numFmtId="0" fontId="11" fillId="0" borderId="0" xfId="6" applyFont="1" applyAlignment="1">
      <alignment vertical="center"/>
    </xf>
    <xf numFmtId="0" fontId="11" fillId="0" borderId="8" xfId="6" applyFont="1" applyBorder="1" applyAlignment="1">
      <alignment horizontal="center" vertical="center"/>
    </xf>
    <xf numFmtId="0" fontId="11" fillId="0" borderId="8" xfId="6" applyFont="1" applyBorder="1" applyAlignment="1">
      <alignment horizontal="left" vertical="center"/>
    </xf>
    <xf numFmtId="4" fontId="11" fillId="0" borderId="8" xfId="6" applyNumberFormat="1" applyFont="1" applyBorder="1" applyAlignment="1">
      <alignment vertical="center"/>
    </xf>
    <xf numFmtId="0" fontId="11" fillId="0" borderId="9" xfId="6" applyFont="1" applyBorder="1" applyAlignment="1">
      <alignment horizontal="center" vertical="center"/>
    </xf>
    <xf numFmtId="0" fontId="11" fillId="0" borderId="9" xfId="6" applyFont="1" applyBorder="1" applyAlignment="1">
      <alignment horizontal="left" vertical="center"/>
    </xf>
    <xf numFmtId="4" fontId="11" fillId="0" borderId="9" xfId="6" applyNumberFormat="1" applyFont="1" applyBorder="1" applyAlignment="1">
      <alignment vertical="center"/>
    </xf>
    <xf numFmtId="0" fontId="11" fillId="0" borderId="21" xfId="6" applyFont="1" applyBorder="1" applyAlignment="1">
      <alignment horizontal="left" vertical="center"/>
    </xf>
    <xf numFmtId="0" fontId="11" fillId="0" borderId="6" xfId="6" applyFont="1" applyBorder="1"/>
    <xf numFmtId="0" fontId="11" fillId="0" borderId="20" xfId="6" applyFont="1" applyBorder="1"/>
    <xf numFmtId="4" fontId="11" fillId="0" borderId="22" xfId="6" applyNumberFormat="1" applyFont="1" applyBorder="1" applyAlignment="1">
      <alignment vertical="center"/>
    </xf>
    <xf numFmtId="4" fontId="11" fillId="0" borderId="14" xfId="6" applyNumberFormat="1" applyFont="1" applyBorder="1" applyAlignment="1">
      <alignment vertical="center"/>
    </xf>
    <xf numFmtId="0" fontId="11" fillId="0" borderId="0" xfId="10" applyFont="1" applyAlignment="1">
      <alignment vertical="center"/>
    </xf>
    <xf numFmtId="0" fontId="15" fillId="2" borderId="7" xfId="9" applyFont="1" applyFill="1" applyBorder="1" applyAlignment="1">
      <alignment horizontal="center" vertical="center"/>
    </xf>
    <xf numFmtId="4" fontId="15" fillId="2" borderId="17" xfId="6" applyNumberFormat="1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7" fillId="0" borderId="0" xfId="11" applyFont="1" applyAlignment="1">
      <alignment horizontal="right" vertical="center"/>
    </xf>
    <xf numFmtId="0" fontId="11" fillId="0" borderId="0" xfId="11" applyFont="1" applyAlignment="1">
      <alignment vertical="center"/>
    </xf>
    <xf numFmtId="0" fontId="11" fillId="0" borderId="8" xfId="11" applyFont="1" applyBorder="1" applyAlignment="1">
      <alignment horizontal="center" vertical="center"/>
    </xf>
    <xf numFmtId="0" fontId="11" fillId="0" borderId="8" xfId="11" applyFont="1" applyBorder="1" applyAlignment="1">
      <alignment vertical="center"/>
    </xf>
    <xf numFmtId="165" fontId="12" fillId="0" borderId="8" xfId="11" applyNumberFormat="1" applyFont="1" applyBorder="1" applyAlignment="1">
      <alignment vertical="center"/>
    </xf>
    <xf numFmtId="0" fontId="11" fillId="0" borderId="23" xfId="11" applyFont="1" applyBorder="1" applyAlignment="1">
      <alignment horizontal="center" vertical="center"/>
    </xf>
    <xf numFmtId="0" fontId="11" fillId="0" borderId="23" xfId="11" applyFont="1" applyBorder="1" applyAlignment="1">
      <alignment vertical="center"/>
    </xf>
    <xf numFmtId="165" fontId="12" fillId="0" borderId="23" xfId="11" applyNumberFormat="1" applyFont="1" applyBorder="1" applyAlignment="1">
      <alignment vertical="center"/>
    </xf>
    <xf numFmtId="0" fontId="11" fillId="0" borderId="9" xfId="11" applyFont="1" applyBorder="1" applyAlignment="1">
      <alignment horizontal="center" vertical="center"/>
    </xf>
    <xf numFmtId="0" fontId="11" fillId="0" borderId="9" xfId="11" applyFont="1" applyBorder="1" applyAlignment="1">
      <alignment vertical="center"/>
    </xf>
    <xf numFmtId="165" fontId="11" fillId="0" borderId="9" xfId="11" applyNumberFormat="1" applyFont="1" applyBorder="1" applyAlignment="1">
      <alignment vertical="center"/>
    </xf>
    <xf numFmtId="165" fontId="12" fillId="0" borderId="9" xfId="11" applyNumberFormat="1" applyFont="1" applyBorder="1" applyAlignment="1">
      <alignment vertical="center"/>
    </xf>
    <xf numFmtId="0" fontId="11" fillId="0" borderId="14" xfId="11" applyFont="1" applyBorder="1" applyAlignment="1">
      <alignment horizontal="center" vertical="center"/>
    </xf>
    <xf numFmtId="165" fontId="11" fillId="0" borderId="14" xfId="11" applyNumberFormat="1" applyFont="1" applyBorder="1" applyAlignment="1">
      <alignment vertical="center"/>
    </xf>
    <xf numFmtId="0" fontId="11" fillId="0" borderId="14" xfId="11" applyFont="1" applyBorder="1" applyAlignment="1">
      <alignment vertical="center"/>
    </xf>
    <xf numFmtId="165" fontId="12" fillId="0" borderId="14" xfId="11" applyNumberFormat="1" applyFont="1" applyBorder="1" applyAlignment="1">
      <alignment vertical="center"/>
    </xf>
    <xf numFmtId="0" fontId="11" fillId="0" borderId="6" xfId="11" applyFont="1" applyBorder="1" applyAlignment="1">
      <alignment horizontal="center" vertical="center"/>
    </xf>
    <xf numFmtId="0" fontId="11" fillId="0" borderId="6" xfId="11" applyFont="1" applyBorder="1" applyAlignment="1">
      <alignment vertical="center"/>
    </xf>
    <xf numFmtId="165" fontId="11" fillId="0" borderId="6" xfId="11" applyNumberFormat="1" applyFont="1" applyBorder="1" applyAlignment="1">
      <alignment horizontal="right" vertical="center"/>
    </xf>
    <xf numFmtId="4" fontId="11" fillId="0" borderId="10" xfId="0" applyNumberFormat="1" applyFont="1" applyBorder="1" applyAlignment="1">
      <alignment vertical="center"/>
    </xf>
    <xf numFmtId="0" fontId="16" fillId="0" borderId="0" xfId="11" applyFont="1" applyBorder="1" applyAlignment="1">
      <alignment horizontal="center" vertical="center"/>
    </xf>
    <xf numFmtId="0" fontId="11" fillId="0" borderId="0" xfId="11" applyFont="1"/>
    <xf numFmtId="165" fontId="11" fillId="0" borderId="0" xfId="0" applyNumberFormat="1" applyFont="1" applyAlignment="1">
      <alignment vertical="center"/>
    </xf>
    <xf numFmtId="0" fontId="11" fillId="0" borderId="14" xfId="0" applyFont="1" applyBorder="1" applyAlignment="1">
      <alignment horizontal="center" vertical="center"/>
    </xf>
    <xf numFmtId="165" fontId="11" fillId="2" borderId="17" xfId="12" applyNumberFormat="1" applyFont="1" applyFill="1" applyBorder="1" applyAlignment="1">
      <alignment vertical="center"/>
    </xf>
    <xf numFmtId="0" fontId="11" fillId="0" borderId="0" xfId="12" applyFont="1" applyAlignment="1">
      <alignment vertical="center"/>
    </xf>
    <xf numFmtId="0" fontId="11" fillId="0" borderId="8" xfId="12" applyFont="1" applyBorder="1" applyAlignment="1">
      <alignment horizontal="center" vertical="center"/>
    </xf>
    <xf numFmtId="0" fontId="11" fillId="0" borderId="8" xfId="12" applyFont="1" applyBorder="1" applyAlignment="1">
      <alignment vertical="center"/>
    </xf>
    <xf numFmtId="165" fontId="11" fillId="0" borderId="8" xfId="12" applyNumberFormat="1" applyFont="1" applyBorder="1" applyAlignment="1">
      <alignment vertical="center"/>
    </xf>
    <xf numFmtId="165" fontId="11" fillId="0" borderId="13" xfId="12" applyNumberFormat="1" applyFont="1" applyBorder="1" applyAlignment="1">
      <alignment vertical="center"/>
    </xf>
    <xf numFmtId="0" fontId="11" fillId="0" borderId="9" xfId="12" applyFont="1" applyBorder="1" applyAlignment="1">
      <alignment horizontal="center" vertical="center"/>
    </xf>
    <xf numFmtId="0" fontId="11" fillId="0" borderId="9" xfId="12" applyFont="1" applyBorder="1" applyAlignment="1">
      <alignment vertical="center"/>
    </xf>
    <xf numFmtId="165" fontId="11" fillId="0" borderId="9" xfId="12" applyNumberFormat="1" applyFont="1" applyBorder="1" applyAlignment="1">
      <alignment vertical="center"/>
    </xf>
    <xf numFmtId="0" fontId="11" fillId="0" borderId="14" xfId="12" applyFont="1" applyBorder="1" applyAlignment="1">
      <alignment horizontal="center" vertical="center"/>
    </xf>
    <xf numFmtId="0" fontId="11" fillId="0" borderId="14" xfId="12" applyFont="1" applyBorder="1" applyAlignment="1">
      <alignment vertical="center"/>
    </xf>
    <xf numFmtId="165" fontId="11" fillId="0" borderId="14" xfId="12" applyNumberFormat="1" applyFont="1" applyBorder="1" applyAlignment="1">
      <alignment vertical="center"/>
    </xf>
    <xf numFmtId="165" fontId="11" fillId="0" borderId="23" xfId="12" applyNumberFormat="1" applyFont="1" applyBorder="1" applyAlignment="1">
      <alignment vertical="center"/>
    </xf>
    <xf numFmtId="165" fontId="11" fillId="0" borderId="0" xfId="12" applyNumberFormat="1" applyFont="1" applyAlignment="1">
      <alignment vertical="center"/>
    </xf>
    <xf numFmtId="165" fontId="11" fillId="0" borderId="8" xfId="0" applyNumberFormat="1" applyFont="1" applyFill="1" applyBorder="1" applyAlignment="1">
      <alignment vertical="center"/>
    </xf>
    <xf numFmtId="165" fontId="11" fillId="0" borderId="9" xfId="0" applyNumberFormat="1" applyFont="1" applyFill="1" applyBorder="1" applyAlignment="1">
      <alignment vertical="center"/>
    </xf>
    <xf numFmtId="165" fontId="11" fillId="0" borderId="14" xfId="0" applyNumberFormat="1" applyFont="1" applyFill="1" applyBorder="1" applyAlignment="1">
      <alignment vertical="center"/>
    </xf>
    <xf numFmtId="0" fontId="17" fillId="0" borderId="0" xfId="13" applyFont="1" applyAlignment="1">
      <alignment horizontal="right" vertical="center"/>
    </xf>
    <xf numFmtId="0" fontId="11" fillId="0" borderId="0" xfId="13" applyFont="1" applyAlignment="1">
      <alignment vertical="center"/>
    </xf>
    <xf numFmtId="0" fontId="11" fillId="0" borderId="8" xfId="13" applyFont="1" applyBorder="1" applyAlignment="1">
      <alignment horizontal="center" vertical="center"/>
    </xf>
    <xf numFmtId="0" fontId="11" fillId="0" borderId="8" xfId="13" applyFont="1" applyBorder="1" applyAlignment="1">
      <alignment vertical="center"/>
    </xf>
    <xf numFmtId="165" fontId="12" fillId="0" borderId="8" xfId="13" applyNumberFormat="1" applyFont="1" applyBorder="1" applyAlignment="1">
      <alignment vertical="center"/>
    </xf>
    <xf numFmtId="165" fontId="12" fillId="0" borderId="8" xfId="13" applyNumberFormat="1" applyFont="1" applyFill="1" applyBorder="1" applyAlignment="1">
      <alignment vertical="center"/>
    </xf>
    <xf numFmtId="0" fontId="11" fillId="0" borderId="9" xfId="13" applyFont="1" applyBorder="1" applyAlignment="1">
      <alignment horizontal="center" vertical="center"/>
    </xf>
    <xf numFmtId="0" fontId="11" fillId="0" borderId="9" xfId="13" applyFont="1" applyBorder="1" applyAlignment="1">
      <alignment vertical="center"/>
    </xf>
    <xf numFmtId="165" fontId="12" fillId="0" borderId="9" xfId="13" applyNumberFormat="1" applyFont="1" applyBorder="1" applyAlignment="1">
      <alignment vertical="center"/>
    </xf>
    <xf numFmtId="165" fontId="12" fillId="0" borderId="9" xfId="13" applyNumberFormat="1" applyFont="1" applyFill="1" applyBorder="1" applyAlignment="1">
      <alignment vertical="center"/>
    </xf>
    <xf numFmtId="165" fontId="11" fillId="0" borderId="9" xfId="13" applyNumberFormat="1" applyFont="1" applyBorder="1" applyAlignment="1">
      <alignment vertical="center"/>
    </xf>
    <xf numFmtId="165" fontId="11" fillId="0" borderId="9" xfId="13" applyNumberFormat="1" applyFont="1" applyFill="1" applyBorder="1" applyAlignment="1">
      <alignment vertical="center"/>
    </xf>
    <xf numFmtId="0" fontId="11" fillId="0" borderId="14" xfId="13" applyFont="1" applyBorder="1" applyAlignment="1">
      <alignment horizontal="center" vertical="center"/>
    </xf>
    <xf numFmtId="0" fontId="11" fillId="0" borderId="14" xfId="13" applyFont="1" applyBorder="1" applyAlignment="1">
      <alignment vertical="center"/>
    </xf>
    <xf numFmtId="165" fontId="11" fillId="0" borderId="14" xfId="13" applyNumberFormat="1" applyFont="1" applyBorder="1" applyAlignment="1">
      <alignment vertical="center"/>
    </xf>
    <xf numFmtId="165" fontId="11" fillId="0" borderId="14" xfId="13" applyNumberFormat="1" applyFont="1" applyFill="1" applyBorder="1" applyAlignment="1">
      <alignment vertical="center"/>
    </xf>
    <xf numFmtId="165" fontId="15" fillId="2" borderId="17" xfId="13" applyNumberFormat="1" applyFont="1" applyFill="1" applyBorder="1" applyAlignment="1">
      <alignment vertical="center"/>
    </xf>
    <xf numFmtId="0" fontId="17" fillId="0" borderId="0" xfId="9" applyFont="1" applyAlignment="1">
      <alignment horizontal="right" vertical="center"/>
    </xf>
    <xf numFmtId="0" fontId="11" fillId="0" borderId="0" xfId="9" applyFont="1" applyAlignment="1">
      <alignment vertical="center"/>
    </xf>
    <xf numFmtId="0" fontId="11" fillId="0" borderId="8" xfId="9" applyFont="1" applyBorder="1" applyAlignment="1">
      <alignment vertical="center"/>
    </xf>
    <xf numFmtId="165" fontId="11" fillId="0" borderId="8" xfId="9" applyNumberFormat="1" applyFont="1" applyBorder="1" applyAlignment="1">
      <alignment vertical="center"/>
    </xf>
    <xf numFmtId="165" fontId="11" fillId="0" borderId="8" xfId="9" applyNumberFormat="1" applyFont="1" applyFill="1" applyBorder="1" applyAlignment="1">
      <alignment vertical="center"/>
    </xf>
    <xf numFmtId="0" fontId="11" fillId="0" borderId="9" xfId="9" applyFont="1" applyBorder="1" applyAlignment="1">
      <alignment vertical="center"/>
    </xf>
    <xf numFmtId="165" fontId="11" fillId="0" borderId="9" xfId="9" applyNumberFormat="1" applyFont="1" applyBorder="1" applyAlignment="1">
      <alignment vertical="center"/>
    </xf>
    <xf numFmtId="165" fontId="11" fillId="0" borderId="9" xfId="9" applyNumberFormat="1" applyFont="1" applyFill="1" applyBorder="1" applyAlignment="1">
      <alignment vertical="center"/>
    </xf>
    <xf numFmtId="0" fontId="11" fillId="0" borderId="14" xfId="9" applyFont="1" applyBorder="1" applyAlignment="1">
      <alignment vertical="center"/>
    </xf>
    <xf numFmtId="165" fontId="11" fillId="0" borderId="14" xfId="9" applyNumberFormat="1" applyFont="1" applyBorder="1" applyAlignment="1">
      <alignment vertical="center"/>
    </xf>
    <xf numFmtId="165" fontId="11" fillId="0" borderId="14" xfId="9" applyNumberFormat="1" applyFont="1" applyFill="1" applyBorder="1" applyAlignment="1">
      <alignment vertical="center"/>
    </xf>
    <xf numFmtId="165" fontId="15" fillId="2" borderId="17" xfId="9" applyNumberFormat="1" applyFont="1" applyFill="1" applyBorder="1" applyAlignment="1">
      <alignment vertical="center"/>
    </xf>
    <xf numFmtId="0" fontId="23" fillId="0" borderId="0" xfId="0" applyFont="1" applyBorder="1" applyAlignment="1">
      <alignment horizontal="left" vertical="center" wrapText="1"/>
    </xf>
    <xf numFmtId="4" fontId="11" fillId="0" borderId="0" xfId="0" applyNumberFormat="1" applyFont="1" applyBorder="1" applyAlignment="1">
      <alignment vertical="center"/>
    </xf>
    <xf numFmtId="0" fontId="17" fillId="0" borderId="0" xfId="14" applyFont="1" applyAlignment="1">
      <alignment horizontal="right" vertical="center"/>
    </xf>
    <xf numFmtId="0" fontId="11" fillId="0" borderId="0" xfId="14" applyFont="1" applyBorder="1" applyAlignment="1">
      <alignment horizontal="center" vertical="center"/>
    </xf>
    <xf numFmtId="165" fontId="11" fillId="0" borderId="0" xfId="14" applyNumberFormat="1" applyFont="1" applyBorder="1" applyAlignment="1">
      <alignment vertical="center"/>
    </xf>
    <xf numFmtId="0" fontId="11" fillId="0" borderId="0" xfId="14" applyFont="1" applyAlignment="1">
      <alignment vertical="center"/>
    </xf>
    <xf numFmtId="0" fontId="11" fillId="0" borderId="8" xfId="14" applyFont="1" applyBorder="1" applyAlignment="1">
      <alignment vertical="center"/>
    </xf>
    <xf numFmtId="165" fontId="11" fillId="0" borderId="8" xfId="14" applyNumberFormat="1" applyFont="1" applyBorder="1" applyAlignment="1">
      <alignment vertical="center"/>
    </xf>
    <xf numFmtId="165" fontId="11" fillId="0" borderId="8" xfId="14" applyNumberFormat="1" applyFont="1" applyFill="1" applyBorder="1" applyAlignment="1">
      <alignment vertical="center"/>
    </xf>
    <xf numFmtId="0" fontId="11" fillId="0" borderId="9" xfId="14" applyFont="1" applyBorder="1" applyAlignment="1">
      <alignment vertical="center"/>
    </xf>
    <xf numFmtId="165" fontId="11" fillId="0" borderId="9" xfId="14" applyNumberFormat="1" applyFont="1" applyBorder="1" applyAlignment="1">
      <alignment vertical="center"/>
    </xf>
    <xf numFmtId="165" fontId="11" fillId="0" borderId="9" xfId="14" applyNumberFormat="1" applyFont="1" applyFill="1" applyBorder="1" applyAlignment="1">
      <alignment vertical="center"/>
    </xf>
    <xf numFmtId="0" fontId="11" fillId="0" borderId="14" xfId="14" applyFont="1" applyBorder="1" applyAlignment="1">
      <alignment vertical="center"/>
    </xf>
    <xf numFmtId="165" fontId="11" fillId="0" borderId="14" xfId="14" applyNumberFormat="1" applyFont="1" applyBorder="1" applyAlignment="1">
      <alignment vertical="center"/>
    </xf>
    <xf numFmtId="165" fontId="11" fillId="0" borderId="14" xfId="14" applyNumberFormat="1" applyFont="1" applyFill="1" applyBorder="1" applyAlignment="1">
      <alignment vertical="center"/>
    </xf>
    <xf numFmtId="165" fontId="15" fillId="2" borderId="17" xfId="14" applyNumberFormat="1" applyFont="1" applyFill="1" applyBorder="1" applyAlignment="1">
      <alignment vertical="center"/>
    </xf>
    <xf numFmtId="165" fontId="11" fillId="2" borderId="17" xfId="15" applyNumberFormat="1" applyFont="1" applyFill="1" applyBorder="1" applyAlignment="1">
      <alignment vertical="center"/>
    </xf>
    <xf numFmtId="0" fontId="11" fillId="0" borderId="0" xfId="15" applyFont="1" applyAlignment="1">
      <alignment vertical="center"/>
    </xf>
    <xf numFmtId="4" fontId="11" fillId="0" borderId="0" xfId="15" applyNumberFormat="1" applyFont="1" applyBorder="1" applyAlignment="1">
      <alignment vertical="center"/>
    </xf>
    <xf numFmtId="0" fontId="11" fillId="0" borderId="8" xfId="15" applyFont="1" applyBorder="1" applyAlignment="1">
      <alignment horizontal="center" vertical="center"/>
    </xf>
    <xf numFmtId="0" fontId="11" fillId="0" borderId="8" xfId="15" applyFont="1" applyBorder="1" applyAlignment="1">
      <alignment vertical="center"/>
    </xf>
    <xf numFmtId="165" fontId="11" fillId="0" borderId="8" xfId="15" applyNumberFormat="1" applyFont="1" applyBorder="1" applyAlignment="1">
      <alignment vertical="center"/>
    </xf>
    <xf numFmtId="165" fontId="11" fillId="0" borderId="8" xfId="15" applyNumberFormat="1" applyFont="1" applyFill="1" applyBorder="1" applyAlignment="1">
      <alignment vertical="center"/>
    </xf>
    <xf numFmtId="0" fontId="11" fillId="0" borderId="9" xfId="15" applyFont="1" applyBorder="1" applyAlignment="1">
      <alignment horizontal="center" vertical="center"/>
    </xf>
    <xf numFmtId="0" fontId="11" fillId="0" borderId="9" xfId="15" applyFont="1" applyBorder="1" applyAlignment="1">
      <alignment vertical="center"/>
    </xf>
    <xf numFmtId="165" fontId="11" fillId="0" borderId="9" xfId="15" applyNumberFormat="1" applyFont="1" applyBorder="1" applyAlignment="1">
      <alignment vertical="center"/>
    </xf>
    <xf numFmtId="165" fontId="11" fillId="0" borderId="9" xfId="15" applyNumberFormat="1" applyFont="1" applyFill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1" fillId="2" borderId="6" xfId="8" applyFont="1" applyFill="1" applyBorder="1" applyAlignment="1">
      <alignment horizontal="center" vertical="center"/>
    </xf>
    <xf numFmtId="0" fontId="11" fillId="0" borderId="0" xfId="3" applyFont="1" applyAlignment="1">
      <alignment vertical="center"/>
    </xf>
    <xf numFmtId="0" fontId="11" fillId="0" borderId="8" xfId="3" applyFont="1" applyBorder="1" applyAlignment="1">
      <alignment horizontal="center" vertical="center"/>
    </xf>
    <xf numFmtId="0" fontId="11" fillId="0" borderId="8" xfId="3" applyFont="1" applyBorder="1" applyAlignment="1">
      <alignment vertical="center"/>
    </xf>
    <xf numFmtId="0" fontId="11" fillId="0" borderId="9" xfId="3" applyFont="1" applyBorder="1" applyAlignment="1">
      <alignment horizontal="center" vertical="center"/>
    </xf>
    <xf numFmtId="0" fontId="11" fillId="0" borderId="9" xfId="3" applyFont="1" applyBorder="1" applyAlignment="1">
      <alignment vertical="center"/>
    </xf>
    <xf numFmtId="0" fontId="11" fillId="0" borderId="24" xfId="3" applyFont="1" applyBorder="1" applyAlignment="1">
      <alignment horizontal="center" vertical="center"/>
    </xf>
    <xf numFmtId="0" fontId="11" fillId="0" borderId="25" xfId="3" applyFont="1" applyBorder="1" applyAlignment="1">
      <alignment horizontal="center" vertical="center"/>
    </xf>
    <xf numFmtId="0" fontId="11" fillId="0" borderId="6" xfId="3" applyFont="1" applyBorder="1" applyAlignment="1">
      <alignment vertical="center"/>
    </xf>
    <xf numFmtId="0" fontId="24" fillId="0" borderId="0" xfId="0" applyFont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4" fontId="11" fillId="0" borderId="22" xfId="0" applyNumberFormat="1" applyFont="1" applyBorder="1" applyAlignment="1">
      <alignment vertical="center"/>
    </xf>
    <xf numFmtId="4" fontId="11" fillId="2" borderId="15" xfId="0" applyNumberFormat="1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3" fontId="11" fillId="0" borderId="8" xfId="0" applyNumberFormat="1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/>
    </xf>
    <xf numFmtId="3" fontId="11" fillId="0" borderId="22" xfId="0" applyNumberFormat="1" applyFont="1" applyBorder="1" applyAlignment="1">
      <alignment horizontal="center" vertical="center"/>
    </xf>
    <xf numFmtId="4" fontId="17" fillId="0" borderId="0" xfId="0" applyNumberFormat="1" applyFont="1" applyAlignment="1">
      <alignment horizontal="right" vertical="center"/>
    </xf>
    <xf numFmtId="4" fontId="28" fillId="0" borderId="0" xfId="0" applyNumberFormat="1" applyFont="1" applyAlignment="1">
      <alignment horizontal="right" vertical="center"/>
    </xf>
    <xf numFmtId="4" fontId="29" fillId="0" borderId="8" xfId="0" applyNumberFormat="1" applyFont="1" applyBorder="1" applyAlignment="1">
      <alignment vertical="center"/>
    </xf>
    <xf numFmtId="4" fontId="29" fillId="0" borderId="9" xfId="0" applyNumberFormat="1" applyFont="1" applyBorder="1" applyAlignment="1">
      <alignment vertical="center"/>
    </xf>
    <xf numFmtId="4" fontId="29" fillId="0" borderId="22" xfId="0" applyNumberFormat="1" applyFont="1" applyBorder="1" applyAlignment="1">
      <alignment vertical="center"/>
    </xf>
    <xf numFmtId="0" fontId="24" fillId="0" borderId="0" xfId="0" applyFont="1"/>
    <xf numFmtId="4" fontId="11" fillId="0" borderId="14" xfId="0" applyNumberFormat="1" applyFont="1" applyBorder="1" applyAlignment="1">
      <alignment vertical="center"/>
    </xf>
    <xf numFmtId="4" fontId="11" fillId="0" borderId="0" xfId="0" applyNumberFormat="1" applyFont="1" applyBorder="1" applyAlignment="1">
      <alignment horizontal="center" vertical="center"/>
    </xf>
    <xf numFmtId="4" fontId="11" fillId="0" borderId="0" xfId="0" applyNumberFormat="1" applyFont="1"/>
    <xf numFmtId="4" fontId="24" fillId="0" borderId="0" xfId="0" applyNumberFormat="1" applyFont="1" applyBorder="1"/>
    <xf numFmtId="4" fontId="25" fillId="0" borderId="0" xfId="0" applyNumberFormat="1" applyFont="1"/>
    <xf numFmtId="4" fontId="11" fillId="0" borderId="0" xfId="0" applyNumberFormat="1" applyFont="1" applyFill="1" applyBorder="1" applyAlignment="1">
      <alignment vertical="center"/>
    </xf>
    <xf numFmtId="167" fontId="11" fillId="0" borderId="8" xfId="16" applyNumberFormat="1" applyFont="1" applyBorder="1" applyAlignment="1">
      <alignment vertical="center"/>
    </xf>
    <xf numFmtId="167" fontId="11" fillId="0" borderId="9" xfId="0" applyNumberFormat="1" applyFont="1" applyBorder="1" applyAlignment="1">
      <alignment vertical="center"/>
    </xf>
    <xf numFmtId="167" fontId="11" fillId="0" borderId="14" xfId="0" applyNumberFormat="1" applyFont="1" applyBorder="1" applyAlignment="1">
      <alignment vertical="center"/>
    </xf>
    <xf numFmtId="0" fontId="24" fillId="0" borderId="0" xfId="16" applyFont="1" applyAlignment="1">
      <alignment vertical="center"/>
    </xf>
    <xf numFmtId="4" fontId="24" fillId="0" borderId="0" xfId="16" applyNumberFormat="1" applyFont="1" applyAlignment="1">
      <alignment vertical="center"/>
    </xf>
    <xf numFmtId="0" fontId="17" fillId="0" borderId="0" xfId="16" applyFont="1" applyAlignment="1">
      <alignment horizontal="right" vertical="center"/>
    </xf>
    <xf numFmtId="0" fontId="11" fillId="0" borderId="0" xfId="16" applyFont="1" applyAlignment="1">
      <alignment vertical="center"/>
    </xf>
    <xf numFmtId="3" fontId="11" fillId="0" borderId="8" xfId="16" applyNumberFormat="1" applyFont="1" applyBorder="1" applyAlignment="1">
      <alignment horizontal="center" vertical="center"/>
    </xf>
    <xf numFmtId="4" fontId="11" fillId="0" borderId="8" xfId="16" applyNumberFormat="1" applyFont="1" applyBorder="1" applyAlignment="1">
      <alignment vertical="center"/>
    </xf>
    <xf numFmtId="4" fontId="11" fillId="0" borderId="13" xfId="16" applyNumberFormat="1" applyFont="1" applyBorder="1" applyAlignment="1">
      <alignment vertical="center"/>
    </xf>
    <xf numFmtId="3" fontId="11" fillId="0" borderId="9" xfId="16" applyNumberFormat="1" applyFont="1" applyBorder="1" applyAlignment="1">
      <alignment horizontal="center" vertical="center"/>
    </xf>
    <xf numFmtId="4" fontId="11" fillId="0" borderId="9" xfId="16" applyNumberFormat="1" applyFont="1" applyBorder="1" applyAlignment="1">
      <alignment vertical="center"/>
    </xf>
    <xf numFmtId="167" fontId="11" fillId="0" borderId="9" xfId="16" applyNumberFormat="1" applyFont="1" applyBorder="1" applyAlignment="1">
      <alignment vertical="center"/>
    </xf>
    <xf numFmtId="3" fontId="11" fillId="0" borderId="14" xfId="16" applyNumberFormat="1" applyFont="1" applyBorder="1" applyAlignment="1">
      <alignment horizontal="center" vertical="center"/>
    </xf>
    <xf numFmtId="4" fontId="11" fillId="0" borderId="14" xfId="16" applyNumberFormat="1" applyFont="1" applyBorder="1" applyAlignment="1">
      <alignment vertical="center"/>
    </xf>
    <xf numFmtId="167" fontId="11" fillId="0" borderId="14" xfId="16" applyNumberFormat="1" applyFont="1" applyBorder="1" applyAlignment="1">
      <alignment vertical="center"/>
    </xf>
    <xf numFmtId="4" fontId="11" fillId="0" borderId="10" xfId="16" applyNumberFormat="1" applyFont="1" applyBorder="1" applyAlignment="1">
      <alignment vertical="center"/>
    </xf>
    <xf numFmtId="4" fontId="15" fillId="2" borderId="17" xfId="16" applyNumberFormat="1" applyFont="1" applyFill="1" applyBorder="1" applyAlignment="1">
      <alignment vertical="center"/>
    </xf>
    <xf numFmtId="0" fontId="17" fillId="0" borderId="0" xfId="17" applyFont="1" applyAlignment="1">
      <alignment horizontal="right" vertical="center"/>
    </xf>
    <xf numFmtId="0" fontId="11" fillId="0" borderId="0" xfId="17" applyFont="1" applyAlignment="1">
      <alignment vertical="center"/>
    </xf>
    <xf numFmtId="0" fontId="11" fillId="0" borderId="8" xfId="17" applyFont="1" applyBorder="1" applyAlignment="1">
      <alignment horizontal="center" vertical="center"/>
    </xf>
    <xf numFmtId="0" fontId="11" fillId="0" borderId="8" xfId="17" applyFont="1" applyBorder="1" applyAlignment="1">
      <alignment vertical="center"/>
    </xf>
    <xf numFmtId="4" fontId="11" fillId="0" borderId="8" xfId="17" applyNumberFormat="1" applyFont="1" applyBorder="1" applyAlignment="1">
      <alignment vertical="center"/>
    </xf>
    <xf numFmtId="167" fontId="11" fillId="0" borderId="8" xfId="17" applyNumberFormat="1" applyFont="1" applyBorder="1" applyAlignment="1">
      <alignment vertical="center"/>
    </xf>
    <xf numFmtId="0" fontId="11" fillId="0" borderId="9" xfId="17" applyFont="1" applyBorder="1" applyAlignment="1">
      <alignment horizontal="center" vertical="center"/>
    </xf>
    <xf numFmtId="0" fontId="11" fillId="0" borderId="9" xfId="17" applyFont="1" applyBorder="1" applyAlignment="1">
      <alignment vertical="center"/>
    </xf>
    <xf numFmtId="4" fontId="11" fillId="0" borderId="9" xfId="17" applyNumberFormat="1" applyFont="1" applyBorder="1" applyAlignment="1">
      <alignment vertical="center"/>
    </xf>
    <xf numFmtId="0" fontId="11" fillId="0" borderId="14" xfId="17" applyFont="1" applyBorder="1" applyAlignment="1">
      <alignment horizontal="center" vertical="center"/>
    </xf>
    <xf numFmtId="0" fontId="11" fillId="0" borderId="14" xfId="17" applyFont="1" applyBorder="1" applyAlignment="1">
      <alignment vertical="center"/>
    </xf>
    <xf numFmtId="4" fontId="11" fillId="0" borderId="14" xfId="17" applyNumberFormat="1" applyFont="1" applyBorder="1" applyAlignment="1">
      <alignment vertical="center"/>
    </xf>
    <xf numFmtId="0" fontId="16" fillId="0" borderId="0" xfId="17" applyFont="1" applyBorder="1" applyAlignment="1">
      <alignment horizontal="center" vertical="center"/>
    </xf>
    <xf numFmtId="4" fontId="15" fillId="2" borderId="17" xfId="17" applyNumberFormat="1" applyFont="1" applyFill="1" applyBorder="1" applyAlignment="1">
      <alignment vertical="center"/>
    </xf>
    <xf numFmtId="0" fontId="11" fillId="2" borderId="18" xfId="0" applyFont="1" applyFill="1" applyBorder="1" applyAlignment="1">
      <alignment horizontal="center" vertical="center"/>
    </xf>
    <xf numFmtId="0" fontId="15" fillId="2" borderId="1" xfId="0" applyFont="1" applyFill="1" applyBorder="1"/>
    <xf numFmtId="0" fontId="11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vertical="center"/>
    </xf>
    <xf numFmtId="0" fontId="11" fillId="0" borderId="22" xfId="0" applyFont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167" fontId="11" fillId="0" borderId="23" xfId="0" applyNumberFormat="1" applyFont="1" applyBorder="1" applyAlignment="1">
      <alignment vertical="center"/>
    </xf>
    <xf numFmtId="43" fontId="11" fillId="0" borderId="23" xfId="0" applyNumberFormat="1" applyFont="1" applyBorder="1" applyAlignment="1">
      <alignment vertical="center"/>
    </xf>
    <xf numFmtId="4" fontId="11" fillId="0" borderId="4" xfId="0" applyNumberFormat="1" applyFont="1" applyBorder="1" applyAlignment="1">
      <alignment vertical="center"/>
    </xf>
    <xf numFmtId="4" fontId="11" fillId="0" borderId="30" xfId="0" applyNumberFormat="1" applyFont="1" applyBorder="1" applyAlignment="1">
      <alignment vertical="center"/>
    </xf>
    <xf numFmtId="4" fontId="11" fillId="0" borderId="10" xfId="0" applyNumberFormat="1" applyFont="1" applyFill="1" applyBorder="1" applyAlignment="1">
      <alignment vertical="center"/>
    </xf>
    <xf numFmtId="4" fontId="15" fillId="2" borderId="18" xfId="0" applyNumberFormat="1" applyFont="1" applyFill="1" applyBorder="1" applyAlignment="1">
      <alignment vertical="center"/>
    </xf>
    <xf numFmtId="4" fontId="15" fillId="2" borderId="29" xfId="0" applyNumberFormat="1" applyFont="1" applyFill="1" applyBorder="1" applyAlignment="1">
      <alignment vertical="center"/>
    </xf>
    <xf numFmtId="4" fontId="15" fillId="2" borderId="11" xfId="0" applyNumberFormat="1" applyFont="1" applyFill="1" applyBorder="1" applyAlignment="1">
      <alignment vertical="center"/>
    </xf>
    <xf numFmtId="0" fontId="30" fillId="0" borderId="23" xfId="0" applyFont="1" applyBorder="1" applyAlignment="1">
      <alignment vertical="center"/>
    </xf>
    <xf numFmtId="0" fontId="30" fillId="0" borderId="9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4" fontId="31" fillId="2" borderId="17" xfId="0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3" fontId="11" fillId="0" borderId="31" xfId="0" applyNumberFormat="1" applyFont="1" applyBorder="1" applyAlignment="1">
      <alignment horizontal="center" vertical="center"/>
    </xf>
    <xf numFmtId="4" fontId="11" fillId="0" borderId="13" xfId="8" applyNumberFormat="1" applyFont="1" applyBorder="1" applyAlignment="1">
      <alignment vertical="center"/>
    </xf>
    <xf numFmtId="4" fontId="11" fillId="0" borderId="23" xfId="0" applyNumberFormat="1" applyFont="1" applyFill="1" applyBorder="1" applyAlignment="1">
      <alignment vertical="center"/>
    </xf>
    <xf numFmtId="3" fontId="11" fillId="0" borderId="24" xfId="0" applyNumberFormat="1" applyFont="1" applyBorder="1" applyAlignment="1">
      <alignment horizontal="center" vertical="center"/>
    </xf>
    <xf numFmtId="4" fontId="11" fillId="0" borderId="9" xfId="8" applyNumberFormat="1" applyFont="1" applyBorder="1" applyAlignment="1">
      <alignment vertical="center"/>
    </xf>
    <xf numFmtId="3" fontId="11" fillId="0" borderId="25" xfId="0" applyNumberFormat="1" applyFont="1" applyBorder="1" applyAlignment="1">
      <alignment horizontal="center" vertical="center"/>
    </xf>
    <xf numFmtId="4" fontId="11" fillId="0" borderId="6" xfId="0" applyNumberFormat="1" applyFont="1" applyBorder="1" applyAlignment="1">
      <alignment vertical="center"/>
    </xf>
    <xf numFmtId="0" fontId="17" fillId="0" borderId="32" xfId="0" applyFont="1" applyBorder="1" applyAlignment="1">
      <alignment horizontal="right" vertical="center"/>
    </xf>
    <xf numFmtId="0" fontId="15" fillId="2" borderId="6" xfId="8" applyFont="1" applyFill="1" applyBorder="1" applyAlignment="1">
      <alignment horizontal="center" vertical="center"/>
    </xf>
    <xf numFmtId="4" fontId="17" fillId="0" borderId="0" xfId="18" applyNumberFormat="1" applyFont="1" applyAlignment="1">
      <alignment horizontal="right" vertical="center"/>
    </xf>
    <xf numFmtId="4" fontId="11" fillId="0" borderId="0" xfId="18" applyNumberFormat="1" applyFont="1" applyBorder="1" applyAlignment="1">
      <alignment vertical="center"/>
    </xf>
    <xf numFmtId="4" fontId="11" fillId="0" borderId="0" xfId="18" applyNumberFormat="1" applyFont="1" applyAlignment="1">
      <alignment vertical="center"/>
    </xf>
    <xf numFmtId="3" fontId="11" fillId="0" borderId="8" xfId="18" applyNumberFormat="1" applyFont="1" applyBorder="1" applyAlignment="1">
      <alignment horizontal="center" vertical="center"/>
    </xf>
    <xf numFmtId="4" fontId="11" fillId="0" borderId="8" xfId="18" applyNumberFormat="1" applyFont="1" applyBorder="1" applyAlignment="1">
      <alignment vertical="center"/>
    </xf>
    <xf numFmtId="4" fontId="11" fillId="0" borderId="8" xfId="19" applyNumberFormat="1" applyFont="1" applyBorder="1" applyAlignment="1">
      <alignment vertical="center"/>
    </xf>
    <xf numFmtId="3" fontId="11" fillId="0" borderId="9" xfId="18" applyNumberFormat="1" applyFont="1" applyBorder="1" applyAlignment="1">
      <alignment horizontal="center" vertical="center"/>
    </xf>
    <xf numFmtId="4" fontId="11" fillId="0" borderId="9" xfId="18" applyNumberFormat="1" applyFont="1" applyBorder="1" applyAlignment="1">
      <alignment vertical="center"/>
    </xf>
    <xf numFmtId="3" fontId="11" fillId="0" borderId="9" xfId="19" applyNumberFormat="1" applyFont="1" applyBorder="1" applyAlignment="1">
      <alignment vertical="center"/>
    </xf>
    <xf numFmtId="3" fontId="11" fillId="0" borderId="14" xfId="18" applyNumberFormat="1" applyFont="1" applyBorder="1" applyAlignment="1">
      <alignment horizontal="center" vertical="center"/>
    </xf>
    <xf numFmtId="4" fontId="11" fillId="0" borderId="14" xfId="18" applyNumberFormat="1" applyFont="1" applyBorder="1" applyAlignment="1">
      <alignment vertical="center"/>
    </xf>
    <xf numFmtId="3" fontId="11" fillId="0" borderId="14" xfId="19" applyNumberFormat="1" applyFont="1" applyBorder="1" applyAlignment="1">
      <alignment vertical="center"/>
    </xf>
    <xf numFmtId="3" fontId="11" fillId="0" borderId="14" xfId="18" applyNumberFormat="1" applyFont="1" applyBorder="1" applyAlignment="1">
      <alignment vertical="center"/>
    </xf>
    <xf numFmtId="4" fontId="11" fillId="0" borderId="10" xfId="18" applyNumberFormat="1" applyFont="1" applyBorder="1" applyAlignment="1">
      <alignment vertical="center"/>
    </xf>
    <xf numFmtId="3" fontId="11" fillId="0" borderId="0" xfId="18" applyNumberFormat="1" applyFont="1" applyBorder="1" applyAlignment="1">
      <alignment horizontal="center" vertical="center"/>
    </xf>
    <xf numFmtId="3" fontId="15" fillId="2" borderId="17" xfId="19" applyNumberFormat="1" applyFont="1" applyFill="1" applyBorder="1" applyAlignment="1">
      <alignment vertical="center"/>
    </xf>
    <xf numFmtId="4" fontId="15" fillId="6" borderId="6" xfId="18" applyNumberFormat="1" applyFont="1" applyFill="1" applyBorder="1" applyAlignment="1">
      <alignment vertical="center"/>
    </xf>
    <xf numFmtId="4" fontId="17" fillId="0" borderId="0" xfId="20" applyNumberFormat="1" applyFont="1" applyAlignment="1">
      <alignment horizontal="right" vertical="center"/>
    </xf>
    <xf numFmtId="4" fontId="11" fillId="0" borderId="0" xfId="20" applyNumberFormat="1" applyFont="1" applyFill="1" applyBorder="1" applyAlignment="1">
      <alignment horizontal="center" vertical="center"/>
    </xf>
    <xf numFmtId="4" fontId="11" fillId="0" borderId="0" xfId="20" applyNumberFormat="1" applyFont="1" applyAlignment="1">
      <alignment vertical="center"/>
    </xf>
    <xf numFmtId="3" fontId="11" fillId="0" borderId="8" xfId="20" applyNumberFormat="1" applyFont="1" applyBorder="1" applyAlignment="1">
      <alignment horizontal="center" vertical="center"/>
    </xf>
    <xf numFmtId="4" fontId="11" fillId="0" borderId="8" xfId="20" applyNumberFormat="1" applyFont="1" applyBorder="1" applyAlignment="1">
      <alignment vertical="center"/>
    </xf>
    <xf numFmtId="4" fontId="11" fillId="0" borderId="23" xfId="20" applyNumberFormat="1" applyFont="1" applyFill="1" applyBorder="1" applyAlignment="1">
      <alignment vertical="center"/>
    </xf>
    <xf numFmtId="3" fontId="11" fillId="0" borderId="9" xfId="20" applyNumberFormat="1" applyFont="1" applyBorder="1" applyAlignment="1">
      <alignment horizontal="center" vertical="center"/>
    </xf>
    <xf numFmtId="4" fontId="11" fillId="0" borderId="9" xfId="20" applyNumberFormat="1" applyFont="1" applyBorder="1" applyAlignment="1">
      <alignment vertical="center"/>
    </xf>
    <xf numFmtId="3" fontId="11" fillId="0" borderId="22" xfId="20" applyNumberFormat="1" applyFont="1" applyBorder="1" applyAlignment="1">
      <alignment horizontal="center" vertical="center"/>
    </xf>
    <xf numFmtId="4" fontId="11" fillId="0" borderId="22" xfId="20" applyNumberFormat="1" applyFont="1" applyBorder="1" applyAlignment="1">
      <alignment vertical="center"/>
    </xf>
    <xf numFmtId="4" fontId="11" fillId="0" borderId="22" xfId="20" applyNumberFormat="1" applyFont="1" applyFill="1" applyBorder="1" applyAlignment="1">
      <alignment vertical="center"/>
    </xf>
    <xf numFmtId="4" fontId="11" fillId="0" borderId="0" xfId="20" applyNumberFormat="1" applyFont="1" applyFill="1" applyBorder="1" applyAlignment="1">
      <alignment vertical="center"/>
    </xf>
    <xf numFmtId="0" fontId="11" fillId="0" borderId="0" xfId="20" applyFont="1" applyAlignment="1">
      <alignment vertical="center"/>
    </xf>
    <xf numFmtId="0" fontId="15" fillId="2" borderId="33" xfId="20" applyFont="1" applyFill="1" applyBorder="1" applyAlignment="1">
      <alignment horizontal="center" vertical="center"/>
    </xf>
    <xf numFmtId="0" fontId="15" fillId="2" borderId="7" xfId="8" applyFont="1" applyFill="1" applyBorder="1" applyAlignment="1">
      <alignment horizontal="center" vertical="center"/>
    </xf>
    <xf numFmtId="4" fontId="15" fillId="2" borderId="17" xfId="21" applyNumberFormat="1" applyFont="1" applyFill="1" applyBorder="1" applyAlignment="1">
      <alignment vertical="center"/>
    </xf>
    <xf numFmtId="4" fontId="15" fillId="6" borderId="17" xfId="20" applyNumberFormat="1" applyFont="1" applyFill="1" applyBorder="1" applyAlignment="1">
      <alignment vertical="center"/>
    </xf>
    <xf numFmtId="4" fontId="11" fillId="0" borderId="9" xfId="22" applyNumberFormat="1" applyFont="1" applyBorder="1" applyAlignment="1">
      <alignment vertical="center"/>
    </xf>
    <xf numFmtId="4" fontId="11" fillId="0" borderId="23" xfId="22" applyNumberFormat="1" applyFont="1" applyBorder="1" applyAlignment="1">
      <alignment vertical="center"/>
    </xf>
    <xf numFmtId="4" fontId="11" fillId="0" borderId="32" xfId="0" applyNumberFormat="1" applyFont="1" applyFill="1" applyBorder="1" applyAlignment="1">
      <alignment vertical="center"/>
    </xf>
    <xf numFmtId="4" fontId="11" fillId="0" borderId="14" xfId="22" applyNumberFormat="1" applyFont="1" applyBorder="1" applyAlignment="1">
      <alignment vertical="center"/>
    </xf>
    <xf numFmtId="4" fontId="11" fillId="0" borderId="10" xfId="0" applyNumberFormat="1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center" vertical="center"/>
    </xf>
    <xf numFmtId="4" fontId="15" fillId="2" borderId="17" xfId="0" applyNumberFormat="1" applyFont="1" applyFill="1" applyBorder="1" applyAlignment="1">
      <alignment horizontal="center" vertical="center"/>
    </xf>
    <xf numFmtId="4" fontId="15" fillId="2" borderId="17" xfId="22" applyNumberFormat="1" applyFont="1" applyFill="1" applyBorder="1" applyAlignment="1">
      <alignment vertical="center"/>
    </xf>
    <xf numFmtId="4" fontId="15" fillId="6" borderId="23" xfId="20" applyNumberFormat="1" applyFont="1" applyFill="1" applyBorder="1" applyAlignment="1">
      <alignment vertical="center"/>
    </xf>
    <xf numFmtId="4" fontId="11" fillId="0" borderId="8" xfId="13" applyNumberFormat="1" applyFont="1" applyBorder="1" applyAlignment="1">
      <alignment vertical="center"/>
    </xf>
    <xf numFmtId="4" fontId="11" fillId="0" borderId="9" xfId="13" applyNumberFormat="1" applyFont="1" applyBorder="1" applyAlignment="1">
      <alignment vertical="center"/>
    </xf>
    <xf numFmtId="0" fontId="11" fillId="0" borderId="22" xfId="13" applyFont="1" applyBorder="1"/>
    <xf numFmtId="0" fontId="11" fillId="0" borderId="9" xfId="13" applyFont="1" applyBorder="1"/>
    <xf numFmtId="0" fontId="11" fillId="0" borderId="9" xfId="0" applyFont="1" applyBorder="1"/>
    <xf numFmtId="4" fontId="11" fillId="0" borderId="10" xfId="13" applyNumberFormat="1" applyFont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4" fontId="11" fillId="0" borderId="8" xfId="9" applyNumberFormat="1" applyFont="1" applyBorder="1" applyAlignment="1">
      <alignment vertical="center"/>
    </xf>
    <xf numFmtId="4" fontId="11" fillId="0" borderId="13" xfId="9" applyNumberFormat="1" applyFont="1" applyBorder="1" applyAlignment="1">
      <alignment vertical="center"/>
    </xf>
    <xf numFmtId="4" fontId="11" fillId="0" borderId="13" xfId="0" applyNumberFormat="1" applyFont="1" applyBorder="1" applyAlignment="1">
      <alignment vertical="center"/>
    </xf>
    <xf numFmtId="4" fontId="11" fillId="0" borderId="9" xfId="9" applyNumberFormat="1" applyFont="1" applyBorder="1" applyAlignment="1">
      <alignment vertical="center"/>
    </xf>
    <xf numFmtId="3" fontId="11" fillId="0" borderId="0" xfId="0" applyNumberFormat="1" applyFont="1" applyFill="1" applyBorder="1" applyAlignment="1">
      <alignment horizontal="center" vertical="center"/>
    </xf>
    <xf numFmtId="4" fontId="11" fillId="0" borderId="8" xfId="23" applyNumberFormat="1" applyFont="1" applyBorder="1" applyAlignment="1">
      <alignment vertical="center"/>
    </xf>
    <xf numFmtId="3" fontId="11" fillId="0" borderId="9" xfId="23" applyNumberFormat="1" applyFont="1" applyBorder="1" applyAlignment="1">
      <alignment vertical="center"/>
    </xf>
    <xf numFmtId="3" fontId="11" fillId="0" borderId="14" xfId="23" applyNumberFormat="1" applyFont="1" applyBorder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3" fontId="11" fillId="0" borderId="10" xfId="23" applyNumberFormat="1" applyFont="1" applyBorder="1" applyAlignment="1">
      <alignment vertical="center"/>
    </xf>
    <xf numFmtId="0" fontId="11" fillId="0" borderId="32" xfId="0" applyFont="1" applyBorder="1" applyAlignment="1">
      <alignment horizontal="center" vertical="center"/>
    </xf>
    <xf numFmtId="3" fontId="11" fillId="0" borderId="32" xfId="0" applyNumberFormat="1" applyFont="1" applyBorder="1" applyAlignment="1">
      <alignment vertical="center"/>
    </xf>
    <xf numFmtId="4" fontId="11" fillId="0" borderId="32" xfId="0" applyNumberFormat="1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7" fillId="0" borderId="0" xfId="0" applyFont="1" applyFill="1"/>
    <xf numFmtId="0" fontId="4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8" xfId="0" applyFont="1" applyBorder="1" applyAlignment="1">
      <alignment vertical="center"/>
    </xf>
    <xf numFmtId="165" fontId="12" fillId="0" borderId="8" xfId="0" applyNumberFormat="1" applyFont="1" applyBorder="1" applyAlignment="1">
      <alignment vertical="center"/>
    </xf>
    <xf numFmtId="4" fontId="15" fillId="0" borderId="8" xfId="0" applyNumberFormat="1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165" fontId="12" fillId="0" borderId="9" xfId="0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13" fillId="0" borderId="8" xfId="1" applyNumberFormat="1" applyFont="1" applyBorder="1" applyAlignment="1">
      <alignment vertical="center"/>
    </xf>
    <xf numFmtId="164" fontId="13" fillId="0" borderId="9" xfId="1" applyNumberFormat="1" applyFont="1" applyBorder="1" applyAlignment="1">
      <alignment vertical="center"/>
    </xf>
    <xf numFmtId="167" fontId="11" fillId="0" borderId="8" xfId="0" applyNumberFormat="1" applyFont="1" applyBorder="1" applyAlignment="1">
      <alignment vertical="center"/>
    </xf>
    <xf numFmtId="167" fontId="11" fillId="0" borderId="9" xfId="17" applyNumberFormat="1" applyFont="1" applyBorder="1" applyAlignment="1">
      <alignment vertical="center"/>
    </xf>
    <xf numFmtId="167" fontId="11" fillId="0" borderId="14" xfId="17" applyNumberFormat="1" applyFont="1" applyBorder="1" applyAlignment="1">
      <alignment vertical="center"/>
    </xf>
    <xf numFmtId="43" fontId="11" fillId="0" borderId="9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68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8" fontId="1" fillId="0" borderId="9" xfId="1" applyNumberFormat="1" applyFont="1" applyBorder="1" applyAlignment="1">
      <alignment vertical="center"/>
    </xf>
    <xf numFmtId="168" fontId="11" fillId="0" borderId="9" xfId="8" applyNumberFormat="1" applyFont="1" applyBorder="1" applyAlignment="1">
      <alignment vertical="center"/>
    </xf>
    <xf numFmtId="168" fontId="11" fillId="0" borderId="9" xfId="0" applyNumberFormat="1" applyFont="1" applyBorder="1" applyAlignment="1">
      <alignment vertical="center"/>
    </xf>
    <xf numFmtId="168" fontId="11" fillId="0" borderId="14" xfId="8" applyNumberFormat="1" applyFont="1" applyBorder="1" applyAlignment="1">
      <alignment vertical="center"/>
    </xf>
    <xf numFmtId="167" fontId="0" fillId="0" borderId="0" xfId="0" applyNumberFormat="1" applyAlignment="1">
      <alignment vertical="center"/>
    </xf>
    <xf numFmtId="167" fontId="7" fillId="0" borderId="0" xfId="0" applyNumberFormat="1" applyFont="1" applyAlignment="1">
      <alignment vertical="center"/>
    </xf>
    <xf numFmtId="168" fontId="11" fillId="0" borderId="9" xfId="11" applyNumberFormat="1" applyFont="1" applyBorder="1" applyAlignment="1">
      <alignment vertical="center"/>
    </xf>
    <xf numFmtId="168" fontId="11" fillId="0" borderId="14" xfId="11" applyNumberFormat="1" applyFont="1" applyBorder="1" applyAlignment="1">
      <alignment vertical="center"/>
    </xf>
    <xf numFmtId="168" fontId="11" fillId="0" borderId="14" xfId="0" applyNumberFormat="1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4" fontId="11" fillId="0" borderId="9" xfId="0" applyNumberFormat="1" applyFont="1" applyBorder="1" applyAlignment="1">
      <alignment horizontal="right" vertical="center"/>
    </xf>
    <xf numFmtId="4" fontId="11" fillId="0" borderId="14" xfId="0" applyNumberFormat="1" applyFont="1" applyBorder="1" applyAlignment="1">
      <alignment horizontal="right" vertical="center"/>
    </xf>
    <xf numFmtId="4" fontId="11" fillId="0" borderId="9" xfId="17" applyNumberFormat="1" applyFont="1" applyBorder="1" applyAlignment="1">
      <alignment horizontal="right" vertical="center"/>
    </xf>
    <xf numFmtId="4" fontId="11" fillId="0" borderId="14" xfId="17" applyNumberFormat="1" applyFont="1" applyBorder="1" applyAlignment="1">
      <alignment horizontal="right" vertical="center"/>
    </xf>
    <xf numFmtId="0" fontId="33" fillId="0" borderId="0" xfId="0" applyFont="1" applyAlignment="1">
      <alignment horizontal="center" vertical="center"/>
    </xf>
    <xf numFmtId="164" fontId="0" fillId="0" borderId="0" xfId="1" applyNumberFormat="1" applyFont="1"/>
    <xf numFmtId="169" fontId="4" fillId="0" borderId="0" xfId="0" applyNumberFormat="1" applyFont="1" applyAlignment="1">
      <alignment horizontal="center" vertical="center"/>
    </xf>
    <xf numFmtId="165" fontId="11" fillId="0" borderId="23" xfId="0" applyNumberFormat="1" applyFont="1" applyFill="1" applyBorder="1" applyAlignment="1">
      <alignment vertical="center"/>
    </xf>
    <xf numFmtId="4" fontId="11" fillId="6" borderId="22" xfId="0" applyNumberFormat="1" applyFont="1" applyFill="1" applyBorder="1" applyAlignment="1">
      <alignment vertical="center"/>
    </xf>
    <xf numFmtId="43" fontId="0" fillId="0" borderId="0" xfId="1" applyFont="1"/>
    <xf numFmtId="43" fontId="0" fillId="0" borderId="0" xfId="1" applyFont="1"/>
    <xf numFmtId="43" fontId="0" fillId="0" borderId="0" xfId="0" applyNumberFormat="1"/>
    <xf numFmtId="0" fontId="4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4" fontId="11" fillId="0" borderId="0" xfId="20" applyNumberFormat="1" applyFont="1" applyFill="1" applyBorder="1" applyAlignment="1">
      <alignment horizontal="left" vertical="center"/>
    </xf>
    <xf numFmtId="4" fontId="11" fillId="0" borderId="0" xfId="0" applyNumberFormat="1" applyFont="1" applyFill="1" applyBorder="1" applyAlignment="1">
      <alignment horizontal="left" vertical="center"/>
    </xf>
    <xf numFmtId="0" fontId="11" fillId="0" borderId="32" xfId="0" applyFont="1" applyFill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3" fontId="11" fillId="0" borderId="0" xfId="0" applyNumberFormat="1" applyFont="1" applyBorder="1" applyAlignment="1">
      <alignment vertical="center"/>
    </xf>
    <xf numFmtId="43" fontId="11" fillId="0" borderId="9" xfId="1" applyFont="1" applyBorder="1" applyAlignment="1">
      <alignment vertical="center"/>
    </xf>
    <xf numFmtId="43" fontId="11" fillId="0" borderId="9" xfId="23" applyNumberFormat="1" applyFont="1" applyBorder="1" applyAlignment="1">
      <alignment vertical="center"/>
    </xf>
    <xf numFmtId="43" fontId="11" fillId="0" borderId="14" xfId="23" applyNumberFormat="1" applyFont="1" applyBorder="1" applyAlignment="1">
      <alignment vertical="center"/>
    </xf>
    <xf numFmtId="4" fontId="35" fillId="0" borderId="0" xfId="0" applyNumberFormat="1" applyFont="1" applyAlignment="1">
      <alignment vertical="center"/>
    </xf>
    <xf numFmtId="0" fontId="36" fillId="2" borderId="2" xfId="0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 vertical="center"/>
    </xf>
    <xf numFmtId="3" fontId="35" fillId="0" borderId="9" xfId="0" applyNumberFormat="1" applyFont="1" applyBorder="1" applyAlignment="1">
      <alignment horizontal="center" vertical="center"/>
    </xf>
    <xf numFmtId="4" fontId="35" fillId="0" borderId="23" xfId="0" applyNumberFormat="1" applyFont="1" applyBorder="1" applyAlignment="1">
      <alignment vertical="center"/>
    </xf>
    <xf numFmtId="4" fontId="35" fillId="0" borderId="9" xfId="0" applyNumberFormat="1" applyFont="1" applyBorder="1" applyAlignment="1">
      <alignment vertical="center"/>
    </xf>
    <xf numFmtId="4" fontId="36" fillId="2" borderId="17" xfId="0" applyNumberFormat="1" applyFont="1" applyFill="1" applyBorder="1" applyAlignment="1">
      <alignment vertical="center"/>
    </xf>
    <xf numFmtId="4" fontId="36" fillId="2" borderId="17" xfId="0" applyNumberFormat="1" applyFont="1" applyFill="1" applyBorder="1" applyAlignment="1">
      <alignment horizontal="center" vertical="center"/>
    </xf>
    <xf numFmtId="3" fontId="36" fillId="2" borderId="17" xfId="0" applyNumberFormat="1" applyFont="1" applyFill="1" applyBorder="1" applyAlignment="1">
      <alignment horizontal="center" vertical="center"/>
    </xf>
    <xf numFmtId="0" fontId="36" fillId="2" borderId="35" xfId="0" applyFont="1" applyFill="1" applyBorder="1" applyAlignment="1">
      <alignment horizontal="center" vertical="center" wrapText="1"/>
    </xf>
    <xf numFmtId="0" fontId="36" fillId="2" borderId="6" xfId="0" applyFont="1" applyFill="1" applyBorder="1" applyAlignment="1">
      <alignment horizontal="center" vertical="center" wrapText="1"/>
    </xf>
    <xf numFmtId="4" fontId="35" fillId="0" borderId="9" xfId="0" applyNumberFormat="1" applyFont="1" applyBorder="1" applyAlignment="1">
      <alignment horizontal="center" vertical="center"/>
    </xf>
    <xf numFmtId="4" fontId="36" fillId="2" borderId="16" xfId="0" applyNumberFormat="1" applyFont="1" applyFill="1" applyBorder="1" applyAlignment="1">
      <alignment horizontal="center" vertical="center"/>
    </xf>
    <xf numFmtId="3" fontId="35" fillId="0" borderId="21" xfId="0" applyNumberFormat="1" applyFont="1" applyBorder="1" applyAlignment="1">
      <alignment horizontal="center" vertical="center"/>
    </xf>
    <xf numFmtId="3" fontId="36" fillId="2" borderId="16" xfId="0" applyNumberFormat="1" applyFont="1" applyFill="1" applyBorder="1" applyAlignment="1">
      <alignment horizontal="center" vertical="center"/>
    </xf>
    <xf numFmtId="3" fontId="35" fillId="0" borderId="40" xfId="0" applyNumberFormat="1" applyFont="1" applyBorder="1" applyAlignment="1">
      <alignment horizontal="center" vertical="center"/>
    </xf>
    <xf numFmtId="3" fontId="35" fillId="0" borderId="41" xfId="0" applyNumberFormat="1" applyFont="1" applyBorder="1" applyAlignment="1">
      <alignment horizontal="center" vertical="center"/>
    </xf>
    <xf numFmtId="3" fontId="36" fillId="2" borderId="42" xfId="0" applyNumberFormat="1" applyFont="1" applyFill="1" applyBorder="1" applyAlignment="1">
      <alignment horizontal="center" vertical="center"/>
    </xf>
    <xf numFmtId="3" fontId="36" fillId="2" borderId="43" xfId="0" applyNumberFormat="1" applyFont="1" applyFill="1" applyBorder="1" applyAlignment="1">
      <alignment horizontal="center" vertical="center"/>
    </xf>
    <xf numFmtId="4" fontId="36" fillId="2" borderId="15" xfId="0" applyNumberFormat="1" applyFont="1" applyFill="1" applyBorder="1" applyAlignment="1">
      <alignment horizontal="center" vertical="center"/>
    </xf>
    <xf numFmtId="4" fontId="36" fillId="2" borderId="16" xfId="0" applyNumberFormat="1" applyFont="1" applyFill="1" applyBorder="1" applyAlignment="1">
      <alignment horizontal="center" vertical="center"/>
    </xf>
    <xf numFmtId="0" fontId="37" fillId="2" borderId="6" xfId="0" applyFont="1" applyFill="1" applyBorder="1" applyAlignment="1">
      <alignment horizontal="center" vertical="center"/>
    </xf>
    <xf numFmtId="4" fontId="34" fillId="0" borderId="0" xfId="0" applyNumberFormat="1" applyFont="1" applyFill="1" applyAlignment="1">
      <alignment horizontal="center" vertical="center"/>
    </xf>
    <xf numFmtId="4" fontId="35" fillId="0" borderId="0" xfId="0" applyNumberFormat="1" applyFont="1" applyFill="1" applyAlignment="1">
      <alignment vertical="center"/>
    </xf>
    <xf numFmtId="0" fontId="36" fillId="0" borderId="0" xfId="0" applyFont="1" applyFill="1" applyBorder="1" applyAlignment="1">
      <alignment horizontal="center" vertical="center"/>
    </xf>
    <xf numFmtId="3" fontId="35" fillId="0" borderId="0" xfId="0" applyNumberFormat="1" applyFont="1" applyFill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3" fontId="35" fillId="0" borderId="24" xfId="0" applyNumberFormat="1" applyFont="1" applyBorder="1" applyAlignment="1">
      <alignment horizontal="center" vertical="center"/>
    </xf>
    <xf numFmtId="4" fontId="35" fillId="0" borderId="46" xfId="0" applyNumberFormat="1" applyFont="1" applyBorder="1" applyAlignment="1">
      <alignment vertical="center"/>
    </xf>
    <xf numFmtId="4" fontId="35" fillId="0" borderId="21" xfId="0" applyNumberFormat="1" applyFont="1" applyBorder="1" applyAlignment="1">
      <alignment vertical="center"/>
    </xf>
    <xf numFmtId="3" fontId="35" fillId="0" borderId="47" xfId="0" applyNumberFormat="1" applyFont="1" applyBorder="1" applyAlignment="1">
      <alignment horizontal="center" vertical="center"/>
    </xf>
    <xf numFmtId="4" fontId="35" fillId="0" borderId="48" xfId="0" applyNumberFormat="1" applyFont="1" applyBorder="1" applyAlignment="1">
      <alignment vertical="center"/>
    </xf>
    <xf numFmtId="4" fontId="35" fillId="0" borderId="49" xfId="0" applyNumberFormat="1" applyFont="1" applyBorder="1" applyAlignment="1">
      <alignment vertical="center"/>
    </xf>
    <xf numFmtId="3" fontId="35" fillId="0" borderId="24" xfId="0" quotePrefix="1" applyNumberFormat="1" applyFont="1" applyBorder="1" applyAlignment="1">
      <alignment horizontal="center" vertical="center"/>
    </xf>
    <xf numFmtId="3" fontId="35" fillId="0" borderId="47" xfId="0" quotePrefix="1" applyNumberFormat="1" applyFont="1" applyBorder="1" applyAlignment="1">
      <alignment horizontal="center" vertical="center"/>
    </xf>
    <xf numFmtId="3" fontId="36" fillId="0" borderId="9" xfId="0" applyNumberFormat="1" applyFont="1" applyBorder="1" applyAlignment="1">
      <alignment horizontal="center" vertical="center"/>
    </xf>
    <xf numFmtId="4" fontId="35" fillId="0" borderId="0" xfId="0" applyNumberFormat="1" applyFont="1" applyAlignment="1">
      <alignment horizontal="right" vertical="center"/>
    </xf>
    <xf numFmtId="3" fontId="36" fillId="0" borderId="31" xfId="0" applyNumberFormat="1" applyFont="1" applyBorder="1" applyAlignment="1">
      <alignment horizontal="left" vertical="center"/>
    </xf>
    <xf numFmtId="4" fontId="35" fillId="0" borderId="52" xfId="0" applyNumberFormat="1" applyFont="1" applyBorder="1" applyAlignment="1">
      <alignment vertical="center"/>
    </xf>
    <xf numFmtId="3" fontId="35" fillId="0" borderId="31" xfId="0" applyNumberFormat="1" applyFont="1" applyBorder="1" applyAlignment="1">
      <alignment horizontal="left" vertical="center"/>
    </xf>
    <xf numFmtId="3" fontId="35" fillId="0" borderId="51" xfId="0" applyNumberFormat="1" applyFont="1" applyBorder="1" applyAlignment="1">
      <alignment horizontal="center" vertical="center"/>
    </xf>
    <xf numFmtId="4" fontId="11" fillId="0" borderId="0" xfId="0" applyNumberFormat="1" applyFont="1" applyBorder="1" applyAlignment="1">
      <alignment horizontal="left" vertical="center"/>
    </xf>
    <xf numFmtId="3" fontId="35" fillId="0" borderId="31" xfId="0" applyNumberFormat="1" applyFont="1" applyBorder="1" applyAlignment="1">
      <alignment horizontal="center" vertical="center"/>
    </xf>
    <xf numFmtId="3" fontId="36" fillId="2" borderId="15" xfId="0" applyNumberFormat="1" applyFont="1" applyFill="1" applyBorder="1" applyAlignment="1">
      <alignment horizontal="center" vertical="center"/>
    </xf>
    <xf numFmtId="4" fontId="36" fillId="2" borderId="34" xfId="0" applyNumberFormat="1" applyFont="1" applyFill="1" applyBorder="1" applyAlignment="1">
      <alignment horizontal="center" vertical="center"/>
    </xf>
    <xf numFmtId="4" fontId="36" fillId="2" borderId="44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left"/>
    </xf>
    <xf numFmtId="3" fontId="36" fillId="2" borderId="44" xfId="0" applyNumberFormat="1" applyFont="1" applyFill="1" applyBorder="1" applyAlignment="1">
      <alignment horizontal="center" vertical="center"/>
    </xf>
    <xf numFmtId="166" fontId="7" fillId="0" borderId="24" xfId="1" applyNumberFormat="1" applyFont="1" applyBorder="1"/>
    <xf numFmtId="4" fontId="35" fillId="0" borderId="47" xfId="0" applyNumberFormat="1" applyFont="1" applyBorder="1" applyAlignment="1">
      <alignment vertical="center"/>
    </xf>
    <xf numFmtId="166" fontId="7" fillId="0" borderId="24" xfId="1" applyNumberFormat="1" applyFont="1" applyBorder="1" applyAlignment="1">
      <alignment horizontal="right"/>
    </xf>
    <xf numFmtId="166" fontId="35" fillId="0" borderId="24" xfId="1" applyNumberFormat="1" applyFont="1" applyBorder="1" applyAlignment="1">
      <alignment vertical="center"/>
    </xf>
    <xf numFmtId="166" fontId="35" fillId="0" borderId="24" xfId="1" applyNumberFormat="1" applyFont="1" applyBorder="1" applyAlignment="1">
      <alignment horizontal="left" vertical="center"/>
    </xf>
    <xf numFmtId="166" fontId="35" fillId="0" borderId="24" xfId="1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4" fontId="11" fillId="2" borderId="15" xfId="5" applyNumberFormat="1" applyFont="1" applyFill="1" applyBorder="1" applyAlignment="1">
      <alignment vertical="center"/>
    </xf>
    <xf numFmtId="4" fontId="11" fillId="2" borderId="16" xfId="5" applyNumberFormat="1" applyFont="1" applyFill="1" applyBorder="1" applyAlignment="1">
      <alignment vertical="center"/>
    </xf>
    <xf numFmtId="43" fontId="11" fillId="0" borderId="8" xfId="1" applyFont="1" applyBorder="1" applyAlignment="1">
      <alignment vertical="center"/>
    </xf>
    <xf numFmtId="166" fontId="11" fillId="0" borderId="24" xfId="1" applyNumberFormat="1" applyFont="1" applyBorder="1" applyAlignment="1">
      <alignment vertical="center"/>
    </xf>
    <xf numFmtId="166" fontId="11" fillId="0" borderId="9" xfId="1" applyNumberFormat="1" applyFont="1" applyBorder="1" applyAlignment="1">
      <alignment vertical="center"/>
    </xf>
    <xf numFmtId="0" fontId="11" fillId="0" borderId="0" xfId="5" applyFont="1" applyAlignment="1">
      <alignment horizontal="right" vertical="center"/>
    </xf>
    <xf numFmtId="164" fontId="11" fillId="0" borderId="8" xfId="1" applyNumberFormat="1" applyFont="1" applyBorder="1" applyAlignment="1">
      <alignment vertical="center"/>
    </xf>
    <xf numFmtId="164" fontId="11" fillId="0" borderId="9" xfId="1" applyNumberFormat="1" applyFont="1" applyBorder="1" applyAlignment="1">
      <alignment vertical="center"/>
    </xf>
    <xf numFmtId="164" fontId="11" fillId="0" borderId="22" xfId="1" applyNumberFormat="1" applyFont="1" applyBorder="1" applyAlignment="1">
      <alignment vertical="center"/>
    </xf>
    <xf numFmtId="164" fontId="11" fillId="2" borderId="17" xfId="5" applyNumberFormat="1" applyFont="1" applyFill="1" applyBorder="1" applyAlignment="1">
      <alignment vertical="center"/>
    </xf>
    <xf numFmtId="0" fontId="28" fillId="0" borderId="0" xfId="5" applyFont="1" applyAlignment="1">
      <alignment horizontal="right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4" fontId="36" fillId="2" borderId="19" xfId="0" applyNumberFormat="1" applyFont="1" applyFill="1" applyBorder="1" applyAlignment="1">
      <alignment horizontal="center" vertical="center"/>
    </xf>
    <xf numFmtId="165" fontId="11" fillId="0" borderId="0" xfId="7" applyNumberFormat="1" applyFont="1" applyAlignment="1">
      <alignment vertical="center"/>
    </xf>
    <xf numFmtId="166" fontId="11" fillId="0" borderId="23" xfId="7" applyNumberFormat="1" applyFont="1" applyBorder="1" applyAlignment="1">
      <alignment horizontal="right" vertical="center"/>
    </xf>
    <xf numFmtId="166" fontId="11" fillId="0" borderId="9" xfId="7" applyNumberFormat="1" applyFont="1" applyBorder="1" applyAlignment="1">
      <alignment horizontal="right" vertical="center"/>
    </xf>
    <xf numFmtId="166" fontId="11" fillId="0" borderId="10" xfId="7" applyNumberFormat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5" fillId="2" borderId="19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3" fontId="7" fillId="0" borderId="0" xfId="0" applyNumberFormat="1" applyFont="1"/>
    <xf numFmtId="0" fontId="0" fillId="0" borderId="0" xfId="0" applyFill="1" applyAlignment="1">
      <alignment vertical="center"/>
    </xf>
    <xf numFmtId="0" fontId="11" fillId="0" borderId="1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11" fillId="0" borderId="8" xfId="0" applyFont="1" applyFill="1" applyBorder="1" applyAlignment="1">
      <alignment vertical="center"/>
    </xf>
    <xf numFmtId="3" fontId="11" fillId="0" borderId="8" xfId="0" applyNumberFormat="1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1" fillId="0" borderId="14" xfId="0" applyFont="1" applyFill="1" applyBorder="1" applyAlignment="1">
      <alignment vertical="center"/>
    </xf>
    <xf numFmtId="3" fontId="11" fillId="0" borderId="14" xfId="0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1" fillId="0" borderId="23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5" fillId="2" borderId="6" xfId="9" applyFont="1" applyFill="1" applyBorder="1" applyAlignment="1">
      <alignment horizontal="center" vertical="center"/>
    </xf>
    <xf numFmtId="166" fontId="11" fillId="0" borderId="8" xfId="0" applyNumberFormat="1" applyFont="1" applyFill="1" applyBorder="1" applyAlignment="1">
      <alignment vertical="center"/>
    </xf>
    <xf numFmtId="166" fontId="11" fillId="0" borderId="9" xfId="0" applyNumberFormat="1" applyFont="1" applyFill="1" applyBorder="1" applyAlignment="1">
      <alignment vertical="center"/>
    </xf>
    <xf numFmtId="166" fontId="11" fillId="0" borderId="22" xfId="0" applyNumberFormat="1" applyFont="1" applyFill="1" applyBorder="1" applyAlignment="1">
      <alignment vertical="center"/>
    </xf>
    <xf numFmtId="4" fontId="11" fillId="0" borderId="0" xfId="0" applyNumberFormat="1" applyFont="1" applyFill="1" applyAlignment="1">
      <alignment vertical="center"/>
    </xf>
    <xf numFmtId="3" fontId="15" fillId="6" borderId="17" xfId="0" applyNumberFormat="1" applyFont="1" applyFill="1" applyBorder="1" applyAlignment="1">
      <alignment vertical="center"/>
    </xf>
    <xf numFmtId="165" fontId="15" fillId="6" borderId="17" xfId="0" applyNumberFormat="1" applyFont="1" applyFill="1" applyBorder="1" applyAlignment="1">
      <alignment vertical="center"/>
    </xf>
    <xf numFmtId="4" fontId="11" fillId="6" borderId="17" xfId="0" applyNumberFormat="1" applyFont="1" applyFill="1" applyBorder="1" applyAlignment="1">
      <alignment vertical="center"/>
    </xf>
    <xf numFmtId="0" fontId="15" fillId="2" borderId="2" xfId="0" applyFont="1" applyFill="1" applyBorder="1" applyAlignment="1">
      <alignment horizontal="center" wrapText="1"/>
    </xf>
    <xf numFmtId="0" fontId="15" fillId="2" borderId="6" xfId="0" applyFont="1" applyFill="1" applyBorder="1" applyAlignment="1">
      <alignment horizontal="center" wrapText="1"/>
    </xf>
    <xf numFmtId="0" fontId="15" fillId="2" borderId="6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7" borderId="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43" fontId="11" fillId="0" borderId="0" xfId="1" applyFont="1" applyFill="1" applyBorder="1" applyAlignment="1">
      <alignment vertical="center"/>
    </xf>
    <xf numFmtId="4" fontId="11" fillId="0" borderId="0" xfId="5" applyNumberFormat="1" applyFont="1" applyFill="1" applyBorder="1" applyAlignment="1">
      <alignment vertical="center"/>
    </xf>
    <xf numFmtId="3" fontId="11" fillId="0" borderId="13" xfId="0" applyNumberFormat="1" applyFont="1" applyFill="1" applyBorder="1" applyAlignment="1">
      <alignment vertical="center"/>
    </xf>
    <xf numFmtId="3" fontId="11" fillId="0" borderId="23" xfId="0" applyNumberFormat="1" applyFont="1" applyFill="1" applyBorder="1" applyAlignment="1">
      <alignment vertical="center"/>
    </xf>
    <xf numFmtId="0" fontId="42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167" fontId="11" fillId="0" borderId="8" xfId="9" applyNumberFormat="1" applyFont="1" applyFill="1" applyBorder="1" applyAlignment="1">
      <alignment vertical="center"/>
    </xf>
    <xf numFmtId="167" fontId="11" fillId="0" borderId="9" xfId="9" applyNumberFormat="1" applyFont="1" applyFill="1" applyBorder="1" applyAlignment="1">
      <alignment vertical="center"/>
    </xf>
    <xf numFmtId="167" fontId="11" fillId="0" borderId="14" xfId="9" applyNumberFormat="1" applyFont="1" applyFill="1" applyBorder="1" applyAlignment="1">
      <alignment vertical="center"/>
    </xf>
    <xf numFmtId="170" fontId="11" fillId="0" borderId="8" xfId="0" applyNumberFormat="1" applyFont="1" applyFill="1" applyBorder="1" applyAlignment="1">
      <alignment vertical="center"/>
    </xf>
    <xf numFmtId="170" fontId="11" fillId="0" borderId="9" xfId="0" applyNumberFormat="1" applyFont="1" applyFill="1" applyBorder="1" applyAlignment="1">
      <alignment vertical="center"/>
    </xf>
    <xf numFmtId="170" fontId="4" fillId="0" borderId="0" xfId="0" applyNumberFormat="1" applyFont="1" applyAlignment="1">
      <alignment horizontal="center" vertical="center"/>
    </xf>
    <xf numFmtId="170" fontId="4" fillId="0" borderId="0" xfId="1" applyNumberFormat="1" applyFont="1" applyAlignment="1">
      <alignment horizontal="center" vertical="center"/>
    </xf>
    <xf numFmtId="170" fontId="0" fillId="0" borderId="0" xfId="0" applyNumberFormat="1" applyAlignment="1">
      <alignment vertical="center"/>
    </xf>
    <xf numFmtId="168" fontId="11" fillId="0" borderId="8" xfId="15" applyNumberFormat="1" applyFont="1" applyFill="1" applyBorder="1" applyAlignment="1">
      <alignment vertical="center"/>
    </xf>
    <xf numFmtId="168" fontId="11" fillId="0" borderId="9" xfId="15" applyNumberFormat="1" applyFont="1" applyFill="1" applyBorder="1" applyAlignment="1">
      <alignment vertical="center"/>
    </xf>
    <xf numFmtId="166" fontId="11" fillId="0" borderId="8" xfId="0" applyNumberFormat="1" applyFont="1" applyBorder="1" applyAlignment="1">
      <alignment vertical="center"/>
    </xf>
    <xf numFmtId="166" fontId="11" fillId="0" borderId="9" xfId="0" applyNumberFormat="1" applyFont="1" applyBorder="1" applyAlignment="1">
      <alignment vertical="center"/>
    </xf>
    <xf numFmtId="169" fontId="0" fillId="0" borderId="0" xfId="0" applyNumberFormat="1" applyAlignment="1">
      <alignment vertical="center"/>
    </xf>
    <xf numFmtId="43" fontId="11" fillId="0" borderId="8" xfId="1" applyNumberFormat="1" applyFont="1" applyBorder="1" applyAlignment="1">
      <alignment vertical="center"/>
    </xf>
    <xf numFmtId="43" fontId="11" fillId="0" borderId="8" xfId="1" applyNumberFormat="1" applyFont="1" applyFill="1" applyBorder="1" applyAlignment="1">
      <alignment vertical="center"/>
    </xf>
    <xf numFmtId="43" fontId="11" fillId="0" borderId="9" xfId="1" applyNumberFormat="1" applyFont="1" applyBorder="1" applyAlignment="1">
      <alignment vertical="center"/>
    </xf>
    <xf numFmtId="43" fontId="11" fillId="0" borderId="9" xfId="1" applyNumberFormat="1" applyFont="1" applyFill="1" applyBorder="1" applyAlignment="1">
      <alignment vertical="center"/>
    </xf>
    <xf numFmtId="4" fontId="15" fillId="6" borderId="17" xfId="0" applyNumberFormat="1" applyFont="1" applyFill="1" applyBorder="1" applyAlignment="1">
      <alignment vertical="center"/>
    </xf>
    <xf numFmtId="166" fontId="11" fillId="0" borderId="21" xfId="1" applyNumberFormat="1" applyFont="1" applyFill="1" applyBorder="1" applyAlignment="1">
      <alignment vertical="center"/>
    </xf>
    <xf numFmtId="166" fontId="0" fillId="0" borderId="0" xfId="1" applyNumberFormat="1" applyFont="1" applyAlignment="1">
      <alignment vertical="center"/>
    </xf>
    <xf numFmtId="0" fontId="11" fillId="2" borderId="6" xfId="8" applyFont="1" applyFill="1" applyBorder="1" applyAlignment="1">
      <alignment horizontal="center" vertical="center"/>
    </xf>
    <xf numFmtId="164" fontId="11" fillId="0" borderId="8" xfId="1" applyNumberFormat="1" applyFont="1" applyFill="1" applyBorder="1" applyAlignment="1">
      <alignment vertical="center"/>
    </xf>
    <xf numFmtId="164" fontId="11" fillId="0" borderId="9" xfId="1" applyNumberFormat="1" applyFont="1" applyFill="1" applyBorder="1" applyAlignment="1">
      <alignment vertical="center"/>
    </xf>
    <xf numFmtId="164" fontId="11" fillId="0" borderId="22" xfId="1" applyNumberFormat="1" applyFont="1" applyBorder="1" applyAlignment="1">
      <alignment horizontal="right" vertical="center"/>
    </xf>
    <xf numFmtId="164" fontId="11" fillId="0" borderId="22" xfId="1" applyNumberFormat="1" applyFont="1" applyFill="1" applyBorder="1" applyAlignment="1">
      <alignment vertical="center"/>
    </xf>
    <xf numFmtId="164" fontId="15" fillId="2" borderId="17" xfId="1" applyNumberFormat="1" applyFont="1" applyFill="1" applyBorder="1" applyAlignment="1">
      <alignment vertical="center"/>
    </xf>
    <xf numFmtId="4" fontId="11" fillId="0" borderId="8" xfId="8" applyNumberFormat="1" applyFont="1" applyBorder="1" applyAlignment="1">
      <alignment vertical="center"/>
    </xf>
    <xf numFmtId="165" fontId="35" fillId="0" borderId="9" xfId="0" applyNumberFormat="1" applyFont="1" applyBorder="1" applyAlignment="1">
      <alignment vertical="center"/>
    </xf>
    <xf numFmtId="165" fontId="38" fillId="0" borderId="9" xfId="0" applyNumberFormat="1" applyFont="1" applyBorder="1" applyAlignment="1">
      <alignment vertical="center"/>
    </xf>
    <xf numFmtId="165" fontId="36" fillId="2" borderId="17" xfId="0" applyNumberFormat="1" applyFont="1" applyFill="1" applyBorder="1" applyAlignment="1">
      <alignment vertical="center"/>
    </xf>
    <xf numFmtId="165" fontId="37" fillId="2" borderId="17" xfId="0" applyNumberFormat="1" applyFont="1" applyFill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165" fontId="11" fillId="3" borderId="9" xfId="0" applyNumberFormat="1" applyFont="1" applyFill="1" applyBorder="1" applyAlignment="1">
      <alignment vertical="center"/>
    </xf>
    <xf numFmtId="165" fontId="0" fillId="0" borderId="0" xfId="0" applyNumberFormat="1"/>
    <xf numFmtId="4" fontId="43" fillId="0" borderId="0" xfId="0" applyNumberFormat="1" applyFont="1"/>
    <xf numFmtId="0" fontId="4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4" fontId="15" fillId="0" borderId="12" xfId="0" applyNumberFormat="1" applyFont="1" applyBorder="1" applyAlignment="1">
      <alignment vertical="center"/>
    </xf>
    <xf numFmtId="4" fontId="15" fillId="0" borderId="12" xfId="0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166" fontId="7" fillId="0" borderId="24" xfId="1" applyNumberFormat="1" applyFont="1" applyFill="1" applyBorder="1"/>
    <xf numFmtId="164" fontId="1" fillId="0" borderId="8" xfId="1" applyNumberFormat="1" applyFont="1" applyFill="1" applyBorder="1" applyAlignment="1">
      <alignment vertical="center"/>
    </xf>
    <xf numFmtId="164" fontId="1" fillId="0" borderId="9" xfId="1" applyNumberFormat="1" applyFont="1" applyFill="1" applyBorder="1" applyAlignment="1">
      <alignment vertical="center"/>
    </xf>
    <xf numFmtId="164" fontId="1" fillId="0" borderId="23" xfId="1" applyNumberFormat="1" applyFont="1" applyFill="1" applyBorder="1" applyAlignment="1">
      <alignment vertical="center"/>
    </xf>
    <xf numFmtId="164" fontId="1" fillId="0" borderId="6" xfId="1" applyNumberFormat="1" applyFont="1" applyFill="1" applyBorder="1" applyAlignment="1">
      <alignment vertical="center"/>
    </xf>
    <xf numFmtId="166" fontId="1" fillId="0" borderId="8" xfId="1" applyNumberFormat="1" applyFont="1" applyFill="1" applyBorder="1" applyAlignment="1">
      <alignment vertical="center"/>
    </xf>
    <xf numFmtId="166" fontId="1" fillId="0" borderId="9" xfId="1" applyNumberFormat="1" applyFont="1" applyFill="1" applyBorder="1" applyAlignment="1">
      <alignment vertical="center"/>
    </xf>
    <xf numFmtId="164" fontId="1" fillId="0" borderId="10" xfId="1" applyNumberFormat="1" applyFont="1" applyFill="1" applyBorder="1" applyAlignment="1">
      <alignment vertical="center"/>
    </xf>
    <xf numFmtId="43" fontId="11" fillId="0" borderId="22" xfId="1" applyFont="1" applyBorder="1" applyAlignment="1">
      <alignment vertical="center"/>
    </xf>
    <xf numFmtId="43" fontId="15" fillId="2" borderId="17" xfId="1" applyFont="1" applyFill="1" applyBorder="1" applyAlignment="1">
      <alignment vertical="center"/>
    </xf>
    <xf numFmtId="171" fontId="0" fillId="0" borderId="0" xfId="0" applyNumberFormat="1" applyAlignment="1">
      <alignment vertical="center"/>
    </xf>
    <xf numFmtId="4" fontId="4" fillId="0" borderId="0" xfId="0" applyNumberFormat="1" applyFont="1" applyAlignment="1">
      <alignment horizontal="center" vertical="center"/>
    </xf>
    <xf numFmtId="164" fontId="1" fillId="3" borderId="8" xfId="1" applyNumberFormat="1" applyFont="1" applyFill="1" applyBorder="1" applyAlignment="1">
      <alignment vertical="center"/>
    </xf>
    <xf numFmtId="164" fontId="1" fillId="3" borderId="9" xfId="1" applyNumberFormat="1" applyFont="1" applyFill="1" applyBorder="1" applyAlignment="1">
      <alignment vertical="center"/>
    </xf>
    <xf numFmtId="165" fontId="11" fillId="2" borderId="17" xfId="5" applyNumberFormat="1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20" fillId="0" borderId="0" xfId="5" applyFont="1" applyAlignment="1">
      <alignment horizontal="center" vertical="center"/>
    </xf>
    <xf numFmtId="0" fontId="20" fillId="0" borderId="0" xfId="6" applyFont="1" applyAlignment="1">
      <alignment horizontal="center" vertical="center"/>
    </xf>
    <xf numFmtId="168" fontId="11" fillId="0" borderId="8" xfId="0" applyNumberFormat="1" applyFont="1" applyFill="1" applyBorder="1" applyAlignment="1">
      <alignment vertical="center"/>
    </xf>
    <xf numFmtId="168" fontId="11" fillId="0" borderId="9" xfId="0" applyNumberFormat="1" applyFont="1" applyFill="1" applyBorder="1" applyAlignment="1">
      <alignment vertical="center"/>
    </xf>
    <xf numFmtId="0" fontId="20" fillId="0" borderId="0" xfId="0" applyFont="1" applyAlignment="1">
      <alignment vertical="center"/>
    </xf>
    <xf numFmtId="4" fontId="20" fillId="0" borderId="0" xfId="0" applyNumberFormat="1" applyFont="1" applyAlignment="1">
      <alignment vertical="center"/>
    </xf>
    <xf numFmtId="165" fontId="1" fillId="0" borderId="23" xfId="0" applyNumberFormat="1" applyFont="1" applyBorder="1" applyAlignment="1">
      <alignment vertical="center"/>
    </xf>
    <xf numFmtId="165" fontId="11" fillId="3" borderId="23" xfId="0" applyNumberFormat="1" applyFont="1" applyFill="1" applyBorder="1" applyAlignment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3" fontId="11" fillId="0" borderId="9" xfId="0" applyNumberFormat="1" applyFont="1" applyFill="1" applyBorder="1" applyAlignment="1">
      <alignment horizontal="right" vertical="center"/>
    </xf>
    <xf numFmtId="166" fontId="11" fillId="0" borderId="0" xfId="1" applyNumberFormat="1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20" fillId="0" borderId="0" xfId="5" applyFont="1" applyFill="1" applyAlignment="1">
      <alignment horizontal="center" vertical="center"/>
    </xf>
    <xf numFmtId="0" fontId="20" fillId="0" borderId="0" xfId="6" applyFont="1" applyFill="1" applyAlignment="1">
      <alignment horizontal="center" vertical="center"/>
    </xf>
    <xf numFmtId="0" fontId="11" fillId="0" borderId="0" xfId="5" applyFont="1" applyFill="1" applyAlignment="1">
      <alignment horizontal="right" vertical="center"/>
    </xf>
    <xf numFmtId="166" fontId="11" fillId="0" borderId="24" xfId="1" applyNumberFormat="1" applyFont="1" applyFill="1" applyBorder="1" applyAlignment="1">
      <alignment vertical="center"/>
    </xf>
    <xf numFmtId="166" fontId="11" fillId="0" borderId="9" xfId="1" applyNumberFormat="1" applyFont="1" applyFill="1" applyBorder="1" applyAlignment="1">
      <alignment vertical="center"/>
    </xf>
    <xf numFmtId="0" fontId="48" fillId="0" borderId="0" xfId="14" applyFont="1" applyAlignment="1">
      <alignment vertical="center"/>
    </xf>
    <xf numFmtId="0" fontId="50" fillId="2" borderId="7" xfId="9" applyFont="1" applyFill="1" applyBorder="1" applyAlignment="1">
      <alignment horizontal="center" vertical="center"/>
    </xf>
    <xf numFmtId="0" fontId="48" fillId="0" borderId="8" xfId="14" applyFont="1" applyBorder="1" applyAlignment="1">
      <alignment horizontal="center" vertical="center"/>
    </xf>
    <xf numFmtId="0" fontId="48" fillId="0" borderId="8" xfId="14" applyFont="1" applyBorder="1" applyAlignment="1">
      <alignment vertical="center"/>
    </xf>
    <xf numFmtId="165" fontId="48" fillId="0" borderId="8" xfId="14" applyNumberFormat="1" applyFont="1" applyBorder="1" applyAlignment="1">
      <alignment vertical="center"/>
    </xf>
    <xf numFmtId="0" fontId="48" fillId="0" borderId="23" xfId="14" applyFont="1" applyBorder="1" applyAlignment="1">
      <alignment horizontal="center" vertical="center"/>
    </xf>
    <xf numFmtId="0" fontId="48" fillId="0" borderId="9" xfId="14" applyFont="1" applyBorder="1" applyAlignment="1">
      <alignment vertical="center"/>
    </xf>
    <xf numFmtId="165" fontId="48" fillId="0" borderId="9" xfId="14" applyNumberFormat="1" applyFont="1" applyBorder="1" applyAlignment="1">
      <alignment vertical="center"/>
    </xf>
    <xf numFmtId="4" fontId="48" fillId="0" borderId="9" xfId="0" applyNumberFormat="1" applyFont="1" applyBorder="1" applyAlignment="1">
      <alignment vertical="center"/>
    </xf>
    <xf numFmtId="0" fontId="48" fillId="0" borderId="9" xfId="14" applyFont="1" applyBorder="1" applyAlignment="1">
      <alignment horizontal="center" vertical="center"/>
    </xf>
    <xf numFmtId="0" fontId="48" fillId="0" borderId="14" xfId="14" applyFont="1" applyBorder="1" applyAlignment="1">
      <alignment horizontal="center" vertical="center"/>
    </xf>
    <xf numFmtId="0" fontId="48" fillId="0" borderId="14" xfId="14" applyFont="1" applyBorder="1" applyAlignment="1">
      <alignment vertical="center"/>
    </xf>
    <xf numFmtId="165" fontId="48" fillId="0" borderId="14" xfId="14" applyNumberFormat="1" applyFont="1" applyBorder="1" applyAlignment="1">
      <alignment vertical="center"/>
    </xf>
    <xf numFmtId="165" fontId="50" fillId="2" borderId="17" xfId="14" applyNumberFormat="1" applyFont="1" applyFill="1" applyBorder="1" applyAlignment="1">
      <alignment vertical="center"/>
    </xf>
    <xf numFmtId="0" fontId="48" fillId="0" borderId="0" xfId="6" applyFont="1" applyAlignment="1">
      <alignment vertical="center"/>
    </xf>
    <xf numFmtId="0" fontId="48" fillId="0" borderId="8" xfId="6" applyFont="1" applyBorder="1" applyAlignment="1">
      <alignment horizontal="center" vertical="center"/>
    </xf>
    <xf numFmtId="0" fontId="48" fillId="0" borderId="8" xfId="6" applyFont="1" applyBorder="1" applyAlignment="1">
      <alignment horizontal="left" vertical="center"/>
    </xf>
    <xf numFmtId="4" fontId="48" fillId="0" borderId="8" xfId="6" applyNumberFormat="1" applyFont="1" applyBorder="1" applyAlignment="1">
      <alignment vertical="center"/>
    </xf>
    <xf numFmtId="0" fontId="48" fillId="0" borderId="9" xfId="6" applyFont="1" applyBorder="1" applyAlignment="1">
      <alignment horizontal="center" vertical="center"/>
    </xf>
    <xf numFmtId="0" fontId="48" fillId="0" borderId="9" xfId="6" applyFont="1" applyBorder="1" applyAlignment="1">
      <alignment horizontal="left" vertical="center"/>
    </xf>
    <xf numFmtId="4" fontId="48" fillId="0" borderId="9" xfId="6" applyNumberFormat="1" applyFont="1" applyBorder="1" applyAlignment="1">
      <alignment vertical="center"/>
    </xf>
    <xf numFmtId="0" fontId="48" fillId="0" borderId="21" xfId="6" applyFont="1" applyBorder="1" applyAlignment="1">
      <alignment horizontal="left" vertical="center"/>
    </xf>
    <xf numFmtId="0" fontId="48" fillId="0" borderId="6" xfId="6" applyFont="1" applyBorder="1"/>
    <xf numFmtId="0" fontId="48" fillId="0" borderId="20" xfId="6" applyFont="1" applyBorder="1"/>
    <xf numFmtId="4" fontId="48" fillId="0" borderId="22" xfId="6" applyNumberFormat="1" applyFont="1" applyBorder="1" applyAlignment="1">
      <alignment vertical="center"/>
    </xf>
    <xf numFmtId="4" fontId="50" fillId="2" borderId="17" xfId="6" applyNumberFormat="1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48" fillId="0" borderId="8" xfId="0" applyFont="1" applyBorder="1" applyAlignment="1">
      <alignment horizontal="center" vertical="center"/>
    </xf>
    <xf numFmtId="0" fontId="48" fillId="0" borderId="8" xfId="0" applyFont="1" applyBorder="1" applyAlignment="1">
      <alignment vertical="center"/>
    </xf>
    <xf numFmtId="165" fontId="48" fillId="0" borderId="8" xfId="0" applyNumberFormat="1" applyFont="1" applyBorder="1" applyAlignment="1">
      <alignment vertical="center"/>
    </xf>
    <xf numFmtId="0" fontId="48" fillId="0" borderId="9" xfId="0" applyFont="1" applyBorder="1" applyAlignment="1">
      <alignment horizontal="center" vertical="center"/>
    </xf>
    <xf numFmtId="0" fontId="48" fillId="0" borderId="9" xfId="0" applyFont="1" applyBorder="1" applyAlignment="1">
      <alignment vertical="center"/>
    </xf>
    <xf numFmtId="165" fontId="48" fillId="0" borderId="9" xfId="0" applyNumberFormat="1" applyFont="1" applyBorder="1" applyAlignment="1">
      <alignment vertical="center"/>
    </xf>
    <xf numFmtId="0" fontId="48" fillId="0" borderId="14" xfId="0" applyFont="1" applyBorder="1" applyAlignment="1">
      <alignment horizontal="center" vertical="center"/>
    </xf>
    <xf numFmtId="0" fontId="48" fillId="0" borderId="14" xfId="0" applyFont="1" applyBorder="1" applyAlignment="1">
      <alignment vertical="center"/>
    </xf>
    <xf numFmtId="165" fontId="48" fillId="0" borderId="14" xfId="0" applyNumberFormat="1" applyFont="1" applyBorder="1" applyAlignment="1">
      <alignment vertical="center"/>
    </xf>
    <xf numFmtId="165" fontId="50" fillId="2" borderId="17" xfId="0" applyNumberFormat="1" applyFont="1" applyFill="1" applyBorder="1" applyAlignment="1">
      <alignment vertical="center"/>
    </xf>
    <xf numFmtId="0" fontId="49" fillId="0" borderId="8" xfId="0" applyFont="1" applyFill="1" applyBorder="1" applyAlignment="1">
      <alignment horizontal="center" vertical="center"/>
    </xf>
    <xf numFmtId="0" fontId="50" fillId="0" borderId="8" xfId="0" applyFont="1" applyFill="1" applyBorder="1" applyAlignment="1">
      <alignment horizontal="left" vertical="center"/>
    </xf>
    <xf numFmtId="4" fontId="50" fillId="0" borderId="8" xfId="0" applyNumberFormat="1" applyFont="1" applyFill="1" applyBorder="1" applyAlignment="1">
      <alignment horizontal="right" vertical="center"/>
    </xf>
    <xf numFmtId="4" fontId="48" fillId="0" borderId="23" xfId="0" applyNumberFormat="1" applyFont="1" applyBorder="1" applyAlignment="1">
      <alignment vertical="center"/>
    </xf>
    <xf numFmtId="3" fontId="48" fillId="0" borderId="9" xfId="0" applyNumberFormat="1" applyFont="1" applyBorder="1" applyAlignment="1">
      <alignment horizontal="center" vertical="center"/>
    </xf>
    <xf numFmtId="3" fontId="50" fillId="0" borderId="23" xfId="0" applyNumberFormat="1" applyFont="1" applyBorder="1" applyAlignment="1">
      <alignment horizontal="center" vertical="center"/>
    </xf>
    <xf numFmtId="4" fontId="50" fillId="0" borderId="23" xfId="0" applyNumberFormat="1" applyFont="1" applyBorder="1" applyAlignment="1">
      <alignment vertical="center"/>
    </xf>
    <xf numFmtId="49" fontId="50" fillId="0" borderId="23" xfId="0" applyNumberFormat="1" applyFont="1" applyBorder="1" applyAlignment="1">
      <alignment vertical="center"/>
    </xf>
    <xf numFmtId="49" fontId="48" fillId="0" borderId="9" xfId="0" applyNumberFormat="1" applyFont="1" applyBorder="1" applyAlignment="1">
      <alignment vertical="center"/>
    </xf>
    <xf numFmtId="0" fontId="50" fillId="2" borderId="22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50" fillId="2" borderId="6" xfId="0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4" fontId="50" fillId="0" borderId="51" xfId="0" applyNumberFormat="1" applyFont="1" applyFill="1" applyBorder="1" applyAlignment="1">
      <alignment horizontal="right" vertical="center"/>
    </xf>
    <xf numFmtId="4" fontId="48" fillId="0" borderId="55" xfId="0" applyNumberFormat="1" applyFont="1" applyBorder="1" applyAlignment="1">
      <alignment vertical="center"/>
    </xf>
    <xf numFmtId="4" fontId="48" fillId="0" borderId="21" xfId="0" applyNumberFormat="1" applyFont="1" applyBorder="1" applyAlignment="1">
      <alignment vertical="center"/>
    </xf>
    <xf numFmtId="0" fontId="50" fillId="2" borderId="25" xfId="0" applyFont="1" applyFill="1" applyBorder="1" applyAlignment="1">
      <alignment horizontal="center" vertical="center"/>
    </xf>
    <xf numFmtId="4" fontId="50" fillId="0" borderId="31" xfId="0" applyNumberFormat="1" applyFont="1" applyFill="1" applyBorder="1" applyAlignment="1">
      <alignment horizontal="right" vertical="center"/>
    </xf>
    <xf numFmtId="4" fontId="48" fillId="0" borderId="56" xfId="0" applyNumberFormat="1" applyFont="1" applyBorder="1" applyAlignment="1">
      <alignment vertical="center"/>
    </xf>
    <xf numFmtId="4" fontId="48" fillId="0" borderId="24" xfId="0" applyNumberFormat="1" applyFont="1" applyBorder="1" applyAlignment="1">
      <alignment vertical="center"/>
    </xf>
    <xf numFmtId="4" fontId="50" fillId="0" borderId="57" xfId="0" applyNumberFormat="1" applyFont="1" applyFill="1" applyBorder="1" applyAlignment="1">
      <alignment horizontal="right" vertical="center"/>
    </xf>
    <xf numFmtId="0" fontId="49" fillId="0" borderId="23" xfId="0" applyFont="1" applyFill="1" applyBorder="1" applyAlignment="1">
      <alignment horizontal="center" vertical="center"/>
    </xf>
    <xf numFmtId="0" fontId="50" fillId="0" borderId="23" xfId="0" applyFont="1" applyFill="1" applyBorder="1" applyAlignment="1">
      <alignment horizontal="left" vertical="center"/>
    </xf>
    <xf numFmtId="4" fontId="50" fillId="0" borderId="23" xfId="0" applyNumberFormat="1" applyFont="1" applyFill="1" applyBorder="1" applyAlignment="1">
      <alignment horizontal="right" vertical="center"/>
    </xf>
    <xf numFmtId="4" fontId="50" fillId="0" borderId="56" xfId="0" applyNumberFormat="1" applyFont="1" applyFill="1" applyBorder="1" applyAlignment="1">
      <alignment horizontal="right" vertical="center"/>
    </xf>
    <xf numFmtId="4" fontId="48" fillId="0" borderId="58" xfId="0" applyNumberFormat="1" applyFont="1" applyFill="1" applyBorder="1" applyAlignment="1">
      <alignment horizontal="right" vertical="center"/>
    </xf>
    <xf numFmtId="4" fontId="48" fillId="0" borderId="55" xfId="0" applyNumberFormat="1" applyFont="1" applyFill="1" applyBorder="1" applyAlignment="1">
      <alignment horizontal="right" vertical="center"/>
    </xf>
    <xf numFmtId="4" fontId="48" fillId="0" borderId="23" xfId="0" applyNumberFormat="1" applyFont="1" applyFill="1" applyBorder="1" applyAlignment="1">
      <alignment horizontal="right" vertical="center"/>
    </xf>
    <xf numFmtId="4" fontId="48" fillId="0" borderId="30" xfId="0" applyNumberFormat="1" applyFont="1" applyFill="1" applyBorder="1" applyAlignment="1">
      <alignment horizontal="right" vertical="center"/>
    </xf>
    <xf numFmtId="4" fontId="48" fillId="0" borderId="30" xfId="0" applyNumberFormat="1" applyFont="1" applyBorder="1" applyAlignment="1">
      <alignment vertical="center"/>
    </xf>
    <xf numFmtId="4" fontId="48" fillId="0" borderId="59" xfId="0" applyNumberFormat="1" applyFont="1" applyBorder="1" applyAlignment="1">
      <alignment vertical="center"/>
    </xf>
    <xf numFmtId="4" fontId="50" fillId="0" borderId="9" xfId="0" applyNumberFormat="1" applyFont="1" applyFill="1" applyBorder="1" applyAlignment="1">
      <alignment horizontal="right" vertical="center"/>
    </xf>
    <xf numFmtId="4" fontId="50" fillId="0" borderId="9" xfId="0" applyNumberFormat="1" applyFont="1" applyBorder="1" applyAlignment="1">
      <alignment vertical="center"/>
    </xf>
    <xf numFmtId="4" fontId="50" fillId="0" borderId="56" xfId="0" applyNumberFormat="1" applyFont="1" applyBorder="1" applyAlignment="1">
      <alignment vertical="center"/>
    </xf>
    <xf numFmtId="3" fontId="50" fillId="0" borderId="9" xfId="0" applyNumberFormat="1" applyFont="1" applyBorder="1" applyAlignment="1">
      <alignment horizontal="center" vertical="center"/>
    </xf>
    <xf numFmtId="49" fontId="50" fillId="0" borderId="9" xfId="0" applyNumberFormat="1" applyFont="1" applyBorder="1" applyAlignment="1">
      <alignment vertical="center"/>
    </xf>
    <xf numFmtId="4" fontId="50" fillId="0" borderId="24" xfId="0" applyNumberFormat="1" applyFont="1" applyBorder="1" applyAlignment="1">
      <alignment vertical="center"/>
    </xf>
    <xf numFmtId="4" fontId="50" fillId="0" borderId="58" xfId="0" applyNumberFormat="1" applyFont="1" applyBorder="1" applyAlignment="1">
      <alignment vertical="center"/>
    </xf>
    <xf numFmtId="0" fontId="50" fillId="2" borderId="61" xfId="0" applyFont="1" applyFill="1" applyBorder="1" applyAlignment="1">
      <alignment horizontal="center" vertical="center"/>
    </xf>
    <xf numFmtId="0" fontId="50" fillId="2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53" fillId="0" borderId="62" xfId="0" applyNumberFormat="1" applyFont="1" applyBorder="1" applyAlignment="1">
      <alignment horizontal="right" vertical="center" wrapText="1" readingOrder="1"/>
    </xf>
    <xf numFmtId="4" fontId="53" fillId="0" borderId="63" xfId="0" applyNumberFormat="1" applyFont="1" applyBorder="1" applyAlignment="1">
      <alignment horizontal="right" vertical="center" wrapText="1" readingOrder="1"/>
    </xf>
    <xf numFmtId="0" fontId="53" fillId="0" borderId="63" xfId="0" applyFont="1" applyBorder="1" applyAlignment="1">
      <alignment horizontal="right" vertical="center" wrapText="1" readingOrder="1"/>
    </xf>
    <xf numFmtId="0" fontId="53" fillId="0" borderId="64" xfId="0" applyFont="1" applyBorder="1" applyAlignment="1">
      <alignment horizontal="right" vertical="center" wrapText="1" readingOrder="1"/>
    </xf>
    <xf numFmtId="4" fontId="54" fillId="5" borderId="65" xfId="0" applyNumberFormat="1" applyFont="1" applyFill="1" applyBorder="1" applyAlignment="1">
      <alignment horizontal="right" vertical="center" wrapText="1" readingOrder="1"/>
    </xf>
    <xf numFmtId="0" fontId="15" fillId="2" borderId="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2" borderId="6" xfId="9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vertical="center"/>
    </xf>
    <xf numFmtId="164" fontId="11" fillId="0" borderId="0" xfId="5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1" fillId="0" borderId="0" xfId="5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0" fillId="0" borderId="0" xfId="5" applyFont="1" applyFill="1" applyBorder="1" applyAlignment="1">
      <alignment horizontal="center" vertical="center"/>
    </xf>
    <xf numFmtId="0" fontId="20" fillId="0" borderId="0" xfId="6" applyFont="1" applyFill="1" applyBorder="1" applyAlignment="1">
      <alignment horizontal="center" vertical="center"/>
    </xf>
    <xf numFmtId="0" fontId="28" fillId="0" borderId="0" xfId="5" applyFont="1" applyFill="1" applyBorder="1" applyAlignment="1">
      <alignment horizontal="right" vertical="center"/>
    </xf>
    <xf numFmtId="43" fontId="11" fillId="0" borderId="31" xfId="1" applyNumberFormat="1" applyFont="1" applyBorder="1" applyAlignment="1">
      <alignment vertical="center"/>
    </xf>
    <xf numFmtId="43" fontId="11" fillId="0" borderId="24" xfId="1" applyNumberFormat="1" applyFont="1" applyBorder="1" applyAlignment="1">
      <alignment vertical="center"/>
    </xf>
    <xf numFmtId="169" fontId="11" fillId="0" borderId="47" xfId="1" applyNumberFormat="1" applyFont="1" applyBorder="1" applyAlignment="1">
      <alignment vertical="center"/>
    </xf>
    <xf numFmtId="169" fontId="11" fillId="2" borderId="15" xfId="5" applyNumberFormat="1" applyFont="1" applyFill="1" applyBorder="1" applyAlignment="1">
      <alignment vertical="center"/>
    </xf>
    <xf numFmtId="0" fontId="15" fillId="2" borderId="66" xfId="0" applyFont="1" applyFill="1" applyBorder="1" applyAlignment="1">
      <alignment horizontal="center" vertical="center"/>
    </xf>
    <xf numFmtId="169" fontId="11" fillId="0" borderId="10" xfId="1" applyNumberFormat="1" applyFont="1" applyBorder="1" applyAlignment="1">
      <alignment vertical="center"/>
    </xf>
    <xf numFmtId="169" fontId="11" fillId="2" borderId="17" xfId="5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172" fontId="0" fillId="0" borderId="0" xfId="0" applyNumberFormat="1" applyAlignment="1">
      <alignment vertical="center"/>
    </xf>
    <xf numFmtId="0" fontId="56" fillId="0" borderId="0" xfId="0" applyFont="1" applyAlignment="1">
      <alignment horizontal="center" vertical="center"/>
    </xf>
    <xf numFmtId="4" fontId="29" fillId="0" borderId="0" xfId="18" applyNumberFormat="1" applyFont="1" applyBorder="1" applyAlignment="1">
      <alignment vertical="center"/>
    </xf>
    <xf numFmtId="0" fontId="0" fillId="0" borderId="0" xfId="0"/>
    <xf numFmtId="166" fontId="11" fillId="0" borderId="13" xfId="1" applyNumberFormat="1" applyFont="1" applyBorder="1" applyAlignment="1">
      <alignment vertical="center"/>
    </xf>
    <xf numFmtId="166" fontId="11" fillId="0" borderId="22" xfId="1" applyNumberFormat="1" applyFont="1" applyBorder="1" applyAlignment="1">
      <alignment vertical="center"/>
    </xf>
    <xf numFmtId="164" fontId="0" fillId="0" borderId="0" xfId="0" applyNumberFormat="1"/>
    <xf numFmtId="166" fontId="11" fillId="0" borderId="13" xfId="0" applyNumberFormat="1" applyFont="1" applyBorder="1" applyAlignment="1">
      <alignment vertical="center"/>
    </xf>
    <xf numFmtId="166" fontId="11" fillId="0" borderId="23" xfId="0" applyNumberFormat="1" applyFont="1" applyBorder="1" applyAlignment="1">
      <alignment vertical="center"/>
    </xf>
    <xf numFmtId="0" fontId="0" fillId="0" borderId="0" xfId="0"/>
    <xf numFmtId="166" fontId="11" fillId="0" borderId="23" xfId="1" applyNumberFormat="1" applyFont="1" applyBorder="1" applyAlignment="1">
      <alignment horizontal="right" vertical="center"/>
    </xf>
    <xf numFmtId="166" fontId="11" fillId="0" borderId="9" xfId="1" applyNumberFormat="1" applyFont="1" applyBorder="1" applyAlignment="1">
      <alignment horizontal="right" vertical="center"/>
    </xf>
    <xf numFmtId="166" fontId="11" fillId="0" borderId="10" xfId="1" applyNumberFormat="1" applyFont="1" applyBorder="1" applyAlignment="1">
      <alignment horizontal="right" vertical="center"/>
    </xf>
    <xf numFmtId="43" fontId="11" fillId="0" borderId="8" xfId="7" applyNumberFormat="1" applyFont="1" applyBorder="1" applyAlignment="1">
      <alignment vertical="center"/>
    </xf>
    <xf numFmtId="43" fontId="11" fillId="0" borderId="9" xfId="7" applyNumberFormat="1" applyFont="1" applyBorder="1" applyAlignment="1">
      <alignment vertical="center"/>
    </xf>
    <xf numFmtId="43" fontId="0" fillId="0" borderId="0" xfId="0" applyNumberFormat="1"/>
    <xf numFmtId="43" fontId="11" fillId="0" borderId="14" xfId="7" applyNumberFormat="1" applyFont="1" applyBorder="1" applyAlignment="1">
      <alignment vertical="center"/>
    </xf>
    <xf numFmtId="4" fontId="0" fillId="0" borderId="0" xfId="0" applyNumberFormat="1" applyAlignment="1">
      <alignment vertical="center"/>
    </xf>
    <xf numFmtId="43" fontId="11" fillId="0" borderId="13" xfId="12" applyNumberFormat="1" applyFont="1" applyBorder="1" applyAlignment="1">
      <alignment vertical="center"/>
    </xf>
    <xf numFmtId="43" fontId="11" fillId="0" borderId="9" xfId="12" applyNumberFormat="1" applyFont="1" applyBorder="1" applyAlignment="1">
      <alignment vertical="center"/>
    </xf>
    <xf numFmtId="43" fontId="0" fillId="0" borderId="0" xfId="1" applyFont="1"/>
    <xf numFmtId="43" fontId="0" fillId="0" borderId="0" xfId="0" applyNumberFormat="1"/>
    <xf numFmtId="43" fontId="11" fillId="0" borderId="23" xfId="12" applyNumberFormat="1" applyFont="1" applyBorder="1" applyAlignment="1">
      <alignment vertical="center"/>
    </xf>
    <xf numFmtId="3" fontId="11" fillId="0" borderId="21" xfId="0" applyNumberFormat="1" applyFont="1" applyBorder="1" applyAlignment="1">
      <alignment horizontal="center" vertical="center"/>
    </xf>
    <xf numFmtId="166" fontId="11" fillId="0" borderId="25" xfId="1" applyNumberFormat="1" applyFont="1" applyFill="1" applyBorder="1" applyAlignment="1">
      <alignment vertical="center"/>
    </xf>
    <xf numFmtId="0" fontId="47" fillId="0" borderId="0" xfId="6" applyFont="1" applyAlignment="1">
      <alignment horizontal="center" vertical="center"/>
    </xf>
    <xf numFmtId="0" fontId="28" fillId="0" borderId="0" xfId="5" applyFont="1" applyAlignment="1">
      <alignment vertical="center"/>
    </xf>
    <xf numFmtId="0" fontId="7" fillId="0" borderId="0" xfId="0" applyFont="1" applyAlignment="1">
      <alignment horizontal="left"/>
    </xf>
    <xf numFmtId="0" fontId="15" fillId="2" borderId="6" xfId="5" applyFont="1" applyFill="1" applyBorder="1" applyAlignment="1">
      <alignment horizontal="center" vertical="center"/>
    </xf>
    <xf numFmtId="0" fontId="48" fillId="0" borderId="0" xfId="5" applyFont="1" applyAlignment="1">
      <alignment vertical="center"/>
    </xf>
    <xf numFmtId="0" fontId="57" fillId="0" borderId="0" xfId="5" applyFont="1" applyAlignment="1">
      <alignment horizontal="right"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horizontal="right" vertical="center"/>
    </xf>
    <xf numFmtId="0" fontId="50" fillId="2" borderId="7" xfId="0" applyFont="1" applyFill="1" applyBorder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58" fillId="0" borderId="8" xfId="0" applyFont="1" applyBorder="1" applyAlignment="1">
      <alignment vertical="center"/>
    </xf>
    <xf numFmtId="43" fontId="48" fillId="0" borderId="8" xfId="1" applyFont="1" applyBorder="1" applyAlignment="1">
      <alignment vertical="center"/>
    </xf>
    <xf numFmtId="4" fontId="48" fillId="0" borderId="8" xfId="0" applyNumberFormat="1" applyFont="1" applyBorder="1" applyAlignment="1">
      <alignment vertical="center"/>
    </xf>
    <xf numFmtId="0" fontId="58" fillId="0" borderId="9" xfId="0" applyFont="1" applyBorder="1" applyAlignment="1">
      <alignment horizontal="center" vertical="center"/>
    </xf>
    <xf numFmtId="0" fontId="58" fillId="0" borderId="9" xfId="0" applyFont="1" applyBorder="1" applyAlignment="1">
      <alignment vertical="center"/>
    </xf>
    <xf numFmtId="43" fontId="48" fillId="0" borderId="9" xfId="1" applyFont="1" applyBorder="1" applyAlignment="1">
      <alignment vertical="center"/>
    </xf>
    <xf numFmtId="0" fontId="58" fillId="0" borderId="10" xfId="0" applyFont="1" applyBorder="1" applyAlignment="1">
      <alignment horizontal="center" vertical="center"/>
    </xf>
    <xf numFmtId="0" fontId="58" fillId="0" borderId="10" xfId="0" applyFont="1" applyBorder="1" applyAlignment="1">
      <alignment vertical="center"/>
    </xf>
    <xf numFmtId="4" fontId="48" fillId="0" borderId="14" xfId="0" applyNumberFormat="1" applyFont="1" applyBorder="1" applyAlignment="1">
      <alignment vertical="center"/>
    </xf>
    <xf numFmtId="4" fontId="48" fillId="2" borderId="17" xfId="5" applyNumberFormat="1" applyFont="1" applyFill="1" applyBorder="1" applyAlignment="1">
      <alignment vertical="center"/>
    </xf>
    <xf numFmtId="4" fontId="48" fillId="6" borderId="17" xfId="0" applyNumberFormat="1" applyFont="1" applyFill="1" applyBorder="1" applyAlignment="1">
      <alignment vertical="center"/>
    </xf>
    <xf numFmtId="0" fontId="58" fillId="0" borderId="0" xfId="0" applyFont="1"/>
    <xf numFmtId="0" fontId="50" fillId="2" borderId="34" xfId="5" applyFont="1" applyFill="1" applyBorder="1" applyAlignment="1">
      <alignment horizontal="center" vertical="center"/>
    </xf>
    <xf numFmtId="0" fontId="50" fillId="2" borderId="6" xfId="5" applyFont="1" applyFill="1" applyBorder="1" applyAlignment="1">
      <alignment horizontal="center" vertical="center"/>
    </xf>
    <xf numFmtId="43" fontId="58" fillId="0" borderId="8" xfId="1" applyFont="1" applyBorder="1" applyAlignment="1">
      <alignment vertical="center"/>
    </xf>
    <xf numFmtId="43" fontId="58" fillId="0" borderId="9" xfId="1" applyFont="1" applyBorder="1" applyAlignment="1">
      <alignment vertical="center"/>
    </xf>
    <xf numFmtId="43" fontId="58" fillId="0" borderId="14" xfId="1" applyFont="1" applyBorder="1" applyAlignment="1">
      <alignment vertical="center"/>
    </xf>
    <xf numFmtId="43" fontId="48" fillId="2" borderId="16" xfId="5" applyNumberFormat="1" applyFont="1" applyFill="1" applyBorder="1" applyAlignment="1">
      <alignment horizontal="center" vertical="center"/>
    </xf>
    <xf numFmtId="0" fontId="61" fillId="0" borderId="35" xfId="0" applyFont="1" applyBorder="1" applyAlignment="1">
      <alignment horizontal="center" vertical="center" wrapText="1"/>
    </xf>
    <xf numFmtId="0" fontId="62" fillId="0" borderId="3" xfId="0" applyFont="1" applyBorder="1" applyAlignment="1">
      <alignment horizontal="center" vertical="center"/>
    </xf>
    <xf numFmtId="0" fontId="62" fillId="0" borderId="5" xfId="0" applyFont="1" applyBorder="1" applyAlignment="1">
      <alignment horizontal="center" vertical="center"/>
    </xf>
    <xf numFmtId="0" fontId="62" fillId="0" borderId="11" xfId="0" applyFont="1" applyBorder="1" applyAlignment="1">
      <alignment horizontal="center" vertical="center"/>
    </xf>
    <xf numFmtId="0" fontId="62" fillId="0" borderId="73" xfId="0" applyFont="1" applyBorder="1" applyAlignment="1">
      <alignment horizontal="center" vertical="center"/>
    </xf>
    <xf numFmtId="0" fontId="63" fillId="0" borderId="74" xfId="0" applyFont="1" applyFill="1" applyBorder="1" applyAlignment="1">
      <alignment horizontal="center" vertical="center"/>
    </xf>
    <xf numFmtId="164" fontId="63" fillId="0" borderId="75" xfId="1" applyNumberFormat="1" applyFont="1" applyFill="1" applyBorder="1" applyAlignment="1">
      <alignment horizontal="center" vertical="center"/>
    </xf>
    <xf numFmtId="43" fontId="63" fillId="0" borderId="75" xfId="1" applyNumberFormat="1" applyFont="1" applyFill="1" applyBorder="1" applyAlignment="1">
      <alignment horizontal="center" vertical="center"/>
    </xf>
    <xf numFmtId="43" fontId="63" fillId="0" borderId="76" xfId="1" applyNumberFormat="1" applyFont="1" applyFill="1" applyBorder="1" applyAlignment="1">
      <alignment horizontal="center" vertical="center"/>
    </xf>
    <xf numFmtId="0" fontId="64" fillId="0" borderId="24" xfId="0" applyFont="1" applyBorder="1" applyAlignment="1">
      <alignment horizontal="center" vertical="center"/>
    </xf>
    <xf numFmtId="164" fontId="64" fillId="0" borderId="9" xfId="1" applyNumberFormat="1" applyFont="1" applyBorder="1" applyAlignment="1">
      <alignment horizontal="center" vertical="center"/>
    </xf>
    <xf numFmtId="43" fontId="64" fillId="0" borderId="9" xfId="1" applyNumberFormat="1" applyFont="1" applyBorder="1" applyAlignment="1">
      <alignment horizontal="center" vertical="center"/>
    </xf>
    <xf numFmtId="43" fontId="64" fillId="0" borderId="21" xfId="1" applyNumberFormat="1" applyFont="1" applyBorder="1" applyAlignment="1">
      <alignment horizontal="center" vertical="center"/>
    </xf>
    <xf numFmtId="164" fontId="64" fillId="0" borderId="21" xfId="1" applyNumberFormat="1" applyFont="1" applyBorder="1" applyAlignment="1">
      <alignment horizontal="center" vertical="center"/>
    </xf>
    <xf numFmtId="43" fontId="64" fillId="0" borderId="21" xfId="1" applyFont="1" applyBorder="1" applyAlignment="1">
      <alignment horizontal="center" vertical="center"/>
    </xf>
    <xf numFmtId="164" fontId="64" fillId="4" borderId="9" xfId="1" applyNumberFormat="1" applyFont="1" applyFill="1" applyBorder="1" applyAlignment="1">
      <alignment horizontal="center" vertical="center"/>
    </xf>
    <xf numFmtId="164" fontId="64" fillId="4" borderId="21" xfId="1" applyNumberFormat="1" applyFont="1" applyFill="1" applyBorder="1" applyAlignment="1">
      <alignment horizontal="center" vertical="center"/>
    </xf>
    <xf numFmtId="43" fontId="64" fillId="4" borderId="9" xfId="1" applyNumberFormat="1" applyFont="1" applyFill="1" applyBorder="1" applyAlignment="1">
      <alignment horizontal="center" vertical="center"/>
    </xf>
    <xf numFmtId="0" fontId="64" fillId="4" borderId="24" xfId="0" applyFont="1" applyFill="1" applyBorder="1" applyAlignment="1">
      <alignment horizontal="center" vertical="center"/>
    </xf>
    <xf numFmtId="0" fontId="66" fillId="0" borderId="0" xfId="0" applyFont="1"/>
    <xf numFmtId="0" fontId="66" fillId="0" borderId="0" xfId="0" applyFont="1" applyFill="1"/>
    <xf numFmtId="0" fontId="69" fillId="6" borderId="22" xfId="21" applyFont="1" applyFill="1" applyBorder="1" applyAlignment="1" applyProtection="1">
      <alignment horizontal="center" vertical="center"/>
    </xf>
    <xf numFmtId="0" fontId="69" fillId="6" borderId="56" xfId="21" applyFont="1" applyFill="1" applyBorder="1" applyAlignment="1" applyProtection="1">
      <alignment vertical="center"/>
    </xf>
    <xf numFmtId="168" fontId="70" fillId="6" borderId="75" xfId="24" applyNumberFormat="1" applyFont="1" applyFill="1" applyBorder="1" applyAlignment="1" applyProtection="1">
      <alignment vertical="center"/>
    </xf>
    <xf numFmtId="168" fontId="70" fillId="6" borderId="77" xfId="24" applyNumberFormat="1" applyFont="1" applyFill="1" applyBorder="1" applyAlignment="1" applyProtection="1">
      <alignment vertical="center"/>
    </xf>
    <xf numFmtId="2" fontId="69" fillId="6" borderId="55" xfId="0" applyNumberFormat="1" applyFont="1" applyFill="1" applyBorder="1"/>
    <xf numFmtId="0" fontId="71" fillId="0" borderId="22" xfId="21" applyFont="1" applyFill="1" applyBorder="1" applyAlignment="1" applyProtection="1">
      <alignment vertical="center"/>
      <protection locked="0"/>
    </xf>
    <xf numFmtId="0" fontId="67" fillId="0" borderId="24" xfId="21" applyFont="1" applyFill="1" applyBorder="1" applyAlignment="1" applyProtection="1">
      <alignment vertical="center"/>
      <protection locked="0"/>
    </xf>
    <xf numFmtId="168" fontId="72" fillId="0" borderId="9" xfId="24" applyNumberFormat="1" applyFont="1" applyFill="1" applyBorder="1" applyAlignment="1" applyProtection="1">
      <alignment vertical="center"/>
      <protection locked="0"/>
    </xf>
    <xf numFmtId="168" fontId="72" fillId="0" borderId="9" xfId="25" applyNumberFormat="1" applyFont="1" applyFill="1" applyBorder="1" applyAlignment="1" applyProtection="1">
      <alignment vertical="center"/>
      <protection locked="0"/>
    </xf>
    <xf numFmtId="168" fontId="72" fillId="0" borderId="46" xfId="24" applyNumberFormat="1" applyFont="1" applyFill="1" applyBorder="1" applyAlignment="1" applyProtection="1">
      <alignment vertical="center"/>
      <protection locked="0"/>
    </xf>
    <xf numFmtId="2" fontId="67" fillId="0" borderId="21" xfId="0" applyNumberFormat="1" applyFont="1" applyFill="1" applyBorder="1"/>
    <xf numFmtId="0" fontId="71" fillId="0" borderId="22" xfId="21" applyFont="1" applyFill="1" applyBorder="1" applyAlignment="1" applyProtection="1">
      <alignment vertical="center"/>
    </xf>
    <xf numFmtId="0" fontId="67" fillId="0" borderId="24" xfId="21" applyFont="1" applyFill="1" applyBorder="1" applyAlignment="1" applyProtection="1">
      <alignment vertical="center"/>
    </xf>
    <xf numFmtId="168" fontId="72" fillId="0" borderId="9" xfId="24" applyNumberFormat="1" applyFont="1" applyFill="1" applyBorder="1" applyAlignment="1" applyProtection="1">
      <alignment vertical="center"/>
    </xf>
    <xf numFmtId="168" fontId="72" fillId="0" borderId="46" xfId="24" applyNumberFormat="1" applyFont="1" applyFill="1" applyBorder="1" applyAlignment="1" applyProtection="1">
      <alignment vertical="center"/>
    </xf>
    <xf numFmtId="0" fontId="71" fillId="0" borderId="24" xfId="21" applyFont="1" applyFill="1" applyBorder="1" applyAlignment="1" applyProtection="1">
      <alignment vertical="center"/>
    </xf>
    <xf numFmtId="168" fontId="73" fillId="0" borderId="9" xfId="24" applyNumberFormat="1" applyFont="1" applyFill="1" applyBorder="1" applyAlignment="1" applyProtection="1">
      <alignment vertical="center"/>
    </xf>
    <xf numFmtId="168" fontId="73" fillId="0" borderId="46" xfId="24" applyNumberFormat="1" applyFont="1" applyFill="1" applyBorder="1" applyAlignment="1" applyProtection="1">
      <alignment vertical="center"/>
      <protection locked="0"/>
    </xf>
    <xf numFmtId="168" fontId="73" fillId="0" borderId="9" xfId="24" applyNumberFormat="1" applyFont="1" applyFill="1" applyBorder="1" applyAlignment="1" applyProtection="1">
      <alignment vertical="center"/>
      <protection locked="0"/>
    </xf>
    <xf numFmtId="2" fontId="71" fillId="0" borderId="21" xfId="0" applyNumberFormat="1" applyFont="1" applyFill="1" applyBorder="1"/>
    <xf numFmtId="0" fontId="71" fillId="0" borderId="24" xfId="21" applyFont="1" applyFill="1" applyBorder="1" applyAlignment="1" applyProtection="1">
      <alignment vertical="center"/>
      <protection locked="0"/>
    </xf>
    <xf numFmtId="168" fontId="73" fillId="0" borderId="9" xfId="25" applyNumberFormat="1" applyFont="1" applyFill="1" applyBorder="1" applyAlignment="1" applyProtection="1">
      <alignment vertical="center"/>
      <protection locked="0"/>
    </xf>
    <xf numFmtId="168" fontId="71" fillId="0" borderId="9" xfId="13" applyNumberFormat="1" applyFont="1" applyFill="1" applyBorder="1" applyAlignment="1" applyProtection="1">
      <alignment vertical="center"/>
      <protection locked="0"/>
    </xf>
    <xf numFmtId="0" fontId="69" fillId="6" borderId="24" xfId="21" applyFont="1" applyFill="1" applyBorder="1" applyAlignment="1" applyProtection="1">
      <alignment vertical="center"/>
    </xf>
    <xf numFmtId="168" fontId="69" fillId="6" borderId="9" xfId="7" applyNumberFormat="1" applyFont="1" applyFill="1" applyBorder="1" applyAlignment="1" applyProtection="1">
      <alignment vertical="center"/>
    </xf>
    <xf numFmtId="168" fontId="69" fillId="6" borderId="46" xfId="7" applyNumberFormat="1" applyFont="1" applyFill="1" applyBorder="1" applyAlignment="1" applyProtection="1">
      <alignment vertical="center"/>
    </xf>
    <xf numFmtId="2" fontId="67" fillId="6" borderId="21" xfId="0" applyNumberFormat="1" applyFont="1" applyFill="1" applyBorder="1"/>
    <xf numFmtId="168" fontId="67" fillId="0" borderId="9" xfId="7" applyNumberFormat="1" applyFont="1" applyFill="1" applyBorder="1" applyAlignment="1" applyProtection="1">
      <alignment vertical="center"/>
      <protection locked="0"/>
    </xf>
    <xf numFmtId="168" fontId="67" fillId="0" borderId="46" xfId="7" applyNumberFormat="1" applyFont="1" applyFill="1" applyBorder="1" applyAlignment="1" applyProtection="1">
      <alignment vertical="center"/>
      <protection locked="0"/>
    </xf>
    <xf numFmtId="0" fontId="71" fillId="0" borderId="52" xfId="21" applyFont="1" applyFill="1" applyBorder="1" applyAlignment="1" applyProtection="1">
      <alignment vertical="center"/>
      <protection locked="0"/>
    </xf>
    <xf numFmtId="168" fontId="73" fillId="0" borderId="14" xfId="24" applyNumberFormat="1" applyFont="1" applyFill="1" applyBorder="1" applyAlignment="1" applyProtection="1">
      <alignment vertical="center"/>
      <protection locked="0"/>
    </xf>
    <xf numFmtId="168" fontId="73" fillId="0" borderId="14" xfId="25" applyNumberFormat="1" applyFont="1" applyFill="1" applyBorder="1" applyAlignment="1" applyProtection="1">
      <alignment vertical="center"/>
      <protection locked="0"/>
    </xf>
    <xf numFmtId="2" fontId="71" fillId="0" borderId="59" xfId="0" applyNumberFormat="1" applyFont="1" applyFill="1" applyBorder="1"/>
    <xf numFmtId="0" fontId="68" fillId="6" borderId="11" xfId="0" applyFont="1" applyFill="1" applyBorder="1" applyAlignment="1">
      <alignment horizontal="center" vertical="center" wrapText="1"/>
    </xf>
    <xf numFmtId="0" fontId="68" fillId="6" borderId="5" xfId="0" applyFont="1" applyFill="1" applyBorder="1" applyAlignment="1">
      <alignment horizontal="center" vertical="center" wrapText="1"/>
    </xf>
    <xf numFmtId="168" fontId="69" fillId="6" borderId="24" xfId="7" applyNumberFormat="1" applyFont="1" applyFill="1" applyBorder="1" applyAlignment="1" applyProtection="1">
      <alignment vertical="center"/>
    </xf>
    <xf numFmtId="168" fontId="67" fillId="6" borderId="7" xfId="7" applyNumberFormat="1" applyFont="1" applyFill="1" applyBorder="1" applyAlignment="1" applyProtection="1">
      <alignment horizontal="right" vertical="center"/>
    </xf>
    <xf numFmtId="168" fontId="67" fillId="6" borderId="79" xfId="7" applyNumberFormat="1" applyFont="1" applyFill="1" applyBorder="1" applyAlignment="1" applyProtection="1">
      <alignment horizontal="right" vertical="center"/>
    </xf>
    <xf numFmtId="2" fontId="67" fillId="6" borderId="78" xfId="0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5" fillId="2" borderId="34" xfId="5" applyFont="1" applyFill="1" applyBorder="1" applyAlignment="1">
      <alignment horizontal="center" vertical="center"/>
    </xf>
    <xf numFmtId="43" fontId="1" fillId="0" borderId="14" xfId="1" applyFont="1" applyBorder="1" applyAlignment="1">
      <alignment vertical="center"/>
    </xf>
    <xf numFmtId="43" fontId="11" fillId="2" borderId="16" xfId="5" applyNumberFormat="1" applyFont="1" applyFill="1" applyBorder="1" applyAlignment="1">
      <alignment horizontal="center" vertical="center"/>
    </xf>
    <xf numFmtId="0" fontId="75" fillId="0" borderId="0" xfId="0" applyFont="1"/>
    <xf numFmtId="164" fontId="7" fillId="0" borderId="0" xfId="1" applyNumberFormat="1" applyFont="1" applyAlignment="1"/>
    <xf numFmtId="165" fontId="48" fillId="0" borderId="8" xfId="0" applyNumberFormat="1" applyFont="1" applyFill="1" applyBorder="1" applyAlignment="1">
      <alignment vertical="center"/>
    </xf>
    <xf numFmtId="168" fontId="48" fillId="0" borderId="8" xfId="0" applyNumberFormat="1" applyFont="1" applyFill="1" applyBorder="1" applyAlignment="1">
      <alignment vertical="center"/>
    </xf>
    <xf numFmtId="165" fontId="48" fillId="0" borderId="9" xfId="0" applyNumberFormat="1" applyFont="1" applyFill="1" applyBorder="1" applyAlignment="1">
      <alignment vertical="center"/>
    </xf>
    <xf numFmtId="168" fontId="48" fillId="0" borderId="9" xfId="0" applyNumberFormat="1" applyFont="1" applyFill="1" applyBorder="1" applyAlignment="1">
      <alignment vertical="center"/>
    </xf>
    <xf numFmtId="4" fontId="50" fillId="2" borderId="17" xfId="0" applyNumberFormat="1" applyFont="1" applyFill="1" applyBorder="1" applyAlignment="1">
      <alignment vertical="center"/>
    </xf>
    <xf numFmtId="0" fontId="48" fillId="0" borderId="23" xfId="0" applyFont="1" applyBorder="1" applyAlignment="1">
      <alignment horizontal="center" vertical="center"/>
    </xf>
    <xf numFmtId="0" fontId="48" fillId="0" borderId="23" xfId="0" applyFont="1" applyBorder="1" applyAlignment="1">
      <alignment vertical="center"/>
    </xf>
    <xf numFmtId="0" fontId="48" fillId="0" borderId="56" xfId="0" applyFont="1" applyBorder="1" applyAlignment="1">
      <alignment vertical="center"/>
    </xf>
    <xf numFmtId="0" fontId="48" fillId="0" borderId="24" xfId="0" applyFont="1" applyBorder="1" applyAlignment="1">
      <alignment vertical="center"/>
    </xf>
    <xf numFmtId="165" fontId="48" fillId="0" borderId="55" xfId="0" applyNumberFormat="1" applyFont="1" applyBorder="1" applyAlignment="1">
      <alignment vertical="center"/>
    </xf>
    <xf numFmtId="165" fontId="48" fillId="0" borderId="21" xfId="0" applyNumberFormat="1" applyFont="1" applyBorder="1" applyAlignment="1">
      <alignment vertical="center"/>
    </xf>
    <xf numFmtId="0" fontId="50" fillId="2" borderId="44" xfId="0" applyFont="1" applyFill="1" applyBorder="1" applyAlignment="1">
      <alignment horizontal="center" vertical="center"/>
    </xf>
    <xf numFmtId="165" fontId="50" fillId="2" borderId="16" xfId="0" applyNumberFormat="1" applyFont="1" applyFill="1" applyBorder="1" applyAlignment="1">
      <alignment vertical="center"/>
    </xf>
    <xf numFmtId="0" fontId="48" fillId="0" borderId="56" xfId="0" quotePrefix="1" applyFont="1" applyBorder="1" applyAlignment="1">
      <alignment vertical="center"/>
    </xf>
    <xf numFmtId="0" fontId="49" fillId="0" borderId="22" xfId="0" applyFont="1" applyFill="1" applyBorder="1" applyAlignment="1">
      <alignment horizontal="center" vertical="center"/>
    </xf>
    <xf numFmtId="0" fontId="50" fillId="0" borderId="22" xfId="0" applyFont="1" applyFill="1" applyBorder="1" applyAlignment="1">
      <alignment horizontal="center" vertical="center" wrapText="1"/>
    </xf>
    <xf numFmtId="0" fontId="50" fillId="0" borderId="25" xfId="0" applyFont="1" applyFill="1" applyBorder="1" applyAlignment="1">
      <alignment horizontal="center" vertical="center"/>
    </xf>
    <xf numFmtId="0" fontId="50" fillId="0" borderId="30" xfId="0" applyFont="1" applyFill="1" applyBorder="1" applyAlignment="1">
      <alignment horizontal="center" vertical="center"/>
    </xf>
    <xf numFmtId="0" fontId="48" fillId="0" borderId="24" xfId="0" quotePrefix="1" applyFont="1" applyBorder="1" applyAlignment="1">
      <alignment vertical="center"/>
    </xf>
    <xf numFmtId="4" fontId="50" fillId="0" borderId="22" xfId="0" applyNumberFormat="1" applyFont="1" applyFill="1" applyBorder="1" applyAlignment="1">
      <alignment horizontal="right" vertical="center"/>
    </xf>
    <xf numFmtId="0" fontId="79" fillId="6" borderId="11" xfId="0" applyFont="1" applyFill="1" applyBorder="1" applyAlignment="1">
      <alignment horizontal="center" vertical="center" wrapText="1"/>
    </xf>
    <xf numFmtId="0" fontId="80" fillId="6" borderId="56" xfId="21" applyFont="1" applyFill="1" applyBorder="1" applyAlignment="1" applyProtection="1">
      <alignment vertical="center"/>
    </xf>
    <xf numFmtId="168" fontId="81" fillId="6" borderId="75" xfId="24" applyNumberFormat="1" applyFont="1" applyFill="1" applyBorder="1" applyAlignment="1" applyProtection="1">
      <alignment vertical="center"/>
    </xf>
    <xf numFmtId="168" fontId="81" fillId="6" borderId="77" xfId="24" applyNumberFormat="1" applyFont="1" applyFill="1" applyBorder="1" applyAlignment="1" applyProtection="1">
      <alignment vertical="center"/>
    </xf>
    <xf numFmtId="0" fontId="78" fillId="0" borderId="24" xfId="21" applyFont="1" applyFill="1" applyBorder="1" applyAlignment="1" applyProtection="1">
      <alignment vertical="center"/>
      <protection locked="0"/>
    </xf>
    <xf numFmtId="168" fontId="83" fillId="0" borderId="9" xfId="24" applyNumberFormat="1" applyFont="1" applyFill="1" applyBorder="1" applyAlignment="1" applyProtection="1">
      <alignment vertical="center"/>
      <protection locked="0"/>
    </xf>
    <xf numFmtId="168" fontId="83" fillId="0" borderId="46" xfId="24" applyNumberFormat="1" applyFont="1" applyFill="1" applyBorder="1" applyAlignment="1" applyProtection="1">
      <alignment vertical="center"/>
      <protection locked="0"/>
    </xf>
    <xf numFmtId="0" fontId="78" fillId="0" borderId="24" xfId="21" applyFont="1" applyFill="1" applyBorder="1" applyAlignment="1" applyProtection="1">
      <alignment vertical="center"/>
    </xf>
    <xf numFmtId="168" fontId="83" fillId="0" borderId="9" xfId="24" applyNumberFormat="1" applyFont="1" applyFill="1" applyBorder="1" applyAlignment="1" applyProtection="1">
      <alignment vertical="center"/>
    </xf>
    <xf numFmtId="168" fontId="83" fillId="0" borderId="46" xfId="24" applyNumberFormat="1" applyFont="1" applyFill="1" applyBorder="1" applyAlignment="1" applyProtection="1">
      <alignment vertical="center"/>
    </xf>
    <xf numFmtId="0" fontId="82" fillId="0" borderId="24" xfId="21" applyFont="1" applyFill="1" applyBorder="1" applyAlignment="1" applyProtection="1">
      <alignment vertical="center"/>
    </xf>
    <xf numFmtId="168" fontId="84" fillId="0" borderId="9" xfId="24" applyNumberFormat="1" applyFont="1" applyFill="1" applyBorder="1" applyAlignment="1" applyProtection="1">
      <alignment vertical="center"/>
    </xf>
    <xf numFmtId="168" fontId="84" fillId="0" borderId="46" xfId="24" applyNumberFormat="1" applyFont="1" applyFill="1" applyBorder="1" applyAlignment="1" applyProtection="1">
      <alignment vertical="center"/>
      <protection locked="0"/>
    </xf>
    <xf numFmtId="168" fontId="84" fillId="0" borderId="9" xfId="24" applyNumberFormat="1" applyFont="1" applyFill="1" applyBorder="1" applyAlignment="1" applyProtection="1">
      <alignment vertical="center"/>
      <protection locked="0"/>
    </xf>
    <xf numFmtId="0" fontId="82" fillId="0" borderId="24" xfId="21" applyFont="1" applyFill="1" applyBorder="1" applyAlignment="1" applyProtection="1">
      <alignment vertical="center"/>
      <protection locked="0"/>
    </xf>
    <xf numFmtId="0" fontId="82" fillId="0" borderId="80" xfId="21" applyFont="1" applyFill="1" applyBorder="1" applyAlignment="1" applyProtection="1">
      <alignment vertical="center"/>
      <protection locked="0"/>
    </xf>
    <xf numFmtId="168" fontId="82" fillId="0" borderId="12" xfId="13" applyNumberFormat="1" applyFont="1" applyFill="1" applyBorder="1" applyAlignment="1" applyProtection="1">
      <alignment vertical="center"/>
      <protection locked="0"/>
    </xf>
    <xf numFmtId="168" fontId="84" fillId="0" borderId="81" xfId="24" applyNumberFormat="1" applyFont="1" applyFill="1" applyBorder="1" applyAlignment="1" applyProtection="1">
      <alignment vertical="center"/>
      <protection locked="0"/>
    </xf>
    <xf numFmtId="0" fontId="79" fillId="6" borderId="33" xfId="0" applyFont="1" applyFill="1" applyBorder="1" applyAlignment="1">
      <alignment horizontal="center" vertical="center"/>
    </xf>
    <xf numFmtId="0" fontId="79" fillId="6" borderId="34" xfId="0" applyFont="1" applyFill="1" applyBorder="1" applyAlignment="1">
      <alignment horizontal="center" vertical="center"/>
    </xf>
    <xf numFmtId="0" fontId="79" fillId="6" borderId="33" xfId="0" applyFont="1" applyFill="1" applyBorder="1" applyAlignment="1">
      <alignment horizontal="center" vertical="center" wrapText="1"/>
    </xf>
    <xf numFmtId="0" fontId="79" fillId="6" borderId="3" xfId="0" applyFont="1" applyFill="1" applyBorder="1" applyAlignment="1">
      <alignment horizontal="center" vertical="center" wrapText="1"/>
    </xf>
    <xf numFmtId="2" fontId="80" fillId="6" borderId="23" xfId="0" applyNumberFormat="1" applyFont="1" applyFill="1" applyBorder="1"/>
    <xf numFmtId="2" fontId="78" fillId="0" borderId="9" xfId="0" applyNumberFormat="1" applyFont="1" applyFill="1" applyBorder="1"/>
    <xf numFmtId="2" fontId="82" fillId="0" borderId="9" xfId="0" applyNumberFormat="1" applyFont="1" applyFill="1" applyBorder="1"/>
    <xf numFmtId="2" fontId="82" fillId="0" borderId="12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22" fillId="4" borderId="0" xfId="0" applyFont="1" applyFill="1" applyAlignment="1">
      <alignment horizontal="center" vertical="center"/>
    </xf>
    <xf numFmtId="164" fontId="7" fillId="0" borderId="0" xfId="1" applyNumberFormat="1" applyFont="1" applyAlignment="1">
      <alignment horizontal="center"/>
    </xf>
    <xf numFmtId="43" fontId="7" fillId="0" borderId="0" xfId="1" applyNumberFormat="1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1" applyNumberFormat="1" applyFont="1" applyAlignment="1">
      <alignment horizontal="left"/>
    </xf>
    <xf numFmtId="0" fontId="36" fillId="2" borderId="35" xfId="0" applyFont="1" applyFill="1" applyBorder="1" applyAlignment="1">
      <alignment horizontal="center" vertical="center" wrapText="1"/>
    </xf>
    <xf numFmtId="0" fontId="36" fillId="2" borderId="20" xfId="0" applyFont="1" applyFill="1" applyBorder="1" applyAlignment="1">
      <alignment horizontal="center" vertical="center" wrapText="1"/>
    </xf>
    <xf numFmtId="4" fontId="34" fillId="0" borderId="0" xfId="0" applyNumberFormat="1" applyFont="1" applyAlignment="1">
      <alignment horizontal="center" vertical="center"/>
    </xf>
    <xf numFmtId="3" fontId="36" fillId="0" borderId="31" xfId="0" applyNumberFormat="1" applyFont="1" applyBorder="1" applyAlignment="1">
      <alignment horizontal="left" vertical="center"/>
    </xf>
    <xf numFmtId="3" fontId="36" fillId="0" borderId="50" xfId="0" applyNumberFormat="1" applyFont="1" applyBorder="1" applyAlignment="1">
      <alignment horizontal="left" vertical="center"/>
    </xf>
    <xf numFmtId="3" fontId="36" fillId="0" borderId="51" xfId="0" applyNumberFormat="1" applyFont="1" applyBorder="1" applyAlignment="1">
      <alignment horizontal="left" vertical="center"/>
    </xf>
    <xf numFmtId="3" fontId="36" fillId="0" borderId="24" xfId="0" applyNumberFormat="1" applyFont="1" applyBorder="1" applyAlignment="1">
      <alignment horizontal="left" vertical="center"/>
    </xf>
    <xf numFmtId="3" fontId="36" fillId="0" borderId="46" xfId="0" applyNumberFormat="1" applyFont="1" applyBorder="1" applyAlignment="1">
      <alignment horizontal="left" vertical="center"/>
    </xf>
    <xf numFmtId="3" fontId="36" fillId="0" borderId="21" xfId="0" applyNumberFormat="1" applyFont="1" applyBorder="1" applyAlignment="1">
      <alignment horizontal="left" vertical="center"/>
    </xf>
    <xf numFmtId="0" fontId="36" fillId="2" borderId="34" xfId="0" applyFont="1" applyFill="1" applyBorder="1" applyAlignment="1">
      <alignment horizontal="center" vertical="center"/>
    </xf>
    <xf numFmtId="0" fontId="36" fillId="2" borderId="33" xfId="0" applyFont="1" applyFill="1" applyBorder="1" applyAlignment="1">
      <alignment horizontal="center" vertical="center"/>
    </xf>
    <xf numFmtId="0" fontId="36" fillId="2" borderId="35" xfId="0" applyFont="1" applyFill="1" applyBorder="1" applyAlignment="1">
      <alignment horizontal="center" vertical="center"/>
    </xf>
    <xf numFmtId="0" fontId="36" fillId="2" borderId="19" xfId="0" applyFont="1" applyFill="1" applyBorder="1" applyAlignment="1">
      <alignment horizontal="center" vertical="center"/>
    </xf>
    <xf numFmtId="0" fontId="0" fillId="0" borderId="45" xfId="0" applyBorder="1"/>
    <xf numFmtId="0" fontId="0" fillId="0" borderId="20" xfId="0" applyBorder="1"/>
    <xf numFmtId="4" fontId="36" fillId="2" borderId="34" xfId="0" applyNumberFormat="1" applyFont="1" applyFill="1" applyBorder="1" applyAlignment="1">
      <alignment horizontal="center" vertical="center"/>
    </xf>
    <xf numFmtId="4" fontId="36" fillId="2" borderId="33" xfId="0" applyNumberFormat="1" applyFont="1" applyFill="1" applyBorder="1" applyAlignment="1">
      <alignment horizontal="center" vertical="center"/>
    </xf>
    <xf numFmtId="4" fontId="36" fillId="2" borderId="35" xfId="0" applyNumberFormat="1" applyFont="1" applyFill="1" applyBorder="1" applyAlignment="1">
      <alignment horizontal="center" vertical="center"/>
    </xf>
    <xf numFmtId="4" fontId="36" fillId="2" borderId="19" xfId="0" applyNumberFormat="1" applyFont="1" applyFill="1" applyBorder="1" applyAlignment="1">
      <alignment horizontal="center" vertical="center"/>
    </xf>
    <xf numFmtId="4" fontId="36" fillId="2" borderId="45" xfId="0" applyNumberFormat="1" applyFont="1" applyFill="1" applyBorder="1" applyAlignment="1">
      <alignment horizontal="center" vertical="center"/>
    </xf>
    <xf numFmtId="4" fontId="36" fillId="2" borderId="20" xfId="0" applyNumberFormat="1" applyFont="1" applyFill="1" applyBorder="1" applyAlignment="1">
      <alignment horizontal="center" vertical="center"/>
    </xf>
    <xf numFmtId="4" fontId="6" fillId="2" borderId="2" xfId="0" applyNumberFormat="1" applyFont="1" applyFill="1" applyBorder="1" applyAlignment="1">
      <alignment horizontal="center" vertical="center"/>
    </xf>
    <xf numFmtId="4" fontId="6" fillId="2" borderId="6" xfId="0" applyNumberFormat="1" applyFont="1" applyFill="1" applyBorder="1" applyAlignment="1">
      <alignment horizontal="center" vertical="center"/>
    </xf>
    <xf numFmtId="4" fontId="36" fillId="2" borderId="15" xfId="0" applyNumberFormat="1" applyFont="1" applyFill="1" applyBorder="1" applyAlignment="1">
      <alignment horizontal="center" vertical="center"/>
    </xf>
    <xf numFmtId="4" fontId="36" fillId="2" borderId="44" xfId="0" applyNumberFormat="1" applyFont="1" applyFill="1" applyBorder="1" applyAlignment="1">
      <alignment horizontal="center" vertical="center"/>
    </xf>
    <xf numFmtId="4" fontId="36" fillId="2" borderId="16" xfId="0" applyNumberFormat="1" applyFont="1" applyFill="1" applyBorder="1" applyAlignment="1">
      <alignment horizontal="center" vertical="center"/>
    </xf>
    <xf numFmtId="4" fontId="11" fillId="0" borderId="32" xfId="0" applyNumberFormat="1" applyFont="1" applyBorder="1" applyAlignment="1">
      <alignment horizontal="left" vertical="center"/>
    </xf>
    <xf numFmtId="4" fontId="36" fillId="2" borderId="2" xfId="0" applyNumberFormat="1" applyFont="1" applyFill="1" applyBorder="1" applyAlignment="1">
      <alignment horizontal="center" vertical="center"/>
    </xf>
    <xf numFmtId="4" fontId="36" fillId="2" borderId="6" xfId="0" applyNumberFormat="1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 wrapText="1"/>
    </xf>
    <xf numFmtId="0" fontId="36" fillId="2" borderId="6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0" fontId="36" fillId="2" borderId="5" xfId="0" applyFont="1" applyFill="1" applyBorder="1" applyAlignment="1">
      <alignment horizontal="center" vertical="center" wrapText="1"/>
    </xf>
    <xf numFmtId="0" fontId="36" fillId="2" borderId="36" xfId="0" applyFont="1" applyFill="1" applyBorder="1" applyAlignment="1">
      <alignment horizontal="center" vertical="center"/>
    </xf>
    <xf numFmtId="0" fontId="36" fillId="2" borderId="37" xfId="0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 vertical="center"/>
    </xf>
    <xf numFmtId="4" fontId="36" fillId="2" borderId="53" xfId="0" applyNumberFormat="1" applyFont="1" applyFill="1" applyBorder="1" applyAlignment="1">
      <alignment horizontal="center" vertical="center"/>
    </xf>
    <xf numFmtId="4" fontId="36" fillId="2" borderId="54" xfId="0" applyNumberFormat="1" applyFont="1" applyFill="1" applyBorder="1" applyAlignment="1">
      <alignment horizontal="center" vertical="center"/>
    </xf>
    <xf numFmtId="4" fontId="36" fillId="2" borderId="39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5" applyFont="1" applyAlignment="1">
      <alignment horizontal="center" vertical="center"/>
    </xf>
    <xf numFmtId="0" fontId="2" fillId="2" borderId="2" xfId="5" applyFont="1" applyFill="1" applyBorder="1" applyAlignment="1">
      <alignment horizontal="center" vertical="center"/>
    </xf>
    <xf numFmtId="0" fontId="2" fillId="2" borderId="6" xfId="5" applyFont="1" applyFill="1" applyBorder="1" applyAlignment="1">
      <alignment horizontal="center" vertical="center"/>
    </xf>
    <xf numFmtId="0" fontId="15" fillId="2" borderId="2" xfId="5" applyFont="1" applyFill="1" applyBorder="1" applyAlignment="1">
      <alignment horizontal="center" vertical="center"/>
    </xf>
    <xf numFmtId="0" fontId="15" fillId="2" borderId="6" xfId="5" applyFont="1" applyFill="1" applyBorder="1" applyAlignment="1">
      <alignment horizontal="center" vertical="center"/>
    </xf>
    <xf numFmtId="0" fontId="11" fillId="2" borderId="15" xfId="5" applyFont="1" applyFill="1" applyBorder="1" applyAlignment="1">
      <alignment horizontal="center" vertical="center"/>
    </xf>
    <xf numFmtId="0" fontId="11" fillId="2" borderId="16" xfId="5" applyFont="1" applyFill="1" applyBorder="1" applyAlignment="1">
      <alignment horizontal="center" vertical="center"/>
    </xf>
    <xf numFmtId="169" fontId="11" fillId="0" borderId="0" xfId="5" applyNumberFormat="1" applyFont="1" applyFill="1" applyBorder="1" applyAlignment="1">
      <alignment horizontal="right" vertical="center"/>
    </xf>
    <xf numFmtId="0" fontId="2" fillId="0" borderId="0" xfId="5" applyFont="1" applyFill="1" applyBorder="1" applyAlignment="1">
      <alignment horizontal="center" vertical="center"/>
    </xf>
    <xf numFmtId="4" fontId="15" fillId="2" borderId="15" xfId="0" applyNumberFormat="1" applyFont="1" applyFill="1" applyBorder="1" applyAlignment="1">
      <alignment horizontal="center" vertical="center"/>
    </xf>
    <xf numFmtId="4" fontId="15" fillId="2" borderId="16" xfId="0" applyNumberFormat="1" applyFont="1" applyFill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17" fillId="0" borderId="1" xfId="3" applyFont="1" applyBorder="1" applyAlignment="1">
      <alignment horizontal="right" vertical="center"/>
    </xf>
    <xf numFmtId="0" fontId="2" fillId="2" borderId="2" xfId="3" applyFont="1" applyFill="1" applyBorder="1" applyAlignment="1">
      <alignment horizontal="center" vertical="center"/>
    </xf>
    <xf numFmtId="0" fontId="2" fillId="2" borderId="6" xfId="3" applyFont="1" applyFill="1" applyBorder="1" applyAlignment="1">
      <alignment horizontal="center" vertical="center"/>
    </xf>
    <xf numFmtId="0" fontId="15" fillId="2" borderId="2" xfId="3" applyFont="1" applyFill="1" applyBorder="1" applyAlignment="1">
      <alignment horizontal="center" vertical="center"/>
    </xf>
    <xf numFmtId="0" fontId="15" fillId="2" borderId="6" xfId="3" applyFont="1" applyFill="1" applyBorder="1" applyAlignment="1">
      <alignment horizontal="center" vertical="center"/>
    </xf>
    <xf numFmtId="0" fontId="16" fillId="0" borderId="0" xfId="17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20" fillId="0" borderId="0" xfId="6" applyFont="1" applyAlignment="1">
      <alignment horizontal="center" vertical="center"/>
    </xf>
    <xf numFmtId="0" fontId="15" fillId="2" borderId="15" xfId="14" applyFont="1" applyFill="1" applyBorder="1" applyAlignment="1">
      <alignment horizontal="center" vertical="center"/>
    </xf>
    <xf numFmtId="0" fontId="15" fillId="2" borderId="16" xfId="14" applyFont="1" applyFill="1" applyBorder="1" applyAlignment="1">
      <alignment horizontal="center" vertical="center"/>
    </xf>
    <xf numFmtId="0" fontId="20" fillId="0" borderId="0" xfId="14" applyFont="1" applyAlignment="1">
      <alignment horizontal="center" vertical="center"/>
    </xf>
    <xf numFmtId="0" fontId="2" fillId="2" borderId="2" xfId="14" applyFont="1" applyFill="1" applyBorder="1" applyAlignment="1">
      <alignment horizontal="center" vertical="center"/>
    </xf>
    <xf numFmtId="0" fontId="2" fillId="2" borderId="6" xfId="14" applyFont="1" applyFill="1" applyBorder="1" applyAlignment="1">
      <alignment horizontal="center" vertical="center"/>
    </xf>
    <xf numFmtId="0" fontId="15" fillId="2" borderId="2" xfId="14" applyFont="1" applyFill="1" applyBorder="1" applyAlignment="1">
      <alignment horizontal="center" vertical="center"/>
    </xf>
    <xf numFmtId="0" fontId="15" fillId="2" borderId="6" xfId="14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5" xfId="9" applyFont="1" applyFill="1" applyBorder="1" applyAlignment="1">
      <alignment horizontal="center" vertical="center"/>
    </xf>
    <xf numFmtId="0" fontId="15" fillId="2" borderId="16" xfId="9" applyFont="1" applyFill="1" applyBorder="1" applyAlignment="1">
      <alignment horizontal="center" vertical="center"/>
    </xf>
    <xf numFmtId="0" fontId="2" fillId="2" borderId="2" xfId="9" applyFont="1" applyFill="1" applyBorder="1" applyAlignment="1">
      <alignment horizontal="center" vertical="center"/>
    </xf>
    <xf numFmtId="0" fontId="2" fillId="2" borderId="6" xfId="9" applyFont="1" applyFill="1" applyBorder="1" applyAlignment="1">
      <alignment horizontal="center" vertical="center"/>
    </xf>
    <xf numFmtId="0" fontId="15" fillId="2" borderId="2" xfId="9" applyFont="1" applyFill="1" applyBorder="1" applyAlignment="1">
      <alignment horizontal="center" vertical="center"/>
    </xf>
    <xf numFmtId="0" fontId="15" fillId="2" borderId="6" xfId="9" applyFont="1" applyFill="1" applyBorder="1" applyAlignment="1">
      <alignment horizontal="center" vertical="center"/>
    </xf>
    <xf numFmtId="0" fontId="15" fillId="2" borderId="15" xfId="13" applyFont="1" applyFill="1" applyBorder="1" applyAlignment="1">
      <alignment horizontal="center" vertical="center"/>
    </xf>
    <xf numFmtId="0" fontId="15" fillId="2" borderId="16" xfId="13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 wrapText="1"/>
    </xf>
    <xf numFmtId="0" fontId="20" fillId="0" borderId="0" xfId="9" applyFont="1" applyAlignment="1">
      <alignment horizontal="center" vertical="center"/>
    </xf>
    <xf numFmtId="0" fontId="20" fillId="0" borderId="0" xfId="11" applyFont="1" applyAlignment="1">
      <alignment horizontal="center" vertical="center"/>
    </xf>
    <xf numFmtId="0" fontId="2" fillId="2" borderId="2" xfId="11" applyFont="1" applyFill="1" applyBorder="1" applyAlignment="1">
      <alignment horizontal="center" vertical="center"/>
    </xf>
    <xf numFmtId="0" fontId="2" fillId="2" borderId="6" xfId="11" applyFont="1" applyFill="1" applyBorder="1" applyAlignment="1">
      <alignment horizontal="center" vertical="center"/>
    </xf>
    <xf numFmtId="0" fontId="15" fillId="2" borderId="2" xfId="11" applyFont="1" applyFill="1" applyBorder="1" applyAlignment="1">
      <alignment horizontal="center" vertical="center"/>
    </xf>
    <xf numFmtId="0" fontId="15" fillId="2" borderId="6" xfId="11" applyFont="1" applyFill="1" applyBorder="1" applyAlignment="1">
      <alignment horizontal="center" vertical="center"/>
    </xf>
    <xf numFmtId="0" fontId="15" fillId="2" borderId="15" xfId="6" applyFont="1" applyFill="1" applyBorder="1" applyAlignment="1">
      <alignment horizontal="center" vertical="center"/>
    </xf>
    <xf numFmtId="0" fontId="15" fillId="2" borderId="16" xfId="6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" fillId="2" borderId="2" xfId="7" applyFont="1" applyFill="1" applyBorder="1" applyAlignment="1">
      <alignment horizontal="center" vertical="center"/>
    </xf>
    <xf numFmtId="0" fontId="2" fillId="2" borderId="6" xfId="7" applyFont="1" applyFill="1" applyBorder="1" applyAlignment="1">
      <alignment horizontal="center" vertical="center"/>
    </xf>
    <xf numFmtId="0" fontId="15" fillId="2" borderId="2" xfId="7" applyFont="1" applyFill="1" applyBorder="1" applyAlignment="1">
      <alignment horizontal="center" vertical="center"/>
    </xf>
    <xf numFmtId="0" fontId="15" fillId="2" borderId="6" xfId="7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20" fillId="0" borderId="0" xfId="7" applyFont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6" xfId="4" applyFont="1" applyFill="1" applyBorder="1" applyAlignment="1">
      <alignment horizontal="center" vertical="center"/>
    </xf>
    <xf numFmtId="0" fontId="15" fillId="2" borderId="2" xfId="4" applyFont="1" applyFill="1" applyBorder="1" applyAlignment="1">
      <alignment horizontal="center" vertical="center"/>
    </xf>
    <xf numFmtId="0" fontId="15" fillId="2" borderId="6" xfId="4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5" borderId="1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20" fillId="0" borderId="0" xfId="15" applyFont="1" applyAlignment="1">
      <alignment horizontal="center" vertical="center"/>
    </xf>
    <xf numFmtId="0" fontId="17" fillId="0" borderId="1" xfId="15" applyFont="1" applyBorder="1" applyAlignment="1">
      <alignment horizontal="right" vertical="center"/>
    </xf>
    <xf numFmtId="0" fontId="2" fillId="2" borderId="2" xfId="15" applyFont="1" applyFill="1" applyBorder="1" applyAlignment="1">
      <alignment horizontal="center" vertical="center"/>
    </xf>
    <xf numFmtId="0" fontId="2" fillId="2" borderId="6" xfId="15" applyFont="1" applyFill="1" applyBorder="1" applyAlignment="1">
      <alignment horizontal="center" vertical="center"/>
    </xf>
    <xf numFmtId="0" fontId="15" fillId="2" borderId="2" xfId="15" applyFont="1" applyFill="1" applyBorder="1" applyAlignment="1">
      <alignment horizontal="center" vertical="center" wrapText="1"/>
    </xf>
    <xf numFmtId="0" fontId="15" fillId="2" borderId="6" xfId="15" applyFont="1" applyFill="1" applyBorder="1" applyAlignment="1">
      <alignment horizontal="center" vertical="center" wrapText="1"/>
    </xf>
    <xf numFmtId="0" fontId="15" fillId="2" borderId="2" xfId="15" applyFont="1" applyFill="1" applyBorder="1" applyAlignment="1">
      <alignment horizontal="center" vertical="center"/>
    </xf>
    <xf numFmtId="0" fontId="15" fillId="2" borderId="6" xfId="15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5" fillId="2" borderId="15" xfId="4" applyFont="1" applyFill="1" applyBorder="1" applyAlignment="1">
      <alignment horizontal="center" vertical="center"/>
    </xf>
    <xf numFmtId="0" fontId="15" fillId="2" borderId="16" xfId="4" applyFont="1" applyFill="1" applyBorder="1" applyAlignment="1">
      <alignment horizontal="center" vertical="center"/>
    </xf>
    <xf numFmtId="0" fontId="20" fillId="0" borderId="0" xfId="17" applyFont="1" applyAlignment="1">
      <alignment horizontal="center" vertical="center"/>
    </xf>
    <xf numFmtId="0" fontId="2" fillId="2" borderId="2" xfId="17" applyFont="1" applyFill="1" applyBorder="1" applyAlignment="1">
      <alignment horizontal="center" vertical="center"/>
    </xf>
    <xf numFmtId="0" fontId="2" fillId="2" borderId="6" xfId="17" applyFont="1" applyFill="1" applyBorder="1" applyAlignment="1">
      <alignment horizontal="center" vertical="center"/>
    </xf>
    <xf numFmtId="0" fontId="15" fillId="2" borderId="2" xfId="17" applyFont="1" applyFill="1" applyBorder="1" applyAlignment="1">
      <alignment horizontal="center" vertical="center"/>
    </xf>
    <xf numFmtId="0" fontId="15" fillId="2" borderId="6" xfId="17" applyFont="1" applyFill="1" applyBorder="1" applyAlignment="1">
      <alignment horizontal="center" vertical="center"/>
    </xf>
    <xf numFmtId="0" fontId="15" fillId="2" borderId="15" xfId="17" applyFont="1" applyFill="1" applyBorder="1" applyAlignment="1">
      <alignment horizontal="center" vertical="center"/>
    </xf>
    <xf numFmtId="0" fontId="15" fillId="2" borderId="16" xfId="17" applyFont="1" applyFill="1" applyBorder="1" applyAlignment="1">
      <alignment horizontal="center" vertical="center"/>
    </xf>
    <xf numFmtId="4" fontId="15" fillId="6" borderId="15" xfId="0" applyNumberFormat="1" applyFont="1" applyFill="1" applyBorder="1" applyAlignment="1">
      <alignment horizontal="center" vertical="center"/>
    </xf>
    <xf numFmtId="4" fontId="15" fillId="6" borderId="16" xfId="0" applyNumberFormat="1" applyFont="1" applyFill="1" applyBorder="1" applyAlignment="1">
      <alignment horizontal="center" vertical="center"/>
    </xf>
    <xf numFmtId="0" fontId="2" fillId="2" borderId="2" xfId="6" applyFont="1" applyFill="1" applyBorder="1" applyAlignment="1">
      <alignment horizontal="center" vertical="center"/>
    </xf>
    <xf numFmtId="0" fontId="2" fillId="2" borderId="6" xfId="6" applyFont="1" applyFill="1" applyBorder="1" applyAlignment="1">
      <alignment horizontal="center" vertical="center"/>
    </xf>
    <xf numFmtId="0" fontId="15" fillId="2" borderId="2" xfId="6" applyFont="1" applyFill="1" applyBorder="1" applyAlignment="1">
      <alignment horizontal="center" vertical="center"/>
    </xf>
    <xf numFmtId="0" fontId="15" fillId="2" borderId="6" xfId="6" applyFont="1" applyFill="1" applyBorder="1" applyAlignment="1">
      <alignment horizontal="center" vertical="center"/>
    </xf>
    <xf numFmtId="0" fontId="16" fillId="0" borderId="0" xfId="11" applyFont="1" applyBorder="1" applyAlignment="1">
      <alignment horizontal="center" vertical="center"/>
    </xf>
    <xf numFmtId="0" fontId="15" fillId="2" borderId="15" xfId="7" applyFont="1" applyFill="1" applyBorder="1" applyAlignment="1">
      <alignment horizontal="center" vertical="center"/>
    </xf>
    <xf numFmtId="0" fontId="15" fillId="2" borderId="16" xfId="7" applyFont="1" applyFill="1" applyBorder="1" applyAlignment="1">
      <alignment horizontal="center" vertical="center"/>
    </xf>
    <xf numFmtId="0" fontId="1" fillId="2" borderId="2" xfId="8" applyFont="1" applyFill="1" applyBorder="1" applyAlignment="1">
      <alignment horizontal="center" vertical="center"/>
    </xf>
    <xf numFmtId="0" fontId="1" fillId="2" borderId="6" xfId="8" applyFont="1" applyFill="1" applyBorder="1" applyAlignment="1">
      <alignment horizontal="center" vertical="center"/>
    </xf>
    <xf numFmtId="0" fontId="11" fillId="2" borderId="2" xfId="8" applyFont="1" applyFill="1" applyBorder="1" applyAlignment="1">
      <alignment horizontal="center" vertical="center"/>
    </xf>
    <xf numFmtId="0" fontId="11" fillId="2" borderId="6" xfId="8" applyFont="1" applyFill="1" applyBorder="1" applyAlignment="1">
      <alignment horizontal="center" vertical="center"/>
    </xf>
    <xf numFmtId="0" fontId="11" fillId="2" borderId="15" xfId="8" applyFont="1" applyFill="1" applyBorder="1" applyAlignment="1">
      <alignment horizontal="center" vertical="center"/>
    </xf>
    <xf numFmtId="0" fontId="11" fillId="2" borderId="16" xfId="8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4" fontId="2" fillId="2" borderId="2" xfId="0" applyNumberFormat="1" applyFont="1" applyFill="1" applyBorder="1" applyAlignment="1">
      <alignment horizontal="center" vertical="center"/>
    </xf>
    <xf numFmtId="4" fontId="2" fillId="2" borderId="6" xfId="0" applyNumberFormat="1" applyFont="1" applyFill="1" applyBorder="1" applyAlignment="1">
      <alignment horizontal="center" vertical="center"/>
    </xf>
    <xf numFmtId="4" fontId="15" fillId="2" borderId="2" xfId="0" applyNumberFormat="1" applyFont="1" applyFill="1" applyBorder="1" applyAlignment="1">
      <alignment horizontal="center" vertical="center"/>
    </xf>
    <xf numFmtId="4" fontId="15" fillId="2" borderId="6" xfId="0" applyNumberFormat="1" applyFont="1" applyFill="1" applyBorder="1" applyAlignment="1">
      <alignment horizontal="center" vertical="center"/>
    </xf>
    <xf numFmtId="4" fontId="11" fillId="2" borderId="15" xfId="0" applyNumberFormat="1" applyFont="1" applyFill="1" applyBorder="1" applyAlignment="1">
      <alignment horizontal="center" vertical="center"/>
    </xf>
    <xf numFmtId="4" fontId="11" fillId="2" borderId="16" xfId="0" applyNumberFormat="1" applyFont="1" applyFill="1" applyBorder="1" applyAlignment="1">
      <alignment horizontal="center" vertical="center"/>
    </xf>
    <xf numFmtId="0" fontId="20" fillId="0" borderId="0" xfId="16" applyFont="1" applyAlignment="1">
      <alignment horizontal="center" vertical="center"/>
    </xf>
    <xf numFmtId="0" fontId="2" fillId="2" borderId="2" xfId="16" applyFont="1" applyFill="1" applyBorder="1" applyAlignment="1">
      <alignment horizontal="center" vertical="center"/>
    </xf>
    <xf numFmtId="0" fontId="2" fillId="2" borderId="6" xfId="16" applyFont="1" applyFill="1" applyBorder="1" applyAlignment="1">
      <alignment horizontal="center" vertical="center"/>
    </xf>
    <xf numFmtId="0" fontId="15" fillId="2" borderId="2" xfId="16" applyFont="1" applyFill="1" applyBorder="1" applyAlignment="1">
      <alignment horizontal="center" vertical="center"/>
    </xf>
    <xf numFmtId="0" fontId="15" fillId="2" borderId="6" xfId="16" applyFont="1" applyFill="1" applyBorder="1" applyAlignment="1">
      <alignment horizontal="center" vertical="center"/>
    </xf>
    <xf numFmtId="4" fontId="15" fillId="2" borderId="15" xfId="16" applyNumberFormat="1" applyFont="1" applyFill="1" applyBorder="1" applyAlignment="1">
      <alignment horizontal="center" vertical="center"/>
    </xf>
    <xf numFmtId="4" fontId="15" fillId="2" borderId="16" xfId="16" applyNumberFormat="1" applyFont="1" applyFill="1" applyBorder="1" applyAlignment="1">
      <alignment horizontal="center" vertical="center"/>
    </xf>
    <xf numFmtId="0" fontId="15" fillId="2" borderId="2" xfId="12" applyFont="1" applyFill="1" applyBorder="1" applyAlignment="1">
      <alignment horizontal="center" vertical="center"/>
    </xf>
    <xf numFmtId="0" fontId="15" fillId="2" borderId="6" xfId="12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2" borderId="15" xfId="15" applyFont="1" applyFill="1" applyBorder="1" applyAlignment="1">
      <alignment horizontal="center" vertical="center"/>
    </xf>
    <xf numFmtId="0" fontId="11" fillId="2" borderId="16" xfId="15" applyFont="1" applyFill="1" applyBorder="1" applyAlignment="1">
      <alignment horizontal="center" vertical="center"/>
    </xf>
    <xf numFmtId="0" fontId="15" fillId="0" borderId="0" xfId="5" applyFont="1" applyFill="1" applyBorder="1" applyAlignment="1">
      <alignment horizontal="center" vertical="center"/>
    </xf>
    <xf numFmtId="0" fontId="11" fillId="0" borderId="0" xfId="5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43" fontId="11" fillId="0" borderId="0" xfId="1" applyNumberFormat="1" applyFont="1" applyFill="1" applyBorder="1" applyAlignment="1">
      <alignment horizontal="center" vertical="center"/>
    </xf>
    <xf numFmtId="0" fontId="15" fillId="2" borderId="15" xfId="3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 vertical="center"/>
    </xf>
    <xf numFmtId="4" fontId="15" fillId="6" borderId="44" xfId="0" applyNumberFormat="1" applyFont="1" applyFill="1" applyBorder="1" applyAlignment="1">
      <alignment horizontal="center" vertical="center"/>
    </xf>
    <xf numFmtId="0" fontId="20" fillId="0" borderId="0" xfId="5" applyFont="1" applyFill="1" applyBorder="1" applyAlignment="1">
      <alignment horizontal="center" vertical="center"/>
    </xf>
    <xf numFmtId="0" fontId="20" fillId="0" borderId="0" xfId="6" applyFont="1" applyFill="1" applyBorder="1" applyAlignment="1">
      <alignment horizontal="center" vertical="center"/>
    </xf>
    <xf numFmtId="0" fontId="11" fillId="2" borderId="15" xfId="12" applyFont="1" applyFill="1" applyBorder="1" applyAlignment="1">
      <alignment horizontal="center" vertical="center"/>
    </xf>
    <xf numFmtId="0" fontId="11" fillId="2" borderId="16" xfId="12" applyFont="1" applyFill="1" applyBorder="1" applyAlignment="1">
      <alignment horizontal="center" vertical="center"/>
    </xf>
    <xf numFmtId="0" fontId="20" fillId="0" borderId="0" xfId="12" applyFont="1" applyAlignment="1">
      <alignment horizontal="center" vertical="center"/>
    </xf>
    <xf numFmtId="0" fontId="17" fillId="0" borderId="1" xfId="12" applyFont="1" applyBorder="1" applyAlignment="1">
      <alignment horizontal="right" vertical="center"/>
    </xf>
    <xf numFmtId="0" fontId="2" fillId="2" borderId="2" xfId="12" applyFont="1" applyFill="1" applyBorder="1" applyAlignment="1">
      <alignment horizontal="center" vertical="center"/>
    </xf>
    <xf numFmtId="0" fontId="2" fillId="2" borderId="6" xfId="12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169" fontId="11" fillId="0" borderId="0" xfId="1" applyNumberFormat="1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13" applyFont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6" xfId="13" applyFont="1" applyFill="1" applyBorder="1" applyAlignment="1">
      <alignment horizontal="center" vertical="center"/>
    </xf>
    <xf numFmtId="0" fontId="15" fillId="2" borderId="2" xfId="13" applyFont="1" applyFill="1" applyBorder="1" applyAlignment="1">
      <alignment horizontal="center" vertical="center"/>
    </xf>
    <xf numFmtId="0" fontId="15" fillId="2" borderId="6" xfId="13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0" fontId="16" fillId="0" borderId="32" xfId="0" applyFont="1" applyBorder="1" applyAlignment="1">
      <alignment horizontal="left" vertical="center"/>
    </xf>
    <xf numFmtId="4" fontId="20" fillId="0" borderId="0" xfId="18" applyNumberFormat="1" applyFont="1" applyAlignment="1">
      <alignment horizontal="center" vertical="center"/>
    </xf>
    <xf numFmtId="0" fontId="15" fillId="2" borderId="2" xfId="18" applyFont="1" applyFill="1" applyBorder="1" applyAlignment="1">
      <alignment horizontal="center" vertical="center"/>
    </xf>
    <xf numFmtId="0" fontId="15" fillId="2" borderId="6" xfId="18" applyFont="1" applyFill="1" applyBorder="1" applyAlignment="1">
      <alignment horizontal="center" vertical="center"/>
    </xf>
    <xf numFmtId="4" fontId="15" fillId="2" borderId="15" xfId="18" applyNumberFormat="1" applyFont="1" applyFill="1" applyBorder="1" applyAlignment="1">
      <alignment horizontal="center" vertical="center"/>
    </xf>
    <xf numFmtId="4" fontId="15" fillId="2" borderId="16" xfId="18" applyNumberFormat="1" applyFont="1" applyFill="1" applyBorder="1" applyAlignment="1">
      <alignment horizontal="center" vertical="center"/>
    </xf>
    <xf numFmtId="4" fontId="15" fillId="2" borderId="15" xfId="20" applyNumberFormat="1" applyFont="1" applyFill="1" applyBorder="1" applyAlignment="1">
      <alignment horizontal="center" vertical="center"/>
    </xf>
    <xf numFmtId="4" fontId="15" fillId="2" borderId="16" xfId="20" applyNumberFormat="1" applyFont="1" applyFill="1" applyBorder="1" applyAlignment="1">
      <alignment horizontal="center" vertical="center"/>
    </xf>
    <xf numFmtId="0" fontId="15" fillId="2" borderId="3" xfId="18" applyFont="1" applyFill="1" applyBorder="1" applyAlignment="1">
      <alignment horizontal="center" vertical="center"/>
    </xf>
    <xf numFmtId="0" fontId="15" fillId="2" borderId="4" xfId="18" applyFont="1" applyFill="1" applyBorder="1" applyAlignment="1">
      <alignment horizontal="center" vertical="center"/>
    </xf>
    <xf numFmtId="0" fontId="15" fillId="2" borderId="5" xfId="18" applyFont="1" applyFill="1" applyBorder="1" applyAlignment="1">
      <alignment horizontal="center" vertical="center"/>
    </xf>
    <xf numFmtId="0" fontId="15" fillId="2" borderId="2" xfId="20" applyFont="1" applyFill="1" applyBorder="1" applyAlignment="1">
      <alignment horizontal="center" vertical="center"/>
    </xf>
    <xf numFmtId="0" fontId="15" fillId="2" borderId="6" xfId="20" applyFont="1" applyFill="1" applyBorder="1" applyAlignment="1">
      <alignment horizontal="center" vertical="center"/>
    </xf>
    <xf numFmtId="0" fontId="15" fillId="2" borderId="4" xfId="20" applyFont="1" applyFill="1" applyBorder="1" applyAlignment="1">
      <alignment horizontal="center" vertical="center"/>
    </xf>
    <xf numFmtId="4" fontId="20" fillId="0" borderId="0" xfId="20" applyNumberFormat="1" applyFont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50" fillId="2" borderId="22" xfId="0" applyFont="1" applyFill="1" applyBorder="1" applyAlignment="1">
      <alignment horizontal="center" vertical="center"/>
    </xf>
    <xf numFmtId="0" fontId="50" fillId="2" borderId="6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/>
    </xf>
    <xf numFmtId="0" fontId="50" fillId="2" borderId="4" xfId="0" applyFont="1" applyFill="1" applyBorder="1" applyAlignment="1">
      <alignment horizontal="center" vertical="center"/>
    </xf>
    <xf numFmtId="0" fontId="51" fillId="2" borderId="3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36" xfId="0" applyFont="1" applyFill="1" applyBorder="1" applyAlignment="1">
      <alignment horizontal="center" vertical="center"/>
    </xf>
    <xf numFmtId="0" fontId="51" fillId="2" borderId="5" xfId="0" applyFont="1" applyFill="1" applyBorder="1" applyAlignment="1">
      <alignment horizontal="center" vertical="center"/>
    </xf>
    <xf numFmtId="0" fontId="50" fillId="2" borderId="5" xfId="0" applyFont="1" applyFill="1" applyBorder="1" applyAlignment="1">
      <alignment horizontal="center" vertical="center"/>
    </xf>
    <xf numFmtId="0" fontId="50" fillId="2" borderId="60" xfId="0" applyFont="1" applyFill="1" applyBorder="1" applyAlignment="1">
      <alignment horizontal="center" vertical="center"/>
    </xf>
    <xf numFmtId="0" fontId="50" fillId="2" borderId="35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49" fillId="2" borderId="22" xfId="0" applyFont="1" applyFill="1" applyBorder="1" applyAlignment="1">
      <alignment horizontal="center" vertical="center"/>
    </xf>
    <xf numFmtId="0" fontId="49" fillId="2" borderId="6" xfId="0" applyFont="1" applyFill="1" applyBorder="1" applyAlignment="1">
      <alignment horizontal="center" vertical="center"/>
    </xf>
    <xf numFmtId="0" fontId="50" fillId="2" borderId="15" xfId="0" applyFont="1" applyFill="1" applyBorder="1" applyAlignment="1">
      <alignment horizontal="center" vertical="center"/>
    </xf>
    <xf numFmtId="0" fontId="50" fillId="2" borderId="16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0" fillId="2" borderId="15" xfId="6" applyFont="1" applyFill="1" applyBorder="1" applyAlignment="1">
      <alignment horizontal="center" vertical="center"/>
    </xf>
    <xf numFmtId="0" fontId="50" fillId="2" borderId="16" xfId="6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50" fillId="2" borderId="15" xfId="14" applyFont="1" applyFill="1" applyBorder="1" applyAlignment="1">
      <alignment horizontal="center" vertical="center"/>
    </xf>
    <xf numFmtId="0" fontId="50" fillId="2" borderId="16" xfId="14" applyFont="1" applyFill="1" applyBorder="1" applyAlignment="1">
      <alignment horizontal="center" vertical="center"/>
    </xf>
    <xf numFmtId="0" fontId="47" fillId="0" borderId="0" xfId="6" applyFont="1" applyAlignment="1">
      <alignment horizontal="center" vertical="center"/>
    </xf>
    <xf numFmtId="0" fontId="49" fillId="2" borderId="2" xfId="6" applyFont="1" applyFill="1" applyBorder="1" applyAlignment="1">
      <alignment horizontal="center" vertical="center"/>
    </xf>
    <xf numFmtId="0" fontId="49" fillId="2" borderId="6" xfId="6" applyFont="1" applyFill="1" applyBorder="1" applyAlignment="1">
      <alignment horizontal="center" vertical="center"/>
    </xf>
    <xf numFmtId="0" fontId="50" fillId="2" borderId="2" xfId="6" applyFont="1" applyFill="1" applyBorder="1" applyAlignment="1">
      <alignment horizontal="center" vertical="center"/>
    </xf>
    <xf numFmtId="0" fontId="50" fillId="2" borderId="6" xfId="6" applyFont="1" applyFill="1" applyBorder="1" applyAlignment="1">
      <alignment horizontal="center" vertical="center"/>
    </xf>
    <xf numFmtId="0" fontId="47" fillId="0" borderId="0" xfId="14" applyFont="1" applyAlignment="1">
      <alignment horizontal="center" vertical="center"/>
    </xf>
    <xf numFmtId="0" fontId="49" fillId="2" borderId="2" xfId="14" applyFont="1" applyFill="1" applyBorder="1" applyAlignment="1">
      <alignment horizontal="center" vertical="center"/>
    </xf>
    <xf numFmtId="0" fontId="49" fillId="2" borderId="6" xfId="14" applyFont="1" applyFill="1" applyBorder="1" applyAlignment="1">
      <alignment horizontal="center" vertical="center"/>
    </xf>
    <xf numFmtId="0" fontId="50" fillId="2" borderId="2" xfId="14" applyFont="1" applyFill="1" applyBorder="1" applyAlignment="1">
      <alignment horizontal="center" vertical="center"/>
    </xf>
    <xf numFmtId="0" fontId="50" fillId="2" borderId="6" xfId="14" applyFont="1" applyFill="1" applyBorder="1" applyAlignment="1">
      <alignment horizontal="center" vertical="center"/>
    </xf>
    <xf numFmtId="0" fontId="48" fillId="2" borderId="15" xfId="5" applyFont="1" applyFill="1" applyBorder="1" applyAlignment="1">
      <alignment horizontal="center" vertical="center"/>
    </xf>
    <xf numFmtId="0" fontId="48" fillId="2" borderId="16" xfId="5" applyFont="1" applyFill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49" fillId="2" borderId="2" xfId="5" applyFont="1" applyFill="1" applyBorder="1" applyAlignment="1">
      <alignment horizontal="center" vertical="center"/>
    </xf>
    <xf numFmtId="0" fontId="49" fillId="2" borderId="6" xfId="5" applyFont="1" applyFill="1" applyBorder="1" applyAlignment="1">
      <alignment horizontal="center" vertical="center"/>
    </xf>
    <xf numFmtId="0" fontId="50" fillId="2" borderId="2" xfId="5" applyFont="1" applyFill="1" applyBorder="1" applyAlignment="1">
      <alignment horizontal="center" vertical="center"/>
    </xf>
    <xf numFmtId="0" fontId="50" fillId="2" borderId="6" xfId="5" applyFont="1" applyFill="1" applyBorder="1" applyAlignment="1">
      <alignment horizontal="center" vertical="center"/>
    </xf>
    <xf numFmtId="0" fontId="60" fillId="0" borderId="67" xfId="0" applyFont="1" applyBorder="1" applyAlignment="1">
      <alignment horizontal="center" vertical="center"/>
    </xf>
    <xf numFmtId="0" fontId="60" fillId="0" borderId="69" xfId="0" applyFont="1" applyBorder="1" applyAlignment="1">
      <alignment horizontal="center" vertical="center"/>
    </xf>
    <xf numFmtId="0" fontId="60" fillId="0" borderId="72" xfId="0" applyFont="1" applyBorder="1" applyAlignment="1">
      <alignment horizontal="center" vertical="center"/>
    </xf>
    <xf numFmtId="0" fontId="60" fillId="0" borderId="33" xfId="0" applyFont="1" applyBorder="1" applyAlignment="1">
      <alignment horizontal="center" vertical="center"/>
    </xf>
    <xf numFmtId="0" fontId="60" fillId="0" borderId="68" xfId="0" applyFon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60" fillId="0" borderId="70" xfId="0" applyFont="1" applyBorder="1" applyAlignment="1">
      <alignment horizontal="center" vertical="center"/>
    </xf>
    <xf numFmtId="0" fontId="61" fillId="0" borderId="4" xfId="0" applyFont="1" applyBorder="1" applyAlignment="1">
      <alignment horizontal="center" vertical="center" wrapText="1"/>
    </xf>
    <xf numFmtId="0" fontId="61" fillId="0" borderId="71" xfId="0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 wrapText="1"/>
    </xf>
    <xf numFmtId="0" fontId="61" fillId="0" borderId="5" xfId="0" applyFont="1" applyBorder="1" applyAlignment="1">
      <alignment horizontal="center" vertical="center" wrapText="1"/>
    </xf>
    <xf numFmtId="0" fontId="61" fillId="0" borderId="2" xfId="0" applyFont="1" applyBorder="1" applyAlignment="1">
      <alignment horizontal="center" vertical="center" wrapText="1"/>
    </xf>
    <xf numFmtId="0" fontId="61" fillId="0" borderId="18" xfId="0" applyFont="1" applyBorder="1" applyAlignment="1">
      <alignment horizontal="center" vertical="center" wrapText="1"/>
    </xf>
    <xf numFmtId="0" fontId="61" fillId="0" borderId="67" xfId="0" applyFont="1" applyBorder="1" applyAlignment="1">
      <alignment horizontal="center" vertical="center" wrapText="1"/>
    </xf>
    <xf numFmtId="0" fontId="61" fillId="0" borderId="72" xfId="0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173" fontId="67" fillId="6" borderId="66" xfId="21" applyNumberFormat="1" applyFont="1" applyFill="1" applyBorder="1" applyAlignment="1" applyProtection="1">
      <alignment horizontal="center" vertical="center"/>
    </xf>
    <xf numFmtId="173" fontId="67" fillId="6" borderId="78" xfId="21" applyNumberFormat="1" applyFont="1" applyFill="1" applyBorder="1" applyAlignment="1" applyProtection="1">
      <alignment horizontal="center" vertical="center"/>
    </xf>
    <xf numFmtId="0" fontId="67" fillId="6" borderId="11" xfId="21" applyFont="1" applyFill="1" applyBorder="1" applyAlignment="1" applyProtection="1">
      <alignment horizontal="center" vertical="center"/>
      <protection locked="0"/>
    </xf>
    <xf numFmtId="0" fontId="68" fillId="6" borderId="33" xfId="0" applyFont="1" applyFill="1" applyBorder="1" applyAlignment="1">
      <alignment horizontal="center" vertical="center"/>
    </xf>
    <xf numFmtId="0" fontId="68" fillId="6" borderId="34" xfId="0" applyFont="1" applyFill="1" applyBorder="1" applyAlignment="1">
      <alignment horizontal="center" vertical="center"/>
    </xf>
    <xf numFmtId="0" fontId="68" fillId="6" borderId="35" xfId="0" applyFont="1" applyFill="1" applyBorder="1" applyAlignment="1">
      <alignment horizontal="center" vertical="center"/>
    </xf>
    <xf numFmtId="0" fontId="68" fillId="6" borderId="33" xfId="0" applyFont="1" applyFill="1" applyBorder="1" applyAlignment="1">
      <alignment horizontal="center" vertical="center" wrapText="1"/>
    </xf>
    <xf numFmtId="0" fontId="68" fillId="6" borderId="35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0" fillId="2" borderId="2" xfId="0" applyFont="1" applyFill="1" applyBorder="1" applyAlignment="1">
      <alignment horizontal="center" vertical="center" wrapText="1"/>
    </xf>
    <xf numFmtId="0" fontId="50" fillId="2" borderId="6" xfId="0" applyFont="1" applyFill="1" applyBorder="1" applyAlignment="1">
      <alignment horizontal="center" vertical="center" wrapText="1"/>
    </xf>
    <xf numFmtId="0" fontId="50" fillId="2" borderId="19" xfId="0" applyFont="1" applyFill="1" applyBorder="1" applyAlignment="1">
      <alignment horizontal="center" vertical="center"/>
    </xf>
    <xf numFmtId="0" fontId="50" fillId="2" borderId="20" xfId="0" applyFont="1" applyFill="1" applyBorder="1" applyAlignment="1">
      <alignment horizontal="center" vertical="center"/>
    </xf>
    <xf numFmtId="0" fontId="50" fillId="2" borderId="34" xfId="0" applyFont="1" applyFill="1" applyBorder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8" fillId="6" borderId="11" xfId="21" applyFont="1" applyFill="1" applyBorder="1" applyAlignment="1" applyProtection="1">
      <alignment horizontal="center" vertical="center"/>
      <protection locked="0"/>
    </xf>
  </cellXfs>
  <cellStyles count="26">
    <cellStyle name="Comma" xfId="1" builtinId="3"/>
    <cellStyle name="Comma [0] 4" xfId="24"/>
    <cellStyle name="Comma [0] 6" xfId="25"/>
    <cellStyle name="Normal" xfId="0" builtinId="0"/>
    <cellStyle name="Normal 10 2" xfId="3"/>
    <cellStyle name="Normal 11 2" xfId="12"/>
    <cellStyle name="Normal 12 2" xfId="5"/>
    <cellStyle name="Normal 13 3" xfId="10"/>
    <cellStyle name="Normal 13 4" xfId="4"/>
    <cellStyle name="Normal 14 3" xfId="6"/>
    <cellStyle name="Normal 2 2" xfId="21"/>
    <cellStyle name="Normal 2 3" xfId="8"/>
    <cellStyle name="Normal 2 4" xfId="18"/>
    <cellStyle name="Normal 2 7" xfId="16"/>
    <cellStyle name="Normal 3" xfId="7"/>
    <cellStyle name="Normal 3 2" xfId="19"/>
    <cellStyle name="Normal 3 4" xfId="20"/>
    <cellStyle name="Normal 4 2" xfId="22"/>
    <cellStyle name="Normal 4 3" xfId="2"/>
    <cellStyle name="Normal 4 5" xfId="17"/>
    <cellStyle name="Normal 5 2" xfId="13"/>
    <cellStyle name="Normal 6 2" xfId="9"/>
    <cellStyle name="Normal 7 2 2" xfId="23"/>
    <cellStyle name="Normal 7 3" xfId="11"/>
    <cellStyle name="Normal 8 5" xfId="15"/>
    <cellStyle name="Normal 9 2" xfId="14"/>
  </cellStyles>
  <dxfs count="0"/>
  <tableStyles count="0" defaultTableStyle="TableStyleMedium9" defaultPivotStyle="PivotStyleLight16"/>
  <colors>
    <mruColors>
      <color rgb="FFC0C0C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2" name="Text Box 409"/>
        <xdr:cNvSpPr txBox="1">
          <a:spLocks noChangeArrowheads="1"/>
        </xdr:cNvSpPr>
      </xdr:nvSpPr>
      <xdr:spPr bwMode="auto">
        <a:xfrm>
          <a:off x="1762125" y="3251835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3" name="Text Box 414"/>
        <xdr:cNvSpPr txBox="1">
          <a:spLocks noChangeArrowheads="1"/>
        </xdr:cNvSpPr>
      </xdr:nvSpPr>
      <xdr:spPr bwMode="auto">
        <a:xfrm>
          <a:off x="1762125" y="3251835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4" name="Text Box 657"/>
        <xdr:cNvSpPr txBox="1">
          <a:spLocks noChangeArrowheads="1"/>
        </xdr:cNvSpPr>
      </xdr:nvSpPr>
      <xdr:spPr bwMode="auto">
        <a:xfrm>
          <a:off x="1762125" y="3251835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5" name="Text Box 662"/>
        <xdr:cNvSpPr txBox="1">
          <a:spLocks noChangeArrowheads="1"/>
        </xdr:cNvSpPr>
      </xdr:nvSpPr>
      <xdr:spPr bwMode="auto">
        <a:xfrm>
          <a:off x="1762125" y="3251835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6" name="Text Box 714"/>
        <xdr:cNvSpPr txBox="1">
          <a:spLocks noChangeArrowheads="1"/>
        </xdr:cNvSpPr>
      </xdr:nvSpPr>
      <xdr:spPr bwMode="auto">
        <a:xfrm>
          <a:off x="1762125" y="3251835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7" name="Text Box 719"/>
        <xdr:cNvSpPr txBox="1">
          <a:spLocks noChangeArrowheads="1"/>
        </xdr:cNvSpPr>
      </xdr:nvSpPr>
      <xdr:spPr bwMode="auto">
        <a:xfrm>
          <a:off x="1762125" y="3251835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8" name="Text Box 736"/>
        <xdr:cNvSpPr txBox="1">
          <a:spLocks noChangeArrowheads="1"/>
        </xdr:cNvSpPr>
      </xdr:nvSpPr>
      <xdr:spPr bwMode="auto">
        <a:xfrm>
          <a:off x="1762125" y="3251835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9" name="Text Box 741"/>
        <xdr:cNvSpPr txBox="1">
          <a:spLocks noChangeArrowheads="1"/>
        </xdr:cNvSpPr>
      </xdr:nvSpPr>
      <xdr:spPr bwMode="auto">
        <a:xfrm>
          <a:off x="1762125" y="3251835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10" name="Text Box 409"/>
        <xdr:cNvSpPr txBox="1">
          <a:spLocks noChangeArrowheads="1"/>
        </xdr:cNvSpPr>
      </xdr:nvSpPr>
      <xdr:spPr bwMode="auto">
        <a:xfrm>
          <a:off x="542925" y="433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11" name="Text Box 414"/>
        <xdr:cNvSpPr txBox="1">
          <a:spLocks noChangeArrowheads="1"/>
        </xdr:cNvSpPr>
      </xdr:nvSpPr>
      <xdr:spPr bwMode="auto">
        <a:xfrm>
          <a:off x="542925" y="433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12" name="Text Box 657"/>
        <xdr:cNvSpPr txBox="1">
          <a:spLocks noChangeArrowheads="1"/>
        </xdr:cNvSpPr>
      </xdr:nvSpPr>
      <xdr:spPr bwMode="auto">
        <a:xfrm>
          <a:off x="542925" y="433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13" name="Text Box 662"/>
        <xdr:cNvSpPr txBox="1">
          <a:spLocks noChangeArrowheads="1"/>
        </xdr:cNvSpPr>
      </xdr:nvSpPr>
      <xdr:spPr bwMode="auto">
        <a:xfrm>
          <a:off x="542925" y="433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14" name="Text Box 714"/>
        <xdr:cNvSpPr txBox="1">
          <a:spLocks noChangeArrowheads="1"/>
        </xdr:cNvSpPr>
      </xdr:nvSpPr>
      <xdr:spPr bwMode="auto">
        <a:xfrm>
          <a:off x="542925" y="433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15" name="Text Box 719"/>
        <xdr:cNvSpPr txBox="1">
          <a:spLocks noChangeArrowheads="1"/>
        </xdr:cNvSpPr>
      </xdr:nvSpPr>
      <xdr:spPr bwMode="auto">
        <a:xfrm>
          <a:off x="542925" y="433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16" name="Text Box 736"/>
        <xdr:cNvSpPr txBox="1">
          <a:spLocks noChangeArrowheads="1"/>
        </xdr:cNvSpPr>
      </xdr:nvSpPr>
      <xdr:spPr bwMode="auto">
        <a:xfrm>
          <a:off x="542925" y="433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17" name="Text Box 741"/>
        <xdr:cNvSpPr txBox="1">
          <a:spLocks noChangeArrowheads="1"/>
        </xdr:cNvSpPr>
      </xdr:nvSpPr>
      <xdr:spPr bwMode="auto">
        <a:xfrm>
          <a:off x="542925" y="433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18" name="Text Box 409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19" name="Text Box 414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20" name="Text Box 657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21" name="Text Box 662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22" name="Text Box 714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23" name="Text Box 719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24" name="Text Box 736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25" name="Text Box 741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26" name="Text Box 409"/>
        <xdr:cNvSpPr txBox="1">
          <a:spLocks noChangeArrowheads="1"/>
        </xdr:cNvSpPr>
      </xdr:nvSpPr>
      <xdr:spPr bwMode="auto">
        <a:xfrm>
          <a:off x="3343275" y="225933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27" name="Text Box 414"/>
        <xdr:cNvSpPr txBox="1">
          <a:spLocks noChangeArrowheads="1"/>
        </xdr:cNvSpPr>
      </xdr:nvSpPr>
      <xdr:spPr bwMode="auto">
        <a:xfrm>
          <a:off x="3343275" y="225933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28" name="Text Box 657"/>
        <xdr:cNvSpPr txBox="1">
          <a:spLocks noChangeArrowheads="1"/>
        </xdr:cNvSpPr>
      </xdr:nvSpPr>
      <xdr:spPr bwMode="auto">
        <a:xfrm>
          <a:off x="3343275" y="225933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29" name="Text Box 662"/>
        <xdr:cNvSpPr txBox="1">
          <a:spLocks noChangeArrowheads="1"/>
        </xdr:cNvSpPr>
      </xdr:nvSpPr>
      <xdr:spPr bwMode="auto">
        <a:xfrm>
          <a:off x="3343275" y="225933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30" name="Text Box 714"/>
        <xdr:cNvSpPr txBox="1">
          <a:spLocks noChangeArrowheads="1"/>
        </xdr:cNvSpPr>
      </xdr:nvSpPr>
      <xdr:spPr bwMode="auto">
        <a:xfrm>
          <a:off x="3343275" y="225933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31" name="Text Box 719"/>
        <xdr:cNvSpPr txBox="1">
          <a:spLocks noChangeArrowheads="1"/>
        </xdr:cNvSpPr>
      </xdr:nvSpPr>
      <xdr:spPr bwMode="auto">
        <a:xfrm>
          <a:off x="3343275" y="225933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32" name="Text Box 736"/>
        <xdr:cNvSpPr txBox="1">
          <a:spLocks noChangeArrowheads="1"/>
        </xdr:cNvSpPr>
      </xdr:nvSpPr>
      <xdr:spPr bwMode="auto">
        <a:xfrm>
          <a:off x="3343275" y="225933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33" name="Text Box 741"/>
        <xdr:cNvSpPr txBox="1">
          <a:spLocks noChangeArrowheads="1"/>
        </xdr:cNvSpPr>
      </xdr:nvSpPr>
      <xdr:spPr bwMode="auto">
        <a:xfrm>
          <a:off x="3343275" y="225933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34" name="Text Box 409"/>
        <xdr:cNvSpPr txBox="1">
          <a:spLocks noChangeArrowheads="1"/>
        </xdr:cNvSpPr>
      </xdr:nvSpPr>
      <xdr:spPr bwMode="auto">
        <a:xfrm>
          <a:off x="542925" y="433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35" name="Text Box 414"/>
        <xdr:cNvSpPr txBox="1">
          <a:spLocks noChangeArrowheads="1"/>
        </xdr:cNvSpPr>
      </xdr:nvSpPr>
      <xdr:spPr bwMode="auto">
        <a:xfrm>
          <a:off x="542925" y="433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36" name="Text Box 657"/>
        <xdr:cNvSpPr txBox="1">
          <a:spLocks noChangeArrowheads="1"/>
        </xdr:cNvSpPr>
      </xdr:nvSpPr>
      <xdr:spPr bwMode="auto">
        <a:xfrm>
          <a:off x="542925" y="433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37" name="Text Box 662"/>
        <xdr:cNvSpPr txBox="1">
          <a:spLocks noChangeArrowheads="1"/>
        </xdr:cNvSpPr>
      </xdr:nvSpPr>
      <xdr:spPr bwMode="auto">
        <a:xfrm>
          <a:off x="542925" y="433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38" name="Text Box 714"/>
        <xdr:cNvSpPr txBox="1">
          <a:spLocks noChangeArrowheads="1"/>
        </xdr:cNvSpPr>
      </xdr:nvSpPr>
      <xdr:spPr bwMode="auto">
        <a:xfrm>
          <a:off x="542925" y="433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39" name="Text Box 719"/>
        <xdr:cNvSpPr txBox="1">
          <a:spLocks noChangeArrowheads="1"/>
        </xdr:cNvSpPr>
      </xdr:nvSpPr>
      <xdr:spPr bwMode="auto">
        <a:xfrm>
          <a:off x="542925" y="433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40" name="Text Box 736"/>
        <xdr:cNvSpPr txBox="1">
          <a:spLocks noChangeArrowheads="1"/>
        </xdr:cNvSpPr>
      </xdr:nvSpPr>
      <xdr:spPr bwMode="auto">
        <a:xfrm>
          <a:off x="542925" y="433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38100</xdr:rowOff>
    </xdr:to>
    <xdr:sp macro="" textlink="">
      <xdr:nvSpPr>
        <xdr:cNvPr id="41" name="Text Box 741"/>
        <xdr:cNvSpPr txBox="1">
          <a:spLocks noChangeArrowheads="1"/>
        </xdr:cNvSpPr>
      </xdr:nvSpPr>
      <xdr:spPr bwMode="auto">
        <a:xfrm>
          <a:off x="542925" y="433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42" name="Text Box 409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43" name="Text Box 414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44" name="Text Box 657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45" name="Text Box 662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46" name="Text Box 714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47" name="Text Box 719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48" name="Text Box 736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49" name="Text Box 741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50" name="Text Box 409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51" name="Text Box 414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52" name="Text Box 657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53" name="Text Box 662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54" name="Text Box 714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55" name="Text Box 719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56" name="Text Box 736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72</xdr:row>
      <xdr:rowOff>0</xdr:rowOff>
    </xdr:from>
    <xdr:to>
      <xdr:col>9</xdr:col>
      <xdr:colOff>342900</xdr:colOff>
      <xdr:row>73</xdr:row>
      <xdr:rowOff>38100</xdr:rowOff>
    </xdr:to>
    <xdr:sp macro="" textlink="">
      <xdr:nvSpPr>
        <xdr:cNvPr id="57" name="Text Box 741"/>
        <xdr:cNvSpPr txBox="1">
          <a:spLocks noChangeArrowheads="1"/>
        </xdr:cNvSpPr>
      </xdr:nvSpPr>
      <xdr:spPr bwMode="auto">
        <a:xfrm>
          <a:off x="542925" y="17878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58" name="Text Box 409"/>
        <xdr:cNvSpPr txBox="1">
          <a:spLocks noChangeArrowheads="1"/>
        </xdr:cNvSpPr>
      </xdr:nvSpPr>
      <xdr:spPr bwMode="auto">
        <a:xfrm>
          <a:off x="3343275" y="225933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59" name="Text Box 414"/>
        <xdr:cNvSpPr txBox="1">
          <a:spLocks noChangeArrowheads="1"/>
        </xdr:cNvSpPr>
      </xdr:nvSpPr>
      <xdr:spPr bwMode="auto">
        <a:xfrm>
          <a:off x="3343275" y="225933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60" name="Text Box 657"/>
        <xdr:cNvSpPr txBox="1">
          <a:spLocks noChangeArrowheads="1"/>
        </xdr:cNvSpPr>
      </xdr:nvSpPr>
      <xdr:spPr bwMode="auto">
        <a:xfrm>
          <a:off x="3343275" y="225933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61" name="Text Box 662"/>
        <xdr:cNvSpPr txBox="1">
          <a:spLocks noChangeArrowheads="1"/>
        </xdr:cNvSpPr>
      </xdr:nvSpPr>
      <xdr:spPr bwMode="auto">
        <a:xfrm>
          <a:off x="3343275" y="225933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62" name="Text Box 714"/>
        <xdr:cNvSpPr txBox="1">
          <a:spLocks noChangeArrowheads="1"/>
        </xdr:cNvSpPr>
      </xdr:nvSpPr>
      <xdr:spPr bwMode="auto">
        <a:xfrm>
          <a:off x="3343275" y="225933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63" name="Text Box 719"/>
        <xdr:cNvSpPr txBox="1">
          <a:spLocks noChangeArrowheads="1"/>
        </xdr:cNvSpPr>
      </xdr:nvSpPr>
      <xdr:spPr bwMode="auto">
        <a:xfrm>
          <a:off x="3343275" y="225933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64" name="Text Box 736"/>
        <xdr:cNvSpPr txBox="1">
          <a:spLocks noChangeArrowheads="1"/>
        </xdr:cNvSpPr>
      </xdr:nvSpPr>
      <xdr:spPr bwMode="auto">
        <a:xfrm>
          <a:off x="3343275" y="225933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66" name="Text Box 409"/>
        <xdr:cNvSpPr txBox="1">
          <a:spLocks noChangeArrowheads="1"/>
        </xdr:cNvSpPr>
      </xdr:nvSpPr>
      <xdr:spPr bwMode="auto">
        <a:xfrm>
          <a:off x="3343275" y="22450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67" name="Text Box 414"/>
        <xdr:cNvSpPr txBox="1">
          <a:spLocks noChangeArrowheads="1"/>
        </xdr:cNvSpPr>
      </xdr:nvSpPr>
      <xdr:spPr bwMode="auto">
        <a:xfrm>
          <a:off x="3343275" y="22450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68" name="Text Box 657"/>
        <xdr:cNvSpPr txBox="1">
          <a:spLocks noChangeArrowheads="1"/>
        </xdr:cNvSpPr>
      </xdr:nvSpPr>
      <xdr:spPr bwMode="auto">
        <a:xfrm>
          <a:off x="3343275" y="22450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69" name="Text Box 662"/>
        <xdr:cNvSpPr txBox="1">
          <a:spLocks noChangeArrowheads="1"/>
        </xdr:cNvSpPr>
      </xdr:nvSpPr>
      <xdr:spPr bwMode="auto">
        <a:xfrm>
          <a:off x="3343275" y="22450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70" name="Text Box 714"/>
        <xdr:cNvSpPr txBox="1">
          <a:spLocks noChangeArrowheads="1"/>
        </xdr:cNvSpPr>
      </xdr:nvSpPr>
      <xdr:spPr bwMode="auto">
        <a:xfrm>
          <a:off x="3343275" y="22450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71" name="Text Box 719"/>
        <xdr:cNvSpPr txBox="1">
          <a:spLocks noChangeArrowheads="1"/>
        </xdr:cNvSpPr>
      </xdr:nvSpPr>
      <xdr:spPr bwMode="auto">
        <a:xfrm>
          <a:off x="3343275" y="22450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72" name="Text Box 736"/>
        <xdr:cNvSpPr txBox="1">
          <a:spLocks noChangeArrowheads="1"/>
        </xdr:cNvSpPr>
      </xdr:nvSpPr>
      <xdr:spPr bwMode="auto">
        <a:xfrm>
          <a:off x="3343275" y="22450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73" name="Text Box 741"/>
        <xdr:cNvSpPr txBox="1">
          <a:spLocks noChangeArrowheads="1"/>
        </xdr:cNvSpPr>
      </xdr:nvSpPr>
      <xdr:spPr bwMode="auto">
        <a:xfrm>
          <a:off x="3343275" y="22450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74" name="Text Box 409"/>
        <xdr:cNvSpPr txBox="1">
          <a:spLocks noChangeArrowheads="1"/>
        </xdr:cNvSpPr>
      </xdr:nvSpPr>
      <xdr:spPr bwMode="auto">
        <a:xfrm>
          <a:off x="3343275" y="22450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75" name="Text Box 414"/>
        <xdr:cNvSpPr txBox="1">
          <a:spLocks noChangeArrowheads="1"/>
        </xdr:cNvSpPr>
      </xdr:nvSpPr>
      <xdr:spPr bwMode="auto">
        <a:xfrm>
          <a:off x="3343275" y="22450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76" name="Text Box 657"/>
        <xdr:cNvSpPr txBox="1">
          <a:spLocks noChangeArrowheads="1"/>
        </xdr:cNvSpPr>
      </xdr:nvSpPr>
      <xdr:spPr bwMode="auto">
        <a:xfrm>
          <a:off x="3343275" y="22450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77" name="Text Box 662"/>
        <xdr:cNvSpPr txBox="1">
          <a:spLocks noChangeArrowheads="1"/>
        </xdr:cNvSpPr>
      </xdr:nvSpPr>
      <xdr:spPr bwMode="auto">
        <a:xfrm>
          <a:off x="3343275" y="22450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78" name="Text Box 714"/>
        <xdr:cNvSpPr txBox="1">
          <a:spLocks noChangeArrowheads="1"/>
        </xdr:cNvSpPr>
      </xdr:nvSpPr>
      <xdr:spPr bwMode="auto">
        <a:xfrm>
          <a:off x="3343275" y="22450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79" name="Text Box 719"/>
        <xdr:cNvSpPr txBox="1">
          <a:spLocks noChangeArrowheads="1"/>
        </xdr:cNvSpPr>
      </xdr:nvSpPr>
      <xdr:spPr bwMode="auto">
        <a:xfrm>
          <a:off x="3343275" y="22450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80" name="Text Box 736"/>
        <xdr:cNvSpPr txBox="1">
          <a:spLocks noChangeArrowheads="1"/>
        </xdr:cNvSpPr>
      </xdr:nvSpPr>
      <xdr:spPr bwMode="auto">
        <a:xfrm>
          <a:off x="3343275" y="22450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266700</xdr:colOff>
      <xdr:row>120</xdr:row>
      <xdr:rowOff>0</xdr:rowOff>
    </xdr:from>
    <xdr:to>
      <xdr:col>9</xdr:col>
      <xdr:colOff>342900</xdr:colOff>
      <xdr:row>121</xdr:row>
      <xdr:rowOff>38100</xdr:rowOff>
    </xdr:to>
    <xdr:sp macro="" textlink="">
      <xdr:nvSpPr>
        <xdr:cNvPr id="81" name="Text Box 741"/>
        <xdr:cNvSpPr txBox="1">
          <a:spLocks noChangeArrowheads="1"/>
        </xdr:cNvSpPr>
      </xdr:nvSpPr>
      <xdr:spPr bwMode="auto">
        <a:xfrm>
          <a:off x="3343275" y="22450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76200</xdr:colOff>
      <xdr:row>18</xdr:row>
      <xdr:rowOff>103981</xdr:rowOff>
    </xdr:to>
    <xdr:sp macro="" textlink="">
      <xdr:nvSpPr>
        <xdr:cNvPr id="2" name="Text Box 137"/>
        <xdr:cNvSpPr txBox="1">
          <a:spLocks noChangeArrowheads="1"/>
        </xdr:cNvSpPr>
      </xdr:nvSpPr>
      <xdr:spPr bwMode="auto">
        <a:xfrm>
          <a:off x="1295400" y="98507550"/>
          <a:ext cx="76200" cy="2754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76200</xdr:colOff>
      <xdr:row>18</xdr:row>
      <xdr:rowOff>103981</xdr:rowOff>
    </xdr:to>
    <xdr:sp macro="" textlink="">
      <xdr:nvSpPr>
        <xdr:cNvPr id="3" name="Text Box 170"/>
        <xdr:cNvSpPr txBox="1">
          <a:spLocks noChangeArrowheads="1"/>
        </xdr:cNvSpPr>
      </xdr:nvSpPr>
      <xdr:spPr bwMode="auto">
        <a:xfrm>
          <a:off x="1295400" y="98507550"/>
          <a:ext cx="76200" cy="2754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76200</xdr:colOff>
      <xdr:row>22</xdr:row>
      <xdr:rowOff>103981</xdr:rowOff>
    </xdr:to>
    <xdr:sp macro="" textlink="">
      <xdr:nvSpPr>
        <xdr:cNvPr id="4" name="Text Box 137"/>
        <xdr:cNvSpPr txBox="1">
          <a:spLocks noChangeArrowheads="1"/>
        </xdr:cNvSpPr>
      </xdr:nvSpPr>
      <xdr:spPr bwMode="auto">
        <a:xfrm>
          <a:off x="1371600" y="2438400"/>
          <a:ext cx="76200" cy="4087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76200</xdr:colOff>
      <xdr:row>22</xdr:row>
      <xdr:rowOff>103981</xdr:rowOff>
    </xdr:to>
    <xdr:sp macro="" textlink="">
      <xdr:nvSpPr>
        <xdr:cNvPr id="5" name="Text Box 170"/>
        <xdr:cNvSpPr txBox="1">
          <a:spLocks noChangeArrowheads="1"/>
        </xdr:cNvSpPr>
      </xdr:nvSpPr>
      <xdr:spPr bwMode="auto">
        <a:xfrm>
          <a:off x="1371600" y="2438400"/>
          <a:ext cx="76200" cy="4087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76200</xdr:colOff>
      <xdr:row>18</xdr:row>
      <xdr:rowOff>103981</xdr:rowOff>
    </xdr:to>
    <xdr:sp macro="" textlink="">
      <xdr:nvSpPr>
        <xdr:cNvPr id="6" name="Text Box 137"/>
        <xdr:cNvSpPr txBox="1">
          <a:spLocks noChangeArrowheads="1"/>
        </xdr:cNvSpPr>
      </xdr:nvSpPr>
      <xdr:spPr bwMode="auto">
        <a:xfrm>
          <a:off x="838200" y="2438400"/>
          <a:ext cx="76200" cy="4087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76200</xdr:colOff>
      <xdr:row>18</xdr:row>
      <xdr:rowOff>103981</xdr:rowOff>
    </xdr:to>
    <xdr:sp macro="" textlink="">
      <xdr:nvSpPr>
        <xdr:cNvPr id="7" name="Text Box 170"/>
        <xdr:cNvSpPr txBox="1">
          <a:spLocks noChangeArrowheads="1"/>
        </xdr:cNvSpPr>
      </xdr:nvSpPr>
      <xdr:spPr bwMode="auto">
        <a:xfrm>
          <a:off x="838200" y="2438400"/>
          <a:ext cx="76200" cy="4087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76200</xdr:colOff>
      <xdr:row>18</xdr:row>
      <xdr:rowOff>103981</xdr:rowOff>
    </xdr:to>
    <xdr:sp macro="" textlink="">
      <xdr:nvSpPr>
        <xdr:cNvPr id="16" name="Text Box 137"/>
        <xdr:cNvSpPr txBox="1">
          <a:spLocks noChangeArrowheads="1"/>
        </xdr:cNvSpPr>
      </xdr:nvSpPr>
      <xdr:spPr bwMode="auto">
        <a:xfrm>
          <a:off x="6219825" y="2590800"/>
          <a:ext cx="76200" cy="4087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76200</xdr:colOff>
      <xdr:row>18</xdr:row>
      <xdr:rowOff>103981</xdr:rowOff>
    </xdr:to>
    <xdr:sp macro="" textlink="">
      <xdr:nvSpPr>
        <xdr:cNvPr id="17" name="Text Box 170"/>
        <xdr:cNvSpPr txBox="1">
          <a:spLocks noChangeArrowheads="1"/>
        </xdr:cNvSpPr>
      </xdr:nvSpPr>
      <xdr:spPr bwMode="auto">
        <a:xfrm>
          <a:off x="6219825" y="2590800"/>
          <a:ext cx="76200" cy="4087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36</xdr:col>
      <xdr:colOff>0</xdr:colOff>
      <xdr:row>16</xdr:row>
      <xdr:rowOff>0</xdr:rowOff>
    </xdr:from>
    <xdr:to>
      <xdr:col>36</xdr:col>
      <xdr:colOff>76200</xdr:colOff>
      <xdr:row>18</xdr:row>
      <xdr:rowOff>103981</xdr:rowOff>
    </xdr:to>
    <xdr:sp macro="" textlink="">
      <xdr:nvSpPr>
        <xdr:cNvPr id="10" name="Text Box 137"/>
        <xdr:cNvSpPr txBox="1">
          <a:spLocks noChangeArrowheads="1"/>
        </xdr:cNvSpPr>
      </xdr:nvSpPr>
      <xdr:spPr bwMode="auto">
        <a:xfrm>
          <a:off x="6972300" y="2438400"/>
          <a:ext cx="76200" cy="4087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36</xdr:col>
      <xdr:colOff>0</xdr:colOff>
      <xdr:row>16</xdr:row>
      <xdr:rowOff>0</xdr:rowOff>
    </xdr:from>
    <xdr:to>
      <xdr:col>36</xdr:col>
      <xdr:colOff>76200</xdr:colOff>
      <xdr:row>18</xdr:row>
      <xdr:rowOff>103981</xdr:rowOff>
    </xdr:to>
    <xdr:sp macro="" textlink="">
      <xdr:nvSpPr>
        <xdr:cNvPr id="11" name="Text Box 170"/>
        <xdr:cNvSpPr txBox="1">
          <a:spLocks noChangeArrowheads="1"/>
        </xdr:cNvSpPr>
      </xdr:nvSpPr>
      <xdr:spPr bwMode="auto">
        <a:xfrm>
          <a:off x="6972300" y="2438400"/>
          <a:ext cx="76200" cy="4087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19</xdr:row>
      <xdr:rowOff>0</xdr:rowOff>
    </xdr:from>
    <xdr:to>
      <xdr:col>2</xdr:col>
      <xdr:colOff>342900</xdr:colOff>
      <xdr:row>20</xdr:row>
      <xdr:rowOff>85724</xdr:rowOff>
    </xdr:to>
    <xdr:sp macro="" textlink="">
      <xdr:nvSpPr>
        <xdr:cNvPr id="2" name="Text Box 139"/>
        <xdr:cNvSpPr txBox="1">
          <a:spLocks noChangeArrowheads="1"/>
        </xdr:cNvSpPr>
      </xdr:nvSpPr>
      <xdr:spPr bwMode="auto">
        <a:xfrm>
          <a:off x="1533525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</xdr:row>
      <xdr:rowOff>0</xdr:rowOff>
    </xdr:from>
    <xdr:to>
      <xdr:col>2</xdr:col>
      <xdr:colOff>342900</xdr:colOff>
      <xdr:row>20</xdr:row>
      <xdr:rowOff>85724</xdr:rowOff>
    </xdr:to>
    <xdr:sp macro="" textlink="">
      <xdr:nvSpPr>
        <xdr:cNvPr id="3" name="Text Box 421"/>
        <xdr:cNvSpPr txBox="1">
          <a:spLocks noChangeArrowheads="1"/>
        </xdr:cNvSpPr>
      </xdr:nvSpPr>
      <xdr:spPr bwMode="auto">
        <a:xfrm>
          <a:off x="1533525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</xdr:row>
      <xdr:rowOff>0</xdr:rowOff>
    </xdr:from>
    <xdr:to>
      <xdr:col>2</xdr:col>
      <xdr:colOff>342900</xdr:colOff>
      <xdr:row>20</xdr:row>
      <xdr:rowOff>85724</xdr:rowOff>
    </xdr:to>
    <xdr:sp macro="" textlink="">
      <xdr:nvSpPr>
        <xdr:cNvPr id="4" name="Text Box 426"/>
        <xdr:cNvSpPr txBox="1">
          <a:spLocks noChangeArrowheads="1"/>
        </xdr:cNvSpPr>
      </xdr:nvSpPr>
      <xdr:spPr bwMode="auto">
        <a:xfrm>
          <a:off x="1533525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</xdr:row>
      <xdr:rowOff>0</xdr:rowOff>
    </xdr:from>
    <xdr:to>
      <xdr:col>2</xdr:col>
      <xdr:colOff>342900</xdr:colOff>
      <xdr:row>20</xdr:row>
      <xdr:rowOff>85724</xdr:rowOff>
    </xdr:to>
    <xdr:sp macro="" textlink="">
      <xdr:nvSpPr>
        <xdr:cNvPr id="5" name="Text Box 431"/>
        <xdr:cNvSpPr txBox="1">
          <a:spLocks noChangeArrowheads="1"/>
        </xdr:cNvSpPr>
      </xdr:nvSpPr>
      <xdr:spPr bwMode="auto">
        <a:xfrm>
          <a:off x="1533525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</xdr:row>
      <xdr:rowOff>0</xdr:rowOff>
    </xdr:from>
    <xdr:to>
      <xdr:col>2</xdr:col>
      <xdr:colOff>342900</xdr:colOff>
      <xdr:row>20</xdr:row>
      <xdr:rowOff>85724</xdr:rowOff>
    </xdr:to>
    <xdr:sp macro="" textlink="">
      <xdr:nvSpPr>
        <xdr:cNvPr id="6" name="Text Box 448"/>
        <xdr:cNvSpPr txBox="1">
          <a:spLocks noChangeArrowheads="1"/>
        </xdr:cNvSpPr>
      </xdr:nvSpPr>
      <xdr:spPr bwMode="auto">
        <a:xfrm>
          <a:off x="1533525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50</xdr:row>
      <xdr:rowOff>0</xdr:rowOff>
    </xdr:from>
    <xdr:to>
      <xdr:col>2</xdr:col>
      <xdr:colOff>342900</xdr:colOff>
      <xdr:row>51</xdr:row>
      <xdr:rowOff>85725</xdr:rowOff>
    </xdr:to>
    <xdr:sp macro="" textlink="">
      <xdr:nvSpPr>
        <xdr:cNvPr id="20" name="Text Box 139"/>
        <xdr:cNvSpPr txBox="1">
          <a:spLocks noChangeArrowheads="1"/>
        </xdr:cNvSpPr>
      </xdr:nvSpPr>
      <xdr:spPr bwMode="auto">
        <a:xfrm>
          <a:off x="1181100" y="2819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50</xdr:row>
      <xdr:rowOff>0</xdr:rowOff>
    </xdr:from>
    <xdr:to>
      <xdr:col>2</xdr:col>
      <xdr:colOff>342900</xdr:colOff>
      <xdr:row>51</xdr:row>
      <xdr:rowOff>85725</xdr:rowOff>
    </xdr:to>
    <xdr:sp macro="" textlink="">
      <xdr:nvSpPr>
        <xdr:cNvPr id="21" name="Text Box 421"/>
        <xdr:cNvSpPr txBox="1">
          <a:spLocks noChangeArrowheads="1"/>
        </xdr:cNvSpPr>
      </xdr:nvSpPr>
      <xdr:spPr bwMode="auto">
        <a:xfrm>
          <a:off x="1181100" y="2819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50</xdr:row>
      <xdr:rowOff>0</xdr:rowOff>
    </xdr:from>
    <xdr:to>
      <xdr:col>2</xdr:col>
      <xdr:colOff>342900</xdr:colOff>
      <xdr:row>51</xdr:row>
      <xdr:rowOff>85725</xdr:rowOff>
    </xdr:to>
    <xdr:sp macro="" textlink="">
      <xdr:nvSpPr>
        <xdr:cNvPr id="22" name="Text Box 426"/>
        <xdr:cNvSpPr txBox="1">
          <a:spLocks noChangeArrowheads="1"/>
        </xdr:cNvSpPr>
      </xdr:nvSpPr>
      <xdr:spPr bwMode="auto">
        <a:xfrm>
          <a:off x="1181100" y="2819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50</xdr:row>
      <xdr:rowOff>0</xdr:rowOff>
    </xdr:from>
    <xdr:to>
      <xdr:col>2</xdr:col>
      <xdr:colOff>342900</xdr:colOff>
      <xdr:row>51</xdr:row>
      <xdr:rowOff>85725</xdr:rowOff>
    </xdr:to>
    <xdr:sp macro="" textlink="">
      <xdr:nvSpPr>
        <xdr:cNvPr id="23" name="Text Box 431"/>
        <xdr:cNvSpPr txBox="1">
          <a:spLocks noChangeArrowheads="1"/>
        </xdr:cNvSpPr>
      </xdr:nvSpPr>
      <xdr:spPr bwMode="auto">
        <a:xfrm>
          <a:off x="1181100" y="2819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50</xdr:row>
      <xdr:rowOff>0</xdr:rowOff>
    </xdr:from>
    <xdr:to>
      <xdr:col>2</xdr:col>
      <xdr:colOff>342900</xdr:colOff>
      <xdr:row>51</xdr:row>
      <xdr:rowOff>85725</xdr:rowOff>
    </xdr:to>
    <xdr:sp macro="" textlink="">
      <xdr:nvSpPr>
        <xdr:cNvPr id="24" name="Text Box 448"/>
        <xdr:cNvSpPr txBox="1">
          <a:spLocks noChangeArrowheads="1"/>
        </xdr:cNvSpPr>
      </xdr:nvSpPr>
      <xdr:spPr bwMode="auto">
        <a:xfrm>
          <a:off x="1181100" y="2819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76</xdr:row>
      <xdr:rowOff>0</xdr:rowOff>
    </xdr:from>
    <xdr:to>
      <xdr:col>2</xdr:col>
      <xdr:colOff>342900</xdr:colOff>
      <xdr:row>77</xdr:row>
      <xdr:rowOff>85725</xdr:rowOff>
    </xdr:to>
    <xdr:sp macro="" textlink="">
      <xdr:nvSpPr>
        <xdr:cNvPr id="30" name="Text Box 139"/>
        <xdr:cNvSpPr txBox="1">
          <a:spLocks noChangeArrowheads="1"/>
        </xdr:cNvSpPr>
      </xdr:nvSpPr>
      <xdr:spPr bwMode="auto">
        <a:xfrm>
          <a:off x="1181100" y="5067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76</xdr:row>
      <xdr:rowOff>0</xdr:rowOff>
    </xdr:from>
    <xdr:to>
      <xdr:col>2</xdr:col>
      <xdr:colOff>342900</xdr:colOff>
      <xdr:row>77</xdr:row>
      <xdr:rowOff>85725</xdr:rowOff>
    </xdr:to>
    <xdr:sp macro="" textlink="">
      <xdr:nvSpPr>
        <xdr:cNvPr id="31" name="Text Box 421"/>
        <xdr:cNvSpPr txBox="1">
          <a:spLocks noChangeArrowheads="1"/>
        </xdr:cNvSpPr>
      </xdr:nvSpPr>
      <xdr:spPr bwMode="auto">
        <a:xfrm>
          <a:off x="1181100" y="5067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76</xdr:row>
      <xdr:rowOff>0</xdr:rowOff>
    </xdr:from>
    <xdr:to>
      <xdr:col>2</xdr:col>
      <xdr:colOff>342900</xdr:colOff>
      <xdr:row>77</xdr:row>
      <xdr:rowOff>85725</xdr:rowOff>
    </xdr:to>
    <xdr:sp macro="" textlink="">
      <xdr:nvSpPr>
        <xdr:cNvPr id="32" name="Text Box 426"/>
        <xdr:cNvSpPr txBox="1">
          <a:spLocks noChangeArrowheads="1"/>
        </xdr:cNvSpPr>
      </xdr:nvSpPr>
      <xdr:spPr bwMode="auto">
        <a:xfrm>
          <a:off x="1181100" y="5067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76</xdr:row>
      <xdr:rowOff>0</xdr:rowOff>
    </xdr:from>
    <xdr:to>
      <xdr:col>2</xdr:col>
      <xdr:colOff>342900</xdr:colOff>
      <xdr:row>77</xdr:row>
      <xdr:rowOff>85725</xdr:rowOff>
    </xdr:to>
    <xdr:sp macro="" textlink="">
      <xdr:nvSpPr>
        <xdr:cNvPr id="33" name="Text Box 431"/>
        <xdr:cNvSpPr txBox="1">
          <a:spLocks noChangeArrowheads="1"/>
        </xdr:cNvSpPr>
      </xdr:nvSpPr>
      <xdr:spPr bwMode="auto">
        <a:xfrm>
          <a:off x="1181100" y="5067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76</xdr:row>
      <xdr:rowOff>0</xdr:rowOff>
    </xdr:from>
    <xdr:to>
      <xdr:col>2</xdr:col>
      <xdr:colOff>342900</xdr:colOff>
      <xdr:row>77</xdr:row>
      <xdr:rowOff>85725</xdr:rowOff>
    </xdr:to>
    <xdr:sp macro="" textlink="">
      <xdr:nvSpPr>
        <xdr:cNvPr id="34" name="Text Box 448"/>
        <xdr:cNvSpPr txBox="1">
          <a:spLocks noChangeArrowheads="1"/>
        </xdr:cNvSpPr>
      </xdr:nvSpPr>
      <xdr:spPr bwMode="auto">
        <a:xfrm>
          <a:off x="1181100" y="5067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90</xdr:row>
      <xdr:rowOff>0</xdr:rowOff>
    </xdr:from>
    <xdr:to>
      <xdr:col>2</xdr:col>
      <xdr:colOff>342900</xdr:colOff>
      <xdr:row>91</xdr:row>
      <xdr:rowOff>85724</xdr:rowOff>
    </xdr:to>
    <xdr:sp macro="" textlink="">
      <xdr:nvSpPr>
        <xdr:cNvPr id="40" name="Text Box 139"/>
        <xdr:cNvSpPr txBox="1">
          <a:spLocks noChangeArrowheads="1"/>
        </xdr:cNvSpPr>
      </xdr:nvSpPr>
      <xdr:spPr bwMode="auto">
        <a:xfrm>
          <a:off x="1181100" y="8134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90</xdr:row>
      <xdr:rowOff>0</xdr:rowOff>
    </xdr:from>
    <xdr:to>
      <xdr:col>2</xdr:col>
      <xdr:colOff>342900</xdr:colOff>
      <xdr:row>91</xdr:row>
      <xdr:rowOff>85724</xdr:rowOff>
    </xdr:to>
    <xdr:sp macro="" textlink="">
      <xdr:nvSpPr>
        <xdr:cNvPr id="41" name="Text Box 421"/>
        <xdr:cNvSpPr txBox="1">
          <a:spLocks noChangeArrowheads="1"/>
        </xdr:cNvSpPr>
      </xdr:nvSpPr>
      <xdr:spPr bwMode="auto">
        <a:xfrm>
          <a:off x="1181100" y="8134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90</xdr:row>
      <xdr:rowOff>0</xdr:rowOff>
    </xdr:from>
    <xdr:to>
      <xdr:col>2</xdr:col>
      <xdr:colOff>342900</xdr:colOff>
      <xdr:row>91</xdr:row>
      <xdr:rowOff>85724</xdr:rowOff>
    </xdr:to>
    <xdr:sp macro="" textlink="">
      <xdr:nvSpPr>
        <xdr:cNvPr id="42" name="Text Box 426"/>
        <xdr:cNvSpPr txBox="1">
          <a:spLocks noChangeArrowheads="1"/>
        </xdr:cNvSpPr>
      </xdr:nvSpPr>
      <xdr:spPr bwMode="auto">
        <a:xfrm>
          <a:off x="1181100" y="8134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90</xdr:row>
      <xdr:rowOff>0</xdr:rowOff>
    </xdr:from>
    <xdr:to>
      <xdr:col>2</xdr:col>
      <xdr:colOff>342900</xdr:colOff>
      <xdr:row>91</xdr:row>
      <xdr:rowOff>85724</xdr:rowOff>
    </xdr:to>
    <xdr:sp macro="" textlink="">
      <xdr:nvSpPr>
        <xdr:cNvPr id="43" name="Text Box 431"/>
        <xdr:cNvSpPr txBox="1">
          <a:spLocks noChangeArrowheads="1"/>
        </xdr:cNvSpPr>
      </xdr:nvSpPr>
      <xdr:spPr bwMode="auto">
        <a:xfrm>
          <a:off x="1181100" y="8134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90</xdr:row>
      <xdr:rowOff>0</xdr:rowOff>
    </xdr:from>
    <xdr:to>
      <xdr:col>2</xdr:col>
      <xdr:colOff>342900</xdr:colOff>
      <xdr:row>91</xdr:row>
      <xdr:rowOff>85724</xdr:rowOff>
    </xdr:to>
    <xdr:sp macro="" textlink="">
      <xdr:nvSpPr>
        <xdr:cNvPr id="44" name="Text Box 448"/>
        <xdr:cNvSpPr txBox="1">
          <a:spLocks noChangeArrowheads="1"/>
        </xdr:cNvSpPr>
      </xdr:nvSpPr>
      <xdr:spPr bwMode="auto">
        <a:xfrm>
          <a:off x="1181100" y="8134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</xdr:row>
      <xdr:rowOff>0</xdr:rowOff>
    </xdr:from>
    <xdr:to>
      <xdr:col>14</xdr:col>
      <xdr:colOff>342900</xdr:colOff>
      <xdr:row>17</xdr:row>
      <xdr:rowOff>85725</xdr:rowOff>
    </xdr:to>
    <xdr:sp macro="" textlink="">
      <xdr:nvSpPr>
        <xdr:cNvPr id="45" name="Text Box 139"/>
        <xdr:cNvSpPr txBox="1">
          <a:spLocks noChangeArrowheads="1"/>
        </xdr:cNvSpPr>
      </xdr:nvSpPr>
      <xdr:spPr bwMode="auto">
        <a:xfrm>
          <a:off x="1295400" y="10801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</xdr:row>
      <xdr:rowOff>0</xdr:rowOff>
    </xdr:from>
    <xdr:to>
      <xdr:col>14</xdr:col>
      <xdr:colOff>342900</xdr:colOff>
      <xdr:row>17</xdr:row>
      <xdr:rowOff>85725</xdr:rowOff>
    </xdr:to>
    <xdr:sp macro="" textlink="">
      <xdr:nvSpPr>
        <xdr:cNvPr id="46" name="Text Box 421"/>
        <xdr:cNvSpPr txBox="1">
          <a:spLocks noChangeArrowheads="1"/>
        </xdr:cNvSpPr>
      </xdr:nvSpPr>
      <xdr:spPr bwMode="auto">
        <a:xfrm>
          <a:off x="1295400" y="10801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</xdr:row>
      <xdr:rowOff>0</xdr:rowOff>
    </xdr:from>
    <xdr:to>
      <xdr:col>14</xdr:col>
      <xdr:colOff>342900</xdr:colOff>
      <xdr:row>17</xdr:row>
      <xdr:rowOff>85725</xdr:rowOff>
    </xdr:to>
    <xdr:sp macro="" textlink="">
      <xdr:nvSpPr>
        <xdr:cNvPr id="47" name="Text Box 426"/>
        <xdr:cNvSpPr txBox="1">
          <a:spLocks noChangeArrowheads="1"/>
        </xdr:cNvSpPr>
      </xdr:nvSpPr>
      <xdr:spPr bwMode="auto">
        <a:xfrm>
          <a:off x="1295400" y="10801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</xdr:row>
      <xdr:rowOff>0</xdr:rowOff>
    </xdr:from>
    <xdr:to>
      <xdr:col>14</xdr:col>
      <xdr:colOff>342900</xdr:colOff>
      <xdr:row>17</xdr:row>
      <xdr:rowOff>85725</xdr:rowOff>
    </xdr:to>
    <xdr:sp macro="" textlink="">
      <xdr:nvSpPr>
        <xdr:cNvPr id="48" name="Text Box 431"/>
        <xdr:cNvSpPr txBox="1">
          <a:spLocks noChangeArrowheads="1"/>
        </xdr:cNvSpPr>
      </xdr:nvSpPr>
      <xdr:spPr bwMode="auto">
        <a:xfrm>
          <a:off x="1295400" y="10801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</xdr:row>
      <xdr:rowOff>0</xdr:rowOff>
    </xdr:from>
    <xdr:to>
      <xdr:col>14</xdr:col>
      <xdr:colOff>342900</xdr:colOff>
      <xdr:row>17</xdr:row>
      <xdr:rowOff>85725</xdr:rowOff>
    </xdr:to>
    <xdr:sp macro="" textlink="">
      <xdr:nvSpPr>
        <xdr:cNvPr id="49" name="Text Box 448"/>
        <xdr:cNvSpPr txBox="1">
          <a:spLocks noChangeArrowheads="1"/>
        </xdr:cNvSpPr>
      </xdr:nvSpPr>
      <xdr:spPr bwMode="auto">
        <a:xfrm>
          <a:off x="1295400" y="10801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105</xdr:row>
      <xdr:rowOff>0</xdr:rowOff>
    </xdr:from>
    <xdr:to>
      <xdr:col>2</xdr:col>
      <xdr:colOff>342900</xdr:colOff>
      <xdr:row>106</xdr:row>
      <xdr:rowOff>85725</xdr:rowOff>
    </xdr:to>
    <xdr:sp macro="" textlink="">
      <xdr:nvSpPr>
        <xdr:cNvPr id="50" name="Text Box 139"/>
        <xdr:cNvSpPr txBox="1">
          <a:spLocks noChangeArrowheads="1"/>
        </xdr:cNvSpPr>
      </xdr:nvSpPr>
      <xdr:spPr bwMode="auto">
        <a:xfrm>
          <a:off x="1295400" y="8134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105</xdr:row>
      <xdr:rowOff>0</xdr:rowOff>
    </xdr:from>
    <xdr:to>
      <xdr:col>2</xdr:col>
      <xdr:colOff>342900</xdr:colOff>
      <xdr:row>106</xdr:row>
      <xdr:rowOff>85725</xdr:rowOff>
    </xdr:to>
    <xdr:sp macro="" textlink="">
      <xdr:nvSpPr>
        <xdr:cNvPr id="51" name="Text Box 421"/>
        <xdr:cNvSpPr txBox="1">
          <a:spLocks noChangeArrowheads="1"/>
        </xdr:cNvSpPr>
      </xdr:nvSpPr>
      <xdr:spPr bwMode="auto">
        <a:xfrm>
          <a:off x="1295400" y="8134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105</xdr:row>
      <xdr:rowOff>0</xdr:rowOff>
    </xdr:from>
    <xdr:to>
      <xdr:col>2</xdr:col>
      <xdr:colOff>342900</xdr:colOff>
      <xdr:row>106</xdr:row>
      <xdr:rowOff>85725</xdr:rowOff>
    </xdr:to>
    <xdr:sp macro="" textlink="">
      <xdr:nvSpPr>
        <xdr:cNvPr id="52" name="Text Box 426"/>
        <xdr:cNvSpPr txBox="1">
          <a:spLocks noChangeArrowheads="1"/>
        </xdr:cNvSpPr>
      </xdr:nvSpPr>
      <xdr:spPr bwMode="auto">
        <a:xfrm>
          <a:off x="1295400" y="8134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105</xdr:row>
      <xdr:rowOff>0</xdr:rowOff>
    </xdr:from>
    <xdr:to>
      <xdr:col>2</xdr:col>
      <xdr:colOff>342900</xdr:colOff>
      <xdr:row>106</xdr:row>
      <xdr:rowOff>85725</xdr:rowOff>
    </xdr:to>
    <xdr:sp macro="" textlink="">
      <xdr:nvSpPr>
        <xdr:cNvPr id="53" name="Text Box 431"/>
        <xdr:cNvSpPr txBox="1">
          <a:spLocks noChangeArrowheads="1"/>
        </xdr:cNvSpPr>
      </xdr:nvSpPr>
      <xdr:spPr bwMode="auto">
        <a:xfrm>
          <a:off x="1295400" y="8134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105</xdr:row>
      <xdr:rowOff>0</xdr:rowOff>
    </xdr:from>
    <xdr:to>
      <xdr:col>2</xdr:col>
      <xdr:colOff>342900</xdr:colOff>
      <xdr:row>106</xdr:row>
      <xdr:rowOff>85725</xdr:rowOff>
    </xdr:to>
    <xdr:sp macro="" textlink="">
      <xdr:nvSpPr>
        <xdr:cNvPr id="54" name="Text Box 448"/>
        <xdr:cNvSpPr txBox="1">
          <a:spLocks noChangeArrowheads="1"/>
        </xdr:cNvSpPr>
      </xdr:nvSpPr>
      <xdr:spPr bwMode="auto">
        <a:xfrm>
          <a:off x="1295400" y="8134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132</xdr:row>
      <xdr:rowOff>0</xdr:rowOff>
    </xdr:from>
    <xdr:to>
      <xdr:col>2</xdr:col>
      <xdr:colOff>342900</xdr:colOff>
      <xdr:row>133</xdr:row>
      <xdr:rowOff>85724</xdr:rowOff>
    </xdr:to>
    <xdr:sp macro="" textlink="">
      <xdr:nvSpPr>
        <xdr:cNvPr id="55" name="Text Box 549"/>
        <xdr:cNvSpPr txBox="1">
          <a:spLocks noChangeArrowheads="1"/>
        </xdr:cNvSpPr>
      </xdr:nvSpPr>
      <xdr:spPr bwMode="auto">
        <a:xfrm>
          <a:off x="1533525" y="66351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132</xdr:row>
      <xdr:rowOff>0</xdr:rowOff>
    </xdr:from>
    <xdr:to>
      <xdr:col>2</xdr:col>
      <xdr:colOff>342900</xdr:colOff>
      <xdr:row>133</xdr:row>
      <xdr:rowOff>85724</xdr:rowOff>
    </xdr:to>
    <xdr:sp macro="" textlink="">
      <xdr:nvSpPr>
        <xdr:cNvPr id="56" name="Text Box 554"/>
        <xdr:cNvSpPr txBox="1">
          <a:spLocks noChangeArrowheads="1"/>
        </xdr:cNvSpPr>
      </xdr:nvSpPr>
      <xdr:spPr bwMode="auto">
        <a:xfrm>
          <a:off x="1533525" y="66351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132</xdr:row>
      <xdr:rowOff>0</xdr:rowOff>
    </xdr:from>
    <xdr:to>
      <xdr:col>2</xdr:col>
      <xdr:colOff>342900</xdr:colOff>
      <xdr:row>133</xdr:row>
      <xdr:rowOff>85724</xdr:rowOff>
    </xdr:to>
    <xdr:sp macro="" textlink="">
      <xdr:nvSpPr>
        <xdr:cNvPr id="57" name="Text Box 139"/>
        <xdr:cNvSpPr txBox="1">
          <a:spLocks noChangeArrowheads="1"/>
        </xdr:cNvSpPr>
      </xdr:nvSpPr>
      <xdr:spPr bwMode="auto">
        <a:xfrm>
          <a:off x="1295400" y="10668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132</xdr:row>
      <xdr:rowOff>0</xdr:rowOff>
    </xdr:from>
    <xdr:to>
      <xdr:col>2</xdr:col>
      <xdr:colOff>342900</xdr:colOff>
      <xdr:row>133</xdr:row>
      <xdr:rowOff>85724</xdr:rowOff>
    </xdr:to>
    <xdr:sp macro="" textlink="">
      <xdr:nvSpPr>
        <xdr:cNvPr id="58" name="Text Box 421"/>
        <xdr:cNvSpPr txBox="1">
          <a:spLocks noChangeArrowheads="1"/>
        </xdr:cNvSpPr>
      </xdr:nvSpPr>
      <xdr:spPr bwMode="auto">
        <a:xfrm>
          <a:off x="1295400" y="10668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132</xdr:row>
      <xdr:rowOff>0</xdr:rowOff>
    </xdr:from>
    <xdr:to>
      <xdr:col>2</xdr:col>
      <xdr:colOff>342900</xdr:colOff>
      <xdr:row>133</xdr:row>
      <xdr:rowOff>85724</xdr:rowOff>
    </xdr:to>
    <xdr:sp macro="" textlink="">
      <xdr:nvSpPr>
        <xdr:cNvPr id="59" name="Text Box 426"/>
        <xdr:cNvSpPr txBox="1">
          <a:spLocks noChangeArrowheads="1"/>
        </xdr:cNvSpPr>
      </xdr:nvSpPr>
      <xdr:spPr bwMode="auto">
        <a:xfrm>
          <a:off x="1295400" y="10668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132</xdr:row>
      <xdr:rowOff>0</xdr:rowOff>
    </xdr:from>
    <xdr:to>
      <xdr:col>2</xdr:col>
      <xdr:colOff>342900</xdr:colOff>
      <xdr:row>133</xdr:row>
      <xdr:rowOff>85724</xdr:rowOff>
    </xdr:to>
    <xdr:sp macro="" textlink="">
      <xdr:nvSpPr>
        <xdr:cNvPr id="60" name="Text Box 431"/>
        <xdr:cNvSpPr txBox="1">
          <a:spLocks noChangeArrowheads="1"/>
        </xdr:cNvSpPr>
      </xdr:nvSpPr>
      <xdr:spPr bwMode="auto">
        <a:xfrm>
          <a:off x="1295400" y="10668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132</xdr:row>
      <xdr:rowOff>0</xdr:rowOff>
    </xdr:from>
    <xdr:to>
      <xdr:col>2</xdr:col>
      <xdr:colOff>342900</xdr:colOff>
      <xdr:row>133</xdr:row>
      <xdr:rowOff>85724</xdr:rowOff>
    </xdr:to>
    <xdr:sp macro="" textlink="">
      <xdr:nvSpPr>
        <xdr:cNvPr id="61" name="Text Box 448"/>
        <xdr:cNvSpPr txBox="1">
          <a:spLocks noChangeArrowheads="1"/>
        </xdr:cNvSpPr>
      </xdr:nvSpPr>
      <xdr:spPr bwMode="auto">
        <a:xfrm>
          <a:off x="1295400" y="10668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164</xdr:row>
      <xdr:rowOff>0</xdr:rowOff>
    </xdr:from>
    <xdr:to>
      <xdr:col>2</xdr:col>
      <xdr:colOff>342900</xdr:colOff>
      <xdr:row>165</xdr:row>
      <xdr:rowOff>85726</xdr:rowOff>
    </xdr:to>
    <xdr:sp macro="" textlink="">
      <xdr:nvSpPr>
        <xdr:cNvPr id="62" name="Text Box 481"/>
        <xdr:cNvSpPr txBox="1">
          <a:spLocks noChangeArrowheads="1"/>
        </xdr:cNvSpPr>
      </xdr:nvSpPr>
      <xdr:spPr bwMode="auto">
        <a:xfrm>
          <a:off x="1533525" y="61036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164</xdr:row>
      <xdr:rowOff>0</xdr:rowOff>
    </xdr:from>
    <xdr:to>
      <xdr:col>2</xdr:col>
      <xdr:colOff>342900</xdr:colOff>
      <xdr:row>165</xdr:row>
      <xdr:rowOff>85726</xdr:rowOff>
    </xdr:to>
    <xdr:sp macro="" textlink="">
      <xdr:nvSpPr>
        <xdr:cNvPr id="63" name="Text Box 486"/>
        <xdr:cNvSpPr txBox="1">
          <a:spLocks noChangeArrowheads="1"/>
        </xdr:cNvSpPr>
      </xdr:nvSpPr>
      <xdr:spPr bwMode="auto">
        <a:xfrm>
          <a:off x="1533525" y="61036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164</xdr:row>
      <xdr:rowOff>0</xdr:rowOff>
    </xdr:from>
    <xdr:to>
      <xdr:col>2</xdr:col>
      <xdr:colOff>342900</xdr:colOff>
      <xdr:row>165</xdr:row>
      <xdr:rowOff>85726</xdr:rowOff>
    </xdr:to>
    <xdr:sp macro="" textlink="">
      <xdr:nvSpPr>
        <xdr:cNvPr id="64" name="Text Box 139"/>
        <xdr:cNvSpPr txBox="1">
          <a:spLocks noChangeArrowheads="1"/>
        </xdr:cNvSpPr>
      </xdr:nvSpPr>
      <xdr:spPr bwMode="auto">
        <a:xfrm>
          <a:off x="1533525" y="61036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164</xdr:row>
      <xdr:rowOff>0</xdr:rowOff>
    </xdr:from>
    <xdr:to>
      <xdr:col>2</xdr:col>
      <xdr:colOff>342900</xdr:colOff>
      <xdr:row>165</xdr:row>
      <xdr:rowOff>85726</xdr:rowOff>
    </xdr:to>
    <xdr:sp macro="" textlink="">
      <xdr:nvSpPr>
        <xdr:cNvPr id="65" name="Text Box 421"/>
        <xdr:cNvSpPr txBox="1">
          <a:spLocks noChangeArrowheads="1"/>
        </xdr:cNvSpPr>
      </xdr:nvSpPr>
      <xdr:spPr bwMode="auto">
        <a:xfrm>
          <a:off x="1533525" y="61036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164</xdr:row>
      <xdr:rowOff>0</xdr:rowOff>
    </xdr:from>
    <xdr:to>
      <xdr:col>2</xdr:col>
      <xdr:colOff>342900</xdr:colOff>
      <xdr:row>165</xdr:row>
      <xdr:rowOff>85726</xdr:rowOff>
    </xdr:to>
    <xdr:sp macro="" textlink="">
      <xdr:nvSpPr>
        <xdr:cNvPr id="66" name="Text Box 426"/>
        <xdr:cNvSpPr txBox="1">
          <a:spLocks noChangeArrowheads="1"/>
        </xdr:cNvSpPr>
      </xdr:nvSpPr>
      <xdr:spPr bwMode="auto">
        <a:xfrm>
          <a:off x="1533525" y="61036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164</xdr:row>
      <xdr:rowOff>0</xdr:rowOff>
    </xdr:from>
    <xdr:to>
      <xdr:col>2</xdr:col>
      <xdr:colOff>342900</xdr:colOff>
      <xdr:row>165</xdr:row>
      <xdr:rowOff>85726</xdr:rowOff>
    </xdr:to>
    <xdr:sp macro="" textlink="">
      <xdr:nvSpPr>
        <xdr:cNvPr id="67" name="Text Box 431"/>
        <xdr:cNvSpPr txBox="1">
          <a:spLocks noChangeArrowheads="1"/>
        </xdr:cNvSpPr>
      </xdr:nvSpPr>
      <xdr:spPr bwMode="auto">
        <a:xfrm>
          <a:off x="1533525" y="61036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164</xdr:row>
      <xdr:rowOff>0</xdr:rowOff>
    </xdr:from>
    <xdr:to>
      <xdr:col>2</xdr:col>
      <xdr:colOff>342900</xdr:colOff>
      <xdr:row>165</xdr:row>
      <xdr:rowOff>85726</xdr:rowOff>
    </xdr:to>
    <xdr:sp macro="" textlink="">
      <xdr:nvSpPr>
        <xdr:cNvPr id="68" name="Text Box 448"/>
        <xdr:cNvSpPr txBox="1">
          <a:spLocks noChangeArrowheads="1"/>
        </xdr:cNvSpPr>
      </xdr:nvSpPr>
      <xdr:spPr bwMode="auto">
        <a:xfrm>
          <a:off x="1533525" y="61036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164</xdr:row>
      <xdr:rowOff>0</xdr:rowOff>
    </xdr:from>
    <xdr:to>
      <xdr:col>2</xdr:col>
      <xdr:colOff>342900</xdr:colOff>
      <xdr:row>165</xdr:row>
      <xdr:rowOff>85726</xdr:rowOff>
    </xdr:to>
    <xdr:sp macro="" textlink="">
      <xdr:nvSpPr>
        <xdr:cNvPr id="69" name="Text Box 549"/>
        <xdr:cNvSpPr txBox="1">
          <a:spLocks noChangeArrowheads="1"/>
        </xdr:cNvSpPr>
      </xdr:nvSpPr>
      <xdr:spPr bwMode="auto">
        <a:xfrm>
          <a:off x="1295400" y="13392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164</xdr:row>
      <xdr:rowOff>0</xdr:rowOff>
    </xdr:from>
    <xdr:to>
      <xdr:col>2</xdr:col>
      <xdr:colOff>342900</xdr:colOff>
      <xdr:row>165</xdr:row>
      <xdr:rowOff>85726</xdr:rowOff>
    </xdr:to>
    <xdr:sp macro="" textlink="">
      <xdr:nvSpPr>
        <xdr:cNvPr id="70" name="Text Box 554"/>
        <xdr:cNvSpPr txBox="1">
          <a:spLocks noChangeArrowheads="1"/>
        </xdr:cNvSpPr>
      </xdr:nvSpPr>
      <xdr:spPr bwMode="auto">
        <a:xfrm>
          <a:off x="1295400" y="13392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164</xdr:row>
      <xdr:rowOff>0</xdr:rowOff>
    </xdr:from>
    <xdr:to>
      <xdr:col>2</xdr:col>
      <xdr:colOff>342900</xdr:colOff>
      <xdr:row>165</xdr:row>
      <xdr:rowOff>85726</xdr:rowOff>
    </xdr:to>
    <xdr:sp macro="" textlink="">
      <xdr:nvSpPr>
        <xdr:cNvPr id="71" name="Text Box 139"/>
        <xdr:cNvSpPr txBox="1">
          <a:spLocks noChangeArrowheads="1"/>
        </xdr:cNvSpPr>
      </xdr:nvSpPr>
      <xdr:spPr bwMode="auto">
        <a:xfrm>
          <a:off x="1295400" y="13392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164</xdr:row>
      <xdr:rowOff>0</xdr:rowOff>
    </xdr:from>
    <xdr:to>
      <xdr:col>2</xdr:col>
      <xdr:colOff>342900</xdr:colOff>
      <xdr:row>165</xdr:row>
      <xdr:rowOff>85726</xdr:rowOff>
    </xdr:to>
    <xdr:sp macro="" textlink="">
      <xdr:nvSpPr>
        <xdr:cNvPr id="72" name="Text Box 421"/>
        <xdr:cNvSpPr txBox="1">
          <a:spLocks noChangeArrowheads="1"/>
        </xdr:cNvSpPr>
      </xdr:nvSpPr>
      <xdr:spPr bwMode="auto">
        <a:xfrm>
          <a:off x="1295400" y="13392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164</xdr:row>
      <xdr:rowOff>0</xdr:rowOff>
    </xdr:from>
    <xdr:to>
      <xdr:col>2</xdr:col>
      <xdr:colOff>342900</xdr:colOff>
      <xdr:row>165</xdr:row>
      <xdr:rowOff>85726</xdr:rowOff>
    </xdr:to>
    <xdr:sp macro="" textlink="">
      <xdr:nvSpPr>
        <xdr:cNvPr id="73" name="Text Box 426"/>
        <xdr:cNvSpPr txBox="1">
          <a:spLocks noChangeArrowheads="1"/>
        </xdr:cNvSpPr>
      </xdr:nvSpPr>
      <xdr:spPr bwMode="auto">
        <a:xfrm>
          <a:off x="1295400" y="13392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164</xdr:row>
      <xdr:rowOff>0</xdr:rowOff>
    </xdr:from>
    <xdr:to>
      <xdr:col>2</xdr:col>
      <xdr:colOff>342900</xdr:colOff>
      <xdr:row>165</xdr:row>
      <xdr:rowOff>85726</xdr:rowOff>
    </xdr:to>
    <xdr:sp macro="" textlink="">
      <xdr:nvSpPr>
        <xdr:cNvPr id="74" name="Text Box 431"/>
        <xdr:cNvSpPr txBox="1">
          <a:spLocks noChangeArrowheads="1"/>
        </xdr:cNvSpPr>
      </xdr:nvSpPr>
      <xdr:spPr bwMode="auto">
        <a:xfrm>
          <a:off x="1295400" y="13392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164</xdr:row>
      <xdr:rowOff>0</xdr:rowOff>
    </xdr:from>
    <xdr:to>
      <xdr:col>2</xdr:col>
      <xdr:colOff>342900</xdr:colOff>
      <xdr:row>165</xdr:row>
      <xdr:rowOff>85726</xdr:rowOff>
    </xdr:to>
    <xdr:sp macro="" textlink="">
      <xdr:nvSpPr>
        <xdr:cNvPr id="75" name="Text Box 448"/>
        <xdr:cNvSpPr txBox="1">
          <a:spLocks noChangeArrowheads="1"/>
        </xdr:cNvSpPr>
      </xdr:nvSpPr>
      <xdr:spPr bwMode="auto">
        <a:xfrm>
          <a:off x="1295400" y="13392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76" name="Text Box 137"/>
        <xdr:cNvSpPr txBox="1">
          <a:spLocks noChangeArrowheads="1"/>
        </xdr:cNvSpPr>
      </xdr:nvSpPr>
      <xdr:spPr bwMode="auto">
        <a:xfrm>
          <a:off x="7820025" y="3086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77" name="Text Box 170"/>
        <xdr:cNvSpPr txBox="1">
          <a:spLocks noChangeArrowheads="1"/>
        </xdr:cNvSpPr>
      </xdr:nvSpPr>
      <xdr:spPr bwMode="auto">
        <a:xfrm>
          <a:off x="7820025" y="3086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78" name="Text Box 438"/>
        <xdr:cNvSpPr txBox="1">
          <a:spLocks noChangeArrowheads="1"/>
        </xdr:cNvSpPr>
      </xdr:nvSpPr>
      <xdr:spPr bwMode="auto">
        <a:xfrm>
          <a:off x="7820025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79" name="Text Box 443"/>
        <xdr:cNvSpPr txBox="1">
          <a:spLocks noChangeArrowheads="1"/>
        </xdr:cNvSpPr>
      </xdr:nvSpPr>
      <xdr:spPr bwMode="auto">
        <a:xfrm>
          <a:off x="7820025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80" name="Text Box 139"/>
        <xdr:cNvSpPr txBox="1">
          <a:spLocks noChangeArrowheads="1"/>
        </xdr:cNvSpPr>
      </xdr:nvSpPr>
      <xdr:spPr bwMode="auto">
        <a:xfrm>
          <a:off x="7820025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81" name="Text Box 421"/>
        <xdr:cNvSpPr txBox="1">
          <a:spLocks noChangeArrowheads="1"/>
        </xdr:cNvSpPr>
      </xdr:nvSpPr>
      <xdr:spPr bwMode="auto">
        <a:xfrm>
          <a:off x="7820025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82" name="Text Box 426"/>
        <xdr:cNvSpPr txBox="1">
          <a:spLocks noChangeArrowheads="1"/>
        </xdr:cNvSpPr>
      </xdr:nvSpPr>
      <xdr:spPr bwMode="auto">
        <a:xfrm>
          <a:off x="7820025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83" name="Text Box 431"/>
        <xdr:cNvSpPr txBox="1">
          <a:spLocks noChangeArrowheads="1"/>
        </xdr:cNvSpPr>
      </xdr:nvSpPr>
      <xdr:spPr bwMode="auto">
        <a:xfrm>
          <a:off x="7820025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84" name="Text Box 448"/>
        <xdr:cNvSpPr txBox="1">
          <a:spLocks noChangeArrowheads="1"/>
        </xdr:cNvSpPr>
      </xdr:nvSpPr>
      <xdr:spPr bwMode="auto">
        <a:xfrm>
          <a:off x="7820025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85" name="Text Box 481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86" name="Text Box 486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87" name="Text Box 139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88" name="Text Box 421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89" name="Text Box 426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90" name="Text Box 431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91" name="Text Box 448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92" name="Text Box 549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93" name="Text Box 554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94" name="Text Box 139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95" name="Text Box 421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96" name="Text Box 426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97" name="Text Box 431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193</xdr:row>
      <xdr:rowOff>0</xdr:rowOff>
    </xdr:from>
    <xdr:to>
      <xdr:col>2</xdr:col>
      <xdr:colOff>342900</xdr:colOff>
      <xdr:row>194</xdr:row>
      <xdr:rowOff>85726</xdr:rowOff>
    </xdr:to>
    <xdr:sp macro="" textlink="">
      <xdr:nvSpPr>
        <xdr:cNvPr id="98" name="Text Box 448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28576</xdr:rowOff>
    </xdr:to>
    <xdr:sp macro="" textlink="">
      <xdr:nvSpPr>
        <xdr:cNvPr id="99" name="Text Box 125"/>
        <xdr:cNvSpPr txBox="1">
          <a:spLocks noChangeArrowheads="1"/>
        </xdr:cNvSpPr>
      </xdr:nvSpPr>
      <xdr:spPr bwMode="auto">
        <a:xfrm>
          <a:off x="1533525" y="18173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28576</xdr:rowOff>
    </xdr:to>
    <xdr:sp macro="" textlink="">
      <xdr:nvSpPr>
        <xdr:cNvPr id="100" name="Text Box 160"/>
        <xdr:cNvSpPr txBox="1">
          <a:spLocks noChangeArrowheads="1"/>
        </xdr:cNvSpPr>
      </xdr:nvSpPr>
      <xdr:spPr bwMode="auto">
        <a:xfrm>
          <a:off x="1533525" y="18173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28576</xdr:rowOff>
    </xdr:to>
    <xdr:sp macro="" textlink="">
      <xdr:nvSpPr>
        <xdr:cNvPr id="101" name="Text Box 182"/>
        <xdr:cNvSpPr txBox="1">
          <a:spLocks noChangeArrowheads="1"/>
        </xdr:cNvSpPr>
      </xdr:nvSpPr>
      <xdr:spPr bwMode="auto">
        <a:xfrm>
          <a:off x="1533525" y="18173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220</xdr:row>
      <xdr:rowOff>0</xdr:rowOff>
    </xdr:from>
    <xdr:to>
      <xdr:col>2</xdr:col>
      <xdr:colOff>342900</xdr:colOff>
      <xdr:row>221</xdr:row>
      <xdr:rowOff>85725</xdr:rowOff>
    </xdr:to>
    <xdr:sp macro="" textlink="">
      <xdr:nvSpPr>
        <xdr:cNvPr id="102" name="Text Box 137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220</xdr:row>
      <xdr:rowOff>0</xdr:rowOff>
    </xdr:from>
    <xdr:to>
      <xdr:col>2</xdr:col>
      <xdr:colOff>342900</xdr:colOff>
      <xdr:row>221</xdr:row>
      <xdr:rowOff>85725</xdr:rowOff>
    </xdr:to>
    <xdr:sp macro="" textlink="">
      <xdr:nvSpPr>
        <xdr:cNvPr id="103" name="Text Box 170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04" name="Text Box 438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05" name="Text Box 443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06" name="Text Box 139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07" name="Text Box 421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08" name="Text Box 426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09" name="Text Box 431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10" name="Text Box 448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11" name="Text Box 481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12" name="Text Box 486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13" name="Text Box 139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14" name="Text Box 421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15" name="Text Box 426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16" name="Text Box 431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17" name="Text Box 448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18" name="Text Box 549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19" name="Text Box 554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20" name="Text Box 139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21" name="Text Box 421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22" name="Text Box 426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23" name="Text Box 431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85726</xdr:rowOff>
    </xdr:to>
    <xdr:sp macro="" textlink="">
      <xdr:nvSpPr>
        <xdr:cNvPr id="124" name="Text Box 448"/>
        <xdr:cNvSpPr txBox="1">
          <a:spLocks noChangeArrowheads="1"/>
        </xdr:cNvSpPr>
      </xdr:nvSpPr>
      <xdr:spPr bwMode="auto">
        <a:xfrm>
          <a:off x="1295400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25" name="Text Box 117"/>
        <xdr:cNvSpPr txBox="1">
          <a:spLocks noChangeArrowheads="1"/>
        </xdr:cNvSpPr>
      </xdr:nvSpPr>
      <xdr:spPr bwMode="auto">
        <a:xfrm>
          <a:off x="7820025" y="185166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26" name="Text Box 192"/>
        <xdr:cNvSpPr txBox="1">
          <a:spLocks noChangeArrowheads="1"/>
        </xdr:cNvSpPr>
      </xdr:nvSpPr>
      <xdr:spPr bwMode="auto">
        <a:xfrm>
          <a:off x="7820025" y="185166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28574</xdr:rowOff>
    </xdr:to>
    <xdr:sp macro="" textlink="">
      <xdr:nvSpPr>
        <xdr:cNvPr id="127" name="Text Box 125"/>
        <xdr:cNvSpPr txBox="1">
          <a:spLocks noChangeArrowheads="1"/>
        </xdr:cNvSpPr>
      </xdr:nvSpPr>
      <xdr:spPr bwMode="auto">
        <a:xfrm>
          <a:off x="1295400" y="21907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28574</xdr:rowOff>
    </xdr:to>
    <xdr:sp macro="" textlink="">
      <xdr:nvSpPr>
        <xdr:cNvPr id="128" name="Text Box 160"/>
        <xdr:cNvSpPr txBox="1">
          <a:spLocks noChangeArrowheads="1"/>
        </xdr:cNvSpPr>
      </xdr:nvSpPr>
      <xdr:spPr bwMode="auto">
        <a:xfrm>
          <a:off x="1295400" y="21907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28574</xdr:rowOff>
    </xdr:to>
    <xdr:sp macro="" textlink="">
      <xdr:nvSpPr>
        <xdr:cNvPr id="129" name="Text Box 182"/>
        <xdr:cNvSpPr txBox="1">
          <a:spLocks noChangeArrowheads="1"/>
        </xdr:cNvSpPr>
      </xdr:nvSpPr>
      <xdr:spPr bwMode="auto">
        <a:xfrm>
          <a:off x="1295400" y="21907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251</xdr:row>
      <xdr:rowOff>0</xdr:rowOff>
    </xdr:from>
    <xdr:to>
      <xdr:col>2</xdr:col>
      <xdr:colOff>342900</xdr:colOff>
      <xdr:row>252</xdr:row>
      <xdr:rowOff>85726</xdr:rowOff>
    </xdr:to>
    <xdr:sp macro="" textlink="">
      <xdr:nvSpPr>
        <xdr:cNvPr id="130" name="Text Box 137"/>
        <xdr:cNvSpPr txBox="1">
          <a:spLocks noChangeArrowheads="1"/>
        </xdr:cNvSpPr>
      </xdr:nvSpPr>
      <xdr:spPr bwMode="auto">
        <a:xfrm>
          <a:off x="1295400" y="21774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251</xdr:row>
      <xdr:rowOff>0</xdr:rowOff>
    </xdr:from>
    <xdr:to>
      <xdr:col>2</xdr:col>
      <xdr:colOff>342900</xdr:colOff>
      <xdr:row>252</xdr:row>
      <xdr:rowOff>85726</xdr:rowOff>
    </xdr:to>
    <xdr:sp macro="" textlink="">
      <xdr:nvSpPr>
        <xdr:cNvPr id="131" name="Text Box 170"/>
        <xdr:cNvSpPr txBox="1">
          <a:spLocks noChangeArrowheads="1"/>
        </xdr:cNvSpPr>
      </xdr:nvSpPr>
      <xdr:spPr bwMode="auto">
        <a:xfrm>
          <a:off x="1295400" y="21774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32" name="Text Box 438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33" name="Text Box 443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34" name="Text Box 139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35" name="Text Box 421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36" name="Text Box 426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37" name="Text Box 431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38" name="Text Box 448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39" name="Text Box 481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40" name="Text Box 486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41" name="Text Box 139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42" name="Text Box 421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43" name="Text Box 426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44" name="Text Box 431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45" name="Text Box 448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46" name="Text Box 549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47" name="Text Box 554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48" name="Text Box 139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49" name="Text Box 421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50" name="Text Box 426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51" name="Text Box 431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252</xdr:row>
      <xdr:rowOff>0</xdr:rowOff>
    </xdr:from>
    <xdr:to>
      <xdr:col>2</xdr:col>
      <xdr:colOff>342900</xdr:colOff>
      <xdr:row>253</xdr:row>
      <xdr:rowOff>85724</xdr:rowOff>
    </xdr:to>
    <xdr:sp macro="" textlink="">
      <xdr:nvSpPr>
        <xdr:cNvPr id="152" name="Text Box 448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53" name="Text Box 139"/>
        <xdr:cNvSpPr txBox="1">
          <a:spLocks noChangeArrowheads="1"/>
        </xdr:cNvSpPr>
      </xdr:nvSpPr>
      <xdr:spPr bwMode="auto">
        <a:xfrm>
          <a:off x="7820025" y="226314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54" name="Text Box 421"/>
        <xdr:cNvSpPr txBox="1">
          <a:spLocks noChangeArrowheads="1"/>
        </xdr:cNvSpPr>
      </xdr:nvSpPr>
      <xdr:spPr bwMode="auto">
        <a:xfrm>
          <a:off x="7820025" y="226314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55" name="Text Box 426"/>
        <xdr:cNvSpPr txBox="1">
          <a:spLocks noChangeArrowheads="1"/>
        </xdr:cNvSpPr>
      </xdr:nvSpPr>
      <xdr:spPr bwMode="auto">
        <a:xfrm>
          <a:off x="7820025" y="226314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56" name="Text Box 431"/>
        <xdr:cNvSpPr txBox="1">
          <a:spLocks noChangeArrowheads="1"/>
        </xdr:cNvSpPr>
      </xdr:nvSpPr>
      <xdr:spPr bwMode="auto">
        <a:xfrm>
          <a:off x="7820025" y="226314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57" name="Text Box 448"/>
        <xdr:cNvSpPr txBox="1">
          <a:spLocks noChangeArrowheads="1"/>
        </xdr:cNvSpPr>
      </xdr:nvSpPr>
      <xdr:spPr bwMode="auto">
        <a:xfrm>
          <a:off x="7820025" y="226314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58" name="Text Box 117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59" name="Text Box 192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28575</xdr:rowOff>
    </xdr:to>
    <xdr:sp macro="" textlink="">
      <xdr:nvSpPr>
        <xdr:cNvPr id="160" name="Text Box 125"/>
        <xdr:cNvSpPr txBox="1">
          <a:spLocks noChangeArrowheads="1"/>
        </xdr:cNvSpPr>
      </xdr:nvSpPr>
      <xdr:spPr bwMode="auto">
        <a:xfrm>
          <a:off x="1295400" y="24841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28575</xdr:rowOff>
    </xdr:to>
    <xdr:sp macro="" textlink="">
      <xdr:nvSpPr>
        <xdr:cNvPr id="161" name="Text Box 160"/>
        <xdr:cNvSpPr txBox="1">
          <a:spLocks noChangeArrowheads="1"/>
        </xdr:cNvSpPr>
      </xdr:nvSpPr>
      <xdr:spPr bwMode="auto">
        <a:xfrm>
          <a:off x="1295400" y="24841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28575</xdr:rowOff>
    </xdr:to>
    <xdr:sp macro="" textlink="">
      <xdr:nvSpPr>
        <xdr:cNvPr id="162" name="Text Box 182"/>
        <xdr:cNvSpPr txBox="1">
          <a:spLocks noChangeArrowheads="1"/>
        </xdr:cNvSpPr>
      </xdr:nvSpPr>
      <xdr:spPr bwMode="auto">
        <a:xfrm>
          <a:off x="1295400" y="24841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280</xdr:row>
      <xdr:rowOff>0</xdr:rowOff>
    </xdr:from>
    <xdr:to>
      <xdr:col>2</xdr:col>
      <xdr:colOff>342900</xdr:colOff>
      <xdr:row>281</xdr:row>
      <xdr:rowOff>85725</xdr:rowOff>
    </xdr:to>
    <xdr:sp macro="" textlink="">
      <xdr:nvSpPr>
        <xdr:cNvPr id="163" name="Text Box 137"/>
        <xdr:cNvSpPr txBox="1">
          <a:spLocks noChangeArrowheads="1"/>
        </xdr:cNvSpPr>
      </xdr:nvSpPr>
      <xdr:spPr bwMode="auto">
        <a:xfrm>
          <a:off x="1295400" y="2470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280</xdr:row>
      <xdr:rowOff>0</xdr:rowOff>
    </xdr:from>
    <xdr:to>
      <xdr:col>2</xdr:col>
      <xdr:colOff>342900</xdr:colOff>
      <xdr:row>281</xdr:row>
      <xdr:rowOff>85725</xdr:rowOff>
    </xdr:to>
    <xdr:sp macro="" textlink="">
      <xdr:nvSpPr>
        <xdr:cNvPr id="164" name="Text Box 170"/>
        <xdr:cNvSpPr txBox="1">
          <a:spLocks noChangeArrowheads="1"/>
        </xdr:cNvSpPr>
      </xdr:nvSpPr>
      <xdr:spPr bwMode="auto">
        <a:xfrm>
          <a:off x="1295400" y="2470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65" name="Text Box 438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66" name="Text Box 443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67" name="Text Box 139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68" name="Text Box 421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69" name="Text Box 426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70" name="Text Box 431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71" name="Text Box 448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72" name="Text Box 481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73" name="Text Box 486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74" name="Text Box 139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75" name="Text Box 421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76" name="Text Box 426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77" name="Text Box 431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78" name="Text Box 448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79" name="Text Box 549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80" name="Text Box 554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81" name="Text Box 139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82" name="Text Box 421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83" name="Text Box 426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84" name="Text Box 431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281</xdr:row>
      <xdr:rowOff>0</xdr:rowOff>
    </xdr:from>
    <xdr:to>
      <xdr:col>2</xdr:col>
      <xdr:colOff>342900</xdr:colOff>
      <xdr:row>282</xdr:row>
      <xdr:rowOff>85725</xdr:rowOff>
    </xdr:to>
    <xdr:sp macro="" textlink="">
      <xdr:nvSpPr>
        <xdr:cNvPr id="185" name="Text Box 448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291</xdr:row>
      <xdr:rowOff>0</xdr:rowOff>
    </xdr:from>
    <xdr:to>
      <xdr:col>2</xdr:col>
      <xdr:colOff>342900</xdr:colOff>
      <xdr:row>292</xdr:row>
      <xdr:rowOff>28574</xdr:rowOff>
    </xdr:to>
    <xdr:sp macro="" textlink="">
      <xdr:nvSpPr>
        <xdr:cNvPr id="186" name="Text Box 139"/>
        <xdr:cNvSpPr txBox="1">
          <a:spLocks noChangeArrowheads="1"/>
        </xdr:cNvSpPr>
      </xdr:nvSpPr>
      <xdr:spPr bwMode="auto">
        <a:xfrm>
          <a:off x="1533525" y="23317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291</xdr:row>
      <xdr:rowOff>0</xdr:rowOff>
    </xdr:from>
    <xdr:to>
      <xdr:col>2</xdr:col>
      <xdr:colOff>342900</xdr:colOff>
      <xdr:row>292</xdr:row>
      <xdr:rowOff>28574</xdr:rowOff>
    </xdr:to>
    <xdr:sp macro="" textlink="">
      <xdr:nvSpPr>
        <xdr:cNvPr id="187" name="Text Box 421"/>
        <xdr:cNvSpPr txBox="1">
          <a:spLocks noChangeArrowheads="1"/>
        </xdr:cNvSpPr>
      </xdr:nvSpPr>
      <xdr:spPr bwMode="auto">
        <a:xfrm>
          <a:off x="1533525" y="23317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291</xdr:row>
      <xdr:rowOff>0</xdr:rowOff>
    </xdr:from>
    <xdr:to>
      <xdr:col>2</xdr:col>
      <xdr:colOff>342900</xdr:colOff>
      <xdr:row>292</xdr:row>
      <xdr:rowOff>28574</xdr:rowOff>
    </xdr:to>
    <xdr:sp macro="" textlink="">
      <xdr:nvSpPr>
        <xdr:cNvPr id="188" name="Text Box 426"/>
        <xdr:cNvSpPr txBox="1">
          <a:spLocks noChangeArrowheads="1"/>
        </xdr:cNvSpPr>
      </xdr:nvSpPr>
      <xdr:spPr bwMode="auto">
        <a:xfrm>
          <a:off x="1533525" y="23317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291</xdr:row>
      <xdr:rowOff>0</xdr:rowOff>
    </xdr:from>
    <xdr:to>
      <xdr:col>2</xdr:col>
      <xdr:colOff>342900</xdr:colOff>
      <xdr:row>292</xdr:row>
      <xdr:rowOff>28574</xdr:rowOff>
    </xdr:to>
    <xdr:sp macro="" textlink="">
      <xdr:nvSpPr>
        <xdr:cNvPr id="189" name="Text Box 431"/>
        <xdr:cNvSpPr txBox="1">
          <a:spLocks noChangeArrowheads="1"/>
        </xdr:cNvSpPr>
      </xdr:nvSpPr>
      <xdr:spPr bwMode="auto">
        <a:xfrm>
          <a:off x="1533525" y="23317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291</xdr:row>
      <xdr:rowOff>0</xdr:rowOff>
    </xdr:from>
    <xdr:to>
      <xdr:col>2</xdr:col>
      <xdr:colOff>342900</xdr:colOff>
      <xdr:row>292</xdr:row>
      <xdr:rowOff>28574</xdr:rowOff>
    </xdr:to>
    <xdr:sp macro="" textlink="">
      <xdr:nvSpPr>
        <xdr:cNvPr id="190" name="Text Box 448"/>
        <xdr:cNvSpPr txBox="1">
          <a:spLocks noChangeArrowheads="1"/>
        </xdr:cNvSpPr>
      </xdr:nvSpPr>
      <xdr:spPr bwMode="auto">
        <a:xfrm>
          <a:off x="1533525" y="23317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191" name="Text Box 139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192" name="Text Box 42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193" name="Text Box 426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194" name="Text Box 43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195" name="Text Box 448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196" name="Text Box 117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197" name="Text Box 192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28575</xdr:rowOff>
    </xdr:to>
    <xdr:sp macro="" textlink="">
      <xdr:nvSpPr>
        <xdr:cNvPr id="198" name="Text Box 125"/>
        <xdr:cNvSpPr txBox="1">
          <a:spLocks noChangeArrowheads="1"/>
        </xdr:cNvSpPr>
      </xdr:nvSpPr>
      <xdr:spPr bwMode="auto">
        <a:xfrm>
          <a:off x="1295400" y="27508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28575</xdr:rowOff>
    </xdr:to>
    <xdr:sp macro="" textlink="">
      <xdr:nvSpPr>
        <xdr:cNvPr id="199" name="Text Box 160"/>
        <xdr:cNvSpPr txBox="1">
          <a:spLocks noChangeArrowheads="1"/>
        </xdr:cNvSpPr>
      </xdr:nvSpPr>
      <xdr:spPr bwMode="auto">
        <a:xfrm>
          <a:off x="1295400" y="27508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28575</xdr:rowOff>
    </xdr:to>
    <xdr:sp macro="" textlink="">
      <xdr:nvSpPr>
        <xdr:cNvPr id="200" name="Text Box 182"/>
        <xdr:cNvSpPr txBox="1">
          <a:spLocks noChangeArrowheads="1"/>
        </xdr:cNvSpPr>
      </xdr:nvSpPr>
      <xdr:spPr bwMode="auto">
        <a:xfrm>
          <a:off x="1295400" y="27508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310</xdr:row>
      <xdr:rowOff>0</xdr:rowOff>
    </xdr:from>
    <xdr:to>
      <xdr:col>2</xdr:col>
      <xdr:colOff>342900</xdr:colOff>
      <xdr:row>311</xdr:row>
      <xdr:rowOff>85726</xdr:rowOff>
    </xdr:to>
    <xdr:sp macro="" textlink="">
      <xdr:nvSpPr>
        <xdr:cNvPr id="201" name="Text Box 137"/>
        <xdr:cNvSpPr txBox="1">
          <a:spLocks noChangeArrowheads="1"/>
        </xdr:cNvSpPr>
      </xdr:nvSpPr>
      <xdr:spPr bwMode="auto">
        <a:xfrm>
          <a:off x="1295400" y="27374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310</xdr:row>
      <xdr:rowOff>0</xdr:rowOff>
    </xdr:from>
    <xdr:to>
      <xdr:col>2</xdr:col>
      <xdr:colOff>342900</xdr:colOff>
      <xdr:row>311</xdr:row>
      <xdr:rowOff>85726</xdr:rowOff>
    </xdr:to>
    <xdr:sp macro="" textlink="">
      <xdr:nvSpPr>
        <xdr:cNvPr id="202" name="Text Box 170"/>
        <xdr:cNvSpPr txBox="1">
          <a:spLocks noChangeArrowheads="1"/>
        </xdr:cNvSpPr>
      </xdr:nvSpPr>
      <xdr:spPr bwMode="auto">
        <a:xfrm>
          <a:off x="1295400" y="27374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03" name="Text Box 438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04" name="Text Box 443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05" name="Text Box 139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06" name="Text Box 42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07" name="Text Box 426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08" name="Text Box 43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09" name="Text Box 448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10" name="Text Box 48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11" name="Text Box 486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12" name="Text Box 139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13" name="Text Box 42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14" name="Text Box 426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15" name="Text Box 43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16" name="Text Box 448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17" name="Text Box 549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18" name="Text Box 554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19" name="Text Box 139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20" name="Text Box 42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21" name="Text Box 426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22" name="Text Box 43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311</xdr:row>
      <xdr:rowOff>0</xdr:rowOff>
    </xdr:from>
    <xdr:to>
      <xdr:col>2</xdr:col>
      <xdr:colOff>342900</xdr:colOff>
      <xdr:row>312</xdr:row>
      <xdr:rowOff>85725</xdr:rowOff>
    </xdr:to>
    <xdr:sp macro="" textlink="">
      <xdr:nvSpPr>
        <xdr:cNvPr id="223" name="Text Box 448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321</xdr:row>
      <xdr:rowOff>0</xdr:rowOff>
    </xdr:from>
    <xdr:to>
      <xdr:col>2</xdr:col>
      <xdr:colOff>342900</xdr:colOff>
      <xdr:row>322</xdr:row>
      <xdr:rowOff>28574</xdr:rowOff>
    </xdr:to>
    <xdr:sp macro="" textlink="">
      <xdr:nvSpPr>
        <xdr:cNvPr id="224" name="Text Box 139"/>
        <xdr:cNvSpPr txBox="1">
          <a:spLocks noChangeArrowheads="1"/>
        </xdr:cNvSpPr>
      </xdr:nvSpPr>
      <xdr:spPr bwMode="auto">
        <a:xfrm>
          <a:off x="1295400" y="28041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321</xdr:row>
      <xdr:rowOff>0</xdr:rowOff>
    </xdr:from>
    <xdr:to>
      <xdr:col>2</xdr:col>
      <xdr:colOff>342900</xdr:colOff>
      <xdr:row>322</xdr:row>
      <xdr:rowOff>28574</xdr:rowOff>
    </xdr:to>
    <xdr:sp macro="" textlink="">
      <xdr:nvSpPr>
        <xdr:cNvPr id="225" name="Text Box 421"/>
        <xdr:cNvSpPr txBox="1">
          <a:spLocks noChangeArrowheads="1"/>
        </xdr:cNvSpPr>
      </xdr:nvSpPr>
      <xdr:spPr bwMode="auto">
        <a:xfrm>
          <a:off x="1295400" y="28041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321</xdr:row>
      <xdr:rowOff>0</xdr:rowOff>
    </xdr:from>
    <xdr:to>
      <xdr:col>2</xdr:col>
      <xdr:colOff>342900</xdr:colOff>
      <xdr:row>322</xdr:row>
      <xdr:rowOff>28574</xdr:rowOff>
    </xdr:to>
    <xdr:sp macro="" textlink="">
      <xdr:nvSpPr>
        <xdr:cNvPr id="226" name="Text Box 426"/>
        <xdr:cNvSpPr txBox="1">
          <a:spLocks noChangeArrowheads="1"/>
        </xdr:cNvSpPr>
      </xdr:nvSpPr>
      <xdr:spPr bwMode="auto">
        <a:xfrm>
          <a:off x="1295400" y="28041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321</xdr:row>
      <xdr:rowOff>0</xdr:rowOff>
    </xdr:from>
    <xdr:to>
      <xdr:col>2</xdr:col>
      <xdr:colOff>342900</xdr:colOff>
      <xdr:row>322</xdr:row>
      <xdr:rowOff>28574</xdr:rowOff>
    </xdr:to>
    <xdr:sp macro="" textlink="">
      <xdr:nvSpPr>
        <xdr:cNvPr id="227" name="Text Box 431"/>
        <xdr:cNvSpPr txBox="1">
          <a:spLocks noChangeArrowheads="1"/>
        </xdr:cNvSpPr>
      </xdr:nvSpPr>
      <xdr:spPr bwMode="auto">
        <a:xfrm>
          <a:off x="1295400" y="28041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321</xdr:row>
      <xdr:rowOff>0</xdr:rowOff>
    </xdr:from>
    <xdr:to>
      <xdr:col>2</xdr:col>
      <xdr:colOff>342900</xdr:colOff>
      <xdr:row>322</xdr:row>
      <xdr:rowOff>28574</xdr:rowOff>
    </xdr:to>
    <xdr:sp macro="" textlink="">
      <xdr:nvSpPr>
        <xdr:cNvPr id="228" name="Text Box 448"/>
        <xdr:cNvSpPr txBox="1">
          <a:spLocks noChangeArrowheads="1"/>
        </xdr:cNvSpPr>
      </xdr:nvSpPr>
      <xdr:spPr bwMode="auto">
        <a:xfrm>
          <a:off x="1295400" y="28041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339</xdr:row>
      <xdr:rowOff>0</xdr:rowOff>
    </xdr:from>
    <xdr:to>
      <xdr:col>2</xdr:col>
      <xdr:colOff>342900</xdr:colOff>
      <xdr:row>340</xdr:row>
      <xdr:rowOff>28575</xdr:rowOff>
    </xdr:to>
    <xdr:sp macro="" textlink="">
      <xdr:nvSpPr>
        <xdr:cNvPr id="229" name="Text Box 105"/>
        <xdr:cNvSpPr txBox="1">
          <a:spLocks noChangeArrowheads="1"/>
        </xdr:cNvSpPr>
      </xdr:nvSpPr>
      <xdr:spPr bwMode="auto">
        <a:xfrm>
          <a:off x="1533525" y="281178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339</xdr:row>
      <xdr:rowOff>0</xdr:rowOff>
    </xdr:from>
    <xdr:to>
      <xdr:col>2</xdr:col>
      <xdr:colOff>342900</xdr:colOff>
      <xdr:row>340</xdr:row>
      <xdr:rowOff>28575</xdr:rowOff>
    </xdr:to>
    <xdr:sp macro="" textlink="">
      <xdr:nvSpPr>
        <xdr:cNvPr id="230" name="Text Box 207"/>
        <xdr:cNvSpPr txBox="1">
          <a:spLocks noChangeArrowheads="1"/>
        </xdr:cNvSpPr>
      </xdr:nvSpPr>
      <xdr:spPr bwMode="auto">
        <a:xfrm>
          <a:off x="1533525" y="281178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339</xdr:row>
      <xdr:rowOff>0</xdr:rowOff>
    </xdr:from>
    <xdr:to>
      <xdr:col>2</xdr:col>
      <xdr:colOff>76200</xdr:colOff>
      <xdr:row>340</xdr:row>
      <xdr:rowOff>28575</xdr:rowOff>
    </xdr:to>
    <xdr:sp macro="" textlink="">
      <xdr:nvSpPr>
        <xdr:cNvPr id="231" name="Text Box 105"/>
        <xdr:cNvSpPr txBox="1">
          <a:spLocks noChangeArrowheads="1"/>
        </xdr:cNvSpPr>
      </xdr:nvSpPr>
      <xdr:spPr bwMode="auto">
        <a:xfrm>
          <a:off x="1266825" y="281178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339</xdr:row>
      <xdr:rowOff>0</xdr:rowOff>
    </xdr:from>
    <xdr:to>
      <xdr:col>2</xdr:col>
      <xdr:colOff>76200</xdr:colOff>
      <xdr:row>340</xdr:row>
      <xdr:rowOff>28575</xdr:rowOff>
    </xdr:to>
    <xdr:sp macro="" textlink="">
      <xdr:nvSpPr>
        <xdr:cNvPr id="232" name="Text Box 207"/>
        <xdr:cNvSpPr txBox="1">
          <a:spLocks noChangeArrowheads="1"/>
        </xdr:cNvSpPr>
      </xdr:nvSpPr>
      <xdr:spPr bwMode="auto">
        <a:xfrm>
          <a:off x="1266825" y="281178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33" name="Text Box 139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34" name="Text Box 421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35" name="Text Box 426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36" name="Text Box 431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37" name="Text Box 448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38" name="Text Box 117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39" name="Text Box 192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28575</xdr:rowOff>
    </xdr:to>
    <xdr:sp macro="" textlink="">
      <xdr:nvSpPr>
        <xdr:cNvPr id="240" name="Text Box 125"/>
        <xdr:cNvSpPr txBox="1">
          <a:spLocks noChangeArrowheads="1"/>
        </xdr:cNvSpPr>
      </xdr:nvSpPr>
      <xdr:spPr bwMode="auto">
        <a:xfrm>
          <a:off x="1295400" y="30708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28575</xdr:rowOff>
    </xdr:to>
    <xdr:sp macro="" textlink="">
      <xdr:nvSpPr>
        <xdr:cNvPr id="241" name="Text Box 160"/>
        <xdr:cNvSpPr txBox="1">
          <a:spLocks noChangeArrowheads="1"/>
        </xdr:cNvSpPr>
      </xdr:nvSpPr>
      <xdr:spPr bwMode="auto">
        <a:xfrm>
          <a:off x="1295400" y="30708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28575</xdr:rowOff>
    </xdr:to>
    <xdr:sp macro="" textlink="">
      <xdr:nvSpPr>
        <xdr:cNvPr id="242" name="Text Box 182"/>
        <xdr:cNvSpPr txBox="1">
          <a:spLocks noChangeArrowheads="1"/>
        </xdr:cNvSpPr>
      </xdr:nvSpPr>
      <xdr:spPr bwMode="auto">
        <a:xfrm>
          <a:off x="1295400" y="30708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342</xdr:row>
      <xdr:rowOff>0</xdr:rowOff>
    </xdr:from>
    <xdr:to>
      <xdr:col>2</xdr:col>
      <xdr:colOff>342900</xdr:colOff>
      <xdr:row>343</xdr:row>
      <xdr:rowOff>85725</xdr:rowOff>
    </xdr:to>
    <xdr:sp macro="" textlink="">
      <xdr:nvSpPr>
        <xdr:cNvPr id="243" name="Text Box 137"/>
        <xdr:cNvSpPr txBox="1">
          <a:spLocks noChangeArrowheads="1"/>
        </xdr:cNvSpPr>
      </xdr:nvSpPr>
      <xdr:spPr bwMode="auto">
        <a:xfrm>
          <a:off x="1295400" y="305752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342</xdr:row>
      <xdr:rowOff>0</xdr:rowOff>
    </xdr:from>
    <xdr:to>
      <xdr:col>2</xdr:col>
      <xdr:colOff>342900</xdr:colOff>
      <xdr:row>343</xdr:row>
      <xdr:rowOff>85725</xdr:rowOff>
    </xdr:to>
    <xdr:sp macro="" textlink="">
      <xdr:nvSpPr>
        <xdr:cNvPr id="244" name="Text Box 170"/>
        <xdr:cNvSpPr txBox="1">
          <a:spLocks noChangeArrowheads="1"/>
        </xdr:cNvSpPr>
      </xdr:nvSpPr>
      <xdr:spPr bwMode="auto">
        <a:xfrm>
          <a:off x="1295400" y="305752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45" name="Text Box 438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46" name="Text Box 443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47" name="Text Box 139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48" name="Text Box 421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49" name="Text Box 426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50" name="Text Box 431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51" name="Text Box 448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52" name="Text Box 481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53" name="Text Box 486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54" name="Text Box 139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55" name="Text Box 421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56" name="Text Box 426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57" name="Text Box 431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58" name="Text Box 448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59" name="Text Box 549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60" name="Text Box 554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61" name="Text Box 139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62" name="Text Box 421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63" name="Text Box 426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64" name="Text Box 431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343</xdr:row>
      <xdr:rowOff>0</xdr:rowOff>
    </xdr:from>
    <xdr:to>
      <xdr:col>2</xdr:col>
      <xdr:colOff>342900</xdr:colOff>
      <xdr:row>344</xdr:row>
      <xdr:rowOff>85725</xdr:rowOff>
    </xdr:to>
    <xdr:sp macro="" textlink="">
      <xdr:nvSpPr>
        <xdr:cNvPr id="265" name="Text Box 448"/>
        <xdr:cNvSpPr txBox="1">
          <a:spLocks noChangeArrowheads="1"/>
        </xdr:cNvSpPr>
      </xdr:nvSpPr>
      <xdr:spPr bwMode="auto">
        <a:xfrm>
          <a:off x="1295400" y="30708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28575</xdr:rowOff>
    </xdr:to>
    <xdr:sp macro="" textlink="">
      <xdr:nvSpPr>
        <xdr:cNvPr id="266" name="Text Box 494"/>
        <xdr:cNvSpPr txBox="1">
          <a:spLocks noChangeArrowheads="1"/>
        </xdr:cNvSpPr>
      </xdr:nvSpPr>
      <xdr:spPr bwMode="auto">
        <a:xfrm>
          <a:off x="7820025" y="6069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28575</xdr:rowOff>
    </xdr:to>
    <xdr:sp macro="" textlink="">
      <xdr:nvSpPr>
        <xdr:cNvPr id="267" name="Text Box 499"/>
        <xdr:cNvSpPr txBox="1">
          <a:spLocks noChangeArrowheads="1"/>
        </xdr:cNvSpPr>
      </xdr:nvSpPr>
      <xdr:spPr bwMode="auto">
        <a:xfrm>
          <a:off x="7820025" y="6069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68" name="Text Box 139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69" name="Text Box 42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70" name="Text Box 426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71" name="Text Box 43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72" name="Text Box 448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73" name="Text Box 117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74" name="Text Box 192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28575</xdr:rowOff>
    </xdr:to>
    <xdr:sp macro="" textlink="">
      <xdr:nvSpPr>
        <xdr:cNvPr id="275" name="Text Box 125"/>
        <xdr:cNvSpPr txBox="1">
          <a:spLocks noChangeArrowheads="1"/>
        </xdr:cNvSpPr>
      </xdr:nvSpPr>
      <xdr:spPr bwMode="auto">
        <a:xfrm>
          <a:off x="1295400" y="336423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28575</xdr:rowOff>
    </xdr:to>
    <xdr:sp macro="" textlink="">
      <xdr:nvSpPr>
        <xdr:cNvPr id="276" name="Text Box 160"/>
        <xdr:cNvSpPr txBox="1">
          <a:spLocks noChangeArrowheads="1"/>
        </xdr:cNvSpPr>
      </xdr:nvSpPr>
      <xdr:spPr bwMode="auto">
        <a:xfrm>
          <a:off x="1295400" y="336423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28575</xdr:rowOff>
    </xdr:to>
    <xdr:sp macro="" textlink="">
      <xdr:nvSpPr>
        <xdr:cNvPr id="277" name="Text Box 182"/>
        <xdr:cNvSpPr txBox="1">
          <a:spLocks noChangeArrowheads="1"/>
        </xdr:cNvSpPr>
      </xdr:nvSpPr>
      <xdr:spPr bwMode="auto">
        <a:xfrm>
          <a:off x="1295400" y="336423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368</xdr:row>
      <xdr:rowOff>0</xdr:rowOff>
    </xdr:from>
    <xdr:to>
      <xdr:col>2</xdr:col>
      <xdr:colOff>342900</xdr:colOff>
      <xdr:row>369</xdr:row>
      <xdr:rowOff>85724</xdr:rowOff>
    </xdr:to>
    <xdr:sp macro="" textlink="">
      <xdr:nvSpPr>
        <xdr:cNvPr id="278" name="Text Box 137"/>
        <xdr:cNvSpPr txBox="1">
          <a:spLocks noChangeArrowheads="1"/>
        </xdr:cNvSpPr>
      </xdr:nvSpPr>
      <xdr:spPr bwMode="auto">
        <a:xfrm>
          <a:off x="1295400" y="33508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368</xdr:row>
      <xdr:rowOff>0</xdr:rowOff>
    </xdr:from>
    <xdr:to>
      <xdr:col>2</xdr:col>
      <xdr:colOff>342900</xdr:colOff>
      <xdr:row>369</xdr:row>
      <xdr:rowOff>85724</xdr:rowOff>
    </xdr:to>
    <xdr:sp macro="" textlink="">
      <xdr:nvSpPr>
        <xdr:cNvPr id="279" name="Text Box 170"/>
        <xdr:cNvSpPr txBox="1">
          <a:spLocks noChangeArrowheads="1"/>
        </xdr:cNvSpPr>
      </xdr:nvSpPr>
      <xdr:spPr bwMode="auto">
        <a:xfrm>
          <a:off x="1295400" y="33508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80" name="Text Box 438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81" name="Text Box 443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82" name="Text Box 139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83" name="Text Box 42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84" name="Text Box 426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85" name="Text Box 43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86" name="Text Box 448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87" name="Text Box 48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88" name="Text Box 486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89" name="Text Box 139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90" name="Text Box 42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91" name="Text Box 426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92" name="Text Box 43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93" name="Text Box 448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94" name="Text Box 549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95" name="Text Box 554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96" name="Text Box 139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97" name="Text Box 42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98" name="Text Box 426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299" name="Text Box 43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300" name="Text Box 448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28575</xdr:rowOff>
    </xdr:to>
    <xdr:sp macro="" textlink="">
      <xdr:nvSpPr>
        <xdr:cNvPr id="301" name="Text Box 93"/>
        <xdr:cNvSpPr txBox="1">
          <a:spLocks noChangeArrowheads="1"/>
        </xdr:cNvSpPr>
      </xdr:nvSpPr>
      <xdr:spPr bwMode="auto">
        <a:xfrm>
          <a:off x="1533525" y="37204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28575</xdr:rowOff>
    </xdr:to>
    <xdr:sp macro="" textlink="">
      <xdr:nvSpPr>
        <xdr:cNvPr id="302" name="Text Box 222"/>
        <xdr:cNvSpPr txBox="1">
          <a:spLocks noChangeArrowheads="1"/>
        </xdr:cNvSpPr>
      </xdr:nvSpPr>
      <xdr:spPr bwMode="auto">
        <a:xfrm>
          <a:off x="1533525" y="37204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28575</xdr:rowOff>
    </xdr:to>
    <xdr:sp macro="" textlink="">
      <xdr:nvSpPr>
        <xdr:cNvPr id="303" name="Text Box 494"/>
        <xdr:cNvSpPr txBox="1">
          <a:spLocks noChangeArrowheads="1"/>
        </xdr:cNvSpPr>
      </xdr:nvSpPr>
      <xdr:spPr bwMode="auto">
        <a:xfrm>
          <a:off x="1295400" y="36175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28575</xdr:rowOff>
    </xdr:to>
    <xdr:sp macro="" textlink="">
      <xdr:nvSpPr>
        <xdr:cNvPr id="304" name="Text Box 499"/>
        <xdr:cNvSpPr txBox="1">
          <a:spLocks noChangeArrowheads="1"/>
        </xdr:cNvSpPr>
      </xdr:nvSpPr>
      <xdr:spPr bwMode="auto">
        <a:xfrm>
          <a:off x="1295400" y="36175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05" name="Text Box 139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06" name="Text Box 42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07" name="Text Box 426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08" name="Text Box 43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09" name="Text Box 448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10" name="Text Box 117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11" name="Text Box 192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28575</xdr:rowOff>
    </xdr:to>
    <xdr:sp macro="" textlink="">
      <xdr:nvSpPr>
        <xdr:cNvPr id="312" name="Text Box 125"/>
        <xdr:cNvSpPr txBox="1">
          <a:spLocks noChangeArrowheads="1"/>
        </xdr:cNvSpPr>
      </xdr:nvSpPr>
      <xdr:spPr bwMode="auto">
        <a:xfrm>
          <a:off x="1295400" y="36175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28575</xdr:rowOff>
    </xdr:to>
    <xdr:sp macro="" textlink="">
      <xdr:nvSpPr>
        <xdr:cNvPr id="313" name="Text Box 160"/>
        <xdr:cNvSpPr txBox="1">
          <a:spLocks noChangeArrowheads="1"/>
        </xdr:cNvSpPr>
      </xdr:nvSpPr>
      <xdr:spPr bwMode="auto">
        <a:xfrm>
          <a:off x="1295400" y="36175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28575</xdr:rowOff>
    </xdr:to>
    <xdr:sp macro="" textlink="">
      <xdr:nvSpPr>
        <xdr:cNvPr id="314" name="Text Box 182"/>
        <xdr:cNvSpPr txBox="1">
          <a:spLocks noChangeArrowheads="1"/>
        </xdr:cNvSpPr>
      </xdr:nvSpPr>
      <xdr:spPr bwMode="auto">
        <a:xfrm>
          <a:off x="1295400" y="36175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397</xdr:row>
      <xdr:rowOff>0</xdr:rowOff>
    </xdr:from>
    <xdr:to>
      <xdr:col>2</xdr:col>
      <xdr:colOff>342900</xdr:colOff>
      <xdr:row>398</xdr:row>
      <xdr:rowOff>85725</xdr:rowOff>
    </xdr:to>
    <xdr:sp macro="" textlink="">
      <xdr:nvSpPr>
        <xdr:cNvPr id="315" name="Text Box 137"/>
        <xdr:cNvSpPr txBox="1">
          <a:spLocks noChangeArrowheads="1"/>
        </xdr:cNvSpPr>
      </xdr:nvSpPr>
      <xdr:spPr bwMode="auto">
        <a:xfrm>
          <a:off x="1295400" y="36042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397</xdr:row>
      <xdr:rowOff>0</xdr:rowOff>
    </xdr:from>
    <xdr:to>
      <xdr:col>2</xdr:col>
      <xdr:colOff>342900</xdr:colOff>
      <xdr:row>398</xdr:row>
      <xdr:rowOff>85725</xdr:rowOff>
    </xdr:to>
    <xdr:sp macro="" textlink="">
      <xdr:nvSpPr>
        <xdr:cNvPr id="316" name="Text Box 170"/>
        <xdr:cNvSpPr txBox="1">
          <a:spLocks noChangeArrowheads="1"/>
        </xdr:cNvSpPr>
      </xdr:nvSpPr>
      <xdr:spPr bwMode="auto">
        <a:xfrm>
          <a:off x="1295400" y="36042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17" name="Text Box 438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18" name="Text Box 443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19" name="Text Box 139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20" name="Text Box 42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21" name="Text Box 426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22" name="Text Box 43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23" name="Text Box 448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24" name="Text Box 48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25" name="Text Box 486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26" name="Text Box 139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27" name="Text Box 42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28" name="Text Box 426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29" name="Text Box 43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30" name="Text Box 448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31" name="Text Box 549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32" name="Text Box 554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33" name="Text Box 139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34" name="Text Box 42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35" name="Text Box 426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36" name="Text Box 43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398</xdr:row>
      <xdr:rowOff>0</xdr:rowOff>
    </xdr:from>
    <xdr:to>
      <xdr:col>2</xdr:col>
      <xdr:colOff>342900</xdr:colOff>
      <xdr:row>399</xdr:row>
      <xdr:rowOff>85725</xdr:rowOff>
    </xdr:to>
    <xdr:sp macro="" textlink="">
      <xdr:nvSpPr>
        <xdr:cNvPr id="337" name="Text Box 448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427</xdr:row>
      <xdr:rowOff>0</xdr:rowOff>
    </xdr:from>
    <xdr:to>
      <xdr:col>2</xdr:col>
      <xdr:colOff>76200</xdr:colOff>
      <xdr:row>428</xdr:row>
      <xdr:rowOff>85725</xdr:rowOff>
    </xdr:to>
    <xdr:sp macro="" textlink="">
      <xdr:nvSpPr>
        <xdr:cNvPr id="338" name="Text Box 89"/>
        <xdr:cNvSpPr txBox="1">
          <a:spLocks noChangeArrowheads="1"/>
        </xdr:cNvSpPr>
      </xdr:nvSpPr>
      <xdr:spPr bwMode="auto">
        <a:xfrm>
          <a:off x="7553325" y="37033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427</xdr:row>
      <xdr:rowOff>0</xdr:rowOff>
    </xdr:from>
    <xdr:to>
      <xdr:col>2</xdr:col>
      <xdr:colOff>76200</xdr:colOff>
      <xdr:row>428</xdr:row>
      <xdr:rowOff>85725</xdr:rowOff>
    </xdr:to>
    <xdr:sp macro="" textlink="">
      <xdr:nvSpPr>
        <xdr:cNvPr id="339" name="Text Box 227"/>
        <xdr:cNvSpPr txBox="1">
          <a:spLocks noChangeArrowheads="1"/>
        </xdr:cNvSpPr>
      </xdr:nvSpPr>
      <xdr:spPr bwMode="auto">
        <a:xfrm>
          <a:off x="7553325" y="37033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28575</xdr:rowOff>
    </xdr:to>
    <xdr:sp macro="" textlink="">
      <xdr:nvSpPr>
        <xdr:cNvPr id="340" name="Text Box 93"/>
        <xdr:cNvSpPr txBox="1">
          <a:spLocks noChangeArrowheads="1"/>
        </xdr:cNvSpPr>
      </xdr:nvSpPr>
      <xdr:spPr bwMode="auto">
        <a:xfrm>
          <a:off x="1295400" y="38709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28575</xdr:rowOff>
    </xdr:to>
    <xdr:sp macro="" textlink="">
      <xdr:nvSpPr>
        <xdr:cNvPr id="341" name="Text Box 222"/>
        <xdr:cNvSpPr txBox="1">
          <a:spLocks noChangeArrowheads="1"/>
        </xdr:cNvSpPr>
      </xdr:nvSpPr>
      <xdr:spPr bwMode="auto">
        <a:xfrm>
          <a:off x="1295400" y="38709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28575</xdr:rowOff>
    </xdr:to>
    <xdr:sp macro="" textlink="">
      <xdr:nvSpPr>
        <xdr:cNvPr id="342" name="Text Box 494"/>
        <xdr:cNvSpPr txBox="1">
          <a:spLocks noChangeArrowheads="1"/>
        </xdr:cNvSpPr>
      </xdr:nvSpPr>
      <xdr:spPr bwMode="auto">
        <a:xfrm>
          <a:off x="1295400" y="38709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28575</xdr:rowOff>
    </xdr:to>
    <xdr:sp macro="" textlink="">
      <xdr:nvSpPr>
        <xdr:cNvPr id="343" name="Text Box 499"/>
        <xdr:cNvSpPr txBox="1">
          <a:spLocks noChangeArrowheads="1"/>
        </xdr:cNvSpPr>
      </xdr:nvSpPr>
      <xdr:spPr bwMode="auto">
        <a:xfrm>
          <a:off x="1295400" y="38709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44" name="Text Box 139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45" name="Text Box 42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46" name="Text Box 426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47" name="Text Box 43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48" name="Text Box 448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49" name="Text Box 117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50" name="Text Box 192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28575</xdr:rowOff>
    </xdr:to>
    <xdr:sp macro="" textlink="">
      <xdr:nvSpPr>
        <xdr:cNvPr id="351" name="Text Box 125"/>
        <xdr:cNvSpPr txBox="1">
          <a:spLocks noChangeArrowheads="1"/>
        </xdr:cNvSpPr>
      </xdr:nvSpPr>
      <xdr:spPr bwMode="auto">
        <a:xfrm>
          <a:off x="1295400" y="38709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28575</xdr:rowOff>
    </xdr:to>
    <xdr:sp macro="" textlink="">
      <xdr:nvSpPr>
        <xdr:cNvPr id="352" name="Text Box 160"/>
        <xdr:cNvSpPr txBox="1">
          <a:spLocks noChangeArrowheads="1"/>
        </xdr:cNvSpPr>
      </xdr:nvSpPr>
      <xdr:spPr bwMode="auto">
        <a:xfrm>
          <a:off x="1295400" y="38709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28575</xdr:rowOff>
    </xdr:to>
    <xdr:sp macro="" textlink="">
      <xdr:nvSpPr>
        <xdr:cNvPr id="353" name="Text Box 182"/>
        <xdr:cNvSpPr txBox="1">
          <a:spLocks noChangeArrowheads="1"/>
        </xdr:cNvSpPr>
      </xdr:nvSpPr>
      <xdr:spPr bwMode="auto">
        <a:xfrm>
          <a:off x="1295400" y="38709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430</xdr:row>
      <xdr:rowOff>0</xdr:rowOff>
    </xdr:from>
    <xdr:to>
      <xdr:col>2</xdr:col>
      <xdr:colOff>342900</xdr:colOff>
      <xdr:row>431</xdr:row>
      <xdr:rowOff>85725</xdr:rowOff>
    </xdr:to>
    <xdr:sp macro="" textlink="">
      <xdr:nvSpPr>
        <xdr:cNvPr id="354" name="Text Box 137"/>
        <xdr:cNvSpPr txBox="1">
          <a:spLocks noChangeArrowheads="1"/>
        </xdr:cNvSpPr>
      </xdr:nvSpPr>
      <xdr:spPr bwMode="auto">
        <a:xfrm>
          <a:off x="1295400" y="385762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430</xdr:row>
      <xdr:rowOff>0</xdr:rowOff>
    </xdr:from>
    <xdr:to>
      <xdr:col>2</xdr:col>
      <xdr:colOff>342900</xdr:colOff>
      <xdr:row>431</xdr:row>
      <xdr:rowOff>85725</xdr:rowOff>
    </xdr:to>
    <xdr:sp macro="" textlink="">
      <xdr:nvSpPr>
        <xdr:cNvPr id="355" name="Text Box 170"/>
        <xdr:cNvSpPr txBox="1">
          <a:spLocks noChangeArrowheads="1"/>
        </xdr:cNvSpPr>
      </xdr:nvSpPr>
      <xdr:spPr bwMode="auto">
        <a:xfrm>
          <a:off x="1295400" y="385762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56" name="Text Box 438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57" name="Text Box 443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58" name="Text Box 139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59" name="Text Box 42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60" name="Text Box 426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61" name="Text Box 43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62" name="Text Box 448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63" name="Text Box 48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64" name="Text Box 486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65" name="Text Box 139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66" name="Text Box 42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67" name="Text Box 426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68" name="Text Box 43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69" name="Text Box 448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70" name="Text Box 549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71" name="Text Box 554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72" name="Text Box 139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73" name="Text Box 42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74" name="Text Box 426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75" name="Text Box 43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431</xdr:row>
      <xdr:rowOff>0</xdr:rowOff>
    </xdr:from>
    <xdr:to>
      <xdr:col>2</xdr:col>
      <xdr:colOff>342900</xdr:colOff>
      <xdr:row>432</xdr:row>
      <xdr:rowOff>85725</xdr:rowOff>
    </xdr:to>
    <xdr:sp macro="" textlink="">
      <xdr:nvSpPr>
        <xdr:cNvPr id="376" name="Text Box 448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377" name="Text Box 139"/>
        <xdr:cNvSpPr txBox="1">
          <a:spLocks noChangeArrowheads="1"/>
        </xdr:cNvSpPr>
      </xdr:nvSpPr>
      <xdr:spPr bwMode="auto">
        <a:xfrm>
          <a:off x="7820025" y="4200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378" name="Text Box 421"/>
        <xdr:cNvSpPr txBox="1">
          <a:spLocks noChangeArrowheads="1"/>
        </xdr:cNvSpPr>
      </xdr:nvSpPr>
      <xdr:spPr bwMode="auto">
        <a:xfrm>
          <a:off x="7820025" y="4200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379" name="Text Box 426"/>
        <xdr:cNvSpPr txBox="1">
          <a:spLocks noChangeArrowheads="1"/>
        </xdr:cNvSpPr>
      </xdr:nvSpPr>
      <xdr:spPr bwMode="auto">
        <a:xfrm>
          <a:off x="7820025" y="4200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380" name="Text Box 431"/>
        <xdr:cNvSpPr txBox="1">
          <a:spLocks noChangeArrowheads="1"/>
        </xdr:cNvSpPr>
      </xdr:nvSpPr>
      <xdr:spPr bwMode="auto">
        <a:xfrm>
          <a:off x="7820025" y="4200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381" name="Text Box 448"/>
        <xdr:cNvSpPr txBox="1">
          <a:spLocks noChangeArrowheads="1"/>
        </xdr:cNvSpPr>
      </xdr:nvSpPr>
      <xdr:spPr bwMode="auto">
        <a:xfrm>
          <a:off x="7820025" y="4200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28577</xdr:rowOff>
    </xdr:to>
    <xdr:sp macro="" textlink="">
      <xdr:nvSpPr>
        <xdr:cNvPr id="382" name="Text Box 93"/>
        <xdr:cNvSpPr txBox="1">
          <a:spLocks noChangeArrowheads="1"/>
        </xdr:cNvSpPr>
      </xdr:nvSpPr>
      <xdr:spPr bwMode="auto">
        <a:xfrm>
          <a:off x="1295400" y="41910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28577</xdr:rowOff>
    </xdr:to>
    <xdr:sp macro="" textlink="">
      <xdr:nvSpPr>
        <xdr:cNvPr id="383" name="Text Box 222"/>
        <xdr:cNvSpPr txBox="1">
          <a:spLocks noChangeArrowheads="1"/>
        </xdr:cNvSpPr>
      </xdr:nvSpPr>
      <xdr:spPr bwMode="auto">
        <a:xfrm>
          <a:off x="1295400" y="41910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28577</xdr:rowOff>
    </xdr:to>
    <xdr:sp macro="" textlink="">
      <xdr:nvSpPr>
        <xdr:cNvPr id="384" name="Text Box 494"/>
        <xdr:cNvSpPr txBox="1">
          <a:spLocks noChangeArrowheads="1"/>
        </xdr:cNvSpPr>
      </xdr:nvSpPr>
      <xdr:spPr bwMode="auto">
        <a:xfrm>
          <a:off x="1295400" y="41910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28577</xdr:rowOff>
    </xdr:to>
    <xdr:sp macro="" textlink="">
      <xdr:nvSpPr>
        <xdr:cNvPr id="385" name="Text Box 499"/>
        <xdr:cNvSpPr txBox="1">
          <a:spLocks noChangeArrowheads="1"/>
        </xdr:cNvSpPr>
      </xdr:nvSpPr>
      <xdr:spPr bwMode="auto">
        <a:xfrm>
          <a:off x="1295400" y="41910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386" name="Text Box 139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387" name="Text Box 42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388" name="Text Box 426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389" name="Text Box 43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390" name="Text Box 448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391" name="Text Box 117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392" name="Text Box 192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28577</xdr:rowOff>
    </xdr:to>
    <xdr:sp macro="" textlink="">
      <xdr:nvSpPr>
        <xdr:cNvPr id="393" name="Text Box 125"/>
        <xdr:cNvSpPr txBox="1">
          <a:spLocks noChangeArrowheads="1"/>
        </xdr:cNvSpPr>
      </xdr:nvSpPr>
      <xdr:spPr bwMode="auto">
        <a:xfrm>
          <a:off x="1295400" y="41910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28577</xdr:rowOff>
    </xdr:to>
    <xdr:sp macro="" textlink="">
      <xdr:nvSpPr>
        <xdr:cNvPr id="394" name="Text Box 160"/>
        <xdr:cNvSpPr txBox="1">
          <a:spLocks noChangeArrowheads="1"/>
        </xdr:cNvSpPr>
      </xdr:nvSpPr>
      <xdr:spPr bwMode="auto">
        <a:xfrm>
          <a:off x="1295400" y="41910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28577</xdr:rowOff>
    </xdr:to>
    <xdr:sp macro="" textlink="">
      <xdr:nvSpPr>
        <xdr:cNvPr id="395" name="Text Box 182"/>
        <xdr:cNvSpPr txBox="1">
          <a:spLocks noChangeArrowheads="1"/>
        </xdr:cNvSpPr>
      </xdr:nvSpPr>
      <xdr:spPr bwMode="auto">
        <a:xfrm>
          <a:off x="1295400" y="41910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488</xdr:row>
      <xdr:rowOff>0</xdr:rowOff>
    </xdr:from>
    <xdr:to>
      <xdr:col>2</xdr:col>
      <xdr:colOff>342900</xdr:colOff>
      <xdr:row>489</xdr:row>
      <xdr:rowOff>85724</xdr:rowOff>
    </xdr:to>
    <xdr:sp macro="" textlink="">
      <xdr:nvSpPr>
        <xdr:cNvPr id="396" name="Text Box 137"/>
        <xdr:cNvSpPr txBox="1">
          <a:spLocks noChangeArrowheads="1"/>
        </xdr:cNvSpPr>
      </xdr:nvSpPr>
      <xdr:spPr bwMode="auto">
        <a:xfrm>
          <a:off x="1295400" y="41776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488</xdr:row>
      <xdr:rowOff>0</xdr:rowOff>
    </xdr:from>
    <xdr:to>
      <xdr:col>2</xdr:col>
      <xdr:colOff>342900</xdr:colOff>
      <xdr:row>489</xdr:row>
      <xdr:rowOff>85724</xdr:rowOff>
    </xdr:to>
    <xdr:sp macro="" textlink="">
      <xdr:nvSpPr>
        <xdr:cNvPr id="397" name="Text Box 170"/>
        <xdr:cNvSpPr txBox="1">
          <a:spLocks noChangeArrowheads="1"/>
        </xdr:cNvSpPr>
      </xdr:nvSpPr>
      <xdr:spPr bwMode="auto">
        <a:xfrm>
          <a:off x="1295400" y="41776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398" name="Text Box 438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399" name="Text Box 443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00" name="Text Box 139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01" name="Text Box 42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02" name="Text Box 426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03" name="Text Box 43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04" name="Text Box 448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05" name="Text Box 48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06" name="Text Box 486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07" name="Text Box 139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08" name="Text Box 42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09" name="Text Box 426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10" name="Text Box 43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11" name="Text Box 448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12" name="Text Box 549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13" name="Text Box 554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14" name="Text Box 139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15" name="Text Box 42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16" name="Text Box 426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17" name="Text Box 43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489</xdr:row>
      <xdr:rowOff>0</xdr:rowOff>
    </xdr:from>
    <xdr:to>
      <xdr:col>2</xdr:col>
      <xdr:colOff>342900</xdr:colOff>
      <xdr:row>490</xdr:row>
      <xdr:rowOff>85727</xdr:rowOff>
    </xdr:to>
    <xdr:sp macro="" textlink="">
      <xdr:nvSpPr>
        <xdr:cNvPr id="418" name="Text Box 448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47</xdr:row>
      <xdr:rowOff>0</xdr:rowOff>
    </xdr:from>
    <xdr:to>
      <xdr:col>14</xdr:col>
      <xdr:colOff>342900</xdr:colOff>
      <xdr:row>48</xdr:row>
      <xdr:rowOff>28575</xdr:rowOff>
    </xdr:to>
    <xdr:sp macro="" textlink="">
      <xdr:nvSpPr>
        <xdr:cNvPr id="419" name="Text Box 288"/>
        <xdr:cNvSpPr txBox="1">
          <a:spLocks noChangeArrowheads="1"/>
        </xdr:cNvSpPr>
      </xdr:nvSpPr>
      <xdr:spPr bwMode="auto">
        <a:xfrm>
          <a:off x="1533525" y="56578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47</xdr:row>
      <xdr:rowOff>0</xdr:rowOff>
    </xdr:from>
    <xdr:to>
      <xdr:col>14</xdr:col>
      <xdr:colOff>342900</xdr:colOff>
      <xdr:row>48</xdr:row>
      <xdr:rowOff>28575</xdr:rowOff>
    </xdr:to>
    <xdr:sp macro="" textlink="">
      <xdr:nvSpPr>
        <xdr:cNvPr id="420" name="Text Box 293"/>
        <xdr:cNvSpPr txBox="1">
          <a:spLocks noChangeArrowheads="1"/>
        </xdr:cNvSpPr>
      </xdr:nvSpPr>
      <xdr:spPr bwMode="auto">
        <a:xfrm>
          <a:off x="1533525" y="56578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47</xdr:row>
      <xdr:rowOff>0</xdr:rowOff>
    </xdr:from>
    <xdr:to>
      <xdr:col>14</xdr:col>
      <xdr:colOff>342900</xdr:colOff>
      <xdr:row>48</xdr:row>
      <xdr:rowOff>85725</xdr:rowOff>
    </xdr:to>
    <xdr:sp macro="" textlink="">
      <xdr:nvSpPr>
        <xdr:cNvPr id="421" name="Text Box 139"/>
        <xdr:cNvSpPr txBox="1">
          <a:spLocks noChangeArrowheads="1"/>
        </xdr:cNvSpPr>
      </xdr:nvSpPr>
      <xdr:spPr bwMode="auto">
        <a:xfrm>
          <a:off x="6543675" y="2057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47</xdr:row>
      <xdr:rowOff>0</xdr:rowOff>
    </xdr:from>
    <xdr:to>
      <xdr:col>14</xdr:col>
      <xdr:colOff>342900</xdr:colOff>
      <xdr:row>48</xdr:row>
      <xdr:rowOff>85725</xdr:rowOff>
    </xdr:to>
    <xdr:sp macro="" textlink="">
      <xdr:nvSpPr>
        <xdr:cNvPr id="422" name="Text Box 421"/>
        <xdr:cNvSpPr txBox="1">
          <a:spLocks noChangeArrowheads="1"/>
        </xdr:cNvSpPr>
      </xdr:nvSpPr>
      <xdr:spPr bwMode="auto">
        <a:xfrm>
          <a:off x="6543675" y="2057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47</xdr:row>
      <xdr:rowOff>0</xdr:rowOff>
    </xdr:from>
    <xdr:to>
      <xdr:col>14</xdr:col>
      <xdr:colOff>342900</xdr:colOff>
      <xdr:row>48</xdr:row>
      <xdr:rowOff>85725</xdr:rowOff>
    </xdr:to>
    <xdr:sp macro="" textlink="">
      <xdr:nvSpPr>
        <xdr:cNvPr id="423" name="Text Box 426"/>
        <xdr:cNvSpPr txBox="1">
          <a:spLocks noChangeArrowheads="1"/>
        </xdr:cNvSpPr>
      </xdr:nvSpPr>
      <xdr:spPr bwMode="auto">
        <a:xfrm>
          <a:off x="6543675" y="2057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47</xdr:row>
      <xdr:rowOff>0</xdr:rowOff>
    </xdr:from>
    <xdr:to>
      <xdr:col>14</xdr:col>
      <xdr:colOff>342900</xdr:colOff>
      <xdr:row>48</xdr:row>
      <xdr:rowOff>85725</xdr:rowOff>
    </xdr:to>
    <xdr:sp macro="" textlink="">
      <xdr:nvSpPr>
        <xdr:cNvPr id="424" name="Text Box 431"/>
        <xdr:cNvSpPr txBox="1">
          <a:spLocks noChangeArrowheads="1"/>
        </xdr:cNvSpPr>
      </xdr:nvSpPr>
      <xdr:spPr bwMode="auto">
        <a:xfrm>
          <a:off x="6543675" y="2057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47</xdr:row>
      <xdr:rowOff>0</xdr:rowOff>
    </xdr:from>
    <xdr:to>
      <xdr:col>14</xdr:col>
      <xdr:colOff>342900</xdr:colOff>
      <xdr:row>48</xdr:row>
      <xdr:rowOff>85725</xdr:rowOff>
    </xdr:to>
    <xdr:sp macro="" textlink="">
      <xdr:nvSpPr>
        <xdr:cNvPr id="425" name="Text Box 448"/>
        <xdr:cNvSpPr txBox="1">
          <a:spLocks noChangeArrowheads="1"/>
        </xdr:cNvSpPr>
      </xdr:nvSpPr>
      <xdr:spPr bwMode="auto">
        <a:xfrm>
          <a:off x="6543675" y="2057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28572</xdr:rowOff>
    </xdr:to>
    <xdr:sp macro="" textlink="">
      <xdr:nvSpPr>
        <xdr:cNvPr id="426" name="Text Box 133"/>
        <xdr:cNvSpPr txBox="1">
          <a:spLocks noChangeArrowheads="1"/>
        </xdr:cNvSpPr>
      </xdr:nvSpPr>
      <xdr:spPr bwMode="auto">
        <a:xfrm>
          <a:off x="7820025" y="8401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28572</xdr:rowOff>
    </xdr:to>
    <xdr:sp macro="" textlink="">
      <xdr:nvSpPr>
        <xdr:cNvPr id="427" name="Text Box 155"/>
        <xdr:cNvSpPr txBox="1">
          <a:spLocks noChangeArrowheads="1"/>
        </xdr:cNvSpPr>
      </xdr:nvSpPr>
      <xdr:spPr bwMode="auto">
        <a:xfrm>
          <a:off x="7820025" y="8401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28572</xdr:rowOff>
    </xdr:to>
    <xdr:sp macro="" textlink="">
      <xdr:nvSpPr>
        <xdr:cNvPr id="428" name="Text Box 172"/>
        <xdr:cNvSpPr txBox="1">
          <a:spLocks noChangeArrowheads="1"/>
        </xdr:cNvSpPr>
      </xdr:nvSpPr>
      <xdr:spPr bwMode="auto">
        <a:xfrm>
          <a:off x="7820025" y="8401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29" name="Text Box 139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30" name="Text Box 42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31" name="Text Box 426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32" name="Text Box 43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33" name="Text Box 448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28572</xdr:rowOff>
    </xdr:to>
    <xdr:sp macro="" textlink="">
      <xdr:nvSpPr>
        <xdr:cNvPr id="434" name="Text Box 93"/>
        <xdr:cNvSpPr txBox="1">
          <a:spLocks noChangeArrowheads="1"/>
        </xdr:cNvSpPr>
      </xdr:nvSpPr>
      <xdr:spPr bwMode="auto">
        <a:xfrm>
          <a:off x="1295400" y="447103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28572</xdr:rowOff>
    </xdr:to>
    <xdr:sp macro="" textlink="">
      <xdr:nvSpPr>
        <xdr:cNvPr id="435" name="Text Box 222"/>
        <xdr:cNvSpPr txBox="1">
          <a:spLocks noChangeArrowheads="1"/>
        </xdr:cNvSpPr>
      </xdr:nvSpPr>
      <xdr:spPr bwMode="auto">
        <a:xfrm>
          <a:off x="1295400" y="447103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28572</xdr:rowOff>
    </xdr:to>
    <xdr:sp macro="" textlink="">
      <xdr:nvSpPr>
        <xdr:cNvPr id="436" name="Text Box 494"/>
        <xdr:cNvSpPr txBox="1">
          <a:spLocks noChangeArrowheads="1"/>
        </xdr:cNvSpPr>
      </xdr:nvSpPr>
      <xdr:spPr bwMode="auto">
        <a:xfrm>
          <a:off x="1295400" y="447103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28572</xdr:rowOff>
    </xdr:to>
    <xdr:sp macro="" textlink="">
      <xdr:nvSpPr>
        <xdr:cNvPr id="437" name="Text Box 499"/>
        <xdr:cNvSpPr txBox="1">
          <a:spLocks noChangeArrowheads="1"/>
        </xdr:cNvSpPr>
      </xdr:nvSpPr>
      <xdr:spPr bwMode="auto">
        <a:xfrm>
          <a:off x="1295400" y="447103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38" name="Text Box 139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39" name="Text Box 42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40" name="Text Box 426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41" name="Text Box 43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42" name="Text Box 448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43" name="Text Box 117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44" name="Text Box 192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28572</xdr:rowOff>
    </xdr:to>
    <xdr:sp macro="" textlink="">
      <xdr:nvSpPr>
        <xdr:cNvPr id="445" name="Text Box 125"/>
        <xdr:cNvSpPr txBox="1">
          <a:spLocks noChangeArrowheads="1"/>
        </xdr:cNvSpPr>
      </xdr:nvSpPr>
      <xdr:spPr bwMode="auto">
        <a:xfrm>
          <a:off x="1295400" y="447103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28572</xdr:rowOff>
    </xdr:to>
    <xdr:sp macro="" textlink="">
      <xdr:nvSpPr>
        <xdr:cNvPr id="446" name="Text Box 160"/>
        <xdr:cNvSpPr txBox="1">
          <a:spLocks noChangeArrowheads="1"/>
        </xdr:cNvSpPr>
      </xdr:nvSpPr>
      <xdr:spPr bwMode="auto">
        <a:xfrm>
          <a:off x="1295400" y="447103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28572</xdr:rowOff>
    </xdr:to>
    <xdr:sp macro="" textlink="">
      <xdr:nvSpPr>
        <xdr:cNvPr id="447" name="Text Box 182"/>
        <xdr:cNvSpPr txBox="1">
          <a:spLocks noChangeArrowheads="1"/>
        </xdr:cNvSpPr>
      </xdr:nvSpPr>
      <xdr:spPr bwMode="auto">
        <a:xfrm>
          <a:off x="1295400" y="447103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516</xdr:row>
      <xdr:rowOff>0</xdr:rowOff>
    </xdr:from>
    <xdr:to>
      <xdr:col>2</xdr:col>
      <xdr:colOff>342900</xdr:colOff>
      <xdr:row>517</xdr:row>
      <xdr:rowOff>85726</xdr:rowOff>
    </xdr:to>
    <xdr:sp macro="" textlink="">
      <xdr:nvSpPr>
        <xdr:cNvPr id="448" name="Text Box 137"/>
        <xdr:cNvSpPr txBox="1">
          <a:spLocks noChangeArrowheads="1"/>
        </xdr:cNvSpPr>
      </xdr:nvSpPr>
      <xdr:spPr bwMode="auto">
        <a:xfrm>
          <a:off x="1295400" y="44577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516</xdr:row>
      <xdr:rowOff>0</xdr:rowOff>
    </xdr:from>
    <xdr:to>
      <xdr:col>2</xdr:col>
      <xdr:colOff>342900</xdr:colOff>
      <xdr:row>517</xdr:row>
      <xdr:rowOff>85726</xdr:rowOff>
    </xdr:to>
    <xdr:sp macro="" textlink="">
      <xdr:nvSpPr>
        <xdr:cNvPr id="449" name="Text Box 170"/>
        <xdr:cNvSpPr txBox="1">
          <a:spLocks noChangeArrowheads="1"/>
        </xdr:cNvSpPr>
      </xdr:nvSpPr>
      <xdr:spPr bwMode="auto">
        <a:xfrm>
          <a:off x="1295400" y="44577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50" name="Text Box 438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51" name="Text Box 443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52" name="Text Box 139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53" name="Text Box 42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54" name="Text Box 426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55" name="Text Box 43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56" name="Text Box 448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57" name="Text Box 48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58" name="Text Box 486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59" name="Text Box 139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60" name="Text Box 42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61" name="Text Box 426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62" name="Text Box 43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63" name="Text Box 448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64" name="Text Box 549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65" name="Text Box 554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66" name="Text Box 139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67" name="Text Box 42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68" name="Text Box 426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69" name="Text Box 43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517</xdr:row>
      <xdr:rowOff>0</xdr:rowOff>
    </xdr:from>
    <xdr:to>
      <xdr:col>2</xdr:col>
      <xdr:colOff>342900</xdr:colOff>
      <xdr:row>518</xdr:row>
      <xdr:rowOff>85722</xdr:rowOff>
    </xdr:to>
    <xdr:sp macro="" textlink="">
      <xdr:nvSpPr>
        <xdr:cNvPr id="470" name="Text Box 448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71" name="Text Box 121"/>
        <xdr:cNvSpPr txBox="1">
          <a:spLocks noChangeArrowheads="1"/>
        </xdr:cNvSpPr>
      </xdr:nvSpPr>
      <xdr:spPr bwMode="auto">
        <a:xfrm>
          <a:off x="7820025" y="12858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72" name="Text Box 187"/>
        <xdr:cNvSpPr txBox="1">
          <a:spLocks noChangeArrowheads="1"/>
        </xdr:cNvSpPr>
      </xdr:nvSpPr>
      <xdr:spPr bwMode="auto">
        <a:xfrm>
          <a:off x="7820025" y="12858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73" name="Text Box 139"/>
        <xdr:cNvSpPr txBox="1">
          <a:spLocks noChangeArrowheads="1"/>
        </xdr:cNvSpPr>
      </xdr:nvSpPr>
      <xdr:spPr bwMode="auto">
        <a:xfrm>
          <a:off x="7820025" y="12858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74" name="Text Box 421"/>
        <xdr:cNvSpPr txBox="1">
          <a:spLocks noChangeArrowheads="1"/>
        </xdr:cNvSpPr>
      </xdr:nvSpPr>
      <xdr:spPr bwMode="auto">
        <a:xfrm>
          <a:off x="7820025" y="12858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75" name="Text Box 426"/>
        <xdr:cNvSpPr txBox="1">
          <a:spLocks noChangeArrowheads="1"/>
        </xdr:cNvSpPr>
      </xdr:nvSpPr>
      <xdr:spPr bwMode="auto">
        <a:xfrm>
          <a:off x="7820025" y="12858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76" name="Text Box 431"/>
        <xdr:cNvSpPr txBox="1">
          <a:spLocks noChangeArrowheads="1"/>
        </xdr:cNvSpPr>
      </xdr:nvSpPr>
      <xdr:spPr bwMode="auto">
        <a:xfrm>
          <a:off x="7820025" y="12858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77" name="Text Box 448"/>
        <xdr:cNvSpPr txBox="1">
          <a:spLocks noChangeArrowheads="1"/>
        </xdr:cNvSpPr>
      </xdr:nvSpPr>
      <xdr:spPr bwMode="auto">
        <a:xfrm>
          <a:off x="7820025" y="12858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78" name="Text Box 133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79" name="Text Box 155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80" name="Text Box 172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481" name="Text Box 139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482" name="Text Box 42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483" name="Text Box 426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484" name="Text Box 43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485" name="Text Box 448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86" name="Text Box 93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87" name="Text Box 222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88" name="Text Box 494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89" name="Text Box 499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490" name="Text Box 139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491" name="Text Box 42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492" name="Text Box 426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493" name="Text Box 43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494" name="Text Box 448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495" name="Text Box 117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496" name="Text Box 192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97" name="Text Box 125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98" name="Text Box 160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28575</xdr:rowOff>
    </xdr:to>
    <xdr:sp macro="" textlink="">
      <xdr:nvSpPr>
        <xdr:cNvPr id="499" name="Text Box 182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544</xdr:row>
      <xdr:rowOff>0</xdr:rowOff>
    </xdr:from>
    <xdr:to>
      <xdr:col>2</xdr:col>
      <xdr:colOff>342900</xdr:colOff>
      <xdr:row>545</xdr:row>
      <xdr:rowOff>85725</xdr:rowOff>
    </xdr:to>
    <xdr:sp macro="" textlink="">
      <xdr:nvSpPr>
        <xdr:cNvPr id="500" name="Text Box 137"/>
        <xdr:cNvSpPr txBox="1">
          <a:spLocks noChangeArrowheads="1"/>
        </xdr:cNvSpPr>
      </xdr:nvSpPr>
      <xdr:spPr bwMode="auto">
        <a:xfrm>
          <a:off x="1295400" y="47434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544</xdr:row>
      <xdr:rowOff>0</xdr:rowOff>
    </xdr:from>
    <xdr:to>
      <xdr:col>2</xdr:col>
      <xdr:colOff>342900</xdr:colOff>
      <xdr:row>545</xdr:row>
      <xdr:rowOff>85725</xdr:rowOff>
    </xdr:to>
    <xdr:sp macro="" textlink="">
      <xdr:nvSpPr>
        <xdr:cNvPr id="501" name="Text Box 170"/>
        <xdr:cNvSpPr txBox="1">
          <a:spLocks noChangeArrowheads="1"/>
        </xdr:cNvSpPr>
      </xdr:nvSpPr>
      <xdr:spPr bwMode="auto">
        <a:xfrm>
          <a:off x="1295400" y="47434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02" name="Text Box 438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03" name="Text Box 443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04" name="Text Box 139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05" name="Text Box 42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06" name="Text Box 426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07" name="Text Box 43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08" name="Text Box 448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09" name="Text Box 48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10" name="Text Box 486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11" name="Text Box 139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12" name="Text Box 42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13" name="Text Box 426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14" name="Text Box 43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15" name="Text Box 448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16" name="Text Box 549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17" name="Text Box 554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18" name="Text Box 139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19" name="Text Box 42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20" name="Text Box 426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21" name="Text Box 43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545</xdr:row>
      <xdr:rowOff>0</xdr:rowOff>
    </xdr:from>
    <xdr:to>
      <xdr:col>2</xdr:col>
      <xdr:colOff>342900</xdr:colOff>
      <xdr:row>546</xdr:row>
      <xdr:rowOff>85725</xdr:rowOff>
    </xdr:to>
    <xdr:sp macro="" textlink="">
      <xdr:nvSpPr>
        <xdr:cNvPr id="522" name="Text Box 448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570</xdr:row>
      <xdr:rowOff>0</xdr:rowOff>
    </xdr:from>
    <xdr:to>
      <xdr:col>2</xdr:col>
      <xdr:colOff>76200</xdr:colOff>
      <xdr:row>571</xdr:row>
      <xdr:rowOff>28575</xdr:rowOff>
    </xdr:to>
    <xdr:sp macro="" textlink="">
      <xdr:nvSpPr>
        <xdr:cNvPr id="525" name="Text Box 97"/>
        <xdr:cNvSpPr txBox="1">
          <a:spLocks noChangeArrowheads="1"/>
        </xdr:cNvSpPr>
      </xdr:nvSpPr>
      <xdr:spPr bwMode="auto">
        <a:xfrm>
          <a:off x="7553325" y="27089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570</xdr:row>
      <xdr:rowOff>0</xdr:rowOff>
    </xdr:from>
    <xdr:to>
      <xdr:col>2</xdr:col>
      <xdr:colOff>76200</xdr:colOff>
      <xdr:row>571</xdr:row>
      <xdr:rowOff>28575</xdr:rowOff>
    </xdr:to>
    <xdr:sp macro="" textlink="">
      <xdr:nvSpPr>
        <xdr:cNvPr id="526" name="Text Box 217"/>
        <xdr:cNvSpPr txBox="1">
          <a:spLocks noChangeArrowheads="1"/>
        </xdr:cNvSpPr>
      </xdr:nvSpPr>
      <xdr:spPr bwMode="auto">
        <a:xfrm>
          <a:off x="7553325" y="27089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27" name="Text Box 121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28" name="Text Box 187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29" name="Text Box 139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30" name="Text Box 421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31" name="Text Box 426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32" name="Text Box 431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33" name="Text Box 448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34" name="Text Box 133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35" name="Text Box 155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36" name="Text Box 172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37" name="Text Box 139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38" name="Text Box 42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39" name="Text Box 426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40" name="Text Box 43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41" name="Text Box 448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42" name="Text Box 93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43" name="Text Box 222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44" name="Text Box 494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45" name="Text Box 499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46" name="Text Box 139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47" name="Text Box 42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48" name="Text Box 426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49" name="Text Box 43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50" name="Text Box 448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51" name="Text Box 117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52" name="Text Box 192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53" name="Text Box 125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54" name="Text Box 160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28575</xdr:rowOff>
    </xdr:to>
    <xdr:sp macro="" textlink="">
      <xdr:nvSpPr>
        <xdr:cNvPr id="555" name="Text Box 182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571</xdr:row>
      <xdr:rowOff>0</xdr:rowOff>
    </xdr:from>
    <xdr:to>
      <xdr:col>2</xdr:col>
      <xdr:colOff>342900</xdr:colOff>
      <xdr:row>572</xdr:row>
      <xdr:rowOff>85723</xdr:rowOff>
    </xdr:to>
    <xdr:sp macro="" textlink="">
      <xdr:nvSpPr>
        <xdr:cNvPr id="556" name="Text Box 137"/>
        <xdr:cNvSpPr txBox="1">
          <a:spLocks noChangeArrowheads="1"/>
        </xdr:cNvSpPr>
      </xdr:nvSpPr>
      <xdr:spPr bwMode="auto">
        <a:xfrm>
          <a:off x="1295400" y="49968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571</xdr:row>
      <xdr:rowOff>0</xdr:rowOff>
    </xdr:from>
    <xdr:to>
      <xdr:col>2</xdr:col>
      <xdr:colOff>342900</xdr:colOff>
      <xdr:row>572</xdr:row>
      <xdr:rowOff>85723</xdr:rowOff>
    </xdr:to>
    <xdr:sp macro="" textlink="">
      <xdr:nvSpPr>
        <xdr:cNvPr id="557" name="Text Box 170"/>
        <xdr:cNvSpPr txBox="1">
          <a:spLocks noChangeArrowheads="1"/>
        </xdr:cNvSpPr>
      </xdr:nvSpPr>
      <xdr:spPr bwMode="auto">
        <a:xfrm>
          <a:off x="1295400" y="49968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58" name="Text Box 438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59" name="Text Box 443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60" name="Text Box 139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61" name="Text Box 42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62" name="Text Box 426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63" name="Text Box 43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64" name="Text Box 448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65" name="Text Box 48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66" name="Text Box 486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67" name="Text Box 139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68" name="Text Box 42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69" name="Text Box 426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70" name="Text Box 43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71" name="Text Box 448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72" name="Text Box 549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73" name="Text Box 554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74" name="Text Box 139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75" name="Text Box 42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76" name="Text Box 426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77" name="Text Box 43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572</xdr:row>
      <xdr:rowOff>0</xdr:rowOff>
    </xdr:from>
    <xdr:to>
      <xdr:col>2</xdr:col>
      <xdr:colOff>342900</xdr:colOff>
      <xdr:row>573</xdr:row>
      <xdr:rowOff>91016</xdr:rowOff>
    </xdr:to>
    <xdr:sp macro="" textlink="">
      <xdr:nvSpPr>
        <xdr:cNvPr id="578" name="Text Box 448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79" name="Text Box 139"/>
        <xdr:cNvSpPr txBox="1">
          <a:spLocks noChangeArrowheads="1"/>
        </xdr:cNvSpPr>
      </xdr:nvSpPr>
      <xdr:spPr bwMode="auto">
        <a:xfrm>
          <a:off x="7820025" y="3188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80" name="Text Box 421"/>
        <xdr:cNvSpPr txBox="1">
          <a:spLocks noChangeArrowheads="1"/>
        </xdr:cNvSpPr>
      </xdr:nvSpPr>
      <xdr:spPr bwMode="auto">
        <a:xfrm>
          <a:off x="7820025" y="3188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81" name="Text Box 426"/>
        <xdr:cNvSpPr txBox="1">
          <a:spLocks noChangeArrowheads="1"/>
        </xdr:cNvSpPr>
      </xdr:nvSpPr>
      <xdr:spPr bwMode="auto">
        <a:xfrm>
          <a:off x="7820025" y="3188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82" name="Text Box 431"/>
        <xdr:cNvSpPr txBox="1">
          <a:spLocks noChangeArrowheads="1"/>
        </xdr:cNvSpPr>
      </xdr:nvSpPr>
      <xdr:spPr bwMode="auto">
        <a:xfrm>
          <a:off x="7820025" y="3188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83" name="Text Box 448"/>
        <xdr:cNvSpPr txBox="1">
          <a:spLocks noChangeArrowheads="1"/>
        </xdr:cNvSpPr>
      </xdr:nvSpPr>
      <xdr:spPr bwMode="auto">
        <a:xfrm>
          <a:off x="7820025" y="3188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84" name="Text Box 121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85" name="Text Box 187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86" name="Text Box 139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87" name="Text Box 421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88" name="Text Box 426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89" name="Text Box 431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90" name="Text Box 448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91" name="Text Box 133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92" name="Text Box 155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93" name="Text Box 172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94" name="Text Box 93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95" name="Text Box 222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96" name="Text Box 494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97" name="Text Box 499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98" name="Text Box 125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599" name="Text Box 160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603</xdr:row>
      <xdr:rowOff>0</xdr:rowOff>
    </xdr:from>
    <xdr:to>
      <xdr:col>2</xdr:col>
      <xdr:colOff>342900</xdr:colOff>
      <xdr:row>604</xdr:row>
      <xdr:rowOff>28576</xdr:rowOff>
    </xdr:to>
    <xdr:sp macro="" textlink="">
      <xdr:nvSpPr>
        <xdr:cNvPr id="600" name="Text Box 182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602</xdr:row>
      <xdr:rowOff>0</xdr:rowOff>
    </xdr:from>
    <xdr:to>
      <xdr:col>2</xdr:col>
      <xdr:colOff>342900</xdr:colOff>
      <xdr:row>603</xdr:row>
      <xdr:rowOff>85724</xdr:rowOff>
    </xdr:to>
    <xdr:sp macro="" textlink="">
      <xdr:nvSpPr>
        <xdr:cNvPr id="601" name="Text Box 137"/>
        <xdr:cNvSpPr txBox="1">
          <a:spLocks noChangeArrowheads="1"/>
        </xdr:cNvSpPr>
      </xdr:nvSpPr>
      <xdr:spPr bwMode="auto">
        <a:xfrm>
          <a:off x="1295400" y="523684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602</xdr:row>
      <xdr:rowOff>0</xdr:rowOff>
    </xdr:from>
    <xdr:to>
      <xdr:col>2</xdr:col>
      <xdr:colOff>342900</xdr:colOff>
      <xdr:row>603</xdr:row>
      <xdr:rowOff>85724</xdr:rowOff>
    </xdr:to>
    <xdr:sp macro="" textlink="">
      <xdr:nvSpPr>
        <xdr:cNvPr id="602" name="Text Box 170"/>
        <xdr:cNvSpPr txBox="1">
          <a:spLocks noChangeArrowheads="1"/>
        </xdr:cNvSpPr>
      </xdr:nvSpPr>
      <xdr:spPr bwMode="auto">
        <a:xfrm>
          <a:off x="1295400" y="523684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85723</xdr:rowOff>
    </xdr:to>
    <xdr:sp macro="" textlink="">
      <xdr:nvSpPr>
        <xdr:cNvPr id="603" name="Text Box 77"/>
        <xdr:cNvSpPr txBox="1">
          <a:spLocks noChangeArrowheads="1"/>
        </xdr:cNvSpPr>
      </xdr:nvSpPr>
      <xdr:spPr bwMode="auto">
        <a:xfrm>
          <a:off x="1533525" y="47148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85723</xdr:rowOff>
    </xdr:to>
    <xdr:sp macro="" textlink="">
      <xdr:nvSpPr>
        <xdr:cNvPr id="604" name="Text Box 255"/>
        <xdr:cNvSpPr txBox="1">
          <a:spLocks noChangeArrowheads="1"/>
        </xdr:cNvSpPr>
      </xdr:nvSpPr>
      <xdr:spPr bwMode="auto">
        <a:xfrm>
          <a:off x="1533525" y="47148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85723</xdr:rowOff>
    </xdr:to>
    <xdr:sp macro="" textlink="">
      <xdr:nvSpPr>
        <xdr:cNvPr id="605" name="Text Box 260"/>
        <xdr:cNvSpPr txBox="1">
          <a:spLocks noChangeArrowheads="1"/>
        </xdr:cNvSpPr>
      </xdr:nvSpPr>
      <xdr:spPr bwMode="auto">
        <a:xfrm>
          <a:off x="1533525" y="47148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06" name="Text Box 139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07" name="Text Box 421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08" name="Text Box 426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09" name="Text Box 431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10" name="Text Box 448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11" name="Text Box 121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12" name="Text Box 187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13" name="Text Box 139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14" name="Text Box 421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15" name="Text Box 426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16" name="Text Box 431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17" name="Text Box 448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18" name="Text Box 133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19" name="Text Box 155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20" name="Text Box 172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21" name="Text Box 93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22" name="Text Box 222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23" name="Text Box 494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24" name="Text Box 499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25" name="Text Box 125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26" name="Text Box 160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630</xdr:row>
      <xdr:rowOff>0</xdr:rowOff>
    </xdr:from>
    <xdr:to>
      <xdr:col>2</xdr:col>
      <xdr:colOff>342900</xdr:colOff>
      <xdr:row>631</xdr:row>
      <xdr:rowOff>28573</xdr:rowOff>
    </xdr:to>
    <xdr:sp macro="" textlink="">
      <xdr:nvSpPr>
        <xdr:cNvPr id="627" name="Text Box 182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629</xdr:row>
      <xdr:rowOff>0</xdr:rowOff>
    </xdr:from>
    <xdr:to>
      <xdr:col>2</xdr:col>
      <xdr:colOff>342900</xdr:colOff>
      <xdr:row>630</xdr:row>
      <xdr:rowOff>85726</xdr:rowOff>
    </xdr:to>
    <xdr:sp macro="" textlink="">
      <xdr:nvSpPr>
        <xdr:cNvPr id="628" name="Text Box 137"/>
        <xdr:cNvSpPr txBox="1">
          <a:spLocks noChangeArrowheads="1"/>
        </xdr:cNvSpPr>
      </xdr:nvSpPr>
      <xdr:spPr bwMode="auto">
        <a:xfrm>
          <a:off x="1295400" y="555212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629</xdr:row>
      <xdr:rowOff>0</xdr:rowOff>
    </xdr:from>
    <xdr:to>
      <xdr:col>2</xdr:col>
      <xdr:colOff>342900</xdr:colOff>
      <xdr:row>630</xdr:row>
      <xdr:rowOff>85726</xdr:rowOff>
    </xdr:to>
    <xdr:sp macro="" textlink="">
      <xdr:nvSpPr>
        <xdr:cNvPr id="629" name="Text Box 170"/>
        <xdr:cNvSpPr txBox="1">
          <a:spLocks noChangeArrowheads="1"/>
        </xdr:cNvSpPr>
      </xdr:nvSpPr>
      <xdr:spPr bwMode="auto">
        <a:xfrm>
          <a:off x="1295400" y="555212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657</xdr:row>
      <xdr:rowOff>0</xdr:rowOff>
    </xdr:from>
    <xdr:to>
      <xdr:col>2</xdr:col>
      <xdr:colOff>342900</xdr:colOff>
      <xdr:row>658</xdr:row>
      <xdr:rowOff>85725</xdr:rowOff>
    </xdr:to>
    <xdr:sp macro="" textlink="">
      <xdr:nvSpPr>
        <xdr:cNvPr id="630" name="Text Box 145"/>
        <xdr:cNvSpPr txBox="1">
          <a:spLocks noChangeArrowheads="1"/>
        </xdr:cNvSpPr>
      </xdr:nvSpPr>
      <xdr:spPr bwMode="auto">
        <a:xfrm>
          <a:off x="7820025" y="46805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657</xdr:row>
      <xdr:rowOff>0</xdr:rowOff>
    </xdr:from>
    <xdr:to>
      <xdr:col>2</xdr:col>
      <xdr:colOff>342900</xdr:colOff>
      <xdr:row>658</xdr:row>
      <xdr:rowOff>85725</xdr:rowOff>
    </xdr:to>
    <xdr:sp macro="" textlink="">
      <xdr:nvSpPr>
        <xdr:cNvPr id="631" name="Text Box 321"/>
        <xdr:cNvSpPr txBox="1">
          <a:spLocks noChangeArrowheads="1"/>
        </xdr:cNvSpPr>
      </xdr:nvSpPr>
      <xdr:spPr bwMode="auto">
        <a:xfrm>
          <a:off x="7820025" y="46805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657</xdr:row>
      <xdr:rowOff>0</xdr:rowOff>
    </xdr:from>
    <xdr:to>
      <xdr:col>2</xdr:col>
      <xdr:colOff>342900</xdr:colOff>
      <xdr:row>658</xdr:row>
      <xdr:rowOff>85725</xdr:rowOff>
    </xdr:to>
    <xdr:sp macro="" textlink="">
      <xdr:nvSpPr>
        <xdr:cNvPr id="632" name="Text Box 326"/>
        <xdr:cNvSpPr txBox="1">
          <a:spLocks noChangeArrowheads="1"/>
        </xdr:cNvSpPr>
      </xdr:nvSpPr>
      <xdr:spPr bwMode="auto">
        <a:xfrm>
          <a:off x="7820025" y="46805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657</xdr:row>
      <xdr:rowOff>0</xdr:rowOff>
    </xdr:from>
    <xdr:to>
      <xdr:col>2</xdr:col>
      <xdr:colOff>76200</xdr:colOff>
      <xdr:row>658</xdr:row>
      <xdr:rowOff>85725</xdr:rowOff>
    </xdr:to>
    <xdr:sp macro="" textlink="">
      <xdr:nvSpPr>
        <xdr:cNvPr id="633" name="Text Box 145"/>
        <xdr:cNvSpPr txBox="1">
          <a:spLocks noChangeArrowheads="1"/>
        </xdr:cNvSpPr>
      </xdr:nvSpPr>
      <xdr:spPr bwMode="auto">
        <a:xfrm>
          <a:off x="7553325" y="46805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657</xdr:row>
      <xdr:rowOff>0</xdr:rowOff>
    </xdr:from>
    <xdr:to>
      <xdr:col>2</xdr:col>
      <xdr:colOff>76200</xdr:colOff>
      <xdr:row>658</xdr:row>
      <xdr:rowOff>85725</xdr:rowOff>
    </xdr:to>
    <xdr:sp macro="" textlink="">
      <xdr:nvSpPr>
        <xdr:cNvPr id="634" name="Text Box 321"/>
        <xdr:cNvSpPr txBox="1">
          <a:spLocks noChangeArrowheads="1"/>
        </xdr:cNvSpPr>
      </xdr:nvSpPr>
      <xdr:spPr bwMode="auto">
        <a:xfrm>
          <a:off x="7553325" y="46805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657</xdr:row>
      <xdr:rowOff>0</xdr:rowOff>
    </xdr:from>
    <xdr:to>
      <xdr:col>2</xdr:col>
      <xdr:colOff>76200</xdr:colOff>
      <xdr:row>658</xdr:row>
      <xdr:rowOff>85725</xdr:rowOff>
    </xdr:to>
    <xdr:sp macro="" textlink="">
      <xdr:nvSpPr>
        <xdr:cNvPr id="635" name="Text Box 326"/>
        <xdr:cNvSpPr txBox="1">
          <a:spLocks noChangeArrowheads="1"/>
        </xdr:cNvSpPr>
      </xdr:nvSpPr>
      <xdr:spPr bwMode="auto">
        <a:xfrm>
          <a:off x="7553325" y="46805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85724</xdr:rowOff>
    </xdr:to>
    <xdr:sp macro="" textlink="">
      <xdr:nvSpPr>
        <xdr:cNvPr id="636" name="Text Box 77"/>
        <xdr:cNvSpPr txBox="1">
          <a:spLocks noChangeArrowheads="1"/>
        </xdr:cNvSpPr>
      </xdr:nvSpPr>
      <xdr:spPr bwMode="auto">
        <a:xfrm>
          <a:off x="1295400" y="580548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85724</xdr:rowOff>
    </xdr:to>
    <xdr:sp macro="" textlink="">
      <xdr:nvSpPr>
        <xdr:cNvPr id="637" name="Text Box 255"/>
        <xdr:cNvSpPr txBox="1">
          <a:spLocks noChangeArrowheads="1"/>
        </xdr:cNvSpPr>
      </xdr:nvSpPr>
      <xdr:spPr bwMode="auto">
        <a:xfrm>
          <a:off x="1295400" y="580548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85724</xdr:rowOff>
    </xdr:to>
    <xdr:sp macro="" textlink="">
      <xdr:nvSpPr>
        <xdr:cNvPr id="638" name="Text Box 260"/>
        <xdr:cNvSpPr txBox="1">
          <a:spLocks noChangeArrowheads="1"/>
        </xdr:cNvSpPr>
      </xdr:nvSpPr>
      <xdr:spPr bwMode="auto">
        <a:xfrm>
          <a:off x="1295400" y="580548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39" name="Text Box 139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40" name="Text Box 421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41" name="Text Box 426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42" name="Text Box 431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43" name="Text Box 448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44" name="Text Box 121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45" name="Text Box 187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46" name="Text Box 139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47" name="Text Box 421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48" name="Text Box 426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49" name="Text Box 431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50" name="Text Box 448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51" name="Text Box 133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52" name="Text Box 155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53" name="Text Box 172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54" name="Text Box 93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55" name="Text Box 222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56" name="Text Box 494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57" name="Text Box 499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58" name="Text Box 125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59" name="Text Box 160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661</xdr:row>
      <xdr:rowOff>0</xdr:rowOff>
    </xdr:from>
    <xdr:to>
      <xdr:col>2</xdr:col>
      <xdr:colOff>342900</xdr:colOff>
      <xdr:row>662</xdr:row>
      <xdr:rowOff>28574</xdr:rowOff>
    </xdr:to>
    <xdr:sp macro="" textlink="">
      <xdr:nvSpPr>
        <xdr:cNvPr id="660" name="Text Box 182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660</xdr:row>
      <xdr:rowOff>0</xdr:rowOff>
    </xdr:from>
    <xdr:to>
      <xdr:col>2</xdr:col>
      <xdr:colOff>342900</xdr:colOff>
      <xdr:row>661</xdr:row>
      <xdr:rowOff>85726</xdr:rowOff>
    </xdr:to>
    <xdr:sp macro="" textlink="">
      <xdr:nvSpPr>
        <xdr:cNvPr id="661" name="Text Box 137"/>
        <xdr:cNvSpPr txBox="1">
          <a:spLocks noChangeArrowheads="1"/>
        </xdr:cNvSpPr>
      </xdr:nvSpPr>
      <xdr:spPr bwMode="auto">
        <a:xfrm>
          <a:off x="1295400" y="579215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660</xdr:row>
      <xdr:rowOff>0</xdr:rowOff>
    </xdr:from>
    <xdr:to>
      <xdr:col>2</xdr:col>
      <xdr:colOff>342900</xdr:colOff>
      <xdr:row>661</xdr:row>
      <xdr:rowOff>85726</xdr:rowOff>
    </xdr:to>
    <xdr:sp macro="" textlink="">
      <xdr:nvSpPr>
        <xdr:cNvPr id="662" name="Text Box 170"/>
        <xdr:cNvSpPr txBox="1">
          <a:spLocks noChangeArrowheads="1"/>
        </xdr:cNvSpPr>
      </xdr:nvSpPr>
      <xdr:spPr bwMode="auto">
        <a:xfrm>
          <a:off x="1295400" y="579215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76</xdr:row>
      <xdr:rowOff>0</xdr:rowOff>
    </xdr:from>
    <xdr:to>
      <xdr:col>14</xdr:col>
      <xdr:colOff>342900</xdr:colOff>
      <xdr:row>77</xdr:row>
      <xdr:rowOff>28576</xdr:rowOff>
    </xdr:to>
    <xdr:sp macro="" textlink="">
      <xdr:nvSpPr>
        <xdr:cNvPr id="668" name="Text Box 139"/>
        <xdr:cNvSpPr txBox="1">
          <a:spLocks noChangeArrowheads="1"/>
        </xdr:cNvSpPr>
      </xdr:nvSpPr>
      <xdr:spPr bwMode="auto">
        <a:xfrm>
          <a:off x="7820025" y="5126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76</xdr:row>
      <xdr:rowOff>0</xdr:rowOff>
    </xdr:from>
    <xdr:to>
      <xdr:col>14</xdr:col>
      <xdr:colOff>342900</xdr:colOff>
      <xdr:row>77</xdr:row>
      <xdr:rowOff>28576</xdr:rowOff>
    </xdr:to>
    <xdr:sp macro="" textlink="">
      <xdr:nvSpPr>
        <xdr:cNvPr id="669" name="Text Box 421"/>
        <xdr:cNvSpPr txBox="1">
          <a:spLocks noChangeArrowheads="1"/>
        </xdr:cNvSpPr>
      </xdr:nvSpPr>
      <xdr:spPr bwMode="auto">
        <a:xfrm>
          <a:off x="7820025" y="5126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76</xdr:row>
      <xdr:rowOff>0</xdr:rowOff>
    </xdr:from>
    <xdr:to>
      <xdr:col>14</xdr:col>
      <xdr:colOff>342900</xdr:colOff>
      <xdr:row>77</xdr:row>
      <xdr:rowOff>28576</xdr:rowOff>
    </xdr:to>
    <xdr:sp macro="" textlink="">
      <xdr:nvSpPr>
        <xdr:cNvPr id="670" name="Text Box 426"/>
        <xdr:cNvSpPr txBox="1">
          <a:spLocks noChangeArrowheads="1"/>
        </xdr:cNvSpPr>
      </xdr:nvSpPr>
      <xdr:spPr bwMode="auto">
        <a:xfrm>
          <a:off x="7820025" y="5126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76</xdr:row>
      <xdr:rowOff>0</xdr:rowOff>
    </xdr:from>
    <xdr:to>
      <xdr:col>14</xdr:col>
      <xdr:colOff>342900</xdr:colOff>
      <xdr:row>77</xdr:row>
      <xdr:rowOff>28576</xdr:rowOff>
    </xdr:to>
    <xdr:sp macro="" textlink="">
      <xdr:nvSpPr>
        <xdr:cNvPr id="671" name="Text Box 431"/>
        <xdr:cNvSpPr txBox="1">
          <a:spLocks noChangeArrowheads="1"/>
        </xdr:cNvSpPr>
      </xdr:nvSpPr>
      <xdr:spPr bwMode="auto">
        <a:xfrm>
          <a:off x="7820025" y="5126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76</xdr:row>
      <xdr:rowOff>0</xdr:rowOff>
    </xdr:from>
    <xdr:to>
      <xdr:col>14</xdr:col>
      <xdr:colOff>342900</xdr:colOff>
      <xdr:row>77</xdr:row>
      <xdr:rowOff>28576</xdr:rowOff>
    </xdr:to>
    <xdr:sp macro="" textlink="">
      <xdr:nvSpPr>
        <xdr:cNvPr id="672" name="Text Box 448"/>
        <xdr:cNvSpPr txBox="1">
          <a:spLocks noChangeArrowheads="1"/>
        </xdr:cNvSpPr>
      </xdr:nvSpPr>
      <xdr:spPr bwMode="auto">
        <a:xfrm>
          <a:off x="7820025" y="5126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76</xdr:row>
      <xdr:rowOff>0</xdr:rowOff>
    </xdr:from>
    <xdr:to>
      <xdr:col>14</xdr:col>
      <xdr:colOff>342900</xdr:colOff>
      <xdr:row>77</xdr:row>
      <xdr:rowOff>28576</xdr:rowOff>
    </xdr:to>
    <xdr:sp macro="" textlink="">
      <xdr:nvSpPr>
        <xdr:cNvPr id="673" name="Text Box 288"/>
        <xdr:cNvSpPr txBox="1">
          <a:spLocks noChangeArrowheads="1"/>
        </xdr:cNvSpPr>
      </xdr:nvSpPr>
      <xdr:spPr bwMode="auto">
        <a:xfrm>
          <a:off x="6543675" y="47244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76</xdr:row>
      <xdr:rowOff>0</xdr:rowOff>
    </xdr:from>
    <xdr:to>
      <xdr:col>14</xdr:col>
      <xdr:colOff>342900</xdr:colOff>
      <xdr:row>77</xdr:row>
      <xdr:rowOff>28576</xdr:rowOff>
    </xdr:to>
    <xdr:sp macro="" textlink="">
      <xdr:nvSpPr>
        <xdr:cNvPr id="674" name="Text Box 293"/>
        <xdr:cNvSpPr txBox="1">
          <a:spLocks noChangeArrowheads="1"/>
        </xdr:cNvSpPr>
      </xdr:nvSpPr>
      <xdr:spPr bwMode="auto">
        <a:xfrm>
          <a:off x="6543675" y="47244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76</xdr:row>
      <xdr:rowOff>0</xdr:rowOff>
    </xdr:from>
    <xdr:to>
      <xdr:col>14</xdr:col>
      <xdr:colOff>342900</xdr:colOff>
      <xdr:row>77</xdr:row>
      <xdr:rowOff>85726</xdr:rowOff>
    </xdr:to>
    <xdr:sp macro="" textlink="">
      <xdr:nvSpPr>
        <xdr:cNvPr id="675" name="Text Box 139"/>
        <xdr:cNvSpPr txBox="1">
          <a:spLocks noChangeArrowheads="1"/>
        </xdr:cNvSpPr>
      </xdr:nvSpPr>
      <xdr:spPr bwMode="auto">
        <a:xfrm>
          <a:off x="6543675" y="472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76</xdr:row>
      <xdr:rowOff>0</xdr:rowOff>
    </xdr:from>
    <xdr:to>
      <xdr:col>14</xdr:col>
      <xdr:colOff>342900</xdr:colOff>
      <xdr:row>77</xdr:row>
      <xdr:rowOff>85726</xdr:rowOff>
    </xdr:to>
    <xdr:sp macro="" textlink="">
      <xdr:nvSpPr>
        <xdr:cNvPr id="676" name="Text Box 421"/>
        <xdr:cNvSpPr txBox="1">
          <a:spLocks noChangeArrowheads="1"/>
        </xdr:cNvSpPr>
      </xdr:nvSpPr>
      <xdr:spPr bwMode="auto">
        <a:xfrm>
          <a:off x="6543675" y="472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76</xdr:row>
      <xdr:rowOff>0</xdr:rowOff>
    </xdr:from>
    <xdr:to>
      <xdr:col>14</xdr:col>
      <xdr:colOff>342900</xdr:colOff>
      <xdr:row>77</xdr:row>
      <xdr:rowOff>85726</xdr:rowOff>
    </xdr:to>
    <xdr:sp macro="" textlink="">
      <xdr:nvSpPr>
        <xdr:cNvPr id="677" name="Text Box 426"/>
        <xdr:cNvSpPr txBox="1">
          <a:spLocks noChangeArrowheads="1"/>
        </xdr:cNvSpPr>
      </xdr:nvSpPr>
      <xdr:spPr bwMode="auto">
        <a:xfrm>
          <a:off x="6543675" y="472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76</xdr:row>
      <xdr:rowOff>0</xdr:rowOff>
    </xdr:from>
    <xdr:to>
      <xdr:col>14</xdr:col>
      <xdr:colOff>342900</xdr:colOff>
      <xdr:row>77</xdr:row>
      <xdr:rowOff>85726</xdr:rowOff>
    </xdr:to>
    <xdr:sp macro="" textlink="">
      <xdr:nvSpPr>
        <xdr:cNvPr id="678" name="Text Box 431"/>
        <xdr:cNvSpPr txBox="1">
          <a:spLocks noChangeArrowheads="1"/>
        </xdr:cNvSpPr>
      </xdr:nvSpPr>
      <xdr:spPr bwMode="auto">
        <a:xfrm>
          <a:off x="6543675" y="472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76</xdr:row>
      <xdr:rowOff>0</xdr:rowOff>
    </xdr:from>
    <xdr:to>
      <xdr:col>14</xdr:col>
      <xdr:colOff>342900</xdr:colOff>
      <xdr:row>77</xdr:row>
      <xdr:rowOff>85726</xdr:rowOff>
    </xdr:to>
    <xdr:sp macro="" textlink="">
      <xdr:nvSpPr>
        <xdr:cNvPr id="679" name="Text Box 448"/>
        <xdr:cNvSpPr txBox="1">
          <a:spLocks noChangeArrowheads="1"/>
        </xdr:cNvSpPr>
      </xdr:nvSpPr>
      <xdr:spPr bwMode="auto">
        <a:xfrm>
          <a:off x="6543675" y="472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103</xdr:row>
      <xdr:rowOff>0</xdr:rowOff>
    </xdr:from>
    <xdr:to>
      <xdr:col>14</xdr:col>
      <xdr:colOff>342900</xdr:colOff>
      <xdr:row>104</xdr:row>
      <xdr:rowOff>28574</xdr:rowOff>
    </xdr:to>
    <xdr:sp macro="" textlink="">
      <xdr:nvSpPr>
        <xdr:cNvPr id="682" name="Text Box 299"/>
        <xdr:cNvSpPr txBox="1">
          <a:spLocks noChangeArrowheads="1"/>
        </xdr:cNvSpPr>
      </xdr:nvSpPr>
      <xdr:spPr bwMode="auto">
        <a:xfrm>
          <a:off x="7820025" y="56064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103</xdr:row>
      <xdr:rowOff>0</xdr:rowOff>
    </xdr:from>
    <xdr:to>
      <xdr:col>14</xdr:col>
      <xdr:colOff>342900</xdr:colOff>
      <xdr:row>104</xdr:row>
      <xdr:rowOff>28574</xdr:rowOff>
    </xdr:to>
    <xdr:sp macro="" textlink="">
      <xdr:nvSpPr>
        <xdr:cNvPr id="683" name="Text Box 304"/>
        <xdr:cNvSpPr txBox="1">
          <a:spLocks noChangeArrowheads="1"/>
        </xdr:cNvSpPr>
      </xdr:nvSpPr>
      <xdr:spPr bwMode="auto">
        <a:xfrm>
          <a:off x="7820025" y="56064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101</xdr:row>
      <xdr:rowOff>0</xdr:rowOff>
    </xdr:from>
    <xdr:to>
      <xdr:col>14</xdr:col>
      <xdr:colOff>342900</xdr:colOff>
      <xdr:row>102</xdr:row>
      <xdr:rowOff>28574</xdr:rowOff>
    </xdr:to>
    <xdr:sp macro="" textlink="">
      <xdr:nvSpPr>
        <xdr:cNvPr id="684" name="Text Box 139"/>
        <xdr:cNvSpPr txBox="1">
          <a:spLocks noChangeArrowheads="1"/>
        </xdr:cNvSpPr>
      </xdr:nvSpPr>
      <xdr:spPr bwMode="auto">
        <a:xfrm>
          <a:off x="6543675" y="7524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101</xdr:row>
      <xdr:rowOff>0</xdr:rowOff>
    </xdr:from>
    <xdr:to>
      <xdr:col>14</xdr:col>
      <xdr:colOff>342900</xdr:colOff>
      <xdr:row>102</xdr:row>
      <xdr:rowOff>28574</xdr:rowOff>
    </xdr:to>
    <xdr:sp macro="" textlink="">
      <xdr:nvSpPr>
        <xdr:cNvPr id="685" name="Text Box 421"/>
        <xdr:cNvSpPr txBox="1">
          <a:spLocks noChangeArrowheads="1"/>
        </xdr:cNvSpPr>
      </xdr:nvSpPr>
      <xdr:spPr bwMode="auto">
        <a:xfrm>
          <a:off x="6543675" y="7524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101</xdr:row>
      <xdr:rowOff>0</xdr:rowOff>
    </xdr:from>
    <xdr:to>
      <xdr:col>14</xdr:col>
      <xdr:colOff>342900</xdr:colOff>
      <xdr:row>102</xdr:row>
      <xdr:rowOff>28574</xdr:rowOff>
    </xdr:to>
    <xdr:sp macro="" textlink="">
      <xdr:nvSpPr>
        <xdr:cNvPr id="686" name="Text Box 426"/>
        <xdr:cNvSpPr txBox="1">
          <a:spLocks noChangeArrowheads="1"/>
        </xdr:cNvSpPr>
      </xdr:nvSpPr>
      <xdr:spPr bwMode="auto">
        <a:xfrm>
          <a:off x="6543675" y="7524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101</xdr:row>
      <xdr:rowOff>0</xdr:rowOff>
    </xdr:from>
    <xdr:to>
      <xdr:col>14</xdr:col>
      <xdr:colOff>342900</xdr:colOff>
      <xdr:row>102</xdr:row>
      <xdr:rowOff>28574</xdr:rowOff>
    </xdr:to>
    <xdr:sp macro="" textlink="">
      <xdr:nvSpPr>
        <xdr:cNvPr id="687" name="Text Box 431"/>
        <xdr:cNvSpPr txBox="1">
          <a:spLocks noChangeArrowheads="1"/>
        </xdr:cNvSpPr>
      </xdr:nvSpPr>
      <xdr:spPr bwMode="auto">
        <a:xfrm>
          <a:off x="6543675" y="7524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101</xdr:row>
      <xdr:rowOff>0</xdr:rowOff>
    </xdr:from>
    <xdr:to>
      <xdr:col>14</xdr:col>
      <xdr:colOff>342900</xdr:colOff>
      <xdr:row>102</xdr:row>
      <xdr:rowOff>28574</xdr:rowOff>
    </xdr:to>
    <xdr:sp macro="" textlink="">
      <xdr:nvSpPr>
        <xdr:cNvPr id="688" name="Text Box 448"/>
        <xdr:cNvSpPr txBox="1">
          <a:spLocks noChangeArrowheads="1"/>
        </xdr:cNvSpPr>
      </xdr:nvSpPr>
      <xdr:spPr bwMode="auto">
        <a:xfrm>
          <a:off x="6543675" y="7524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101</xdr:row>
      <xdr:rowOff>0</xdr:rowOff>
    </xdr:from>
    <xdr:to>
      <xdr:col>14</xdr:col>
      <xdr:colOff>342900</xdr:colOff>
      <xdr:row>102</xdr:row>
      <xdr:rowOff>28574</xdr:rowOff>
    </xdr:to>
    <xdr:sp macro="" textlink="">
      <xdr:nvSpPr>
        <xdr:cNvPr id="689" name="Text Box 288"/>
        <xdr:cNvSpPr txBox="1">
          <a:spLocks noChangeArrowheads="1"/>
        </xdr:cNvSpPr>
      </xdr:nvSpPr>
      <xdr:spPr bwMode="auto">
        <a:xfrm>
          <a:off x="6543675" y="7524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101</xdr:row>
      <xdr:rowOff>0</xdr:rowOff>
    </xdr:from>
    <xdr:to>
      <xdr:col>14</xdr:col>
      <xdr:colOff>342900</xdr:colOff>
      <xdr:row>102</xdr:row>
      <xdr:rowOff>28574</xdr:rowOff>
    </xdr:to>
    <xdr:sp macro="" textlink="">
      <xdr:nvSpPr>
        <xdr:cNvPr id="690" name="Text Box 293"/>
        <xdr:cNvSpPr txBox="1">
          <a:spLocks noChangeArrowheads="1"/>
        </xdr:cNvSpPr>
      </xdr:nvSpPr>
      <xdr:spPr bwMode="auto">
        <a:xfrm>
          <a:off x="6543675" y="7524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101</xdr:row>
      <xdr:rowOff>0</xdr:rowOff>
    </xdr:from>
    <xdr:to>
      <xdr:col>14</xdr:col>
      <xdr:colOff>342900</xdr:colOff>
      <xdr:row>102</xdr:row>
      <xdr:rowOff>85724</xdr:rowOff>
    </xdr:to>
    <xdr:sp macro="" textlink="">
      <xdr:nvSpPr>
        <xdr:cNvPr id="691" name="Text Box 139"/>
        <xdr:cNvSpPr txBox="1">
          <a:spLocks noChangeArrowheads="1"/>
        </xdr:cNvSpPr>
      </xdr:nvSpPr>
      <xdr:spPr bwMode="auto">
        <a:xfrm>
          <a:off x="6543675" y="7524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101</xdr:row>
      <xdr:rowOff>0</xdr:rowOff>
    </xdr:from>
    <xdr:to>
      <xdr:col>14</xdr:col>
      <xdr:colOff>342900</xdr:colOff>
      <xdr:row>102</xdr:row>
      <xdr:rowOff>85724</xdr:rowOff>
    </xdr:to>
    <xdr:sp macro="" textlink="">
      <xdr:nvSpPr>
        <xdr:cNvPr id="692" name="Text Box 421"/>
        <xdr:cNvSpPr txBox="1">
          <a:spLocks noChangeArrowheads="1"/>
        </xdr:cNvSpPr>
      </xdr:nvSpPr>
      <xdr:spPr bwMode="auto">
        <a:xfrm>
          <a:off x="6543675" y="7524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101</xdr:row>
      <xdr:rowOff>0</xdr:rowOff>
    </xdr:from>
    <xdr:to>
      <xdr:col>14</xdr:col>
      <xdr:colOff>342900</xdr:colOff>
      <xdr:row>102</xdr:row>
      <xdr:rowOff>85724</xdr:rowOff>
    </xdr:to>
    <xdr:sp macro="" textlink="">
      <xdr:nvSpPr>
        <xdr:cNvPr id="693" name="Text Box 426"/>
        <xdr:cNvSpPr txBox="1">
          <a:spLocks noChangeArrowheads="1"/>
        </xdr:cNvSpPr>
      </xdr:nvSpPr>
      <xdr:spPr bwMode="auto">
        <a:xfrm>
          <a:off x="6543675" y="7524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101</xdr:row>
      <xdr:rowOff>0</xdr:rowOff>
    </xdr:from>
    <xdr:to>
      <xdr:col>14</xdr:col>
      <xdr:colOff>342900</xdr:colOff>
      <xdr:row>102</xdr:row>
      <xdr:rowOff>85724</xdr:rowOff>
    </xdr:to>
    <xdr:sp macro="" textlink="">
      <xdr:nvSpPr>
        <xdr:cNvPr id="694" name="Text Box 431"/>
        <xdr:cNvSpPr txBox="1">
          <a:spLocks noChangeArrowheads="1"/>
        </xdr:cNvSpPr>
      </xdr:nvSpPr>
      <xdr:spPr bwMode="auto">
        <a:xfrm>
          <a:off x="6543675" y="7524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101</xdr:row>
      <xdr:rowOff>0</xdr:rowOff>
    </xdr:from>
    <xdr:to>
      <xdr:col>14</xdr:col>
      <xdr:colOff>342900</xdr:colOff>
      <xdr:row>102</xdr:row>
      <xdr:rowOff>85724</xdr:rowOff>
    </xdr:to>
    <xdr:sp macro="" textlink="">
      <xdr:nvSpPr>
        <xdr:cNvPr id="695" name="Text Box 448"/>
        <xdr:cNvSpPr txBox="1">
          <a:spLocks noChangeArrowheads="1"/>
        </xdr:cNvSpPr>
      </xdr:nvSpPr>
      <xdr:spPr bwMode="auto">
        <a:xfrm>
          <a:off x="6543675" y="7524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132</xdr:row>
      <xdr:rowOff>0</xdr:rowOff>
    </xdr:from>
    <xdr:to>
      <xdr:col>14</xdr:col>
      <xdr:colOff>342900</xdr:colOff>
      <xdr:row>133</xdr:row>
      <xdr:rowOff>28575</xdr:rowOff>
    </xdr:to>
    <xdr:sp macro="" textlink="">
      <xdr:nvSpPr>
        <xdr:cNvPr id="666" name="Text Box 139"/>
        <xdr:cNvSpPr txBox="1">
          <a:spLocks noChangeArrowheads="1"/>
        </xdr:cNvSpPr>
      </xdr:nvSpPr>
      <xdr:spPr bwMode="auto">
        <a:xfrm>
          <a:off x="6543675" y="10191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132</xdr:row>
      <xdr:rowOff>0</xdr:rowOff>
    </xdr:from>
    <xdr:to>
      <xdr:col>14</xdr:col>
      <xdr:colOff>342900</xdr:colOff>
      <xdr:row>133</xdr:row>
      <xdr:rowOff>28575</xdr:rowOff>
    </xdr:to>
    <xdr:sp macro="" textlink="">
      <xdr:nvSpPr>
        <xdr:cNvPr id="667" name="Text Box 421"/>
        <xdr:cNvSpPr txBox="1">
          <a:spLocks noChangeArrowheads="1"/>
        </xdr:cNvSpPr>
      </xdr:nvSpPr>
      <xdr:spPr bwMode="auto">
        <a:xfrm>
          <a:off x="6543675" y="10191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132</xdr:row>
      <xdr:rowOff>0</xdr:rowOff>
    </xdr:from>
    <xdr:to>
      <xdr:col>14</xdr:col>
      <xdr:colOff>342900</xdr:colOff>
      <xdr:row>133</xdr:row>
      <xdr:rowOff>28575</xdr:rowOff>
    </xdr:to>
    <xdr:sp macro="" textlink="">
      <xdr:nvSpPr>
        <xdr:cNvPr id="680" name="Text Box 426"/>
        <xdr:cNvSpPr txBox="1">
          <a:spLocks noChangeArrowheads="1"/>
        </xdr:cNvSpPr>
      </xdr:nvSpPr>
      <xdr:spPr bwMode="auto">
        <a:xfrm>
          <a:off x="6543675" y="10191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132</xdr:row>
      <xdr:rowOff>0</xdr:rowOff>
    </xdr:from>
    <xdr:to>
      <xdr:col>14</xdr:col>
      <xdr:colOff>342900</xdr:colOff>
      <xdr:row>133</xdr:row>
      <xdr:rowOff>28575</xdr:rowOff>
    </xdr:to>
    <xdr:sp macro="" textlink="">
      <xdr:nvSpPr>
        <xdr:cNvPr id="681" name="Text Box 431"/>
        <xdr:cNvSpPr txBox="1">
          <a:spLocks noChangeArrowheads="1"/>
        </xdr:cNvSpPr>
      </xdr:nvSpPr>
      <xdr:spPr bwMode="auto">
        <a:xfrm>
          <a:off x="6543675" y="10191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132</xdr:row>
      <xdr:rowOff>0</xdr:rowOff>
    </xdr:from>
    <xdr:to>
      <xdr:col>14</xdr:col>
      <xdr:colOff>342900</xdr:colOff>
      <xdr:row>133</xdr:row>
      <xdr:rowOff>28575</xdr:rowOff>
    </xdr:to>
    <xdr:sp macro="" textlink="">
      <xdr:nvSpPr>
        <xdr:cNvPr id="696" name="Text Box 448"/>
        <xdr:cNvSpPr txBox="1">
          <a:spLocks noChangeArrowheads="1"/>
        </xdr:cNvSpPr>
      </xdr:nvSpPr>
      <xdr:spPr bwMode="auto">
        <a:xfrm>
          <a:off x="6543675" y="10191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132</xdr:row>
      <xdr:rowOff>0</xdr:rowOff>
    </xdr:from>
    <xdr:to>
      <xdr:col>14</xdr:col>
      <xdr:colOff>342900</xdr:colOff>
      <xdr:row>133</xdr:row>
      <xdr:rowOff>28575</xdr:rowOff>
    </xdr:to>
    <xdr:sp macro="" textlink="">
      <xdr:nvSpPr>
        <xdr:cNvPr id="697" name="Text Box 288"/>
        <xdr:cNvSpPr txBox="1">
          <a:spLocks noChangeArrowheads="1"/>
        </xdr:cNvSpPr>
      </xdr:nvSpPr>
      <xdr:spPr bwMode="auto">
        <a:xfrm>
          <a:off x="6543675" y="10191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132</xdr:row>
      <xdr:rowOff>0</xdr:rowOff>
    </xdr:from>
    <xdr:to>
      <xdr:col>14</xdr:col>
      <xdr:colOff>342900</xdr:colOff>
      <xdr:row>133</xdr:row>
      <xdr:rowOff>28575</xdr:rowOff>
    </xdr:to>
    <xdr:sp macro="" textlink="">
      <xdr:nvSpPr>
        <xdr:cNvPr id="698" name="Text Box 293"/>
        <xdr:cNvSpPr txBox="1">
          <a:spLocks noChangeArrowheads="1"/>
        </xdr:cNvSpPr>
      </xdr:nvSpPr>
      <xdr:spPr bwMode="auto">
        <a:xfrm>
          <a:off x="6543675" y="10191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132</xdr:row>
      <xdr:rowOff>0</xdr:rowOff>
    </xdr:from>
    <xdr:to>
      <xdr:col>14</xdr:col>
      <xdr:colOff>342900</xdr:colOff>
      <xdr:row>133</xdr:row>
      <xdr:rowOff>85725</xdr:rowOff>
    </xdr:to>
    <xdr:sp macro="" textlink="">
      <xdr:nvSpPr>
        <xdr:cNvPr id="699" name="Text Box 139"/>
        <xdr:cNvSpPr txBox="1">
          <a:spLocks noChangeArrowheads="1"/>
        </xdr:cNvSpPr>
      </xdr:nvSpPr>
      <xdr:spPr bwMode="auto">
        <a:xfrm>
          <a:off x="6543675" y="10191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132</xdr:row>
      <xdr:rowOff>0</xdr:rowOff>
    </xdr:from>
    <xdr:to>
      <xdr:col>14</xdr:col>
      <xdr:colOff>342900</xdr:colOff>
      <xdr:row>133</xdr:row>
      <xdr:rowOff>85725</xdr:rowOff>
    </xdr:to>
    <xdr:sp macro="" textlink="">
      <xdr:nvSpPr>
        <xdr:cNvPr id="700" name="Text Box 421"/>
        <xdr:cNvSpPr txBox="1">
          <a:spLocks noChangeArrowheads="1"/>
        </xdr:cNvSpPr>
      </xdr:nvSpPr>
      <xdr:spPr bwMode="auto">
        <a:xfrm>
          <a:off x="6543675" y="10191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132</xdr:row>
      <xdr:rowOff>0</xdr:rowOff>
    </xdr:from>
    <xdr:to>
      <xdr:col>14</xdr:col>
      <xdr:colOff>342900</xdr:colOff>
      <xdr:row>133</xdr:row>
      <xdr:rowOff>85725</xdr:rowOff>
    </xdr:to>
    <xdr:sp macro="" textlink="">
      <xdr:nvSpPr>
        <xdr:cNvPr id="701" name="Text Box 426"/>
        <xdr:cNvSpPr txBox="1">
          <a:spLocks noChangeArrowheads="1"/>
        </xdr:cNvSpPr>
      </xdr:nvSpPr>
      <xdr:spPr bwMode="auto">
        <a:xfrm>
          <a:off x="6543675" y="10191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132</xdr:row>
      <xdr:rowOff>0</xdr:rowOff>
    </xdr:from>
    <xdr:to>
      <xdr:col>14</xdr:col>
      <xdr:colOff>342900</xdr:colOff>
      <xdr:row>133</xdr:row>
      <xdr:rowOff>85725</xdr:rowOff>
    </xdr:to>
    <xdr:sp macro="" textlink="">
      <xdr:nvSpPr>
        <xdr:cNvPr id="702" name="Text Box 431"/>
        <xdr:cNvSpPr txBox="1">
          <a:spLocks noChangeArrowheads="1"/>
        </xdr:cNvSpPr>
      </xdr:nvSpPr>
      <xdr:spPr bwMode="auto">
        <a:xfrm>
          <a:off x="6543675" y="10191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132</xdr:row>
      <xdr:rowOff>0</xdr:rowOff>
    </xdr:from>
    <xdr:to>
      <xdr:col>14</xdr:col>
      <xdr:colOff>342900</xdr:colOff>
      <xdr:row>133</xdr:row>
      <xdr:rowOff>85725</xdr:rowOff>
    </xdr:to>
    <xdr:sp macro="" textlink="">
      <xdr:nvSpPr>
        <xdr:cNvPr id="703" name="Text Box 448"/>
        <xdr:cNvSpPr txBox="1">
          <a:spLocks noChangeArrowheads="1"/>
        </xdr:cNvSpPr>
      </xdr:nvSpPr>
      <xdr:spPr bwMode="auto">
        <a:xfrm>
          <a:off x="6543675" y="10191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04" name="Text Box 332"/>
        <xdr:cNvSpPr txBox="1">
          <a:spLocks noChangeArrowheads="1"/>
        </xdr:cNvSpPr>
      </xdr:nvSpPr>
      <xdr:spPr bwMode="auto">
        <a:xfrm>
          <a:off x="1533525" y="70465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05" name="Text Box 337"/>
        <xdr:cNvSpPr txBox="1">
          <a:spLocks noChangeArrowheads="1"/>
        </xdr:cNvSpPr>
      </xdr:nvSpPr>
      <xdr:spPr bwMode="auto">
        <a:xfrm>
          <a:off x="1533525" y="70465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06" name="Text Box 139"/>
        <xdr:cNvSpPr txBox="1">
          <a:spLocks noChangeArrowheads="1"/>
        </xdr:cNvSpPr>
      </xdr:nvSpPr>
      <xdr:spPr bwMode="auto">
        <a:xfrm>
          <a:off x="1533525" y="70465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07" name="Text Box 421"/>
        <xdr:cNvSpPr txBox="1">
          <a:spLocks noChangeArrowheads="1"/>
        </xdr:cNvSpPr>
      </xdr:nvSpPr>
      <xdr:spPr bwMode="auto">
        <a:xfrm>
          <a:off x="1533525" y="70465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08" name="Text Box 426"/>
        <xdr:cNvSpPr txBox="1">
          <a:spLocks noChangeArrowheads="1"/>
        </xdr:cNvSpPr>
      </xdr:nvSpPr>
      <xdr:spPr bwMode="auto">
        <a:xfrm>
          <a:off x="1533525" y="70465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09" name="Text Box 431"/>
        <xdr:cNvSpPr txBox="1">
          <a:spLocks noChangeArrowheads="1"/>
        </xdr:cNvSpPr>
      </xdr:nvSpPr>
      <xdr:spPr bwMode="auto">
        <a:xfrm>
          <a:off x="1533525" y="70465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10" name="Text Box 448"/>
        <xdr:cNvSpPr txBox="1">
          <a:spLocks noChangeArrowheads="1"/>
        </xdr:cNvSpPr>
      </xdr:nvSpPr>
      <xdr:spPr bwMode="auto">
        <a:xfrm>
          <a:off x="1533525" y="70465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697</xdr:row>
      <xdr:rowOff>9526</xdr:rowOff>
    </xdr:to>
    <xdr:sp macro="" textlink="">
      <xdr:nvSpPr>
        <xdr:cNvPr id="711" name="Text Box 77"/>
        <xdr:cNvSpPr txBox="1">
          <a:spLocks noChangeArrowheads="1"/>
        </xdr:cNvSpPr>
      </xdr:nvSpPr>
      <xdr:spPr bwMode="auto">
        <a:xfrm>
          <a:off x="1295400" y="613886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697</xdr:row>
      <xdr:rowOff>9526</xdr:rowOff>
    </xdr:to>
    <xdr:sp macro="" textlink="">
      <xdr:nvSpPr>
        <xdr:cNvPr id="712" name="Text Box 255"/>
        <xdr:cNvSpPr txBox="1">
          <a:spLocks noChangeArrowheads="1"/>
        </xdr:cNvSpPr>
      </xdr:nvSpPr>
      <xdr:spPr bwMode="auto">
        <a:xfrm>
          <a:off x="1295400" y="613886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697</xdr:row>
      <xdr:rowOff>9526</xdr:rowOff>
    </xdr:to>
    <xdr:sp macro="" textlink="">
      <xdr:nvSpPr>
        <xdr:cNvPr id="713" name="Text Box 260"/>
        <xdr:cNvSpPr txBox="1">
          <a:spLocks noChangeArrowheads="1"/>
        </xdr:cNvSpPr>
      </xdr:nvSpPr>
      <xdr:spPr bwMode="auto">
        <a:xfrm>
          <a:off x="1295400" y="613886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14" name="Text Box 139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15" name="Text Box 421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16" name="Text Box 426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17" name="Text Box 431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18" name="Text Box 448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19" name="Text Box 121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20" name="Text Box 187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21" name="Text Box 139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22" name="Text Box 421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23" name="Text Box 426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24" name="Text Box 431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25" name="Text Box 448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26" name="Text Box 133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27" name="Text Box 155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28" name="Text Box 172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29" name="Text Box 93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30" name="Text Box 222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31" name="Text Box 494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32" name="Text Box 499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33" name="Text Box 125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34" name="Text Box 160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695</xdr:row>
      <xdr:rowOff>0</xdr:rowOff>
    </xdr:from>
    <xdr:to>
      <xdr:col>2</xdr:col>
      <xdr:colOff>342900</xdr:colOff>
      <xdr:row>696</xdr:row>
      <xdr:rowOff>85725</xdr:rowOff>
    </xdr:to>
    <xdr:sp macro="" textlink="">
      <xdr:nvSpPr>
        <xdr:cNvPr id="735" name="Text Box 182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694</xdr:row>
      <xdr:rowOff>0</xdr:rowOff>
    </xdr:from>
    <xdr:to>
      <xdr:col>2</xdr:col>
      <xdr:colOff>342900</xdr:colOff>
      <xdr:row>695</xdr:row>
      <xdr:rowOff>85725</xdr:rowOff>
    </xdr:to>
    <xdr:sp macro="" textlink="">
      <xdr:nvSpPr>
        <xdr:cNvPr id="736" name="Text Box 137"/>
        <xdr:cNvSpPr txBox="1">
          <a:spLocks noChangeArrowheads="1"/>
        </xdr:cNvSpPr>
      </xdr:nvSpPr>
      <xdr:spPr bwMode="auto">
        <a:xfrm>
          <a:off x="1295400" y="612552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694</xdr:row>
      <xdr:rowOff>0</xdr:rowOff>
    </xdr:from>
    <xdr:to>
      <xdr:col>2</xdr:col>
      <xdr:colOff>342900</xdr:colOff>
      <xdr:row>695</xdr:row>
      <xdr:rowOff>85725</xdr:rowOff>
    </xdr:to>
    <xdr:sp macro="" textlink="">
      <xdr:nvSpPr>
        <xdr:cNvPr id="737" name="Text Box 170"/>
        <xdr:cNvSpPr txBox="1">
          <a:spLocks noChangeArrowheads="1"/>
        </xdr:cNvSpPr>
      </xdr:nvSpPr>
      <xdr:spPr bwMode="auto">
        <a:xfrm>
          <a:off x="1295400" y="612552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28576</xdr:rowOff>
    </xdr:to>
    <xdr:sp macro="" textlink="">
      <xdr:nvSpPr>
        <xdr:cNvPr id="745" name="Text Box 354"/>
        <xdr:cNvSpPr txBox="1">
          <a:spLocks noChangeArrowheads="1"/>
        </xdr:cNvSpPr>
      </xdr:nvSpPr>
      <xdr:spPr bwMode="auto">
        <a:xfrm>
          <a:off x="7820025" y="70123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28576</xdr:rowOff>
    </xdr:to>
    <xdr:sp macro="" textlink="">
      <xdr:nvSpPr>
        <xdr:cNvPr id="746" name="Text Box 359"/>
        <xdr:cNvSpPr txBox="1">
          <a:spLocks noChangeArrowheads="1"/>
        </xdr:cNvSpPr>
      </xdr:nvSpPr>
      <xdr:spPr bwMode="auto">
        <a:xfrm>
          <a:off x="7820025" y="70123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28576</xdr:rowOff>
    </xdr:to>
    <xdr:sp macro="" textlink="">
      <xdr:nvSpPr>
        <xdr:cNvPr id="747" name="Text Box 139"/>
        <xdr:cNvSpPr txBox="1">
          <a:spLocks noChangeArrowheads="1"/>
        </xdr:cNvSpPr>
      </xdr:nvSpPr>
      <xdr:spPr bwMode="auto">
        <a:xfrm>
          <a:off x="7820025" y="70123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28576</xdr:rowOff>
    </xdr:to>
    <xdr:sp macro="" textlink="">
      <xdr:nvSpPr>
        <xdr:cNvPr id="748" name="Text Box 421"/>
        <xdr:cNvSpPr txBox="1">
          <a:spLocks noChangeArrowheads="1"/>
        </xdr:cNvSpPr>
      </xdr:nvSpPr>
      <xdr:spPr bwMode="auto">
        <a:xfrm>
          <a:off x="7820025" y="70123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28576</xdr:rowOff>
    </xdr:to>
    <xdr:sp macro="" textlink="">
      <xdr:nvSpPr>
        <xdr:cNvPr id="749" name="Text Box 426"/>
        <xdr:cNvSpPr txBox="1">
          <a:spLocks noChangeArrowheads="1"/>
        </xdr:cNvSpPr>
      </xdr:nvSpPr>
      <xdr:spPr bwMode="auto">
        <a:xfrm>
          <a:off x="7820025" y="70123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28576</xdr:rowOff>
    </xdr:to>
    <xdr:sp macro="" textlink="">
      <xdr:nvSpPr>
        <xdr:cNvPr id="750" name="Text Box 431"/>
        <xdr:cNvSpPr txBox="1">
          <a:spLocks noChangeArrowheads="1"/>
        </xdr:cNvSpPr>
      </xdr:nvSpPr>
      <xdr:spPr bwMode="auto">
        <a:xfrm>
          <a:off x="7820025" y="70123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28576</xdr:rowOff>
    </xdr:to>
    <xdr:sp macro="" textlink="">
      <xdr:nvSpPr>
        <xdr:cNvPr id="751" name="Text Box 448"/>
        <xdr:cNvSpPr txBox="1">
          <a:spLocks noChangeArrowheads="1"/>
        </xdr:cNvSpPr>
      </xdr:nvSpPr>
      <xdr:spPr bwMode="auto">
        <a:xfrm>
          <a:off x="7820025" y="70123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28576</xdr:rowOff>
    </xdr:to>
    <xdr:sp macro="" textlink="">
      <xdr:nvSpPr>
        <xdr:cNvPr id="752" name="Text Box 139"/>
        <xdr:cNvSpPr txBox="1">
          <a:spLocks noChangeArrowheads="1"/>
        </xdr:cNvSpPr>
      </xdr:nvSpPr>
      <xdr:spPr bwMode="auto">
        <a:xfrm>
          <a:off x="6543675" y="12858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28576</xdr:rowOff>
    </xdr:to>
    <xdr:sp macro="" textlink="">
      <xdr:nvSpPr>
        <xdr:cNvPr id="753" name="Text Box 421"/>
        <xdr:cNvSpPr txBox="1">
          <a:spLocks noChangeArrowheads="1"/>
        </xdr:cNvSpPr>
      </xdr:nvSpPr>
      <xdr:spPr bwMode="auto">
        <a:xfrm>
          <a:off x="6543675" y="12858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28576</xdr:rowOff>
    </xdr:to>
    <xdr:sp macro="" textlink="">
      <xdr:nvSpPr>
        <xdr:cNvPr id="754" name="Text Box 426"/>
        <xdr:cNvSpPr txBox="1">
          <a:spLocks noChangeArrowheads="1"/>
        </xdr:cNvSpPr>
      </xdr:nvSpPr>
      <xdr:spPr bwMode="auto">
        <a:xfrm>
          <a:off x="6543675" y="12858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28576</xdr:rowOff>
    </xdr:to>
    <xdr:sp macro="" textlink="">
      <xdr:nvSpPr>
        <xdr:cNvPr id="755" name="Text Box 431"/>
        <xdr:cNvSpPr txBox="1">
          <a:spLocks noChangeArrowheads="1"/>
        </xdr:cNvSpPr>
      </xdr:nvSpPr>
      <xdr:spPr bwMode="auto">
        <a:xfrm>
          <a:off x="6543675" y="12858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28576</xdr:rowOff>
    </xdr:to>
    <xdr:sp macro="" textlink="">
      <xdr:nvSpPr>
        <xdr:cNvPr id="756" name="Text Box 448"/>
        <xdr:cNvSpPr txBox="1">
          <a:spLocks noChangeArrowheads="1"/>
        </xdr:cNvSpPr>
      </xdr:nvSpPr>
      <xdr:spPr bwMode="auto">
        <a:xfrm>
          <a:off x="6543675" y="12858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28576</xdr:rowOff>
    </xdr:to>
    <xdr:sp macro="" textlink="">
      <xdr:nvSpPr>
        <xdr:cNvPr id="757" name="Text Box 288"/>
        <xdr:cNvSpPr txBox="1">
          <a:spLocks noChangeArrowheads="1"/>
        </xdr:cNvSpPr>
      </xdr:nvSpPr>
      <xdr:spPr bwMode="auto">
        <a:xfrm>
          <a:off x="6543675" y="12858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28576</xdr:rowOff>
    </xdr:to>
    <xdr:sp macro="" textlink="">
      <xdr:nvSpPr>
        <xdr:cNvPr id="758" name="Text Box 293"/>
        <xdr:cNvSpPr txBox="1">
          <a:spLocks noChangeArrowheads="1"/>
        </xdr:cNvSpPr>
      </xdr:nvSpPr>
      <xdr:spPr bwMode="auto">
        <a:xfrm>
          <a:off x="6543675" y="12858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85726</xdr:rowOff>
    </xdr:to>
    <xdr:sp macro="" textlink="">
      <xdr:nvSpPr>
        <xdr:cNvPr id="759" name="Text Box 139"/>
        <xdr:cNvSpPr txBox="1">
          <a:spLocks noChangeArrowheads="1"/>
        </xdr:cNvSpPr>
      </xdr:nvSpPr>
      <xdr:spPr bwMode="auto">
        <a:xfrm>
          <a:off x="6543675" y="12858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85726</xdr:rowOff>
    </xdr:to>
    <xdr:sp macro="" textlink="">
      <xdr:nvSpPr>
        <xdr:cNvPr id="760" name="Text Box 421"/>
        <xdr:cNvSpPr txBox="1">
          <a:spLocks noChangeArrowheads="1"/>
        </xdr:cNvSpPr>
      </xdr:nvSpPr>
      <xdr:spPr bwMode="auto">
        <a:xfrm>
          <a:off x="6543675" y="12858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85726</xdr:rowOff>
    </xdr:to>
    <xdr:sp macro="" textlink="">
      <xdr:nvSpPr>
        <xdr:cNvPr id="761" name="Text Box 426"/>
        <xdr:cNvSpPr txBox="1">
          <a:spLocks noChangeArrowheads="1"/>
        </xdr:cNvSpPr>
      </xdr:nvSpPr>
      <xdr:spPr bwMode="auto">
        <a:xfrm>
          <a:off x="6543675" y="12858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85726</xdr:rowOff>
    </xdr:to>
    <xdr:sp macro="" textlink="">
      <xdr:nvSpPr>
        <xdr:cNvPr id="762" name="Text Box 431"/>
        <xdr:cNvSpPr txBox="1">
          <a:spLocks noChangeArrowheads="1"/>
        </xdr:cNvSpPr>
      </xdr:nvSpPr>
      <xdr:spPr bwMode="auto">
        <a:xfrm>
          <a:off x="6543675" y="12858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165</xdr:row>
      <xdr:rowOff>0</xdr:rowOff>
    </xdr:from>
    <xdr:to>
      <xdr:col>14</xdr:col>
      <xdr:colOff>342900</xdr:colOff>
      <xdr:row>166</xdr:row>
      <xdr:rowOff>85726</xdr:rowOff>
    </xdr:to>
    <xdr:sp macro="" textlink="">
      <xdr:nvSpPr>
        <xdr:cNvPr id="763" name="Text Box 448"/>
        <xdr:cNvSpPr txBox="1">
          <a:spLocks noChangeArrowheads="1"/>
        </xdr:cNvSpPr>
      </xdr:nvSpPr>
      <xdr:spPr bwMode="auto">
        <a:xfrm>
          <a:off x="6543675" y="12858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64" name="Text Box 332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65" name="Text Box 337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66" name="Text Box 139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67" name="Text Box 421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68" name="Text Box 426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69" name="Text Box 431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70" name="Text Box 448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71" name="Text Box 139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72" name="Text Box 421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73" name="Text Box 426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74" name="Text Box 431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75" name="Text Box 448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76" name="Text Box 121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77" name="Text Box 187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78" name="Text Box 139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79" name="Text Box 421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80" name="Text Box 426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81" name="Text Box 431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82" name="Text Box 448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83" name="Text Box 133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84" name="Text Box 155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85" name="Text Box 172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86" name="Text Box 93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87" name="Text Box 222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88" name="Text Box 494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89" name="Text Box 499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90" name="Text Box 125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91" name="Text Box 160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722</xdr:row>
      <xdr:rowOff>0</xdr:rowOff>
    </xdr:from>
    <xdr:to>
      <xdr:col>2</xdr:col>
      <xdr:colOff>342900</xdr:colOff>
      <xdr:row>723</xdr:row>
      <xdr:rowOff>87313</xdr:rowOff>
    </xdr:to>
    <xdr:sp macro="" textlink="">
      <xdr:nvSpPr>
        <xdr:cNvPr id="792" name="Text Box 182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721</xdr:row>
      <xdr:rowOff>0</xdr:rowOff>
    </xdr:from>
    <xdr:to>
      <xdr:col>2</xdr:col>
      <xdr:colOff>342900</xdr:colOff>
      <xdr:row>722</xdr:row>
      <xdr:rowOff>87312</xdr:rowOff>
    </xdr:to>
    <xdr:sp macro="" textlink="">
      <xdr:nvSpPr>
        <xdr:cNvPr id="793" name="Text Box 137"/>
        <xdr:cNvSpPr txBox="1">
          <a:spLocks noChangeArrowheads="1"/>
        </xdr:cNvSpPr>
      </xdr:nvSpPr>
      <xdr:spPr bwMode="auto">
        <a:xfrm>
          <a:off x="1295400" y="64389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721</xdr:row>
      <xdr:rowOff>0</xdr:rowOff>
    </xdr:from>
    <xdr:to>
      <xdr:col>2</xdr:col>
      <xdr:colOff>342900</xdr:colOff>
      <xdr:row>722</xdr:row>
      <xdr:rowOff>87312</xdr:rowOff>
    </xdr:to>
    <xdr:sp macro="" textlink="">
      <xdr:nvSpPr>
        <xdr:cNvPr id="794" name="Text Box 170"/>
        <xdr:cNvSpPr txBox="1">
          <a:spLocks noChangeArrowheads="1"/>
        </xdr:cNvSpPr>
      </xdr:nvSpPr>
      <xdr:spPr bwMode="auto">
        <a:xfrm>
          <a:off x="1295400" y="64389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192</xdr:row>
      <xdr:rowOff>0</xdr:rowOff>
    </xdr:from>
    <xdr:to>
      <xdr:col>14</xdr:col>
      <xdr:colOff>342900</xdr:colOff>
      <xdr:row>193</xdr:row>
      <xdr:rowOff>28576</xdr:rowOff>
    </xdr:to>
    <xdr:sp macro="" textlink="">
      <xdr:nvSpPr>
        <xdr:cNvPr id="795" name="Text Box 343"/>
        <xdr:cNvSpPr txBox="1">
          <a:spLocks noChangeArrowheads="1"/>
        </xdr:cNvSpPr>
      </xdr:nvSpPr>
      <xdr:spPr bwMode="auto">
        <a:xfrm>
          <a:off x="7820025" y="74923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192</xdr:row>
      <xdr:rowOff>0</xdr:rowOff>
    </xdr:from>
    <xdr:to>
      <xdr:col>14</xdr:col>
      <xdr:colOff>342900</xdr:colOff>
      <xdr:row>193</xdr:row>
      <xdr:rowOff>28576</xdr:rowOff>
    </xdr:to>
    <xdr:sp macro="" textlink="">
      <xdr:nvSpPr>
        <xdr:cNvPr id="796" name="Text Box 348"/>
        <xdr:cNvSpPr txBox="1">
          <a:spLocks noChangeArrowheads="1"/>
        </xdr:cNvSpPr>
      </xdr:nvSpPr>
      <xdr:spPr bwMode="auto">
        <a:xfrm>
          <a:off x="7820025" y="74923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28575</xdr:rowOff>
    </xdr:to>
    <xdr:sp macro="" textlink="">
      <xdr:nvSpPr>
        <xdr:cNvPr id="797" name="Text Box 365"/>
        <xdr:cNvSpPr txBox="1">
          <a:spLocks noChangeArrowheads="1"/>
        </xdr:cNvSpPr>
      </xdr:nvSpPr>
      <xdr:spPr bwMode="auto">
        <a:xfrm>
          <a:off x="7820025" y="75095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28575</xdr:rowOff>
    </xdr:to>
    <xdr:sp macro="" textlink="">
      <xdr:nvSpPr>
        <xdr:cNvPr id="798" name="Text Box 370"/>
        <xdr:cNvSpPr txBox="1">
          <a:spLocks noChangeArrowheads="1"/>
        </xdr:cNvSpPr>
      </xdr:nvSpPr>
      <xdr:spPr bwMode="auto">
        <a:xfrm>
          <a:off x="7820025" y="75095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28575</xdr:rowOff>
    </xdr:to>
    <xdr:sp macro="" textlink="">
      <xdr:nvSpPr>
        <xdr:cNvPr id="799" name="Text Box 354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28575</xdr:rowOff>
    </xdr:to>
    <xdr:sp macro="" textlink="">
      <xdr:nvSpPr>
        <xdr:cNvPr id="800" name="Text Box 359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28575</xdr:rowOff>
    </xdr:to>
    <xdr:sp macro="" textlink="">
      <xdr:nvSpPr>
        <xdr:cNvPr id="801" name="Text Box 139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28575</xdr:rowOff>
    </xdr:to>
    <xdr:sp macro="" textlink="">
      <xdr:nvSpPr>
        <xdr:cNvPr id="802" name="Text Box 421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28575</xdr:rowOff>
    </xdr:to>
    <xdr:sp macro="" textlink="">
      <xdr:nvSpPr>
        <xdr:cNvPr id="803" name="Text Box 426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28575</xdr:rowOff>
    </xdr:to>
    <xdr:sp macro="" textlink="">
      <xdr:nvSpPr>
        <xdr:cNvPr id="804" name="Text Box 431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28575</xdr:rowOff>
    </xdr:to>
    <xdr:sp macro="" textlink="">
      <xdr:nvSpPr>
        <xdr:cNvPr id="805" name="Text Box 448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28575</xdr:rowOff>
    </xdr:to>
    <xdr:sp macro="" textlink="">
      <xdr:nvSpPr>
        <xdr:cNvPr id="806" name="Text Box 139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28575</xdr:rowOff>
    </xdr:to>
    <xdr:sp macro="" textlink="">
      <xdr:nvSpPr>
        <xdr:cNvPr id="807" name="Text Box 421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28575</xdr:rowOff>
    </xdr:to>
    <xdr:sp macro="" textlink="">
      <xdr:nvSpPr>
        <xdr:cNvPr id="808" name="Text Box 426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28575</xdr:rowOff>
    </xdr:to>
    <xdr:sp macro="" textlink="">
      <xdr:nvSpPr>
        <xdr:cNvPr id="809" name="Text Box 431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28575</xdr:rowOff>
    </xdr:to>
    <xdr:sp macro="" textlink="">
      <xdr:nvSpPr>
        <xdr:cNvPr id="810" name="Text Box 448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28575</xdr:rowOff>
    </xdr:to>
    <xdr:sp macro="" textlink="">
      <xdr:nvSpPr>
        <xdr:cNvPr id="811" name="Text Box 288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28575</xdr:rowOff>
    </xdr:to>
    <xdr:sp macro="" textlink="">
      <xdr:nvSpPr>
        <xdr:cNvPr id="812" name="Text Box 293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85725</xdr:rowOff>
    </xdr:to>
    <xdr:sp macro="" textlink="">
      <xdr:nvSpPr>
        <xdr:cNvPr id="813" name="Text Box 139"/>
        <xdr:cNvSpPr txBox="1">
          <a:spLocks noChangeArrowheads="1"/>
        </xdr:cNvSpPr>
      </xdr:nvSpPr>
      <xdr:spPr bwMode="auto">
        <a:xfrm>
          <a:off x="6600825" y="15925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85725</xdr:rowOff>
    </xdr:to>
    <xdr:sp macro="" textlink="">
      <xdr:nvSpPr>
        <xdr:cNvPr id="814" name="Text Box 421"/>
        <xdr:cNvSpPr txBox="1">
          <a:spLocks noChangeArrowheads="1"/>
        </xdr:cNvSpPr>
      </xdr:nvSpPr>
      <xdr:spPr bwMode="auto">
        <a:xfrm>
          <a:off x="6600825" y="15925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85725</xdr:rowOff>
    </xdr:to>
    <xdr:sp macro="" textlink="">
      <xdr:nvSpPr>
        <xdr:cNvPr id="815" name="Text Box 426"/>
        <xdr:cNvSpPr txBox="1">
          <a:spLocks noChangeArrowheads="1"/>
        </xdr:cNvSpPr>
      </xdr:nvSpPr>
      <xdr:spPr bwMode="auto">
        <a:xfrm>
          <a:off x="6600825" y="15925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85725</xdr:rowOff>
    </xdr:to>
    <xdr:sp macro="" textlink="">
      <xdr:nvSpPr>
        <xdr:cNvPr id="816" name="Text Box 431"/>
        <xdr:cNvSpPr txBox="1">
          <a:spLocks noChangeArrowheads="1"/>
        </xdr:cNvSpPr>
      </xdr:nvSpPr>
      <xdr:spPr bwMode="auto">
        <a:xfrm>
          <a:off x="6600825" y="15925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193</xdr:row>
      <xdr:rowOff>0</xdr:rowOff>
    </xdr:from>
    <xdr:to>
      <xdr:col>14</xdr:col>
      <xdr:colOff>342900</xdr:colOff>
      <xdr:row>194</xdr:row>
      <xdr:rowOff>85725</xdr:rowOff>
    </xdr:to>
    <xdr:sp macro="" textlink="">
      <xdr:nvSpPr>
        <xdr:cNvPr id="817" name="Text Box 448"/>
        <xdr:cNvSpPr txBox="1">
          <a:spLocks noChangeArrowheads="1"/>
        </xdr:cNvSpPr>
      </xdr:nvSpPr>
      <xdr:spPr bwMode="auto">
        <a:xfrm>
          <a:off x="6600825" y="15925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18" name="Text Box 376"/>
        <xdr:cNvSpPr txBox="1">
          <a:spLocks noChangeArrowheads="1"/>
        </xdr:cNvSpPr>
      </xdr:nvSpPr>
      <xdr:spPr bwMode="auto">
        <a:xfrm>
          <a:off x="1533525" y="80067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19" name="Text Box 381"/>
        <xdr:cNvSpPr txBox="1">
          <a:spLocks noChangeArrowheads="1"/>
        </xdr:cNvSpPr>
      </xdr:nvSpPr>
      <xdr:spPr bwMode="auto">
        <a:xfrm>
          <a:off x="1533525" y="80067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20" name="Text Box 139"/>
        <xdr:cNvSpPr txBox="1">
          <a:spLocks noChangeArrowheads="1"/>
        </xdr:cNvSpPr>
      </xdr:nvSpPr>
      <xdr:spPr bwMode="auto">
        <a:xfrm>
          <a:off x="1533525" y="80067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21" name="Text Box 421"/>
        <xdr:cNvSpPr txBox="1">
          <a:spLocks noChangeArrowheads="1"/>
        </xdr:cNvSpPr>
      </xdr:nvSpPr>
      <xdr:spPr bwMode="auto">
        <a:xfrm>
          <a:off x="1533525" y="80067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22" name="Text Box 426"/>
        <xdr:cNvSpPr txBox="1">
          <a:spLocks noChangeArrowheads="1"/>
        </xdr:cNvSpPr>
      </xdr:nvSpPr>
      <xdr:spPr bwMode="auto">
        <a:xfrm>
          <a:off x="1533525" y="80067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23" name="Text Box 431"/>
        <xdr:cNvSpPr txBox="1">
          <a:spLocks noChangeArrowheads="1"/>
        </xdr:cNvSpPr>
      </xdr:nvSpPr>
      <xdr:spPr bwMode="auto">
        <a:xfrm>
          <a:off x="1533525" y="80067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24" name="Text Box 448"/>
        <xdr:cNvSpPr txBox="1">
          <a:spLocks noChangeArrowheads="1"/>
        </xdr:cNvSpPr>
      </xdr:nvSpPr>
      <xdr:spPr bwMode="auto">
        <a:xfrm>
          <a:off x="1533525" y="80067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222</xdr:row>
      <xdr:rowOff>0</xdr:rowOff>
    </xdr:from>
    <xdr:to>
      <xdr:col>14</xdr:col>
      <xdr:colOff>342900</xdr:colOff>
      <xdr:row>223</xdr:row>
      <xdr:rowOff>28576</xdr:rowOff>
    </xdr:to>
    <xdr:sp macro="" textlink="">
      <xdr:nvSpPr>
        <xdr:cNvPr id="825" name="Text Box 343"/>
        <xdr:cNvSpPr txBox="1">
          <a:spLocks noChangeArrowheads="1"/>
        </xdr:cNvSpPr>
      </xdr:nvSpPr>
      <xdr:spPr bwMode="auto">
        <a:xfrm>
          <a:off x="6600825" y="19373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222</xdr:row>
      <xdr:rowOff>0</xdr:rowOff>
    </xdr:from>
    <xdr:to>
      <xdr:col>14</xdr:col>
      <xdr:colOff>342900</xdr:colOff>
      <xdr:row>223</xdr:row>
      <xdr:rowOff>28576</xdr:rowOff>
    </xdr:to>
    <xdr:sp macro="" textlink="">
      <xdr:nvSpPr>
        <xdr:cNvPr id="826" name="Text Box 348"/>
        <xdr:cNvSpPr txBox="1">
          <a:spLocks noChangeArrowheads="1"/>
        </xdr:cNvSpPr>
      </xdr:nvSpPr>
      <xdr:spPr bwMode="auto">
        <a:xfrm>
          <a:off x="6600825" y="19373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27" name="Text Box 365"/>
        <xdr:cNvSpPr txBox="1">
          <a:spLocks noChangeArrowheads="1"/>
        </xdr:cNvSpPr>
      </xdr:nvSpPr>
      <xdr:spPr bwMode="auto">
        <a:xfrm>
          <a:off x="6600825" y="19507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28" name="Text Box 370"/>
        <xdr:cNvSpPr txBox="1">
          <a:spLocks noChangeArrowheads="1"/>
        </xdr:cNvSpPr>
      </xdr:nvSpPr>
      <xdr:spPr bwMode="auto">
        <a:xfrm>
          <a:off x="6600825" y="19507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29" name="Text Box 354"/>
        <xdr:cNvSpPr txBox="1">
          <a:spLocks noChangeArrowheads="1"/>
        </xdr:cNvSpPr>
      </xdr:nvSpPr>
      <xdr:spPr bwMode="auto">
        <a:xfrm>
          <a:off x="6600825" y="19507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30" name="Text Box 359"/>
        <xdr:cNvSpPr txBox="1">
          <a:spLocks noChangeArrowheads="1"/>
        </xdr:cNvSpPr>
      </xdr:nvSpPr>
      <xdr:spPr bwMode="auto">
        <a:xfrm>
          <a:off x="6600825" y="19507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31" name="Text Box 139"/>
        <xdr:cNvSpPr txBox="1">
          <a:spLocks noChangeArrowheads="1"/>
        </xdr:cNvSpPr>
      </xdr:nvSpPr>
      <xdr:spPr bwMode="auto">
        <a:xfrm>
          <a:off x="6600825" y="19507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32" name="Text Box 421"/>
        <xdr:cNvSpPr txBox="1">
          <a:spLocks noChangeArrowheads="1"/>
        </xdr:cNvSpPr>
      </xdr:nvSpPr>
      <xdr:spPr bwMode="auto">
        <a:xfrm>
          <a:off x="6600825" y="19507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33" name="Text Box 426"/>
        <xdr:cNvSpPr txBox="1">
          <a:spLocks noChangeArrowheads="1"/>
        </xdr:cNvSpPr>
      </xdr:nvSpPr>
      <xdr:spPr bwMode="auto">
        <a:xfrm>
          <a:off x="6600825" y="19507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34" name="Text Box 431"/>
        <xdr:cNvSpPr txBox="1">
          <a:spLocks noChangeArrowheads="1"/>
        </xdr:cNvSpPr>
      </xdr:nvSpPr>
      <xdr:spPr bwMode="auto">
        <a:xfrm>
          <a:off x="6600825" y="19507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35" name="Text Box 448"/>
        <xdr:cNvSpPr txBox="1">
          <a:spLocks noChangeArrowheads="1"/>
        </xdr:cNvSpPr>
      </xdr:nvSpPr>
      <xdr:spPr bwMode="auto">
        <a:xfrm>
          <a:off x="6600825" y="19507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36" name="Text Box 139"/>
        <xdr:cNvSpPr txBox="1">
          <a:spLocks noChangeArrowheads="1"/>
        </xdr:cNvSpPr>
      </xdr:nvSpPr>
      <xdr:spPr bwMode="auto">
        <a:xfrm>
          <a:off x="6600825" y="19507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37" name="Text Box 421"/>
        <xdr:cNvSpPr txBox="1">
          <a:spLocks noChangeArrowheads="1"/>
        </xdr:cNvSpPr>
      </xdr:nvSpPr>
      <xdr:spPr bwMode="auto">
        <a:xfrm>
          <a:off x="6600825" y="19507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38" name="Text Box 426"/>
        <xdr:cNvSpPr txBox="1">
          <a:spLocks noChangeArrowheads="1"/>
        </xdr:cNvSpPr>
      </xdr:nvSpPr>
      <xdr:spPr bwMode="auto">
        <a:xfrm>
          <a:off x="6600825" y="19507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39" name="Text Box 431"/>
        <xdr:cNvSpPr txBox="1">
          <a:spLocks noChangeArrowheads="1"/>
        </xdr:cNvSpPr>
      </xdr:nvSpPr>
      <xdr:spPr bwMode="auto">
        <a:xfrm>
          <a:off x="6600825" y="19507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40" name="Text Box 448"/>
        <xdr:cNvSpPr txBox="1">
          <a:spLocks noChangeArrowheads="1"/>
        </xdr:cNvSpPr>
      </xdr:nvSpPr>
      <xdr:spPr bwMode="auto">
        <a:xfrm>
          <a:off x="6600825" y="19507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41" name="Text Box 288"/>
        <xdr:cNvSpPr txBox="1">
          <a:spLocks noChangeArrowheads="1"/>
        </xdr:cNvSpPr>
      </xdr:nvSpPr>
      <xdr:spPr bwMode="auto">
        <a:xfrm>
          <a:off x="6600825" y="19507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28575</xdr:rowOff>
    </xdr:to>
    <xdr:sp macro="" textlink="">
      <xdr:nvSpPr>
        <xdr:cNvPr id="842" name="Text Box 293"/>
        <xdr:cNvSpPr txBox="1">
          <a:spLocks noChangeArrowheads="1"/>
        </xdr:cNvSpPr>
      </xdr:nvSpPr>
      <xdr:spPr bwMode="auto">
        <a:xfrm>
          <a:off x="6600825" y="19507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85725</xdr:rowOff>
    </xdr:to>
    <xdr:sp macro="" textlink="">
      <xdr:nvSpPr>
        <xdr:cNvPr id="843" name="Text Box 139"/>
        <xdr:cNvSpPr txBox="1">
          <a:spLocks noChangeArrowheads="1"/>
        </xdr:cNvSpPr>
      </xdr:nvSpPr>
      <xdr:spPr bwMode="auto">
        <a:xfrm>
          <a:off x="6600825" y="19507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85725</xdr:rowOff>
    </xdr:to>
    <xdr:sp macro="" textlink="">
      <xdr:nvSpPr>
        <xdr:cNvPr id="844" name="Text Box 421"/>
        <xdr:cNvSpPr txBox="1">
          <a:spLocks noChangeArrowheads="1"/>
        </xdr:cNvSpPr>
      </xdr:nvSpPr>
      <xdr:spPr bwMode="auto">
        <a:xfrm>
          <a:off x="6600825" y="19507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85725</xdr:rowOff>
    </xdr:to>
    <xdr:sp macro="" textlink="">
      <xdr:nvSpPr>
        <xdr:cNvPr id="845" name="Text Box 426"/>
        <xdr:cNvSpPr txBox="1">
          <a:spLocks noChangeArrowheads="1"/>
        </xdr:cNvSpPr>
      </xdr:nvSpPr>
      <xdr:spPr bwMode="auto">
        <a:xfrm>
          <a:off x="6600825" y="19507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85725</xdr:rowOff>
    </xdr:to>
    <xdr:sp macro="" textlink="">
      <xdr:nvSpPr>
        <xdr:cNvPr id="846" name="Text Box 431"/>
        <xdr:cNvSpPr txBox="1">
          <a:spLocks noChangeArrowheads="1"/>
        </xdr:cNvSpPr>
      </xdr:nvSpPr>
      <xdr:spPr bwMode="auto">
        <a:xfrm>
          <a:off x="6600825" y="19507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223</xdr:row>
      <xdr:rowOff>0</xdr:rowOff>
    </xdr:from>
    <xdr:to>
      <xdr:col>14</xdr:col>
      <xdr:colOff>342900</xdr:colOff>
      <xdr:row>224</xdr:row>
      <xdr:rowOff>85725</xdr:rowOff>
    </xdr:to>
    <xdr:sp macro="" textlink="">
      <xdr:nvSpPr>
        <xdr:cNvPr id="847" name="Text Box 448"/>
        <xdr:cNvSpPr txBox="1">
          <a:spLocks noChangeArrowheads="1"/>
        </xdr:cNvSpPr>
      </xdr:nvSpPr>
      <xdr:spPr bwMode="auto">
        <a:xfrm>
          <a:off x="6600825" y="19507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48" name="Picture 2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49" name="Picture 29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252</xdr:row>
      <xdr:rowOff>0</xdr:rowOff>
    </xdr:from>
    <xdr:to>
      <xdr:col>14</xdr:col>
      <xdr:colOff>342900</xdr:colOff>
      <xdr:row>253</xdr:row>
      <xdr:rowOff>38100</xdr:rowOff>
    </xdr:to>
    <xdr:sp macro="" textlink="">
      <xdr:nvSpPr>
        <xdr:cNvPr id="850" name="Text Box 398"/>
        <xdr:cNvSpPr txBox="1">
          <a:spLocks noChangeArrowheads="1"/>
        </xdr:cNvSpPr>
      </xdr:nvSpPr>
      <xdr:spPr bwMode="auto">
        <a:xfrm>
          <a:off x="1533525" y="85039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252</xdr:row>
      <xdr:rowOff>0</xdr:rowOff>
    </xdr:from>
    <xdr:to>
      <xdr:col>14</xdr:col>
      <xdr:colOff>342900</xdr:colOff>
      <xdr:row>253</xdr:row>
      <xdr:rowOff>38100</xdr:rowOff>
    </xdr:to>
    <xdr:sp macro="" textlink="">
      <xdr:nvSpPr>
        <xdr:cNvPr id="851" name="Text Box 403"/>
        <xdr:cNvSpPr txBox="1">
          <a:spLocks noChangeArrowheads="1"/>
        </xdr:cNvSpPr>
      </xdr:nvSpPr>
      <xdr:spPr bwMode="auto">
        <a:xfrm>
          <a:off x="1533525" y="85039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52" name="Picture 407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53" name="Picture 408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38101</xdr:rowOff>
    </xdr:to>
    <xdr:sp macro="" textlink="">
      <xdr:nvSpPr>
        <xdr:cNvPr id="854" name="Text Box 409"/>
        <xdr:cNvSpPr txBox="1">
          <a:spLocks noChangeArrowheads="1"/>
        </xdr:cNvSpPr>
      </xdr:nvSpPr>
      <xdr:spPr bwMode="auto">
        <a:xfrm>
          <a:off x="1533525" y="8520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55" name="Picture 410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56" name="Picture 411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57" name="Picture 412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58" name="Picture 413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38101</xdr:rowOff>
    </xdr:to>
    <xdr:sp macro="" textlink="">
      <xdr:nvSpPr>
        <xdr:cNvPr id="859" name="Text Box 414"/>
        <xdr:cNvSpPr txBox="1">
          <a:spLocks noChangeArrowheads="1"/>
        </xdr:cNvSpPr>
      </xdr:nvSpPr>
      <xdr:spPr bwMode="auto">
        <a:xfrm>
          <a:off x="1533525" y="8520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60" name="Picture 415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61" name="Picture 416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62" name="Picture 417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solidFill>
          <a:srgbClr val="0000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63" name="Picture 639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64" name="Picture 640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65" name="Picture 643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66" name="Picture 644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67" name="Picture 645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68" name="Picture 646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69" name="Picture 653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70" name="Picture 654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71" name="Picture 655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72" name="Picture 656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38101</xdr:rowOff>
    </xdr:to>
    <xdr:sp macro="" textlink="">
      <xdr:nvSpPr>
        <xdr:cNvPr id="873" name="Text Box 657"/>
        <xdr:cNvSpPr txBox="1">
          <a:spLocks noChangeArrowheads="1"/>
        </xdr:cNvSpPr>
      </xdr:nvSpPr>
      <xdr:spPr bwMode="auto">
        <a:xfrm>
          <a:off x="1533525" y="8520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74" name="Picture 658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75" name="Picture 659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76" name="Picture 660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77" name="Picture 661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38101</xdr:rowOff>
    </xdr:to>
    <xdr:sp macro="" textlink="">
      <xdr:nvSpPr>
        <xdr:cNvPr id="878" name="Text Box 662"/>
        <xdr:cNvSpPr txBox="1">
          <a:spLocks noChangeArrowheads="1"/>
        </xdr:cNvSpPr>
      </xdr:nvSpPr>
      <xdr:spPr bwMode="auto">
        <a:xfrm>
          <a:off x="1533525" y="8520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79" name="Picture 663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80" name="Picture 664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81" name="Picture 665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solidFill>
          <a:srgbClr val="0000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82" name="Picture 666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83" name="Picture 667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84" name="Picture 669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85" name="Picture 670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86" name="Picture 671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87" name="Picture 672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88" name="Picture 674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89" name="Picture 675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90" name="Picture 676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solidFill>
          <a:srgbClr val="0000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91" name="Picture 700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92" name="Picture 706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93" name="Picture 707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94" name="Picture 708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95" name="Picture 709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96" name="Picture 712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97" name="Picture 713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38101</xdr:rowOff>
    </xdr:to>
    <xdr:sp macro="" textlink="">
      <xdr:nvSpPr>
        <xdr:cNvPr id="898" name="Text Box 714"/>
        <xdr:cNvSpPr txBox="1">
          <a:spLocks noChangeArrowheads="1"/>
        </xdr:cNvSpPr>
      </xdr:nvSpPr>
      <xdr:spPr bwMode="auto">
        <a:xfrm>
          <a:off x="1533525" y="8520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899" name="Picture 715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900" name="Picture 716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901" name="Picture 717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902" name="Picture 718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38101</xdr:rowOff>
    </xdr:to>
    <xdr:sp macro="" textlink="">
      <xdr:nvSpPr>
        <xdr:cNvPr id="903" name="Text Box 719"/>
        <xdr:cNvSpPr txBox="1">
          <a:spLocks noChangeArrowheads="1"/>
        </xdr:cNvSpPr>
      </xdr:nvSpPr>
      <xdr:spPr bwMode="auto">
        <a:xfrm>
          <a:off x="1533525" y="8520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904" name="Picture 720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905" name="Picture 721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906" name="Picture 722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solidFill>
          <a:srgbClr val="0000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907" name="Picture 734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908" name="Picture 735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38101</xdr:rowOff>
    </xdr:to>
    <xdr:sp macro="" textlink="">
      <xdr:nvSpPr>
        <xdr:cNvPr id="909" name="Text Box 736"/>
        <xdr:cNvSpPr txBox="1">
          <a:spLocks noChangeArrowheads="1"/>
        </xdr:cNvSpPr>
      </xdr:nvSpPr>
      <xdr:spPr bwMode="auto">
        <a:xfrm>
          <a:off x="1533525" y="8520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910" name="Picture 737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911" name="Picture 738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912" name="Picture 739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913" name="Picture 740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38101</xdr:rowOff>
    </xdr:to>
    <xdr:sp macro="" textlink="">
      <xdr:nvSpPr>
        <xdr:cNvPr id="914" name="Text Box 741"/>
        <xdr:cNvSpPr txBox="1">
          <a:spLocks noChangeArrowheads="1"/>
        </xdr:cNvSpPr>
      </xdr:nvSpPr>
      <xdr:spPr bwMode="auto">
        <a:xfrm>
          <a:off x="1533525" y="8520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915" name="Picture 742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253</xdr:row>
      <xdr:rowOff>0</xdr:rowOff>
    </xdr:from>
    <xdr:to>
      <xdr:col>13</xdr:col>
      <xdr:colOff>47625</xdr:colOff>
      <xdr:row>253</xdr:row>
      <xdr:rowOff>0</xdr:rowOff>
    </xdr:to>
    <xdr:pic>
      <xdr:nvPicPr>
        <xdr:cNvPr id="916" name="Picture 743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5201125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17" name="Text Box 376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18" name="Text Box 381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19" name="Text Box 139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20" name="Text Box 421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21" name="Text Box 426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22" name="Text Box 431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23" name="Text Box 448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252</xdr:row>
      <xdr:rowOff>0</xdr:rowOff>
    </xdr:from>
    <xdr:to>
      <xdr:col>14</xdr:col>
      <xdr:colOff>342900</xdr:colOff>
      <xdr:row>253</xdr:row>
      <xdr:rowOff>28575</xdr:rowOff>
    </xdr:to>
    <xdr:sp macro="" textlink="">
      <xdr:nvSpPr>
        <xdr:cNvPr id="924" name="Text Box 343"/>
        <xdr:cNvSpPr txBox="1">
          <a:spLocks noChangeArrowheads="1"/>
        </xdr:cNvSpPr>
      </xdr:nvSpPr>
      <xdr:spPr bwMode="auto">
        <a:xfrm>
          <a:off x="6600825" y="22040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252</xdr:row>
      <xdr:rowOff>0</xdr:rowOff>
    </xdr:from>
    <xdr:to>
      <xdr:col>14</xdr:col>
      <xdr:colOff>342900</xdr:colOff>
      <xdr:row>253</xdr:row>
      <xdr:rowOff>28575</xdr:rowOff>
    </xdr:to>
    <xdr:sp macro="" textlink="">
      <xdr:nvSpPr>
        <xdr:cNvPr id="925" name="Text Box 348"/>
        <xdr:cNvSpPr txBox="1">
          <a:spLocks noChangeArrowheads="1"/>
        </xdr:cNvSpPr>
      </xdr:nvSpPr>
      <xdr:spPr bwMode="auto">
        <a:xfrm>
          <a:off x="6600825" y="22040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26" name="Text Box 365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27" name="Text Box 370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28" name="Text Box 354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29" name="Text Box 359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30" name="Text Box 139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31" name="Text Box 421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32" name="Text Box 426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33" name="Text Box 431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34" name="Text Box 448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35" name="Text Box 139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36" name="Text Box 421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37" name="Text Box 426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38" name="Text Box 431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39" name="Text Box 448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40" name="Text Box 288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28576</xdr:rowOff>
    </xdr:to>
    <xdr:sp macro="" textlink="">
      <xdr:nvSpPr>
        <xdr:cNvPr id="941" name="Text Box 293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85726</xdr:rowOff>
    </xdr:to>
    <xdr:sp macro="" textlink="">
      <xdr:nvSpPr>
        <xdr:cNvPr id="942" name="Text Box 139"/>
        <xdr:cNvSpPr txBox="1">
          <a:spLocks noChangeArrowheads="1"/>
        </xdr:cNvSpPr>
      </xdr:nvSpPr>
      <xdr:spPr bwMode="auto">
        <a:xfrm>
          <a:off x="6600825" y="22174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85726</xdr:rowOff>
    </xdr:to>
    <xdr:sp macro="" textlink="">
      <xdr:nvSpPr>
        <xdr:cNvPr id="943" name="Text Box 421"/>
        <xdr:cNvSpPr txBox="1">
          <a:spLocks noChangeArrowheads="1"/>
        </xdr:cNvSpPr>
      </xdr:nvSpPr>
      <xdr:spPr bwMode="auto">
        <a:xfrm>
          <a:off x="6600825" y="22174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85726</xdr:rowOff>
    </xdr:to>
    <xdr:sp macro="" textlink="">
      <xdr:nvSpPr>
        <xdr:cNvPr id="944" name="Text Box 426"/>
        <xdr:cNvSpPr txBox="1">
          <a:spLocks noChangeArrowheads="1"/>
        </xdr:cNvSpPr>
      </xdr:nvSpPr>
      <xdr:spPr bwMode="auto">
        <a:xfrm>
          <a:off x="6600825" y="22174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85726</xdr:rowOff>
    </xdr:to>
    <xdr:sp macro="" textlink="">
      <xdr:nvSpPr>
        <xdr:cNvPr id="945" name="Text Box 431"/>
        <xdr:cNvSpPr txBox="1">
          <a:spLocks noChangeArrowheads="1"/>
        </xdr:cNvSpPr>
      </xdr:nvSpPr>
      <xdr:spPr bwMode="auto">
        <a:xfrm>
          <a:off x="6600825" y="22174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253</xdr:row>
      <xdr:rowOff>0</xdr:rowOff>
    </xdr:from>
    <xdr:to>
      <xdr:col>14</xdr:col>
      <xdr:colOff>342900</xdr:colOff>
      <xdr:row>254</xdr:row>
      <xdr:rowOff>85726</xdr:rowOff>
    </xdr:to>
    <xdr:sp macro="" textlink="">
      <xdr:nvSpPr>
        <xdr:cNvPr id="946" name="Text Box 448"/>
        <xdr:cNvSpPr txBox="1">
          <a:spLocks noChangeArrowheads="1"/>
        </xdr:cNvSpPr>
      </xdr:nvSpPr>
      <xdr:spPr bwMode="auto">
        <a:xfrm>
          <a:off x="6600825" y="22174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47" name="Text Box 387"/>
        <xdr:cNvSpPr txBox="1">
          <a:spLocks noChangeArrowheads="1"/>
        </xdr:cNvSpPr>
      </xdr:nvSpPr>
      <xdr:spPr bwMode="auto">
        <a:xfrm>
          <a:off x="7820025" y="79724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48" name="Text Box 392"/>
        <xdr:cNvSpPr txBox="1">
          <a:spLocks noChangeArrowheads="1"/>
        </xdr:cNvSpPr>
      </xdr:nvSpPr>
      <xdr:spPr bwMode="auto">
        <a:xfrm>
          <a:off x="7820025" y="79724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49" name="Text Box 139"/>
        <xdr:cNvSpPr txBox="1">
          <a:spLocks noChangeArrowheads="1"/>
        </xdr:cNvSpPr>
      </xdr:nvSpPr>
      <xdr:spPr bwMode="auto">
        <a:xfrm>
          <a:off x="7820025" y="79724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50" name="Text Box 421"/>
        <xdr:cNvSpPr txBox="1">
          <a:spLocks noChangeArrowheads="1"/>
        </xdr:cNvSpPr>
      </xdr:nvSpPr>
      <xdr:spPr bwMode="auto">
        <a:xfrm>
          <a:off x="7820025" y="79724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51" name="Text Box 426"/>
        <xdr:cNvSpPr txBox="1">
          <a:spLocks noChangeArrowheads="1"/>
        </xdr:cNvSpPr>
      </xdr:nvSpPr>
      <xdr:spPr bwMode="auto">
        <a:xfrm>
          <a:off x="7820025" y="79724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52" name="Text Box 431"/>
        <xdr:cNvSpPr txBox="1">
          <a:spLocks noChangeArrowheads="1"/>
        </xdr:cNvSpPr>
      </xdr:nvSpPr>
      <xdr:spPr bwMode="auto">
        <a:xfrm>
          <a:off x="7820025" y="79724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53" name="Text Box 448"/>
        <xdr:cNvSpPr txBox="1">
          <a:spLocks noChangeArrowheads="1"/>
        </xdr:cNvSpPr>
      </xdr:nvSpPr>
      <xdr:spPr bwMode="auto">
        <a:xfrm>
          <a:off x="7820025" y="79724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282</xdr:row>
      <xdr:rowOff>0</xdr:rowOff>
    </xdr:from>
    <xdr:to>
      <xdr:col>14</xdr:col>
      <xdr:colOff>342900</xdr:colOff>
      <xdr:row>283</xdr:row>
      <xdr:rowOff>38100</xdr:rowOff>
    </xdr:to>
    <xdr:sp macro="" textlink="">
      <xdr:nvSpPr>
        <xdr:cNvPr id="954" name="Text Box 398"/>
        <xdr:cNvSpPr txBox="1">
          <a:spLocks noChangeArrowheads="1"/>
        </xdr:cNvSpPr>
      </xdr:nvSpPr>
      <xdr:spPr bwMode="auto">
        <a:xfrm>
          <a:off x="6600825" y="249745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282</xdr:row>
      <xdr:rowOff>0</xdr:rowOff>
    </xdr:from>
    <xdr:to>
      <xdr:col>14</xdr:col>
      <xdr:colOff>342900</xdr:colOff>
      <xdr:row>283</xdr:row>
      <xdr:rowOff>38100</xdr:rowOff>
    </xdr:to>
    <xdr:sp macro="" textlink="">
      <xdr:nvSpPr>
        <xdr:cNvPr id="955" name="Text Box 403"/>
        <xdr:cNvSpPr txBox="1">
          <a:spLocks noChangeArrowheads="1"/>
        </xdr:cNvSpPr>
      </xdr:nvSpPr>
      <xdr:spPr bwMode="auto">
        <a:xfrm>
          <a:off x="6600825" y="249745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38100</xdr:rowOff>
    </xdr:to>
    <xdr:sp macro="" textlink="">
      <xdr:nvSpPr>
        <xdr:cNvPr id="956" name="Text Box 409"/>
        <xdr:cNvSpPr txBox="1">
          <a:spLocks noChangeArrowheads="1"/>
        </xdr:cNvSpPr>
      </xdr:nvSpPr>
      <xdr:spPr bwMode="auto">
        <a:xfrm>
          <a:off x="6600825" y="25107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38100</xdr:rowOff>
    </xdr:to>
    <xdr:sp macro="" textlink="">
      <xdr:nvSpPr>
        <xdr:cNvPr id="957" name="Text Box 414"/>
        <xdr:cNvSpPr txBox="1">
          <a:spLocks noChangeArrowheads="1"/>
        </xdr:cNvSpPr>
      </xdr:nvSpPr>
      <xdr:spPr bwMode="auto">
        <a:xfrm>
          <a:off x="6600825" y="25107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38100</xdr:rowOff>
    </xdr:to>
    <xdr:sp macro="" textlink="">
      <xdr:nvSpPr>
        <xdr:cNvPr id="958" name="Text Box 657"/>
        <xdr:cNvSpPr txBox="1">
          <a:spLocks noChangeArrowheads="1"/>
        </xdr:cNvSpPr>
      </xdr:nvSpPr>
      <xdr:spPr bwMode="auto">
        <a:xfrm>
          <a:off x="6600825" y="25107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38100</xdr:rowOff>
    </xdr:to>
    <xdr:sp macro="" textlink="">
      <xdr:nvSpPr>
        <xdr:cNvPr id="959" name="Text Box 662"/>
        <xdr:cNvSpPr txBox="1">
          <a:spLocks noChangeArrowheads="1"/>
        </xdr:cNvSpPr>
      </xdr:nvSpPr>
      <xdr:spPr bwMode="auto">
        <a:xfrm>
          <a:off x="6600825" y="25107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38100</xdr:rowOff>
    </xdr:to>
    <xdr:sp macro="" textlink="">
      <xdr:nvSpPr>
        <xdr:cNvPr id="960" name="Text Box 714"/>
        <xdr:cNvSpPr txBox="1">
          <a:spLocks noChangeArrowheads="1"/>
        </xdr:cNvSpPr>
      </xdr:nvSpPr>
      <xdr:spPr bwMode="auto">
        <a:xfrm>
          <a:off x="6600825" y="25107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38100</xdr:rowOff>
    </xdr:to>
    <xdr:sp macro="" textlink="">
      <xdr:nvSpPr>
        <xdr:cNvPr id="961" name="Text Box 719"/>
        <xdr:cNvSpPr txBox="1">
          <a:spLocks noChangeArrowheads="1"/>
        </xdr:cNvSpPr>
      </xdr:nvSpPr>
      <xdr:spPr bwMode="auto">
        <a:xfrm>
          <a:off x="6600825" y="25107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38100</xdr:rowOff>
    </xdr:to>
    <xdr:sp macro="" textlink="">
      <xdr:nvSpPr>
        <xdr:cNvPr id="962" name="Text Box 736"/>
        <xdr:cNvSpPr txBox="1">
          <a:spLocks noChangeArrowheads="1"/>
        </xdr:cNvSpPr>
      </xdr:nvSpPr>
      <xdr:spPr bwMode="auto">
        <a:xfrm>
          <a:off x="6600825" y="25107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38100</xdr:rowOff>
    </xdr:to>
    <xdr:sp macro="" textlink="">
      <xdr:nvSpPr>
        <xdr:cNvPr id="963" name="Text Box 741"/>
        <xdr:cNvSpPr txBox="1">
          <a:spLocks noChangeArrowheads="1"/>
        </xdr:cNvSpPr>
      </xdr:nvSpPr>
      <xdr:spPr bwMode="auto">
        <a:xfrm>
          <a:off x="6600825" y="25107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64" name="Text Box 376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65" name="Text Box 381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66" name="Text Box 139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67" name="Text Box 421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68" name="Text Box 426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69" name="Text Box 431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70" name="Text Box 448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282</xdr:row>
      <xdr:rowOff>0</xdr:rowOff>
    </xdr:from>
    <xdr:to>
      <xdr:col>14</xdr:col>
      <xdr:colOff>342900</xdr:colOff>
      <xdr:row>283</xdr:row>
      <xdr:rowOff>28575</xdr:rowOff>
    </xdr:to>
    <xdr:sp macro="" textlink="">
      <xdr:nvSpPr>
        <xdr:cNvPr id="971" name="Text Box 343"/>
        <xdr:cNvSpPr txBox="1">
          <a:spLocks noChangeArrowheads="1"/>
        </xdr:cNvSpPr>
      </xdr:nvSpPr>
      <xdr:spPr bwMode="auto">
        <a:xfrm>
          <a:off x="6600825" y="249745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282</xdr:row>
      <xdr:rowOff>0</xdr:rowOff>
    </xdr:from>
    <xdr:to>
      <xdr:col>14</xdr:col>
      <xdr:colOff>342900</xdr:colOff>
      <xdr:row>283</xdr:row>
      <xdr:rowOff>28575</xdr:rowOff>
    </xdr:to>
    <xdr:sp macro="" textlink="">
      <xdr:nvSpPr>
        <xdr:cNvPr id="972" name="Text Box 348"/>
        <xdr:cNvSpPr txBox="1">
          <a:spLocks noChangeArrowheads="1"/>
        </xdr:cNvSpPr>
      </xdr:nvSpPr>
      <xdr:spPr bwMode="auto">
        <a:xfrm>
          <a:off x="6600825" y="249745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73" name="Text Box 365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74" name="Text Box 370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75" name="Text Box 354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76" name="Text Box 359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77" name="Text Box 139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78" name="Text Box 421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79" name="Text Box 426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80" name="Text Box 431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81" name="Text Box 448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82" name="Text Box 139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83" name="Text Box 421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84" name="Text Box 426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85" name="Text Box 431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86" name="Text Box 448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87" name="Text Box 288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28575</xdr:rowOff>
    </xdr:to>
    <xdr:sp macro="" textlink="">
      <xdr:nvSpPr>
        <xdr:cNvPr id="988" name="Text Box 293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85725</xdr:rowOff>
    </xdr:to>
    <xdr:sp macro="" textlink="">
      <xdr:nvSpPr>
        <xdr:cNvPr id="989" name="Text Box 139"/>
        <xdr:cNvSpPr txBox="1">
          <a:spLocks noChangeArrowheads="1"/>
        </xdr:cNvSpPr>
      </xdr:nvSpPr>
      <xdr:spPr bwMode="auto">
        <a:xfrm>
          <a:off x="6600825" y="2510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85725</xdr:rowOff>
    </xdr:to>
    <xdr:sp macro="" textlink="">
      <xdr:nvSpPr>
        <xdr:cNvPr id="990" name="Text Box 421"/>
        <xdr:cNvSpPr txBox="1">
          <a:spLocks noChangeArrowheads="1"/>
        </xdr:cNvSpPr>
      </xdr:nvSpPr>
      <xdr:spPr bwMode="auto">
        <a:xfrm>
          <a:off x="6600825" y="2510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85725</xdr:rowOff>
    </xdr:to>
    <xdr:sp macro="" textlink="">
      <xdr:nvSpPr>
        <xdr:cNvPr id="991" name="Text Box 426"/>
        <xdr:cNvSpPr txBox="1">
          <a:spLocks noChangeArrowheads="1"/>
        </xdr:cNvSpPr>
      </xdr:nvSpPr>
      <xdr:spPr bwMode="auto">
        <a:xfrm>
          <a:off x="6600825" y="2510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85725</xdr:rowOff>
    </xdr:to>
    <xdr:sp macro="" textlink="">
      <xdr:nvSpPr>
        <xdr:cNvPr id="992" name="Text Box 431"/>
        <xdr:cNvSpPr txBox="1">
          <a:spLocks noChangeArrowheads="1"/>
        </xdr:cNvSpPr>
      </xdr:nvSpPr>
      <xdr:spPr bwMode="auto">
        <a:xfrm>
          <a:off x="6600825" y="2510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283</xdr:row>
      <xdr:rowOff>0</xdr:rowOff>
    </xdr:from>
    <xdr:to>
      <xdr:col>14</xdr:col>
      <xdr:colOff>342900</xdr:colOff>
      <xdr:row>284</xdr:row>
      <xdr:rowOff>85725</xdr:rowOff>
    </xdr:to>
    <xdr:sp macro="" textlink="">
      <xdr:nvSpPr>
        <xdr:cNvPr id="993" name="Text Box 448"/>
        <xdr:cNvSpPr txBox="1">
          <a:spLocks noChangeArrowheads="1"/>
        </xdr:cNvSpPr>
      </xdr:nvSpPr>
      <xdr:spPr bwMode="auto">
        <a:xfrm>
          <a:off x="6600825" y="2510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994" name="Picture 452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995" name="Picture 453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996" name="Picture 454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997" name="Picture 455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998" name="Text Box 456"/>
        <xdr:cNvSpPr txBox="1">
          <a:spLocks noChangeArrowheads="1"/>
        </xdr:cNvSpPr>
      </xdr:nvSpPr>
      <xdr:spPr bwMode="auto">
        <a:xfrm>
          <a:off x="7820025" y="8486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999" name="Picture 457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00" name="Picture 458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01" name="Picture 459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02" name="Picture 460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03" name="Text Box 461"/>
        <xdr:cNvSpPr txBox="1">
          <a:spLocks noChangeArrowheads="1"/>
        </xdr:cNvSpPr>
      </xdr:nvSpPr>
      <xdr:spPr bwMode="auto">
        <a:xfrm>
          <a:off x="7820025" y="8486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04" name="Picture 462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05" name="Picture 463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06" name="Picture 464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solidFill>
          <a:srgbClr val="0000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07" name="Text Box 468"/>
        <xdr:cNvSpPr txBox="1">
          <a:spLocks noChangeArrowheads="1"/>
        </xdr:cNvSpPr>
      </xdr:nvSpPr>
      <xdr:spPr bwMode="auto">
        <a:xfrm>
          <a:off x="7820025" y="8486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08" name="Text Box 473"/>
        <xdr:cNvSpPr txBox="1">
          <a:spLocks noChangeArrowheads="1"/>
        </xdr:cNvSpPr>
      </xdr:nvSpPr>
      <xdr:spPr bwMode="auto">
        <a:xfrm>
          <a:off x="7820025" y="8486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09" name="Picture 641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10" name="Picture 642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11" name="Picture 647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12" name="Picture 648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13" name="Picture 649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14" name="Picture 650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15" name="Picture 651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16" name="Picture 652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17" name="Text Box 668"/>
        <xdr:cNvSpPr txBox="1">
          <a:spLocks noChangeArrowheads="1"/>
        </xdr:cNvSpPr>
      </xdr:nvSpPr>
      <xdr:spPr bwMode="auto">
        <a:xfrm>
          <a:off x="7820025" y="8486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18" name="Text Box 673"/>
        <xdr:cNvSpPr txBox="1">
          <a:spLocks noChangeArrowheads="1"/>
        </xdr:cNvSpPr>
      </xdr:nvSpPr>
      <xdr:spPr bwMode="auto">
        <a:xfrm>
          <a:off x="7820025" y="8486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19" name="Picture 677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20" name="Picture 678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21" name="Text Box 679"/>
        <xdr:cNvSpPr txBox="1">
          <a:spLocks noChangeArrowheads="1"/>
        </xdr:cNvSpPr>
      </xdr:nvSpPr>
      <xdr:spPr bwMode="auto">
        <a:xfrm>
          <a:off x="7820025" y="8486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22" name="Picture 680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23" name="Picture 681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24" name="Picture 682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25" name="Picture 683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26" name="Text Box 684"/>
        <xdr:cNvSpPr txBox="1">
          <a:spLocks noChangeArrowheads="1"/>
        </xdr:cNvSpPr>
      </xdr:nvSpPr>
      <xdr:spPr bwMode="auto">
        <a:xfrm>
          <a:off x="7820025" y="8486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27" name="Picture 685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28" name="Picture 686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29" name="Picture 687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solidFill>
          <a:srgbClr val="0000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30" name="Picture 688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31" name="Picture 689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32" name="Text Box 690"/>
        <xdr:cNvSpPr txBox="1">
          <a:spLocks noChangeArrowheads="1"/>
        </xdr:cNvSpPr>
      </xdr:nvSpPr>
      <xdr:spPr bwMode="auto">
        <a:xfrm>
          <a:off x="7820025" y="8486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33" name="Picture 691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34" name="Picture 692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35" name="Picture 693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36" name="Picture 694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37" name="Text Box 695"/>
        <xdr:cNvSpPr txBox="1">
          <a:spLocks noChangeArrowheads="1"/>
        </xdr:cNvSpPr>
      </xdr:nvSpPr>
      <xdr:spPr bwMode="auto">
        <a:xfrm>
          <a:off x="7820025" y="8486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38" name="Picture 696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39" name="Picture 697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38100</xdr:colOff>
      <xdr:row>312</xdr:row>
      <xdr:rowOff>0</xdr:rowOff>
    </xdr:from>
    <xdr:to>
      <xdr:col>13</xdr:col>
      <xdr:colOff>66675</xdr:colOff>
      <xdr:row>312</xdr:row>
      <xdr:rowOff>0</xdr:rowOff>
    </xdr:to>
    <xdr:pic>
      <xdr:nvPicPr>
        <xdr:cNvPr id="1040" name="Picture 698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10325" y="84867750"/>
          <a:ext cx="247650" cy="0"/>
        </a:xfrm>
        <a:prstGeom prst="rect">
          <a:avLst/>
        </a:prstGeom>
        <a:solidFill>
          <a:srgbClr val="0000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41" name="Picture 699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42" name="Picture 701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43" name="Picture 702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44" name="Picture 703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45" name="Picture 704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46" name="Picture 705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47" name="Text Box 710"/>
        <xdr:cNvSpPr txBox="1">
          <a:spLocks noChangeArrowheads="1"/>
        </xdr:cNvSpPr>
      </xdr:nvSpPr>
      <xdr:spPr bwMode="auto">
        <a:xfrm>
          <a:off x="7820025" y="8486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48" name="Text Box 711"/>
        <xdr:cNvSpPr txBox="1">
          <a:spLocks noChangeArrowheads="1"/>
        </xdr:cNvSpPr>
      </xdr:nvSpPr>
      <xdr:spPr bwMode="auto">
        <a:xfrm>
          <a:off x="7820025" y="8486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49" name="Picture 723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50" name="Picture 724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51" name="Text Box 725"/>
        <xdr:cNvSpPr txBox="1">
          <a:spLocks noChangeArrowheads="1"/>
        </xdr:cNvSpPr>
      </xdr:nvSpPr>
      <xdr:spPr bwMode="auto">
        <a:xfrm>
          <a:off x="7820025" y="8486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52" name="Picture 726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53" name="Picture 727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54" name="Picture 728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55" name="Picture 729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56" name="Text Box 730"/>
        <xdr:cNvSpPr txBox="1">
          <a:spLocks noChangeArrowheads="1"/>
        </xdr:cNvSpPr>
      </xdr:nvSpPr>
      <xdr:spPr bwMode="auto">
        <a:xfrm>
          <a:off x="7820025" y="8486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57" name="Picture 731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58" name="Picture 732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59" name="Picture 733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solidFill>
          <a:srgbClr val="0000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60" name="Picture 745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61" name="Picture 746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62" name="Picture 747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63" name="Text Box 748"/>
        <xdr:cNvSpPr txBox="1">
          <a:spLocks noChangeArrowheads="1"/>
        </xdr:cNvSpPr>
      </xdr:nvSpPr>
      <xdr:spPr bwMode="auto">
        <a:xfrm>
          <a:off x="7820025" y="8486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64" name="Picture 749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65" name="Picture 750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66" name="Picture 751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67" name="Picture 752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68" name="Text Box 753"/>
        <xdr:cNvSpPr txBox="1">
          <a:spLocks noChangeArrowheads="1"/>
        </xdr:cNvSpPr>
      </xdr:nvSpPr>
      <xdr:spPr bwMode="auto">
        <a:xfrm>
          <a:off x="7820025" y="8486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69" name="Picture 754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47625</xdr:colOff>
      <xdr:row>312</xdr:row>
      <xdr:rowOff>0</xdr:rowOff>
    </xdr:to>
    <xdr:pic>
      <xdr:nvPicPr>
        <xdr:cNvPr id="1070" name="Picture 755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47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19050</xdr:colOff>
      <xdr:row>312</xdr:row>
      <xdr:rowOff>0</xdr:rowOff>
    </xdr:from>
    <xdr:to>
      <xdr:col>13</xdr:col>
      <xdr:colOff>28575</xdr:colOff>
      <xdr:row>312</xdr:row>
      <xdr:rowOff>0</xdr:rowOff>
    </xdr:to>
    <xdr:pic>
      <xdr:nvPicPr>
        <xdr:cNvPr id="1071" name="Picture 756" descr="bali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1275" y="84867750"/>
          <a:ext cx="228600" cy="0"/>
        </a:xfrm>
        <a:prstGeom prst="rect">
          <a:avLst/>
        </a:prstGeom>
        <a:solidFill>
          <a:srgbClr val="0000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72" name="Text Box 387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73" name="Text Box 392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74" name="Text Box 139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75" name="Text Box 42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76" name="Text Box 426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77" name="Text Box 43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78" name="Text Box 448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311</xdr:row>
      <xdr:rowOff>0</xdr:rowOff>
    </xdr:from>
    <xdr:to>
      <xdr:col>14</xdr:col>
      <xdr:colOff>342900</xdr:colOff>
      <xdr:row>312</xdr:row>
      <xdr:rowOff>38100</xdr:rowOff>
    </xdr:to>
    <xdr:sp macro="" textlink="">
      <xdr:nvSpPr>
        <xdr:cNvPr id="1079" name="Text Box 398"/>
        <xdr:cNvSpPr txBox="1">
          <a:spLocks noChangeArrowheads="1"/>
        </xdr:cNvSpPr>
      </xdr:nvSpPr>
      <xdr:spPr bwMode="auto">
        <a:xfrm>
          <a:off x="6600825" y="280416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311</xdr:row>
      <xdr:rowOff>0</xdr:rowOff>
    </xdr:from>
    <xdr:to>
      <xdr:col>14</xdr:col>
      <xdr:colOff>342900</xdr:colOff>
      <xdr:row>312</xdr:row>
      <xdr:rowOff>38100</xdr:rowOff>
    </xdr:to>
    <xdr:sp macro="" textlink="">
      <xdr:nvSpPr>
        <xdr:cNvPr id="1080" name="Text Box 403"/>
        <xdr:cNvSpPr txBox="1">
          <a:spLocks noChangeArrowheads="1"/>
        </xdr:cNvSpPr>
      </xdr:nvSpPr>
      <xdr:spPr bwMode="auto">
        <a:xfrm>
          <a:off x="6600825" y="280416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38100</xdr:rowOff>
    </xdr:to>
    <xdr:sp macro="" textlink="">
      <xdr:nvSpPr>
        <xdr:cNvPr id="1081" name="Text Box 409"/>
        <xdr:cNvSpPr txBox="1">
          <a:spLocks noChangeArrowheads="1"/>
        </xdr:cNvSpPr>
      </xdr:nvSpPr>
      <xdr:spPr bwMode="auto">
        <a:xfrm>
          <a:off x="6600825" y="281749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38100</xdr:rowOff>
    </xdr:to>
    <xdr:sp macro="" textlink="">
      <xdr:nvSpPr>
        <xdr:cNvPr id="1082" name="Text Box 414"/>
        <xdr:cNvSpPr txBox="1">
          <a:spLocks noChangeArrowheads="1"/>
        </xdr:cNvSpPr>
      </xdr:nvSpPr>
      <xdr:spPr bwMode="auto">
        <a:xfrm>
          <a:off x="6600825" y="281749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38100</xdr:rowOff>
    </xdr:to>
    <xdr:sp macro="" textlink="">
      <xdr:nvSpPr>
        <xdr:cNvPr id="1083" name="Text Box 657"/>
        <xdr:cNvSpPr txBox="1">
          <a:spLocks noChangeArrowheads="1"/>
        </xdr:cNvSpPr>
      </xdr:nvSpPr>
      <xdr:spPr bwMode="auto">
        <a:xfrm>
          <a:off x="6600825" y="281749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38100</xdr:rowOff>
    </xdr:to>
    <xdr:sp macro="" textlink="">
      <xdr:nvSpPr>
        <xdr:cNvPr id="1084" name="Text Box 662"/>
        <xdr:cNvSpPr txBox="1">
          <a:spLocks noChangeArrowheads="1"/>
        </xdr:cNvSpPr>
      </xdr:nvSpPr>
      <xdr:spPr bwMode="auto">
        <a:xfrm>
          <a:off x="6600825" y="281749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38100</xdr:rowOff>
    </xdr:to>
    <xdr:sp macro="" textlink="">
      <xdr:nvSpPr>
        <xdr:cNvPr id="1085" name="Text Box 714"/>
        <xdr:cNvSpPr txBox="1">
          <a:spLocks noChangeArrowheads="1"/>
        </xdr:cNvSpPr>
      </xdr:nvSpPr>
      <xdr:spPr bwMode="auto">
        <a:xfrm>
          <a:off x="6600825" y="281749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38100</xdr:rowOff>
    </xdr:to>
    <xdr:sp macro="" textlink="">
      <xdr:nvSpPr>
        <xdr:cNvPr id="1086" name="Text Box 719"/>
        <xdr:cNvSpPr txBox="1">
          <a:spLocks noChangeArrowheads="1"/>
        </xdr:cNvSpPr>
      </xdr:nvSpPr>
      <xdr:spPr bwMode="auto">
        <a:xfrm>
          <a:off x="6600825" y="281749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38100</xdr:rowOff>
    </xdr:to>
    <xdr:sp macro="" textlink="">
      <xdr:nvSpPr>
        <xdr:cNvPr id="1087" name="Text Box 736"/>
        <xdr:cNvSpPr txBox="1">
          <a:spLocks noChangeArrowheads="1"/>
        </xdr:cNvSpPr>
      </xdr:nvSpPr>
      <xdr:spPr bwMode="auto">
        <a:xfrm>
          <a:off x="6600825" y="281749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38100</xdr:rowOff>
    </xdr:to>
    <xdr:sp macro="" textlink="">
      <xdr:nvSpPr>
        <xdr:cNvPr id="1088" name="Text Box 741"/>
        <xdr:cNvSpPr txBox="1">
          <a:spLocks noChangeArrowheads="1"/>
        </xdr:cNvSpPr>
      </xdr:nvSpPr>
      <xdr:spPr bwMode="auto">
        <a:xfrm>
          <a:off x="6600825" y="281749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89" name="Text Box 376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90" name="Text Box 38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91" name="Text Box 139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92" name="Text Box 42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93" name="Text Box 426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94" name="Text Box 43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95" name="Text Box 448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311</xdr:row>
      <xdr:rowOff>0</xdr:rowOff>
    </xdr:from>
    <xdr:to>
      <xdr:col>14</xdr:col>
      <xdr:colOff>342900</xdr:colOff>
      <xdr:row>312</xdr:row>
      <xdr:rowOff>28575</xdr:rowOff>
    </xdr:to>
    <xdr:sp macro="" textlink="">
      <xdr:nvSpPr>
        <xdr:cNvPr id="1096" name="Text Box 343"/>
        <xdr:cNvSpPr txBox="1">
          <a:spLocks noChangeArrowheads="1"/>
        </xdr:cNvSpPr>
      </xdr:nvSpPr>
      <xdr:spPr bwMode="auto">
        <a:xfrm>
          <a:off x="6600825" y="28041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311</xdr:row>
      <xdr:rowOff>0</xdr:rowOff>
    </xdr:from>
    <xdr:to>
      <xdr:col>14</xdr:col>
      <xdr:colOff>342900</xdr:colOff>
      <xdr:row>312</xdr:row>
      <xdr:rowOff>28575</xdr:rowOff>
    </xdr:to>
    <xdr:sp macro="" textlink="">
      <xdr:nvSpPr>
        <xdr:cNvPr id="1097" name="Text Box 348"/>
        <xdr:cNvSpPr txBox="1">
          <a:spLocks noChangeArrowheads="1"/>
        </xdr:cNvSpPr>
      </xdr:nvSpPr>
      <xdr:spPr bwMode="auto">
        <a:xfrm>
          <a:off x="6600825" y="28041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98" name="Text Box 365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099" name="Text Box 370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100" name="Text Box 354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101" name="Text Box 359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102" name="Text Box 139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103" name="Text Box 42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104" name="Text Box 426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105" name="Text Box 43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106" name="Text Box 448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107" name="Text Box 139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108" name="Text Box 42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109" name="Text Box 426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110" name="Text Box 43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111" name="Text Box 448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112" name="Text Box 288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28575</xdr:rowOff>
    </xdr:to>
    <xdr:sp macro="" textlink="">
      <xdr:nvSpPr>
        <xdr:cNvPr id="1113" name="Text Box 293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85725</xdr:rowOff>
    </xdr:to>
    <xdr:sp macro="" textlink="">
      <xdr:nvSpPr>
        <xdr:cNvPr id="1114" name="Text Box 139"/>
        <xdr:cNvSpPr txBox="1">
          <a:spLocks noChangeArrowheads="1"/>
        </xdr:cNvSpPr>
      </xdr:nvSpPr>
      <xdr:spPr bwMode="auto">
        <a:xfrm>
          <a:off x="6600825" y="28174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85725</xdr:rowOff>
    </xdr:to>
    <xdr:sp macro="" textlink="">
      <xdr:nvSpPr>
        <xdr:cNvPr id="1115" name="Text Box 421"/>
        <xdr:cNvSpPr txBox="1">
          <a:spLocks noChangeArrowheads="1"/>
        </xdr:cNvSpPr>
      </xdr:nvSpPr>
      <xdr:spPr bwMode="auto">
        <a:xfrm>
          <a:off x="6600825" y="28174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85725</xdr:rowOff>
    </xdr:to>
    <xdr:sp macro="" textlink="">
      <xdr:nvSpPr>
        <xdr:cNvPr id="1116" name="Text Box 426"/>
        <xdr:cNvSpPr txBox="1">
          <a:spLocks noChangeArrowheads="1"/>
        </xdr:cNvSpPr>
      </xdr:nvSpPr>
      <xdr:spPr bwMode="auto">
        <a:xfrm>
          <a:off x="6600825" y="28174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85725</xdr:rowOff>
    </xdr:to>
    <xdr:sp macro="" textlink="">
      <xdr:nvSpPr>
        <xdr:cNvPr id="1117" name="Text Box 431"/>
        <xdr:cNvSpPr txBox="1">
          <a:spLocks noChangeArrowheads="1"/>
        </xdr:cNvSpPr>
      </xdr:nvSpPr>
      <xdr:spPr bwMode="auto">
        <a:xfrm>
          <a:off x="6600825" y="28174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312</xdr:row>
      <xdr:rowOff>0</xdr:rowOff>
    </xdr:from>
    <xdr:to>
      <xdr:col>14</xdr:col>
      <xdr:colOff>342900</xdr:colOff>
      <xdr:row>313</xdr:row>
      <xdr:rowOff>85725</xdr:rowOff>
    </xdr:to>
    <xdr:sp macro="" textlink="">
      <xdr:nvSpPr>
        <xdr:cNvPr id="1118" name="Text Box 448"/>
        <xdr:cNvSpPr txBox="1">
          <a:spLocks noChangeArrowheads="1"/>
        </xdr:cNvSpPr>
      </xdr:nvSpPr>
      <xdr:spPr bwMode="auto">
        <a:xfrm>
          <a:off x="6600825" y="28174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28575</xdr:rowOff>
    </xdr:to>
    <xdr:sp macro="" textlink="">
      <xdr:nvSpPr>
        <xdr:cNvPr id="1119" name="Text Box 81"/>
        <xdr:cNvSpPr txBox="1">
          <a:spLocks noChangeArrowheads="1"/>
        </xdr:cNvSpPr>
      </xdr:nvSpPr>
      <xdr:spPr bwMode="auto">
        <a:xfrm>
          <a:off x="1533525" y="43033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28575</xdr:rowOff>
    </xdr:to>
    <xdr:sp macro="" textlink="">
      <xdr:nvSpPr>
        <xdr:cNvPr id="1120" name="Text Box 244"/>
        <xdr:cNvSpPr txBox="1">
          <a:spLocks noChangeArrowheads="1"/>
        </xdr:cNvSpPr>
      </xdr:nvSpPr>
      <xdr:spPr bwMode="auto">
        <a:xfrm>
          <a:off x="1533525" y="43033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28575</xdr:rowOff>
    </xdr:to>
    <xdr:sp macro="" textlink="">
      <xdr:nvSpPr>
        <xdr:cNvPr id="1121" name="Text Box 249"/>
        <xdr:cNvSpPr txBox="1">
          <a:spLocks noChangeArrowheads="1"/>
        </xdr:cNvSpPr>
      </xdr:nvSpPr>
      <xdr:spPr bwMode="auto">
        <a:xfrm>
          <a:off x="1533525" y="43033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28575</xdr:rowOff>
    </xdr:to>
    <xdr:sp macro="" textlink="">
      <xdr:nvSpPr>
        <xdr:cNvPr id="1122" name="Text Box 139"/>
        <xdr:cNvSpPr txBox="1">
          <a:spLocks noChangeArrowheads="1"/>
        </xdr:cNvSpPr>
      </xdr:nvSpPr>
      <xdr:spPr bwMode="auto">
        <a:xfrm>
          <a:off x="1533525" y="43033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28575</xdr:rowOff>
    </xdr:to>
    <xdr:sp macro="" textlink="">
      <xdr:nvSpPr>
        <xdr:cNvPr id="1123" name="Text Box 421"/>
        <xdr:cNvSpPr txBox="1">
          <a:spLocks noChangeArrowheads="1"/>
        </xdr:cNvSpPr>
      </xdr:nvSpPr>
      <xdr:spPr bwMode="auto">
        <a:xfrm>
          <a:off x="1533525" y="43033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28575</xdr:rowOff>
    </xdr:to>
    <xdr:sp macro="" textlink="">
      <xdr:nvSpPr>
        <xdr:cNvPr id="1124" name="Text Box 426"/>
        <xdr:cNvSpPr txBox="1">
          <a:spLocks noChangeArrowheads="1"/>
        </xdr:cNvSpPr>
      </xdr:nvSpPr>
      <xdr:spPr bwMode="auto">
        <a:xfrm>
          <a:off x="1533525" y="43033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28575</xdr:rowOff>
    </xdr:to>
    <xdr:sp macro="" textlink="">
      <xdr:nvSpPr>
        <xdr:cNvPr id="1125" name="Text Box 431"/>
        <xdr:cNvSpPr txBox="1">
          <a:spLocks noChangeArrowheads="1"/>
        </xdr:cNvSpPr>
      </xdr:nvSpPr>
      <xdr:spPr bwMode="auto">
        <a:xfrm>
          <a:off x="1533525" y="43033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28575</xdr:rowOff>
    </xdr:to>
    <xdr:sp macro="" textlink="">
      <xdr:nvSpPr>
        <xdr:cNvPr id="1126" name="Text Box 448"/>
        <xdr:cNvSpPr txBox="1">
          <a:spLocks noChangeArrowheads="1"/>
        </xdr:cNvSpPr>
      </xdr:nvSpPr>
      <xdr:spPr bwMode="auto">
        <a:xfrm>
          <a:off x="1533525" y="43033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28575</xdr:rowOff>
    </xdr:to>
    <xdr:sp macro="" textlink="">
      <xdr:nvSpPr>
        <xdr:cNvPr id="1127" name="Text Box 93"/>
        <xdr:cNvSpPr txBox="1">
          <a:spLocks noChangeArrowheads="1"/>
        </xdr:cNvSpPr>
      </xdr:nvSpPr>
      <xdr:spPr bwMode="auto">
        <a:xfrm>
          <a:off x="1290638" y="58078688"/>
          <a:ext cx="76200" cy="1635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28575</xdr:rowOff>
    </xdr:to>
    <xdr:sp macro="" textlink="">
      <xdr:nvSpPr>
        <xdr:cNvPr id="1128" name="Text Box 222"/>
        <xdr:cNvSpPr txBox="1">
          <a:spLocks noChangeArrowheads="1"/>
        </xdr:cNvSpPr>
      </xdr:nvSpPr>
      <xdr:spPr bwMode="auto">
        <a:xfrm>
          <a:off x="1290638" y="58078688"/>
          <a:ext cx="76200" cy="1635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28575</xdr:rowOff>
    </xdr:to>
    <xdr:sp macro="" textlink="">
      <xdr:nvSpPr>
        <xdr:cNvPr id="1129" name="Text Box 494"/>
        <xdr:cNvSpPr txBox="1">
          <a:spLocks noChangeArrowheads="1"/>
        </xdr:cNvSpPr>
      </xdr:nvSpPr>
      <xdr:spPr bwMode="auto">
        <a:xfrm>
          <a:off x="1290638" y="58078688"/>
          <a:ext cx="76200" cy="1635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28575</xdr:rowOff>
    </xdr:to>
    <xdr:sp macro="" textlink="">
      <xdr:nvSpPr>
        <xdr:cNvPr id="1130" name="Text Box 499"/>
        <xdr:cNvSpPr txBox="1">
          <a:spLocks noChangeArrowheads="1"/>
        </xdr:cNvSpPr>
      </xdr:nvSpPr>
      <xdr:spPr bwMode="auto">
        <a:xfrm>
          <a:off x="1290638" y="58078688"/>
          <a:ext cx="76200" cy="1635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31" name="Text Box 139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32" name="Text Box 421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33" name="Text Box 426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34" name="Text Box 431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35" name="Text Box 448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36" name="Text Box 117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37" name="Text Box 192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28575</xdr:rowOff>
    </xdr:to>
    <xdr:sp macro="" textlink="">
      <xdr:nvSpPr>
        <xdr:cNvPr id="1138" name="Text Box 125"/>
        <xdr:cNvSpPr txBox="1">
          <a:spLocks noChangeArrowheads="1"/>
        </xdr:cNvSpPr>
      </xdr:nvSpPr>
      <xdr:spPr bwMode="auto">
        <a:xfrm>
          <a:off x="1290638" y="58078688"/>
          <a:ext cx="76200" cy="1635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28575</xdr:rowOff>
    </xdr:to>
    <xdr:sp macro="" textlink="">
      <xdr:nvSpPr>
        <xdr:cNvPr id="1139" name="Text Box 160"/>
        <xdr:cNvSpPr txBox="1">
          <a:spLocks noChangeArrowheads="1"/>
        </xdr:cNvSpPr>
      </xdr:nvSpPr>
      <xdr:spPr bwMode="auto">
        <a:xfrm>
          <a:off x="1290638" y="58078688"/>
          <a:ext cx="76200" cy="1635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28575</xdr:rowOff>
    </xdr:to>
    <xdr:sp macro="" textlink="">
      <xdr:nvSpPr>
        <xdr:cNvPr id="1140" name="Text Box 182"/>
        <xdr:cNvSpPr txBox="1">
          <a:spLocks noChangeArrowheads="1"/>
        </xdr:cNvSpPr>
      </xdr:nvSpPr>
      <xdr:spPr bwMode="auto">
        <a:xfrm>
          <a:off x="1290638" y="58078688"/>
          <a:ext cx="76200" cy="1635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462</xdr:row>
      <xdr:rowOff>0</xdr:rowOff>
    </xdr:from>
    <xdr:to>
      <xdr:col>2</xdr:col>
      <xdr:colOff>342900</xdr:colOff>
      <xdr:row>463</xdr:row>
      <xdr:rowOff>85725</xdr:rowOff>
    </xdr:to>
    <xdr:sp macro="" textlink="">
      <xdr:nvSpPr>
        <xdr:cNvPr id="1141" name="Text Box 137"/>
        <xdr:cNvSpPr txBox="1">
          <a:spLocks noChangeArrowheads="1"/>
        </xdr:cNvSpPr>
      </xdr:nvSpPr>
      <xdr:spPr bwMode="auto">
        <a:xfrm>
          <a:off x="1290638" y="57943750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462</xdr:row>
      <xdr:rowOff>0</xdr:rowOff>
    </xdr:from>
    <xdr:to>
      <xdr:col>2</xdr:col>
      <xdr:colOff>342900</xdr:colOff>
      <xdr:row>463</xdr:row>
      <xdr:rowOff>85725</xdr:rowOff>
    </xdr:to>
    <xdr:sp macro="" textlink="">
      <xdr:nvSpPr>
        <xdr:cNvPr id="1142" name="Text Box 170"/>
        <xdr:cNvSpPr txBox="1">
          <a:spLocks noChangeArrowheads="1"/>
        </xdr:cNvSpPr>
      </xdr:nvSpPr>
      <xdr:spPr bwMode="auto">
        <a:xfrm>
          <a:off x="1290638" y="57943750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43" name="Text Box 438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44" name="Text Box 443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45" name="Text Box 139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46" name="Text Box 421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47" name="Text Box 426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48" name="Text Box 431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49" name="Text Box 448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50" name="Text Box 481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51" name="Text Box 486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52" name="Text Box 139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53" name="Text Box 421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54" name="Text Box 426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55" name="Text Box 431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56" name="Text Box 448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57" name="Text Box 549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58" name="Text Box 554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59" name="Text Box 139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60" name="Text Box 421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61" name="Text Box 426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62" name="Text Box 431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463</xdr:row>
      <xdr:rowOff>0</xdr:rowOff>
    </xdr:from>
    <xdr:to>
      <xdr:col>2</xdr:col>
      <xdr:colOff>342900</xdr:colOff>
      <xdr:row>464</xdr:row>
      <xdr:rowOff>85725</xdr:rowOff>
    </xdr:to>
    <xdr:sp macro="" textlink="">
      <xdr:nvSpPr>
        <xdr:cNvPr id="1163" name="Text Box 448"/>
        <xdr:cNvSpPr txBox="1">
          <a:spLocks noChangeArrowheads="1"/>
        </xdr:cNvSpPr>
      </xdr:nvSpPr>
      <xdr:spPr bwMode="auto">
        <a:xfrm>
          <a:off x="1290638" y="58078688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195" name="Text Box 332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196" name="Text Box 337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197" name="Text Box 139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198" name="Text Box 421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199" name="Text Box 426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00" name="Text Box 431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01" name="Text Box 448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02" name="Text Box 139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03" name="Text Box 421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04" name="Text Box 426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05" name="Text Box 431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06" name="Text Box 448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07" name="Text Box 121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08" name="Text Box 187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09" name="Text Box 139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10" name="Text Box 421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11" name="Text Box 426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12" name="Text Box 431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13" name="Text Box 448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14" name="Text Box 133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15" name="Text Box 155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16" name="Text Box 172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17" name="Text Box 93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18" name="Text Box 222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19" name="Text Box 494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20" name="Text Box 499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21" name="Text Box 125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22" name="Text Box 160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87313</xdr:rowOff>
    </xdr:to>
    <xdr:sp macro="" textlink="">
      <xdr:nvSpPr>
        <xdr:cNvPr id="1223" name="Text Box 182"/>
        <xdr:cNvSpPr txBox="1">
          <a:spLocks noChangeArrowheads="1"/>
        </xdr:cNvSpPr>
      </xdr:nvSpPr>
      <xdr:spPr bwMode="auto">
        <a:xfrm>
          <a:off x="1291960" y="95488125"/>
          <a:ext cx="76200" cy="219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87312</xdr:rowOff>
    </xdr:to>
    <xdr:sp macro="" textlink="">
      <xdr:nvSpPr>
        <xdr:cNvPr id="1224" name="Text Box 137"/>
        <xdr:cNvSpPr txBox="1">
          <a:spLocks noChangeArrowheads="1"/>
        </xdr:cNvSpPr>
      </xdr:nvSpPr>
      <xdr:spPr bwMode="auto">
        <a:xfrm>
          <a:off x="1291960" y="95355833"/>
          <a:ext cx="76200" cy="2196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724</xdr:row>
      <xdr:rowOff>0</xdr:rowOff>
    </xdr:from>
    <xdr:to>
      <xdr:col>2</xdr:col>
      <xdr:colOff>342900</xdr:colOff>
      <xdr:row>725</xdr:row>
      <xdr:rowOff>87312</xdr:rowOff>
    </xdr:to>
    <xdr:sp macro="" textlink="">
      <xdr:nvSpPr>
        <xdr:cNvPr id="1225" name="Text Box 170"/>
        <xdr:cNvSpPr txBox="1">
          <a:spLocks noChangeArrowheads="1"/>
        </xdr:cNvSpPr>
      </xdr:nvSpPr>
      <xdr:spPr bwMode="auto">
        <a:xfrm>
          <a:off x="1291960" y="95355833"/>
          <a:ext cx="76200" cy="2196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19</xdr:row>
      <xdr:rowOff>0</xdr:rowOff>
    </xdr:from>
    <xdr:to>
      <xdr:col>23</xdr:col>
      <xdr:colOff>342900</xdr:colOff>
      <xdr:row>20</xdr:row>
      <xdr:rowOff>85724</xdr:rowOff>
    </xdr:to>
    <xdr:sp macro="" textlink="">
      <xdr:nvSpPr>
        <xdr:cNvPr id="1164" name="Text Box 481"/>
        <xdr:cNvSpPr txBox="1">
          <a:spLocks noChangeArrowheads="1"/>
        </xdr:cNvSpPr>
      </xdr:nvSpPr>
      <xdr:spPr bwMode="auto">
        <a:xfrm>
          <a:off x="1291960" y="2166937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19</xdr:row>
      <xdr:rowOff>0</xdr:rowOff>
    </xdr:from>
    <xdr:to>
      <xdr:col>23</xdr:col>
      <xdr:colOff>342900</xdr:colOff>
      <xdr:row>20</xdr:row>
      <xdr:rowOff>85724</xdr:rowOff>
    </xdr:to>
    <xdr:sp macro="" textlink="">
      <xdr:nvSpPr>
        <xdr:cNvPr id="1165" name="Text Box 486"/>
        <xdr:cNvSpPr txBox="1">
          <a:spLocks noChangeArrowheads="1"/>
        </xdr:cNvSpPr>
      </xdr:nvSpPr>
      <xdr:spPr bwMode="auto">
        <a:xfrm>
          <a:off x="1291960" y="2166937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19</xdr:row>
      <xdr:rowOff>0</xdr:rowOff>
    </xdr:from>
    <xdr:to>
      <xdr:col>23</xdr:col>
      <xdr:colOff>342900</xdr:colOff>
      <xdr:row>20</xdr:row>
      <xdr:rowOff>85724</xdr:rowOff>
    </xdr:to>
    <xdr:sp macro="" textlink="">
      <xdr:nvSpPr>
        <xdr:cNvPr id="1166" name="Text Box 139"/>
        <xdr:cNvSpPr txBox="1">
          <a:spLocks noChangeArrowheads="1"/>
        </xdr:cNvSpPr>
      </xdr:nvSpPr>
      <xdr:spPr bwMode="auto">
        <a:xfrm>
          <a:off x="1291960" y="2166937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19</xdr:row>
      <xdr:rowOff>0</xdr:rowOff>
    </xdr:from>
    <xdr:to>
      <xdr:col>23</xdr:col>
      <xdr:colOff>342900</xdr:colOff>
      <xdr:row>20</xdr:row>
      <xdr:rowOff>85724</xdr:rowOff>
    </xdr:to>
    <xdr:sp macro="" textlink="">
      <xdr:nvSpPr>
        <xdr:cNvPr id="1167" name="Text Box 421"/>
        <xdr:cNvSpPr txBox="1">
          <a:spLocks noChangeArrowheads="1"/>
        </xdr:cNvSpPr>
      </xdr:nvSpPr>
      <xdr:spPr bwMode="auto">
        <a:xfrm>
          <a:off x="1291960" y="2166937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19</xdr:row>
      <xdr:rowOff>0</xdr:rowOff>
    </xdr:from>
    <xdr:to>
      <xdr:col>23</xdr:col>
      <xdr:colOff>342900</xdr:colOff>
      <xdr:row>20</xdr:row>
      <xdr:rowOff>85724</xdr:rowOff>
    </xdr:to>
    <xdr:sp macro="" textlink="">
      <xdr:nvSpPr>
        <xdr:cNvPr id="1168" name="Text Box 426"/>
        <xdr:cNvSpPr txBox="1">
          <a:spLocks noChangeArrowheads="1"/>
        </xdr:cNvSpPr>
      </xdr:nvSpPr>
      <xdr:spPr bwMode="auto">
        <a:xfrm>
          <a:off x="1291960" y="2166937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19</xdr:row>
      <xdr:rowOff>0</xdr:rowOff>
    </xdr:from>
    <xdr:to>
      <xdr:col>23</xdr:col>
      <xdr:colOff>342900</xdr:colOff>
      <xdr:row>20</xdr:row>
      <xdr:rowOff>85724</xdr:rowOff>
    </xdr:to>
    <xdr:sp macro="" textlink="">
      <xdr:nvSpPr>
        <xdr:cNvPr id="1169" name="Text Box 431"/>
        <xdr:cNvSpPr txBox="1">
          <a:spLocks noChangeArrowheads="1"/>
        </xdr:cNvSpPr>
      </xdr:nvSpPr>
      <xdr:spPr bwMode="auto">
        <a:xfrm>
          <a:off x="1291960" y="2166937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19</xdr:row>
      <xdr:rowOff>0</xdr:rowOff>
    </xdr:from>
    <xdr:to>
      <xdr:col>23</xdr:col>
      <xdr:colOff>342900</xdr:colOff>
      <xdr:row>20</xdr:row>
      <xdr:rowOff>85724</xdr:rowOff>
    </xdr:to>
    <xdr:sp macro="" textlink="">
      <xdr:nvSpPr>
        <xdr:cNvPr id="1170" name="Text Box 448"/>
        <xdr:cNvSpPr txBox="1">
          <a:spLocks noChangeArrowheads="1"/>
        </xdr:cNvSpPr>
      </xdr:nvSpPr>
      <xdr:spPr bwMode="auto">
        <a:xfrm>
          <a:off x="1291960" y="2166937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19</xdr:row>
      <xdr:rowOff>0</xdr:rowOff>
    </xdr:from>
    <xdr:to>
      <xdr:col>23</xdr:col>
      <xdr:colOff>342900</xdr:colOff>
      <xdr:row>20</xdr:row>
      <xdr:rowOff>85724</xdr:rowOff>
    </xdr:to>
    <xdr:sp macro="" textlink="">
      <xdr:nvSpPr>
        <xdr:cNvPr id="1171" name="Text Box 549"/>
        <xdr:cNvSpPr txBox="1">
          <a:spLocks noChangeArrowheads="1"/>
        </xdr:cNvSpPr>
      </xdr:nvSpPr>
      <xdr:spPr bwMode="auto">
        <a:xfrm>
          <a:off x="1291960" y="2166937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19</xdr:row>
      <xdr:rowOff>0</xdr:rowOff>
    </xdr:from>
    <xdr:to>
      <xdr:col>23</xdr:col>
      <xdr:colOff>342900</xdr:colOff>
      <xdr:row>20</xdr:row>
      <xdr:rowOff>85724</xdr:rowOff>
    </xdr:to>
    <xdr:sp macro="" textlink="">
      <xdr:nvSpPr>
        <xdr:cNvPr id="1172" name="Text Box 554"/>
        <xdr:cNvSpPr txBox="1">
          <a:spLocks noChangeArrowheads="1"/>
        </xdr:cNvSpPr>
      </xdr:nvSpPr>
      <xdr:spPr bwMode="auto">
        <a:xfrm>
          <a:off x="1291960" y="2166937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19</xdr:row>
      <xdr:rowOff>0</xdr:rowOff>
    </xdr:from>
    <xdr:to>
      <xdr:col>23</xdr:col>
      <xdr:colOff>342900</xdr:colOff>
      <xdr:row>20</xdr:row>
      <xdr:rowOff>85724</xdr:rowOff>
    </xdr:to>
    <xdr:sp macro="" textlink="">
      <xdr:nvSpPr>
        <xdr:cNvPr id="1173" name="Text Box 139"/>
        <xdr:cNvSpPr txBox="1">
          <a:spLocks noChangeArrowheads="1"/>
        </xdr:cNvSpPr>
      </xdr:nvSpPr>
      <xdr:spPr bwMode="auto">
        <a:xfrm>
          <a:off x="1291960" y="2166937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19</xdr:row>
      <xdr:rowOff>0</xdr:rowOff>
    </xdr:from>
    <xdr:to>
      <xdr:col>23</xdr:col>
      <xdr:colOff>342900</xdr:colOff>
      <xdr:row>20</xdr:row>
      <xdr:rowOff>85724</xdr:rowOff>
    </xdr:to>
    <xdr:sp macro="" textlink="">
      <xdr:nvSpPr>
        <xdr:cNvPr id="1174" name="Text Box 421"/>
        <xdr:cNvSpPr txBox="1">
          <a:spLocks noChangeArrowheads="1"/>
        </xdr:cNvSpPr>
      </xdr:nvSpPr>
      <xdr:spPr bwMode="auto">
        <a:xfrm>
          <a:off x="1291960" y="2166937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19</xdr:row>
      <xdr:rowOff>0</xdr:rowOff>
    </xdr:from>
    <xdr:to>
      <xdr:col>23</xdr:col>
      <xdr:colOff>342900</xdr:colOff>
      <xdr:row>20</xdr:row>
      <xdr:rowOff>85724</xdr:rowOff>
    </xdr:to>
    <xdr:sp macro="" textlink="">
      <xdr:nvSpPr>
        <xdr:cNvPr id="1175" name="Text Box 426"/>
        <xdr:cNvSpPr txBox="1">
          <a:spLocks noChangeArrowheads="1"/>
        </xdr:cNvSpPr>
      </xdr:nvSpPr>
      <xdr:spPr bwMode="auto">
        <a:xfrm>
          <a:off x="1291960" y="2166937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19</xdr:row>
      <xdr:rowOff>0</xdr:rowOff>
    </xdr:from>
    <xdr:to>
      <xdr:col>23</xdr:col>
      <xdr:colOff>342900</xdr:colOff>
      <xdr:row>20</xdr:row>
      <xdr:rowOff>85724</xdr:rowOff>
    </xdr:to>
    <xdr:sp macro="" textlink="">
      <xdr:nvSpPr>
        <xdr:cNvPr id="1176" name="Text Box 431"/>
        <xdr:cNvSpPr txBox="1">
          <a:spLocks noChangeArrowheads="1"/>
        </xdr:cNvSpPr>
      </xdr:nvSpPr>
      <xdr:spPr bwMode="auto">
        <a:xfrm>
          <a:off x="1291960" y="2166937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19</xdr:row>
      <xdr:rowOff>0</xdr:rowOff>
    </xdr:from>
    <xdr:to>
      <xdr:col>23</xdr:col>
      <xdr:colOff>342900</xdr:colOff>
      <xdr:row>20</xdr:row>
      <xdr:rowOff>85724</xdr:rowOff>
    </xdr:to>
    <xdr:sp macro="" textlink="">
      <xdr:nvSpPr>
        <xdr:cNvPr id="1177" name="Text Box 448"/>
        <xdr:cNvSpPr txBox="1">
          <a:spLocks noChangeArrowheads="1"/>
        </xdr:cNvSpPr>
      </xdr:nvSpPr>
      <xdr:spPr bwMode="auto">
        <a:xfrm>
          <a:off x="1291960" y="2166937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44</xdr:row>
      <xdr:rowOff>0</xdr:rowOff>
    </xdr:from>
    <xdr:to>
      <xdr:col>23</xdr:col>
      <xdr:colOff>342900</xdr:colOff>
      <xdr:row>45</xdr:row>
      <xdr:rowOff>85725</xdr:rowOff>
    </xdr:to>
    <xdr:sp macro="" textlink="">
      <xdr:nvSpPr>
        <xdr:cNvPr id="1178" name="Text Box 481"/>
        <xdr:cNvSpPr txBox="1">
          <a:spLocks noChangeArrowheads="1"/>
        </xdr:cNvSpPr>
      </xdr:nvSpPr>
      <xdr:spPr bwMode="auto">
        <a:xfrm>
          <a:off x="11319669" y="2487083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44</xdr:row>
      <xdr:rowOff>0</xdr:rowOff>
    </xdr:from>
    <xdr:to>
      <xdr:col>23</xdr:col>
      <xdr:colOff>342900</xdr:colOff>
      <xdr:row>45</xdr:row>
      <xdr:rowOff>85725</xdr:rowOff>
    </xdr:to>
    <xdr:sp macro="" textlink="">
      <xdr:nvSpPr>
        <xdr:cNvPr id="1179" name="Text Box 486"/>
        <xdr:cNvSpPr txBox="1">
          <a:spLocks noChangeArrowheads="1"/>
        </xdr:cNvSpPr>
      </xdr:nvSpPr>
      <xdr:spPr bwMode="auto">
        <a:xfrm>
          <a:off x="11319669" y="2487083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44</xdr:row>
      <xdr:rowOff>0</xdr:rowOff>
    </xdr:from>
    <xdr:to>
      <xdr:col>23</xdr:col>
      <xdr:colOff>342900</xdr:colOff>
      <xdr:row>45</xdr:row>
      <xdr:rowOff>85725</xdr:rowOff>
    </xdr:to>
    <xdr:sp macro="" textlink="">
      <xdr:nvSpPr>
        <xdr:cNvPr id="1180" name="Text Box 139"/>
        <xdr:cNvSpPr txBox="1">
          <a:spLocks noChangeArrowheads="1"/>
        </xdr:cNvSpPr>
      </xdr:nvSpPr>
      <xdr:spPr bwMode="auto">
        <a:xfrm>
          <a:off x="11319669" y="2487083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44</xdr:row>
      <xdr:rowOff>0</xdr:rowOff>
    </xdr:from>
    <xdr:to>
      <xdr:col>23</xdr:col>
      <xdr:colOff>342900</xdr:colOff>
      <xdr:row>45</xdr:row>
      <xdr:rowOff>85725</xdr:rowOff>
    </xdr:to>
    <xdr:sp macro="" textlink="">
      <xdr:nvSpPr>
        <xdr:cNvPr id="1181" name="Text Box 421"/>
        <xdr:cNvSpPr txBox="1">
          <a:spLocks noChangeArrowheads="1"/>
        </xdr:cNvSpPr>
      </xdr:nvSpPr>
      <xdr:spPr bwMode="auto">
        <a:xfrm>
          <a:off x="11319669" y="2487083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44</xdr:row>
      <xdr:rowOff>0</xdr:rowOff>
    </xdr:from>
    <xdr:to>
      <xdr:col>23</xdr:col>
      <xdr:colOff>342900</xdr:colOff>
      <xdr:row>45</xdr:row>
      <xdr:rowOff>85725</xdr:rowOff>
    </xdr:to>
    <xdr:sp macro="" textlink="">
      <xdr:nvSpPr>
        <xdr:cNvPr id="1182" name="Text Box 426"/>
        <xdr:cNvSpPr txBox="1">
          <a:spLocks noChangeArrowheads="1"/>
        </xdr:cNvSpPr>
      </xdr:nvSpPr>
      <xdr:spPr bwMode="auto">
        <a:xfrm>
          <a:off x="11319669" y="2487083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44</xdr:row>
      <xdr:rowOff>0</xdr:rowOff>
    </xdr:from>
    <xdr:to>
      <xdr:col>23</xdr:col>
      <xdr:colOff>342900</xdr:colOff>
      <xdr:row>45</xdr:row>
      <xdr:rowOff>85725</xdr:rowOff>
    </xdr:to>
    <xdr:sp macro="" textlink="">
      <xdr:nvSpPr>
        <xdr:cNvPr id="1183" name="Text Box 431"/>
        <xdr:cNvSpPr txBox="1">
          <a:spLocks noChangeArrowheads="1"/>
        </xdr:cNvSpPr>
      </xdr:nvSpPr>
      <xdr:spPr bwMode="auto">
        <a:xfrm>
          <a:off x="11319669" y="2487083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44</xdr:row>
      <xdr:rowOff>0</xdr:rowOff>
    </xdr:from>
    <xdr:to>
      <xdr:col>23</xdr:col>
      <xdr:colOff>342900</xdr:colOff>
      <xdr:row>45</xdr:row>
      <xdr:rowOff>85725</xdr:rowOff>
    </xdr:to>
    <xdr:sp macro="" textlink="">
      <xdr:nvSpPr>
        <xdr:cNvPr id="1184" name="Text Box 448"/>
        <xdr:cNvSpPr txBox="1">
          <a:spLocks noChangeArrowheads="1"/>
        </xdr:cNvSpPr>
      </xdr:nvSpPr>
      <xdr:spPr bwMode="auto">
        <a:xfrm>
          <a:off x="11319669" y="2487083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44</xdr:row>
      <xdr:rowOff>0</xdr:rowOff>
    </xdr:from>
    <xdr:to>
      <xdr:col>23</xdr:col>
      <xdr:colOff>342900</xdr:colOff>
      <xdr:row>45</xdr:row>
      <xdr:rowOff>85725</xdr:rowOff>
    </xdr:to>
    <xdr:sp macro="" textlink="">
      <xdr:nvSpPr>
        <xdr:cNvPr id="1185" name="Text Box 549"/>
        <xdr:cNvSpPr txBox="1">
          <a:spLocks noChangeArrowheads="1"/>
        </xdr:cNvSpPr>
      </xdr:nvSpPr>
      <xdr:spPr bwMode="auto">
        <a:xfrm>
          <a:off x="11319669" y="2487083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44</xdr:row>
      <xdr:rowOff>0</xdr:rowOff>
    </xdr:from>
    <xdr:to>
      <xdr:col>23</xdr:col>
      <xdr:colOff>342900</xdr:colOff>
      <xdr:row>45</xdr:row>
      <xdr:rowOff>85725</xdr:rowOff>
    </xdr:to>
    <xdr:sp macro="" textlink="">
      <xdr:nvSpPr>
        <xdr:cNvPr id="1186" name="Text Box 554"/>
        <xdr:cNvSpPr txBox="1">
          <a:spLocks noChangeArrowheads="1"/>
        </xdr:cNvSpPr>
      </xdr:nvSpPr>
      <xdr:spPr bwMode="auto">
        <a:xfrm>
          <a:off x="11319669" y="2487083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44</xdr:row>
      <xdr:rowOff>0</xdr:rowOff>
    </xdr:from>
    <xdr:to>
      <xdr:col>23</xdr:col>
      <xdr:colOff>342900</xdr:colOff>
      <xdr:row>45</xdr:row>
      <xdr:rowOff>85725</xdr:rowOff>
    </xdr:to>
    <xdr:sp macro="" textlink="">
      <xdr:nvSpPr>
        <xdr:cNvPr id="1187" name="Text Box 139"/>
        <xdr:cNvSpPr txBox="1">
          <a:spLocks noChangeArrowheads="1"/>
        </xdr:cNvSpPr>
      </xdr:nvSpPr>
      <xdr:spPr bwMode="auto">
        <a:xfrm>
          <a:off x="11319669" y="2487083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44</xdr:row>
      <xdr:rowOff>0</xdr:rowOff>
    </xdr:from>
    <xdr:to>
      <xdr:col>23</xdr:col>
      <xdr:colOff>342900</xdr:colOff>
      <xdr:row>45</xdr:row>
      <xdr:rowOff>85725</xdr:rowOff>
    </xdr:to>
    <xdr:sp macro="" textlink="">
      <xdr:nvSpPr>
        <xdr:cNvPr id="1188" name="Text Box 421"/>
        <xdr:cNvSpPr txBox="1">
          <a:spLocks noChangeArrowheads="1"/>
        </xdr:cNvSpPr>
      </xdr:nvSpPr>
      <xdr:spPr bwMode="auto">
        <a:xfrm>
          <a:off x="11319669" y="2487083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44</xdr:row>
      <xdr:rowOff>0</xdr:rowOff>
    </xdr:from>
    <xdr:to>
      <xdr:col>23</xdr:col>
      <xdr:colOff>342900</xdr:colOff>
      <xdr:row>45</xdr:row>
      <xdr:rowOff>85725</xdr:rowOff>
    </xdr:to>
    <xdr:sp macro="" textlink="">
      <xdr:nvSpPr>
        <xdr:cNvPr id="1189" name="Text Box 426"/>
        <xdr:cNvSpPr txBox="1">
          <a:spLocks noChangeArrowheads="1"/>
        </xdr:cNvSpPr>
      </xdr:nvSpPr>
      <xdr:spPr bwMode="auto">
        <a:xfrm>
          <a:off x="11319669" y="2487083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44</xdr:row>
      <xdr:rowOff>0</xdr:rowOff>
    </xdr:from>
    <xdr:to>
      <xdr:col>23</xdr:col>
      <xdr:colOff>342900</xdr:colOff>
      <xdr:row>45</xdr:row>
      <xdr:rowOff>85725</xdr:rowOff>
    </xdr:to>
    <xdr:sp macro="" textlink="">
      <xdr:nvSpPr>
        <xdr:cNvPr id="1190" name="Text Box 431"/>
        <xdr:cNvSpPr txBox="1">
          <a:spLocks noChangeArrowheads="1"/>
        </xdr:cNvSpPr>
      </xdr:nvSpPr>
      <xdr:spPr bwMode="auto">
        <a:xfrm>
          <a:off x="11319669" y="2487083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44</xdr:row>
      <xdr:rowOff>0</xdr:rowOff>
    </xdr:from>
    <xdr:to>
      <xdr:col>23</xdr:col>
      <xdr:colOff>342900</xdr:colOff>
      <xdr:row>45</xdr:row>
      <xdr:rowOff>85725</xdr:rowOff>
    </xdr:to>
    <xdr:sp macro="" textlink="">
      <xdr:nvSpPr>
        <xdr:cNvPr id="1191" name="Text Box 448"/>
        <xdr:cNvSpPr txBox="1">
          <a:spLocks noChangeArrowheads="1"/>
        </xdr:cNvSpPr>
      </xdr:nvSpPr>
      <xdr:spPr bwMode="auto">
        <a:xfrm>
          <a:off x="11319669" y="2487083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74</xdr:row>
      <xdr:rowOff>0</xdr:rowOff>
    </xdr:from>
    <xdr:to>
      <xdr:col>23</xdr:col>
      <xdr:colOff>342900</xdr:colOff>
      <xdr:row>75</xdr:row>
      <xdr:rowOff>85724</xdr:rowOff>
    </xdr:to>
    <xdr:sp macro="" textlink="">
      <xdr:nvSpPr>
        <xdr:cNvPr id="1192" name="Text Box 481"/>
        <xdr:cNvSpPr txBox="1">
          <a:spLocks noChangeArrowheads="1"/>
        </xdr:cNvSpPr>
      </xdr:nvSpPr>
      <xdr:spPr bwMode="auto">
        <a:xfrm>
          <a:off x="11471804" y="5397500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74</xdr:row>
      <xdr:rowOff>0</xdr:rowOff>
    </xdr:from>
    <xdr:to>
      <xdr:col>23</xdr:col>
      <xdr:colOff>342900</xdr:colOff>
      <xdr:row>75</xdr:row>
      <xdr:rowOff>85724</xdr:rowOff>
    </xdr:to>
    <xdr:sp macro="" textlink="">
      <xdr:nvSpPr>
        <xdr:cNvPr id="1193" name="Text Box 486"/>
        <xdr:cNvSpPr txBox="1">
          <a:spLocks noChangeArrowheads="1"/>
        </xdr:cNvSpPr>
      </xdr:nvSpPr>
      <xdr:spPr bwMode="auto">
        <a:xfrm>
          <a:off x="11471804" y="5397500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74</xdr:row>
      <xdr:rowOff>0</xdr:rowOff>
    </xdr:from>
    <xdr:to>
      <xdr:col>23</xdr:col>
      <xdr:colOff>342900</xdr:colOff>
      <xdr:row>75</xdr:row>
      <xdr:rowOff>85724</xdr:rowOff>
    </xdr:to>
    <xdr:sp macro="" textlink="">
      <xdr:nvSpPr>
        <xdr:cNvPr id="1194" name="Text Box 139"/>
        <xdr:cNvSpPr txBox="1">
          <a:spLocks noChangeArrowheads="1"/>
        </xdr:cNvSpPr>
      </xdr:nvSpPr>
      <xdr:spPr bwMode="auto">
        <a:xfrm>
          <a:off x="11471804" y="5397500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74</xdr:row>
      <xdr:rowOff>0</xdr:rowOff>
    </xdr:from>
    <xdr:to>
      <xdr:col>23</xdr:col>
      <xdr:colOff>342900</xdr:colOff>
      <xdr:row>75</xdr:row>
      <xdr:rowOff>85724</xdr:rowOff>
    </xdr:to>
    <xdr:sp macro="" textlink="">
      <xdr:nvSpPr>
        <xdr:cNvPr id="1226" name="Text Box 421"/>
        <xdr:cNvSpPr txBox="1">
          <a:spLocks noChangeArrowheads="1"/>
        </xdr:cNvSpPr>
      </xdr:nvSpPr>
      <xdr:spPr bwMode="auto">
        <a:xfrm>
          <a:off x="11471804" y="5397500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74</xdr:row>
      <xdr:rowOff>0</xdr:rowOff>
    </xdr:from>
    <xdr:to>
      <xdr:col>23</xdr:col>
      <xdr:colOff>342900</xdr:colOff>
      <xdr:row>75</xdr:row>
      <xdr:rowOff>85724</xdr:rowOff>
    </xdr:to>
    <xdr:sp macro="" textlink="">
      <xdr:nvSpPr>
        <xdr:cNvPr id="1227" name="Text Box 426"/>
        <xdr:cNvSpPr txBox="1">
          <a:spLocks noChangeArrowheads="1"/>
        </xdr:cNvSpPr>
      </xdr:nvSpPr>
      <xdr:spPr bwMode="auto">
        <a:xfrm>
          <a:off x="11471804" y="5397500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74</xdr:row>
      <xdr:rowOff>0</xdr:rowOff>
    </xdr:from>
    <xdr:to>
      <xdr:col>23</xdr:col>
      <xdr:colOff>342900</xdr:colOff>
      <xdr:row>75</xdr:row>
      <xdr:rowOff>85724</xdr:rowOff>
    </xdr:to>
    <xdr:sp macro="" textlink="">
      <xdr:nvSpPr>
        <xdr:cNvPr id="1228" name="Text Box 431"/>
        <xdr:cNvSpPr txBox="1">
          <a:spLocks noChangeArrowheads="1"/>
        </xdr:cNvSpPr>
      </xdr:nvSpPr>
      <xdr:spPr bwMode="auto">
        <a:xfrm>
          <a:off x="11471804" y="5397500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74</xdr:row>
      <xdr:rowOff>0</xdr:rowOff>
    </xdr:from>
    <xdr:to>
      <xdr:col>23</xdr:col>
      <xdr:colOff>342900</xdr:colOff>
      <xdr:row>75</xdr:row>
      <xdr:rowOff>85724</xdr:rowOff>
    </xdr:to>
    <xdr:sp macro="" textlink="">
      <xdr:nvSpPr>
        <xdr:cNvPr id="1229" name="Text Box 448"/>
        <xdr:cNvSpPr txBox="1">
          <a:spLocks noChangeArrowheads="1"/>
        </xdr:cNvSpPr>
      </xdr:nvSpPr>
      <xdr:spPr bwMode="auto">
        <a:xfrm>
          <a:off x="11471804" y="5397500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74</xdr:row>
      <xdr:rowOff>0</xdr:rowOff>
    </xdr:from>
    <xdr:to>
      <xdr:col>23</xdr:col>
      <xdr:colOff>342900</xdr:colOff>
      <xdr:row>75</xdr:row>
      <xdr:rowOff>85724</xdr:rowOff>
    </xdr:to>
    <xdr:sp macro="" textlink="">
      <xdr:nvSpPr>
        <xdr:cNvPr id="1230" name="Text Box 549"/>
        <xdr:cNvSpPr txBox="1">
          <a:spLocks noChangeArrowheads="1"/>
        </xdr:cNvSpPr>
      </xdr:nvSpPr>
      <xdr:spPr bwMode="auto">
        <a:xfrm>
          <a:off x="11471804" y="5397500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74</xdr:row>
      <xdr:rowOff>0</xdr:rowOff>
    </xdr:from>
    <xdr:to>
      <xdr:col>23</xdr:col>
      <xdr:colOff>342900</xdr:colOff>
      <xdr:row>75</xdr:row>
      <xdr:rowOff>85724</xdr:rowOff>
    </xdr:to>
    <xdr:sp macro="" textlink="">
      <xdr:nvSpPr>
        <xdr:cNvPr id="1231" name="Text Box 554"/>
        <xdr:cNvSpPr txBox="1">
          <a:spLocks noChangeArrowheads="1"/>
        </xdr:cNvSpPr>
      </xdr:nvSpPr>
      <xdr:spPr bwMode="auto">
        <a:xfrm>
          <a:off x="11471804" y="5397500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74</xdr:row>
      <xdr:rowOff>0</xdr:rowOff>
    </xdr:from>
    <xdr:to>
      <xdr:col>23</xdr:col>
      <xdr:colOff>342900</xdr:colOff>
      <xdr:row>75</xdr:row>
      <xdr:rowOff>85724</xdr:rowOff>
    </xdr:to>
    <xdr:sp macro="" textlink="">
      <xdr:nvSpPr>
        <xdr:cNvPr id="1232" name="Text Box 139"/>
        <xdr:cNvSpPr txBox="1">
          <a:spLocks noChangeArrowheads="1"/>
        </xdr:cNvSpPr>
      </xdr:nvSpPr>
      <xdr:spPr bwMode="auto">
        <a:xfrm>
          <a:off x="11471804" y="5397500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74</xdr:row>
      <xdr:rowOff>0</xdr:rowOff>
    </xdr:from>
    <xdr:to>
      <xdr:col>23</xdr:col>
      <xdr:colOff>342900</xdr:colOff>
      <xdr:row>75</xdr:row>
      <xdr:rowOff>85724</xdr:rowOff>
    </xdr:to>
    <xdr:sp macro="" textlink="">
      <xdr:nvSpPr>
        <xdr:cNvPr id="1233" name="Text Box 421"/>
        <xdr:cNvSpPr txBox="1">
          <a:spLocks noChangeArrowheads="1"/>
        </xdr:cNvSpPr>
      </xdr:nvSpPr>
      <xdr:spPr bwMode="auto">
        <a:xfrm>
          <a:off x="11471804" y="5397500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74</xdr:row>
      <xdr:rowOff>0</xdr:rowOff>
    </xdr:from>
    <xdr:to>
      <xdr:col>23</xdr:col>
      <xdr:colOff>342900</xdr:colOff>
      <xdr:row>75</xdr:row>
      <xdr:rowOff>85724</xdr:rowOff>
    </xdr:to>
    <xdr:sp macro="" textlink="">
      <xdr:nvSpPr>
        <xdr:cNvPr id="1234" name="Text Box 426"/>
        <xdr:cNvSpPr txBox="1">
          <a:spLocks noChangeArrowheads="1"/>
        </xdr:cNvSpPr>
      </xdr:nvSpPr>
      <xdr:spPr bwMode="auto">
        <a:xfrm>
          <a:off x="11471804" y="5397500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74</xdr:row>
      <xdr:rowOff>0</xdr:rowOff>
    </xdr:from>
    <xdr:to>
      <xdr:col>23</xdr:col>
      <xdr:colOff>342900</xdr:colOff>
      <xdr:row>75</xdr:row>
      <xdr:rowOff>85724</xdr:rowOff>
    </xdr:to>
    <xdr:sp macro="" textlink="">
      <xdr:nvSpPr>
        <xdr:cNvPr id="1235" name="Text Box 431"/>
        <xdr:cNvSpPr txBox="1">
          <a:spLocks noChangeArrowheads="1"/>
        </xdr:cNvSpPr>
      </xdr:nvSpPr>
      <xdr:spPr bwMode="auto">
        <a:xfrm>
          <a:off x="11471804" y="5397500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74</xdr:row>
      <xdr:rowOff>0</xdr:rowOff>
    </xdr:from>
    <xdr:to>
      <xdr:col>23</xdr:col>
      <xdr:colOff>342900</xdr:colOff>
      <xdr:row>75</xdr:row>
      <xdr:rowOff>85724</xdr:rowOff>
    </xdr:to>
    <xdr:sp macro="" textlink="">
      <xdr:nvSpPr>
        <xdr:cNvPr id="1236" name="Text Box 448"/>
        <xdr:cNvSpPr txBox="1">
          <a:spLocks noChangeArrowheads="1"/>
        </xdr:cNvSpPr>
      </xdr:nvSpPr>
      <xdr:spPr bwMode="auto">
        <a:xfrm>
          <a:off x="11471804" y="5397500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28575</xdr:rowOff>
    </xdr:to>
    <xdr:sp macro="" textlink="">
      <xdr:nvSpPr>
        <xdr:cNvPr id="1237" name="Text Box 93"/>
        <xdr:cNvSpPr txBox="1">
          <a:spLocks noChangeArrowheads="1"/>
        </xdr:cNvSpPr>
      </xdr:nvSpPr>
      <xdr:spPr bwMode="auto">
        <a:xfrm>
          <a:off x="1291960" y="52625625"/>
          <a:ext cx="76200" cy="1608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28575</xdr:rowOff>
    </xdr:to>
    <xdr:sp macro="" textlink="">
      <xdr:nvSpPr>
        <xdr:cNvPr id="1238" name="Text Box 222"/>
        <xdr:cNvSpPr txBox="1">
          <a:spLocks noChangeArrowheads="1"/>
        </xdr:cNvSpPr>
      </xdr:nvSpPr>
      <xdr:spPr bwMode="auto">
        <a:xfrm>
          <a:off x="1291960" y="52625625"/>
          <a:ext cx="76200" cy="1608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28575</xdr:rowOff>
    </xdr:to>
    <xdr:sp macro="" textlink="">
      <xdr:nvSpPr>
        <xdr:cNvPr id="1239" name="Text Box 494"/>
        <xdr:cNvSpPr txBox="1">
          <a:spLocks noChangeArrowheads="1"/>
        </xdr:cNvSpPr>
      </xdr:nvSpPr>
      <xdr:spPr bwMode="auto">
        <a:xfrm>
          <a:off x="1291960" y="52625625"/>
          <a:ext cx="76200" cy="1608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28575</xdr:rowOff>
    </xdr:to>
    <xdr:sp macro="" textlink="">
      <xdr:nvSpPr>
        <xdr:cNvPr id="1240" name="Text Box 499"/>
        <xdr:cNvSpPr txBox="1">
          <a:spLocks noChangeArrowheads="1"/>
        </xdr:cNvSpPr>
      </xdr:nvSpPr>
      <xdr:spPr bwMode="auto">
        <a:xfrm>
          <a:off x="1291960" y="52625625"/>
          <a:ext cx="76200" cy="1608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41" name="Text Box 139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42" name="Text Box 421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43" name="Text Box 426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44" name="Text Box 431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45" name="Text Box 448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46" name="Text Box 117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47" name="Text Box 192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28575</xdr:rowOff>
    </xdr:to>
    <xdr:sp macro="" textlink="">
      <xdr:nvSpPr>
        <xdr:cNvPr id="1248" name="Text Box 125"/>
        <xdr:cNvSpPr txBox="1">
          <a:spLocks noChangeArrowheads="1"/>
        </xdr:cNvSpPr>
      </xdr:nvSpPr>
      <xdr:spPr bwMode="auto">
        <a:xfrm>
          <a:off x="1291960" y="52625625"/>
          <a:ext cx="76200" cy="1608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28575</xdr:rowOff>
    </xdr:to>
    <xdr:sp macro="" textlink="">
      <xdr:nvSpPr>
        <xdr:cNvPr id="1249" name="Text Box 160"/>
        <xdr:cNvSpPr txBox="1">
          <a:spLocks noChangeArrowheads="1"/>
        </xdr:cNvSpPr>
      </xdr:nvSpPr>
      <xdr:spPr bwMode="auto">
        <a:xfrm>
          <a:off x="1291960" y="52625625"/>
          <a:ext cx="76200" cy="1608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28575</xdr:rowOff>
    </xdr:to>
    <xdr:sp macro="" textlink="">
      <xdr:nvSpPr>
        <xdr:cNvPr id="1250" name="Text Box 182"/>
        <xdr:cNvSpPr txBox="1">
          <a:spLocks noChangeArrowheads="1"/>
        </xdr:cNvSpPr>
      </xdr:nvSpPr>
      <xdr:spPr bwMode="auto">
        <a:xfrm>
          <a:off x="1291960" y="52625625"/>
          <a:ext cx="76200" cy="1608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335</xdr:row>
      <xdr:rowOff>0</xdr:rowOff>
    </xdr:from>
    <xdr:to>
      <xdr:col>14</xdr:col>
      <xdr:colOff>342900</xdr:colOff>
      <xdr:row>336</xdr:row>
      <xdr:rowOff>85726</xdr:rowOff>
    </xdr:to>
    <xdr:sp macro="" textlink="">
      <xdr:nvSpPr>
        <xdr:cNvPr id="1251" name="Text Box 137"/>
        <xdr:cNvSpPr txBox="1">
          <a:spLocks noChangeArrowheads="1"/>
        </xdr:cNvSpPr>
      </xdr:nvSpPr>
      <xdr:spPr bwMode="auto">
        <a:xfrm>
          <a:off x="1291960" y="52493333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335</xdr:row>
      <xdr:rowOff>0</xdr:rowOff>
    </xdr:from>
    <xdr:to>
      <xdr:col>14</xdr:col>
      <xdr:colOff>342900</xdr:colOff>
      <xdr:row>336</xdr:row>
      <xdr:rowOff>85726</xdr:rowOff>
    </xdr:to>
    <xdr:sp macro="" textlink="">
      <xdr:nvSpPr>
        <xdr:cNvPr id="1252" name="Text Box 170"/>
        <xdr:cNvSpPr txBox="1">
          <a:spLocks noChangeArrowheads="1"/>
        </xdr:cNvSpPr>
      </xdr:nvSpPr>
      <xdr:spPr bwMode="auto">
        <a:xfrm>
          <a:off x="1291960" y="52493333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53" name="Text Box 438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54" name="Text Box 443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55" name="Text Box 139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56" name="Text Box 421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57" name="Text Box 426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58" name="Text Box 431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59" name="Text Box 448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60" name="Text Box 481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61" name="Text Box 486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62" name="Text Box 139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63" name="Text Box 421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64" name="Text Box 426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65" name="Text Box 431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66" name="Text Box 448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67" name="Text Box 549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68" name="Text Box 554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69" name="Text Box 139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70" name="Text Box 421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71" name="Text Box 426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72" name="Text Box 431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336</xdr:row>
      <xdr:rowOff>0</xdr:rowOff>
    </xdr:from>
    <xdr:to>
      <xdr:col>14</xdr:col>
      <xdr:colOff>342900</xdr:colOff>
      <xdr:row>337</xdr:row>
      <xdr:rowOff>85725</xdr:rowOff>
    </xdr:to>
    <xdr:sp macro="" textlink="">
      <xdr:nvSpPr>
        <xdr:cNvPr id="1273" name="Text Box 448"/>
        <xdr:cNvSpPr txBox="1">
          <a:spLocks noChangeArrowheads="1"/>
        </xdr:cNvSpPr>
      </xdr:nvSpPr>
      <xdr:spPr bwMode="auto">
        <a:xfrm>
          <a:off x="1291960" y="52625625"/>
          <a:ext cx="76200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28576</xdr:rowOff>
    </xdr:to>
    <xdr:sp macro="" textlink="">
      <xdr:nvSpPr>
        <xdr:cNvPr id="1286" name="Text Box 354"/>
        <xdr:cNvSpPr txBox="1">
          <a:spLocks noChangeArrowheads="1"/>
        </xdr:cNvSpPr>
      </xdr:nvSpPr>
      <xdr:spPr bwMode="auto">
        <a:xfrm>
          <a:off x="6961158" y="22347807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28576</xdr:rowOff>
    </xdr:to>
    <xdr:sp macro="" textlink="">
      <xdr:nvSpPr>
        <xdr:cNvPr id="1287" name="Text Box 359"/>
        <xdr:cNvSpPr txBox="1">
          <a:spLocks noChangeArrowheads="1"/>
        </xdr:cNvSpPr>
      </xdr:nvSpPr>
      <xdr:spPr bwMode="auto">
        <a:xfrm>
          <a:off x="6961158" y="22347807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28576</xdr:rowOff>
    </xdr:to>
    <xdr:sp macro="" textlink="">
      <xdr:nvSpPr>
        <xdr:cNvPr id="1288" name="Text Box 139"/>
        <xdr:cNvSpPr txBox="1">
          <a:spLocks noChangeArrowheads="1"/>
        </xdr:cNvSpPr>
      </xdr:nvSpPr>
      <xdr:spPr bwMode="auto">
        <a:xfrm>
          <a:off x="6961158" y="22347807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28576</xdr:rowOff>
    </xdr:to>
    <xdr:sp macro="" textlink="">
      <xdr:nvSpPr>
        <xdr:cNvPr id="1289" name="Text Box 421"/>
        <xdr:cNvSpPr txBox="1">
          <a:spLocks noChangeArrowheads="1"/>
        </xdr:cNvSpPr>
      </xdr:nvSpPr>
      <xdr:spPr bwMode="auto">
        <a:xfrm>
          <a:off x="6961158" y="22347807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28576</xdr:rowOff>
    </xdr:to>
    <xdr:sp macro="" textlink="">
      <xdr:nvSpPr>
        <xdr:cNvPr id="1290" name="Text Box 426"/>
        <xdr:cNvSpPr txBox="1">
          <a:spLocks noChangeArrowheads="1"/>
        </xdr:cNvSpPr>
      </xdr:nvSpPr>
      <xdr:spPr bwMode="auto">
        <a:xfrm>
          <a:off x="6961158" y="22347807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28576</xdr:rowOff>
    </xdr:to>
    <xdr:sp macro="" textlink="">
      <xdr:nvSpPr>
        <xdr:cNvPr id="1291" name="Text Box 431"/>
        <xdr:cNvSpPr txBox="1">
          <a:spLocks noChangeArrowheads="1"/>
        </xdr:cNvSpPr>
      </xdr:nvSpPr>
      <xdr:spPr bwMode="auto">
        <a:xfrm>
          <a:off x="6961158" y="22347807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28576</xdr:rowOff>
    </xdr:to>
    <xdr:sp macro="" textlink="">
      <xdr:nvSpPr>
        <xdr:cNvPr id="1292" name="Text Box 448"/>
        <xdr:cNvSpPr txBox="1">
          <a:spLocks noChangeArrowheads="1"/>
        </xdr:cNvSpPr>
      </xdr:nvSpPr>
      <xdr:spPr bwMode="auto">
        <a:xfrm>
          <a:off x="6961158" y="22347807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28576</xdr:rowOff>
    </xdr:to>
    <xdr:sp macro="" textlink="">
      <xdr:nvSpPr>
        <xdr:cNvPr id="1293" name="Text Box 139"/>
        <xdr:cNvSpPr txBox="1">
          <a:spLocks noChangeArrowheads="1"/>
        </xdr:cNvSpPr>
      </xdr:nvSpPr>
      <xdr:spPr bwMode="auto">
        <a:xfrm>
          <a:off x="6961158" y="22347807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28576</xdr:rowOff>
    </xdr:to>
    <xdr:sp macro="" textlink="">
      <xdr:nvSpPr>
        <xdr:cNvPr id="1294" name="Text Box 421"/>
        <xdr:cNvSpPr txBox="1">
          <a:spLocks noChangeArrowheads="1"/>
        </xdr:cNvSpPr>
      </xdr:nvSpPr>
      <xdr:spPr bwMode="auto">
        <a:xfrm>
          <a:off x="6961158" y="22347807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28576</xdr:rowOff>
    </xdr:to>
    <xdr:sp macro="" textlink="">
      <xdr:nvSpPr>
        <xdr:cNvPr id="1295" name="Text Box 426"/>
        <xdr:cNvSpPr txBox="1">
          <a:spLocks noChangeArrowheads="1"/>
        </xdr:cNvSpPr>
      </xdr:nvSpPr>
      <xdr:spPr bwMode="auto">
        <a:xfrm>
          <a:off x="6961158" y="22347807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28576</xdr:rowOff>
    </xdr:to>
    <xdr:sp macro="" textlink="">
      <xdr:nvSpPr>
        <xdr:cNvPr id="1296" name="Text Box 431"/>
        <xdr:cNvSpPr txBox="1">
          <a:spLocks noChangeArrowheads="1"/>
        </xdr:cNvSpPr>
      </xdr:nvSpPr>
      <xdr:spPr bwMode="auto">
        <a:xfrm>
          <a:off x="6961158" y="22347807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28576</xdr:rowOff>
    </xdr:to>
    <xdr:sp macro="" textlink="">
      <xdr:nvSpPr>
        <xdr:cNvPr id="1297" name="Text Box 448"/>
        <xdr:cNvSpPr txBox="1">
          <a:spLocks noChangeArrowheads="1"/>
        </xdr:cNvSpPr>
      </xdr:nvSpPr>
      <xdr:spPr bwMode="auto">
        <a:xfrm>
          <a:off x="6961158" y="22347807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28576</xdr:rowOff>
    </xdr:to>
    <xdr:sp macro="" textlink="">
      <xdr:nvSpPr>
        <xdr:cNvPr id="1298" name="Text Box 288"/>
        <xdr:cNvSpPr txBox="1">
          <a:spLocks noChangeArrowheads="1"/>
        </xdr:cNvSpPr>
      </xdr:nvSpPr>
      <xdr:spPr bwMode="auto">
        <a:xfrm>
          <a:off x="6961158" y="22347807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28576</xdr:rowOff>
    </xdr:to>
    <xdr:sp macro="" textlink="">
      <xdr:nvSpPr>
        <xdr:cNvPr id="1299" name="Text Box 293"/>
        <xdr:cNvSpPr txBox="1">
          <a:spLocks noChangeArrowheads="1"/>
        </xdr:cNvSpPr>
      </xdr:nvSpPr>
      <xdr:spPr bwMode="auto">
        <a:xfrm>
          <a:off x="6961158" y="22347807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85726</xdr:rowOff>
    </xdr:to>
    <xdr:sp macro="" textlink="">
      <xdr:nvSpPr>
        <xdr:cNvPr id="1300" name="Text Box 139"/>
        <xdr:cNvSpPr txBox="1">
          <a:spLocks noChangeArrowheads="1"/>
        </xdr:cNvSpPr>
      </xdr:nvSpPr>
      <xdr:spPr bwMode="auto">
        <a:xfrm>
          <a:off x="6961158" y="22347807"/>
          <a:ext cx="76200" cy="2205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85726</xdr:rowOff>
    </xdr:to>
    <xdr:sp macro="" textlink="">
      <xdr:nvSpPr>
        <xdr:cNvPr id="1301" name="Text Box 421"/>
        <xdr:cNvSpPr txBox="1">
          <a:spLocks noChangeArrowheads="1"/>
        </xdr:cNvSpPr>
      </xdr:nvSpPr>
      <xdr:spPr bwMode="auto">
        <a:xfrm>
          <a:off x="6961158" y="22347807"/>
          <a:ext cx="76200" cy="2205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85726</xdr:rowOff>
    </xdr:to>
    <xdr:sp macro="" textlink="">
      <xdr:nvSpPr>
        <xdr:cNvPr id="1302" name="Text Box 426"/>
        <xdr:cNvSpPr txBox="1">
          <a:spLocks noChangeArrowheads="1"/>
        </xdr:cNvSpPr>
      </xdr:nvSpPr>
      <xdr:spPr bwMode="auto">
        <a:xfrm>
          <a:off x="6961158" y="22347807"/>
          <a:ext cx="76200" cy="2205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85726</xdr:rowOff>
    </xdr:to>
    <xdr:sp macro="" textlink="">
      <xdr:nvSpPr>
        <xdr:cNvPr id="1303" name="Text Box 431"/>
        <xdr:cNvSpPr txBox="1">
          <a:spLocks noChangeArrowheads="1"/>
        </xdr:cNvSpPr>
      </xdr:nvSpPr>
      <xdr:spPr bwMode="auto">
        <a:xfrm>
          <a:off x="6961158" y="22347807"/>
          <a:ext cx="76200" cy="2205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369</xdr:row>
      <xdr:rowOff>0</xdr:rowOff>
    </xdr:from>
    <xdr:to>
      <xdr:col>14</xdr:col>
      <xdr:colOff>342900</xdr:colOff>
      <xdr:row>370</xdr:row>
      <xdr:rowOff>85726</xdr:rowOff>
    </xdr:to>
    <xdr:sp macro="" textlink="">
      <xdr:nvSpPr>
        <xdr:cNvPr id="1304" name="Text Box 448"/>
        <xdr:cNvSpPr txBox="1">
          <a:spLocks noChangeArrowheads="1"/>
        </xdr:cNvSpPr>
      </xdr:nvSpPr>
      <xdr:spPr bwMode="auto">
        <a:xfrm>
          <a:off x="6961158" y="22347807"/>
          <a:ext cx="76200" cy="2205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28577</xdr:rowOff>
    </xdr:to>
    <xdr:sp macro="" textlink="">
      <xdr:nvSpPr>
        <xdr:cNvPr id="1274" name="Text Box 354"/>
        <xdr:cNvSpPr txBox="1">
          <a:spLocks noChangeArrowheads="1"/>
        </xdr:cNvSpPr>
      </xdr:nvSpPr>
      <xdr:spPr bwMode="auto">
        <a:xfrm>
          <a:off x="6961158" y="49844505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28577</xdr:rowOff>
    </xdr:to>
    <xdr:sp macro="" textlink="">
      <xdr:nvSpPr>
        <xdr:cNvPr id="1275" name="Text Box 359"/>
        <xdr:cNvSpPr txBox="1">
          <a:spLocks noChangeArrowheads="1"/>
        </xdr:cNvSpPr>
      </xdr:nvSpPr>
      <xdr:spPr bwMode="auto">
        <a:xfrm>
          <a:off x="6961158" y="49844505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28577</xdr:rowOff>
    </xdr:to>
    <xdr:sp macro="" textlink="">
      <xdr:nvSpPr>
        <xdr:cNvPr id="1276" name="Text Box 139"/>
        <xdr:cNvSpPr txBox="1">
          <a:spLocks noChangeArrowheads="1"/>
        </xdr:cNvSpPr>
      </xdr:nvSpPr>
      <xdr:spPr bwMode="auto">
        <a:xfrm>
          <a:off x="6961158" y="49844505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28577</xdr:rowOff>
    </xdr:to>
    <xdr:sp macro="" textlink="">
      <xdr:nvSpPr>
        <xdr:cNvPr id="1277" name="Text Box 421"/>
        <xdr:cNvSpPr txBox="1">
          <a:spLocks noChangeArrowheads="1"/>
        </xdr:cNvSpPr>
      </xdr:nvSpPr>
      <xdr:spPr bwMode="auto">
        <a:xfrm>
          <a:off x="6961158" y="49844505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28577</xdr:rowOff>
    </xdr:to>
    <xdr:sp macro="" textlink="">
      <xdr:nvSpPr>
        <xdr:cNvPr id="1278" name="Text Box 426"/>
        <xdr:cNvSpPr txBox="1">
          <a:spLocks noChangeArrowheads="1"/>
        </xdr:cNvSpPr>
      </xdr:nvSpPr>
      <xdr:spPr bwMode="auto">
        <a:xfrm>
          <a:off x="6961158" y="49844505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28577</xdr:rowOff>
    </xdr:to>
    <xdr:sp macro="" textlink="">
      <xdr:nvSpPr>
        <xdr:cNvPr id="1279" name="Text Box 431"/>
        <xdr:cNvSpPr txBox="1">
          <a:spLocks noChangeArrowheads="1"/>
        </xdr:cNvSpPr>
      </xdr:nvSpPr>
      <xdr:spPr bwMode="auto">
        <a:xfrm>
          <a:off x="6961158" y="49844505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28577</xdr:rowOff>
    </xdr:to>
    <xdr:sp macro="" textlink="">
      <xdr:nvSpPr>
        <xdr:cNvPr id="1280" name="Text Box 448"/>
        <xdr:cNvSpPr txBox="1">
          <a:spLocks noChangeArrowheads="1"/>
        </xdr:cNvSpPr>
      </xdr:nvSpPr>
      <xdr:spPr bwMode="auto">
        <a:xfrm>
          <a:off x="6961158" y="49844505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28577</xdr:rowOff>
    </xdr:to>
    <xdr:sp macro="" textlink="">
      <xdr:nvSpPr>
        <xdr:cNvPr id="1281" name="Text Box 139"/>
        <xdr:cNvSpPr txBox="1">
          <a:spLocks noChangeArrowheads="1"/>
        </xdr:cNvSpPr>
      </xdr:nvSpPr>
      <xdr:spPr bwMode="auto">
        <a:xfrm>
          <a:off x="6961158" y="49844505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28577</xdr:rowOff>
    </xdr:to>
    <xdr:sp macro="" textlink="">
      <xdr:nvSpPr>
        <xdr:cNvPr id="1282" name="Text Box 421"/>
        <xdr:cNvSpPr txBox="1">
          <a:spLocks noChangeArrowheads="1"/>
        </xdr:cNvSpPr>
      </xdr:nvSpPr>
      <xdr:spPr bwMode="auto">
        <a:xfrm>
          <a:off x="6961158" y="49844505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28577</xdr:rowOff>
    </xdr:to>
    <xdr:sp macro="" textlink="">
      <xdr:nvSpPr>
        <xdr:cNvPr id="1283" name="Text Box 426"/>
        <xdr:cNvSpPr txBox="1">
          <a:spLocks noChangeArrowheads="1"/>
        </xdr:cNvSpPr>
      </xdr:nvSpPr>
      <xdr:spPr bwMode="auto">
        <a:xfrm>
          <a:off x="6961158" y="49844505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28577</xdr:rowOff>
    </xdr:to>
    <xdr:sp macro="" textlink="">
      <xdr:nvSpPr>
        <xdr:cNvPr id="1284" name="Text Box 431"/>
        <xdr:cNvSpPr txBox="1">
          <a:spLocks noChangeArrowheads="1"/>
        </xdr:cNvSpPr>
      </xdr:nvSpPr>
      <xdr:spPr bwMode="auto">
        <a:xfrm>
          <a:off x="6961158" y="49844505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28577</xdr:rowOff>
    </xdr:to>
    <xdr:sp macro="" textlink="">
      <xdr:nvSpPr>
        <xdr:cNvPr id="1285" name="Text Box 448"/>
        <xdr:cNvSpPr txBox="1">
          <a:spLocks noChangeArrowheads="1"/>
        </xdr:cNvSpPr>
      </xdr:nvSpPr>
      <xdr:spPr bwMode="auto">
        <a:xfrm>
          <a:off x="6961158" y="49844505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28577</xdr:rowOff>
    </xdr:to>
    <xdr:sp macro="" textlink="">
      <xdr:nvSpPr>
        <xdr:cNvPr id="1305" name="Text Box 288"/>
        <xdr:cNvSpPr txBox="1">
          <a:spLocks noChangeArrowheads="1"/>
        </xdr:cNvSpPr>
      </xdr:nvSpPr>
      <xdr:spPr bwMode="auto">
        <a:xfrm>
          <a:off x="6961158" y="49844505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28577</xdr:rowOff>
    </xdr:to>
    <xdr:sp macro="" textlink="">
      <xdr:nvSpPr>
        <xdr:cNvPr id="1306" name="Text Box 293"/>
        <xdr:cNvSpPr txBox="1">
          <a:spLocks noChangeArrowheads="1"/>
        </xdr:cNvSpPr>
      </xdr:nvSpPr>
      <xdr:spPr bwMode="auto">
        <a:xfrm>
          <a:off x="6961158" y="49844505"/>
          <a:ext cx="76200" cy="16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85727</xdr:rowOff>
    </xdr:to>
    <xdr:sp macro="" textlink="">
      <xdr:nvSpPr>
        <xdr:cNvPr id="1307" name="Text Box 139"/>
        <xdr:cNvSpPr txBox="1">
          <a:spLocks noChangeArrowheads="1"/>
        </xdr:cNvSpPr>
      </xdr:nvSpPr>
      <xdr:spPr bwMode="auto">
        <a:xfrm>
          <a:off x="6961158" y="49844505"/>
          <a:ext cx="76200" cy="2205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85727</xdr:rowOff>
    </xdr:to>
    <xdr:sp macro="" textlink="">
      <xdr:nvSpPr>
        <xdr:cNvPr id="1308" name="Text Box 421"/>
        <xdr:cNvSpPr txBox="1">
          <a:spLocks noChangeArrowheads="1"/>
        </xdr:cNvSpPr>
      </xdr:nvSpPr>
      <xdr:spPr bwMode="auto">
        <a:xfrm>
          <a:off x="6961158" y="49844505"/>
          <a:ext cx="76200" cy="2205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85727</xdr:rowOff>
    </xdr:to>
    <xdr:sp macro="" textlink="">
      <xdr:nvSpPr>
        <xdr:cNvPr id="1309" name="Text Box 426"/>
        <xdr:cNvSpPr txBox="1">
          <a:spLocks noChangeArrowheads="1"/>
        </xdr:cNvSpPr>
      </xdr:nvSpPr>
      <xdr:spPr bwMode="auto">
        <a:xfrm>
          <a:off x="6961158" y="49844505"/>
          <a:ext cx="76200" cy="2205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85727</xdr:rowOff>
    </xdr:to>
    <xdr:sp macro="" textlink="">
      <xdr:nvSpPr>
        <xdr:cNvPr id="1310" name="Text Box 431"/>
        <xdr:cNvSpPr txBox="1">
          <a:spLocks noChangeArrowheads="1"/>
        </xdr:cNvSpPr>
      </xdr:nvSpPr>
      <xdr:spPr bwMode="auto">
        <a:xfrm>
          <a:off x="6961158" y="49844505"/>
          <a:ext cx="76200" cy="2205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266700</xdr:colOff>
      <xdr:row>15</xdr:row>
      <xdr:rowOff>0</xdr:rowOff>
    </xdr:from>
    <xdr:to>
      <xdr:col>29</xdr:col>
      <xdr:colOff>342900</xdr:colOff>
      <xdr:row>16</xdr:row>
      <xdr:rowOff>85727</xdr:rowOff>
    </xdr:to>
    <xdr:sp macro="" textlink="">
      <xdr:nvSpPr>
        <xdr:cNvPr id="1311" name="Text Box 448"/>
        <xdr:cNvSpPr txBox="1">
          <a:spLocks noChangeArrowheads="1"/>
        </xdr:cNvSpPr>
      </xdr:nvSpPr>
      <xdr:spPr bwMode="auto">
        <a:xfrm>
          <a:off x="6961158" y="49844505"/>
          <a:ext cx="76200" cy="2205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105</xdr:row>
      <xdr:rowOff>0</xdr:rowOff>
    </xdr:from>
    <xdr:to>
      <xdr:col>23</xdr:col>
      <xdr:colOff>342900</xdr:colOff>
      <xdr:row>106</xdr:row>
      <xdr:rowOff>85726</xdr:rowOff>
    </xdr:to>
    <xdr:sp macro="" textlink="">
      <xdr:nvSpPr>
        <xdr:cNvPr id="1312" name="Text Box 481"/>
        <xdr:cNvSpPr txBox="1">
          <a:spLocks noChangeArrowheads="1"/>
        </xdr:cNvSpPr>
      </xdr:nvSpPr>
      <xdr:spPr bwMode="auto">
        <a:xfrm>
          <a:off x="12239625" y="58388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105</xdr:row>
      <xdr:rowOff>0</xdr:rowOff>
    </xdr:from>
    <xdr:to>
      <xdr:col>23</xdr:col>
      <xdr:colOff>342900</xdr:colOff>
      <xdr:row>106</xdr:row>
      <xdr:rowOff>85726</xdr:rowOff>
    </xdr:to>
    <xdr:sp macro="" textlink="">
      <xdr:nvSpPr>
        <xdr:cNvPr id="1313" name="Text Box 486"/>
        <xdr:cNvSpPr txBox="1">
          <a:spLocks noChangeArrowheads="1"/>
        </xdr:cNvSpPr>
      </xdr:nvSpPr>
      <xdr:spPr bwMode="auto">
        <a:xfrm>
          <a:off x="12239625" y="58388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105</xdr:row>
      <xdr:rowOff>0</xdr:rowOff>
    </xdr:from>
    <xdr:to>
      <xdr:col>23</xdr:col>
      <xdr:colOff>342900</xdr:colOff>
      <xdr:row>106</xdr:row>
      <xdr:rowOff>85726</xdr:rowOff>
    </xdr:to>
    <xdr:sp macro="" textlink="">
      <xdr:nvSpPr>
        <xdr:cNvPr id="1314" name="Text Box 139"/>
        <xdr:cNvSpPr txBox="1">
          <a:spLocks noChangeArrowheads="1"/>
        </xdr:cNvSpPr>
      </xdr:nvSpPr>
      <xdr:spPr bwMode="auto">
        <a:xfrm>
          <a:off x="12239625" y="58388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105</xdr:row>
      <xdr:rowOff>0</xdr:rowOff>
    </xdr:from>
    <xdr:to>
      <xdr:col>23</xdr:col>
      <xdr:colOff>342900</xdr:colOff>
      <xdr:row>106</xdr:row>
      <xdr:rowOff>85726</xdr:rowOff>
    </xdr:to>
    <xdr:sp macro="" textlink="">
      <xdr:nvSpPr>
        <xdr:cNvPr id="1315" name="Text Box 421"/>
        <xdr:cNvSpPr txBox="1">
          <a:spLocks noChangeArrowheads="1"/>
        </xdr:cNvSpPr>
      </xdr:nvSpPr>
      <xdr:spPr bwMode="auto">
        <a:xfrm>
          <a:off x="12239625" y="58388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105</xdr:row>
      <xdr:rowOff>0</xdr:rowOff>
    </xdr:from>
    <xdr:to>
      <xdr:col>23</xdr:col>
      <xdr:colOff>342900</xdr:colOff>
      <xdr:row>106</xdr:row>
      <xdr:rowOff>85726</xdr:rowOff>
    </xdr:to>
    <xdr:sp macro="" textlink="">
      <xdr:nvSpPr>
        <xdr:cNvPr id="1316" name="Text Box 426"/>
        <xdr:cNvSpPr txBox="1">
          <a:spLocks noChangeArrowheads="1"/>
        </xdr:cNvSpPr>
      </xdr:nvSpPr>
      <xdr:spPr bwMode="auto">
        <a:xfrm>
          <a:off x="12239625" y="58388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105</xdr:row>
      <xdr:rowOff>0</xdr:rowOff>
    </xdr:from>
    <xdr:to>
      <xdr:col>23</xdr:col>
      <xdr:colOff>342900</xdr:colOff>
      <xdr:row>106</xdr:row>
      <xdr:rowOff>85726</xdr:rowOff>
    </xdr:to>
    <xdr:sp macro="" textlink="">
      <xdr:nvSpPr>
        <xdr:cNvPr id="1317" name="Text Box 431"/>
        <xdr:cNvSpPr txBox="1">
          <a:spLocks noChangeArrowheads="1"/>
        </xdr:cNvSpPr>
      </xdr:nvSpPr>
      <xdr:spPr bwMode="auto">
        <a:xfrm>
          <a:off x="12239625" y="58388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105</xdr:row>
      <xdr:rowOff>0</xdr:rowOff>
    </xdr:from>
    <xdr:to>
      <xdr:col>23</xdr:col>
      <xdr:colOff>342900</xdr:colOff>
      <xdr:row>106</xdr:row>
      <xdr:rowOff>85726</xdr:rowOff>
    </xdr:to>
    <xdr:sp macro="" textlink="">
      <xdr:nvSpPr>
        <xdr:cNvPr id="1318" name="Text Box 448"/>
        <xdr:cNvSpPr txBox="1">
          <a:spLocks noChangeArrowheads="1"/>
        </xdr:cNvSpPr>
      </xdr:nvSpPr>
      <xdr:spPr bwMode="auto">
        <a:xfrm>
          <a:off x="12239625" y="58388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105</xdr:row>
      <xdr:rowOff>0</xdr:rowOff>
    </xdr:from>
    <xdr:to>
      <xdr:col>23</xdr:col>
      <xdr:colOff>342900</xdr:colOff>
      <xdr:row>106</xdr:row>
      <xdr:rowOff>85726</xdr:rowOff>
    </xdr:to>
    <xdr:sp macro="" textlink="">
      <xdr:nvSpPr>
        <xdr:cNvPr id="1319" name="Text Box 549"/>
        <xdr:cNvSpPr txBox="1">
          <a:spLocks noChangeArrowheads="1"/>
        </xdr:cNvSpPr>
      </xdr:nvSpPr>
      <xdr:spPr bwMode="auto">
        <a:xfrm>
          <a:off x="12239625" y="58388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105</xdr:row>
      <xdr:rowOff>0</xdr:rowOff>
    </xdr:from>
    <xdr:to>
      <xdr:col>23</xdr:col>
      <xdr:colOff>342900</xdr:colOff>
      <xdr:row>106</xdr:row>
      <xdr:rowOff>85726</xdr:rowOff>
    </xdr:to>
    <xdr:sp macro="" textlink="">
      <xdr:nvSpPr>
        <xdr:cNvPr id="1320" name="Text Box 554"/>
        <xdr:cNvSpPr txBox="1">
          <a:spLocks noChangeArrowheads="1"/>
        </xdr:cNvSpPr>
      </xdr:nvSpPr>
      <xdr:spPr bwMode="auto">
        <a:xfrm>
          <a:off x="12239625" y="58388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105</xdr:row>
      <xdr:rowOff>0</xdr:rowOff>
    </xdr:from>
    <xdr:to>
      <xdr:col>23</xdr:col>
      <xdr:colOff>342900</xdr:colOff>
      <xdr:row>106</xdr:row>
      <xdr:rowOff>85726</xdr:rowOff>
    </xdr:to>
    <xdr:sp macro="" textlink="">
      <xdr:nvSpPr>
        <xdr:cNvPr id="1321" name="Text Box 139"/>
        <xdr:cNvSpPr txBox="1">
          <a:spLocks noChangeArrowheads="1"/>
        </xdr:cNvSpPr>
      </xdr:nvSpPr>
      <xdr:spPr bwMode="auto">
        <a:xfrm>
          <a:off x="12239625" y="58388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105</xdr:row>
      <xdr:rowOff>0</xdr:rowOff>
    </xdr:from>
    <xdr:to>
      <xdr:col>23</xdr:col>
      <xdr:colOff>342900</xdr:colOff>
      <xdr:row>106</xdr:row>
      <xdr:rowOff>85726</xdr:rowOff>
    </xdr:to>
    <xdr:sp macro="" textlink="">
      <xdr:nvSpPr>
        <xdr:cNvPr id="1322" name="Text Box 421"/>
        <xdr:cNvSpPr txBox="1">
          <a:spLocks noChangeArrowheads="1"/>
        </xdr:cNvSpPr>
      </xdr:nvSpPr>
      <xdr:spPr bwMode="auto">
        <a:xfrm>
          <a:off x="12239625" y="58388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105</xdr:row>
      <xdr:rowOff>0</xdr:rowOff>
    </xdr:from>
    <xdr:to>
      <xdr:col>23</xdr:col>
      <xdr:colOff>342900</xdr:colOff>
      <xdr:row>106</xdr:row>
      <xdr:rowOff>85726</xdr:rowOff>
    </xdr:to>
    <xdr:sp macro="" textlink="">
      <xdr:nvSpPr>
        <xdr:cNvPr id="1323" name="Text Box 426"/>
        <xdr:cNvSpPr txBox="1">
          <a:spLocks noChangeArrowheads="1"/>
        </xdr:cNvSpPr>
      </xdr:nvSpPr>
      <xdr:spPr bwMode="auto">
        <a:xfrm>
          <a:off x="12239625" y="58388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105</xdr:row>
      <xdr:rowOff>0</xdr:rowOff>
    </xdr:from>
    <xdr:to>
      <xdr:col>23</xdr:col>
      <xdr:colOff>342900</xdr:colOff>
      <xdr:row>106</xdr:row>
      <xdr:rowOff>85726</xdr:rowOff>
    </xdr:to>
    <xdr:sp macro="" textlink="">
      <xdr:nvSpPr>
        <xdr:cNvPr id="1324" name="Text Box 431"/>
        <xdr:cNvSpPr txBox="1">
          <a:spLocks noChangeArrowheads="1"/>
        </xdr:cNvSpPr>
      </xdr:nvSpPr>
      <xdr:spPr bwMode="auto">
        <a:xfrm>
          <a:off x="12239625" y="58388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105</xdr:row>
      <xdr:rowOff>0</xdr:rowOff>
    </xdr:from>
    <xdr:to>
      <xdr:col>23</xdr:col>
      <xdr:colOff>342900</xdr:colOff>
      <xdr:row>106</xdr:row>
      <xdr:rowOff>85726</xdr:rowOff>
    </xdr:to>
    <xdr:sp macro="" textlink="">
      <xdr:nvSpPr>
        <xdr:cNvPr id="1325" name="Text Box 448"/>
        <xdr:cNvSpPr txBox="1">
          <a:spLocks noChangeArrowheads="1"/>
        </xdr:cNvSpPr>
      </xdr:nvSpPr>
      <xdr:spPr bwMode="auto">
        <a:xfrm>
          <a:off x="12239625" y="58388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28576</xdr:rowOff>
    </xdr:to>
    <xdr:sp macro="" textlink="">
      <xdr:nvSpPr>
        <xdr:cNvPr id="1345" name="Text Box 354"/>
        <xdr:cNvSpPr txBox="1">
          <a:spLocks noChangeArrowheads="1"/>
        </xdr:cNvSpPr>
      </xdr:nvSpPr>
      <xdr:spPr bwMode="auto">
        <a:xfrm>
          <a:off x="7086600" y="49352200"/>
          <a:ext cx="76200" cy="161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28576</xdr:rowOff>
    </xdr:to>
    <xdr:sp macro="" textlink="">
      <xdr:nvSpPr>
        <xdr:cNvPr id="1346" name="Text Box 359"/>
        <xdr:cNvSpPr txBox="1">
          <a:spLocks noChangeArrowheads="1"/>
        </xdr:cNvSpPr>
      </xdr:nvSpPr>
      <xdr:spPr bwMode="auto">
        <a:xfrm>
          <a:off x="7086600" y="49352200"/>
          <a:ext cx="76200" cy="161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28576</xdr:rowOff>
    </xdr:to>
    <xdr:sp macro="" textlink="">
      <xdr:nvSpPr>
        <xdr:cNvPr id="1347" name="Text Box 139"/>
        <xdr:cNvSpPr txBox="1">
          <a:spLocks noChangeArrowheads="1"/>
        </xdr:cNvSpPr>
      </xdr:nvSpPr>
      <xdr:spPr bwMode="auto">
        <a:xfrm>
          <a:off x="7086600" y="49352200"/>
          <a:ext cx="76200" cy="161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28576</xdr:rowOff>
    </xdr:to>
    <xdr:sp macro="" textlink="">
      <xdr:nvSpPr>
        <xdr:cNvPr id="1348" name="Text Box 421"/>
        <xdr:cNvSpPr txBox="1">
          <a:spLocks noChangeArrowheads="1"/>
        </xdr:cNvSpPr>
      </xdr:nvSpPr>
      <xdr:spPr bwMode="auto">
        <a:xfrm>
          <a:off x="7086600" y="49352200"/>
          <a:ext cx="76200" cy="161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28576</xdr:rowOff>
    </xdr:to>
    <xdr:sp macro="" textlink="">
      <xdr:nvSpPr>
        <xdr:cNvPr id="1349" name="Text Box 426"/>
        <xdr:cNvSpPr txBox="1">
          <a:spLocks noChangeArrowheads="1"/>
        </xdr:cNvSpPr>
      </xdr:nvSpPr>
      <xdr:spPr bwMode="auto">
        <a:xfrm>
          <a:off x="7086600" y="49352200"/>
          <a:ext cx="76200" cy="161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28576</xdr:rowOff>
    </xdr:to>
    <xdr:sp macro="" textlink="">
      <xdr:nvSpPr>
        <xdr:cNvPr id="1350" name="Text Box 431"/>
        <xdr:cNvSpPr txBox="1">
          <a:spLocks noChangeArrowheads="1"/>
        </xdr:cNvSpPr>
      </xdr:nvSpPr>
      <xdr:spPr bwMode="auto">
        <a:xfrm>
          <a:off x="7086600" y="49352200"/>
          <a:ext cx="76200" cy="161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28576</xdr:rowOff>
    </xdr:to>
    <xdr:sp macro="" textlink="">
      <xdr:nvSpPr>
        <xdr:cNvPr id="1351" name="Text Box 448"/>
        <xdr:cNvSpPr txBox="1">
          <a:spLocks noChangeArrowheads="1"/>
        </xdr:cNvSpPr>
      </xdr:nvSpPr>
      <xdr:spPr bwMode="auto">
        <a:xfrm>
          <a:off x="7086600" y="49352200"/>
          <a:ext cx="76200" cy="161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28576</xdr:rowOff>
    </xdr:to>
    <xdr:sp macro="" textlink="">
      <xdr:nvSpPr>
        <xdr:cNvPr id="1352" name="Text Box 139"/>
        <xdr:cNvSpPr txBox="1">
          <a:spLocks noChangeArrowheads="1"/>
        </xdr:cNvSpPr>
      </xdr:nvSpPr>
      <xdr:spPr bwMode="auto">
        <a:xfrm>
          <a:off x="7086600" y="49352200"/>
          <a:ext cx="76200" cy="161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28576</xdr:rowOff>
    </xdr:to>
    <xdr:sp macro="" textlink="">
      <xdr:nvSpPr>
        <xdr:cNvPr id="1353" name="Text Box 421"/>
        <xdr:cNvSpPr txBox="1">
          <a:spLocks noChangeArrowheads="1"/>
        </xdr:cNvSpPr>
      </xdr:nvSpPr>
      <xdr:spPr bwMode="auto">
        <a:xfrm>
          <a:off x="7086600" y="49352200"/>
          <a:ext cx="76200" cy="161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28576</xdr:rowOff>
    </xdr:to>
    <xdr:sp macro="" textlink="">
      <xdr:nvSpPr>
        <xdr:cNvPr id="1354" name="Text Box 426"/>
        <xdr:cNvSpPr txBox="1">
          <a:spLocks noChangeArrowheads="1"/>
        </xdr:cNvSpPr>
      </xdr:nvSpPr>
      <xdr:spPr bwMode="auto">
        <a:xfrm>
          <a:off x="7086600" y="49352200"/>
          <a:ext cx="76200" cy="161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28576</xdr:rowOff>
    </xdr:to>
    <xdr:sp macro="" textlink="">
      <xdr:nvSpPr>
        <xdr:cNvPr id="1355" name="Text Box 431"/>
        <xdr:cNvSpPr txBox="1">
          <a:spLocks noChangeArrowheads="1"/>
        </xdr:cNvSpPr>
      </xdr:nvSpPr>
      <xdr:spPr bwMode="auto">
        <a:xfrm>
          <a:off x="7086600" y="49352200"/>
          <a:ext cx="76200" cy="161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28576</xdr:rowOff>
    </xdr:to>
    <xdr:sp macro="" textlink="">
      <xdr:nvSpPr>
        <xdr:cNvPr id="1356" name="Text Box 448"/>
        <xdr:cNvSpPr txBox="1">
          <a:spLocks noChangeArrowheads="1"/>
        </xdr:cNvSpPr>
      </xdr:nvSpPr>
      <xdr:spPr bwMode="auto">
        <a:xfrm>
          <a:off x="7086600" y="49352200"/>
          <a:ext cx="76200" cy="161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28576</xdr:rowOff>
    </xdr:to>
    <xdr:sp macro="" textlink="">
      <xdr:nvSpPr>
        <xdr:cNvPr id="1357" name="Text Box 288"/>
        <xdr:cNvSpPr txBox="1">
          <a:spLocks noChangeArrowheads="1"/>
        </xdr:cNvSpPr>
      </xdr:nvSpPr>
      <xdr:spPr bwMode="auto">
        <a:xfrm>
          <a:off x="7086600" y="49352200"/>
          <a:ext cx="76200" cy="161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28576</xdr:rowOff>
    </xdr:to>
    <xdr:sp macro="" textlink="">
      <xdr:nvSpPr>
        <xdr:cNvPr id="1358" name="Text Box 293"/>
        <xdr:cNvSpPr txBox="1">
          <a:spLocks noChangeArrowheads="1"/>
        </xdr:cNvSpPr>
      </xdr:nvSpPr>
      <xdr:spPr bwMode="auto">
        <a:xfrm>
          <a:off x="7086600" y="49352200"/>
          <a:ext cx="76200" cy="161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85726</xdr:rowOff>
    </xdr:to>
    <xdr:sp macro="" textlink="">
      <xdr:nvSpPr>
        <xdr:cNvPr id="1359" name="Text Box 139"/>
        <xdr:cNvSpPr txBox="1">
          <a:spLocks noChangeArrowheads="1"/>
        </xdr:cNvSpPr>
      </xdr:nvSpPr>
      <xdr:spPr bwMode="auto">
        <a:xfrm>
          <a:off x="7086600" y="4935220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85726</xdr:rowOff>
    </xdr:to>
    <xdr:sp macro="" textlink="">
      <xdr:nvSpPr>
        <xdr:cNvPr id="1360" name="Text Box 421"/>
        <xdr:cNvSpPr txBox="1">
          <a:spLocks noChangeArrowheads="1"/>
        </xdr:cNvSpPr>
      </xdr:nvSpPr>
      <xdr:spPr bwMode="auto">
        <a:xfrm>
          <a:off x="7086600" y="4935220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85726</xdr:rowOff>
    </xdr:to>
    <xdr:sp macro="" textlink="">
      <xdr:nvSpPr>
        <xdr:cNvPr id="1361" name="Text Box 426"/>
        <xdr:cNvSpPr txBox="1">
          <a:spLocks noChangeArrowheads="1"/>
        </xdr:cNvSpPr>
      </xdr:nvSpPr>
      <xdr:spPr bwMode="auto">
        <a:xfrm>
          <a:off x="7086600" y="4935220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85726</xdr:rowOff>
    </xdr:to>
    <xdr:sp macro="" textlink="">
      <xdr:nvSpPr>
        <xdr:cNvPr id="1362" name="Text Box 431"/>
        <xdr:cNvSpPr txBox="1">
          <a:spLocks noChangeArrowheads="1"/>
        </xdr:cNvSpPr>
      </xdr:nvSpPr>
      <xdr:spPr bwMode="auto">
        <a:xfrm>
          <a:off x="7086600" y="4935220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266700</xdr:colOff>
      <xdr:row>394</xdr:row>
      <xdr:rowOff>0</xdr:rowOff>
    </xdr:from>
    <xdr:to>
      <xdr:col>14</xdr:col>
      <xdr:colOff>342900</xdr:colOff>
      <xdr:row>395</xdr:row>
      <xdr:rowOff>85726</xdr:rowOff>
    </xdr:to>
    <xdr:sp macro="" textlink="">
      <xdr:nvSpPr>
        <xdr:cNvPr id="1363" name="Text Box 448"/>
        <xdr:cNvSpPr txBox="1">
          <a:spLocks noChangeArrowheads="1"/>
        </xdr:cNvSpPr>
      </xdr:nvSpPr>
      <xdr:spPr bwMode="auto">
        <a:xfrm>
          <a:off x="7086600" y="4935220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266700</xdr:colOff>
      <xdr:row>16</xdr:row>
      <xdr:rowOff>0</xdr:rowOff>
    </xdr:from>
    <xdr:to>
      <xdr:col>13</xdr:col>
      <xdr:colOff>342900</xdr:colOff>
      <xdr:row>17</xdr:row>
      <xdr:rowOff>28575</xdr:rowOff>
    </xdr:to>
    <xdr:sp macro="" textlink="">
      <xdr:nvSpPr>
        <xdr:cNvPr id="1326" name="Text Box 288"/>
        <xdr:cNvSpPr txBox="1">
          <a:spLocks noChangeArrowheads="1"/>
        </xdr:cNvSpPr>
      </xdr:nvSpPr>
      <xdr:spPr bwMode="auto">
        <a:xfrm>
          <a:off x="7086600" y="62801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266700</xdr:colOff>
      <xdr:row>16</xdr:row>
      <xdr:rowOff>0</xdr:rowOff>
    </xdr:from>
    <xdr:to>
      <xdr:col>13</xdr:col>
      <xdr:colOff>342900</xdr:colOff>
      <xdr:row>17</xdr:row>
      <xdr:rowOff>28575</xdr:rowOff>
    </xdr:to>
    <xdr:sp macro="" textlink="">
      <xdr:nvSpPr>
        <xdr:cNvPr id="1327" name="Text Box 293"/>
        <xdr:cNvSpPr txBox="1">
          <a:spLocks noChangeArrowheads="1"/>
        </xdr:cNvSpPr>
      </xdr:nvSpPr>
      <xdr:spPr bwMode="auto">
        <a:xfrm>
          <a:off x="7086600" y="62801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266700</xdr:colOff>
      <xdr:row>16</xdr:row>
      <xdr:rowOff>0</xdr:rowOff>
    </xdr:from>
    <xdr:to>
      <xdr:col>13</xdr:col>
      <xdr:colOff>342900</xdr:colOff>
      <xdr:row>17</xdr:row>
      <xdr:rowOff>85725</xdr:rowOff>
    </xdr:to>
    <xdr:sp macro="" textlink="">
      <xdr:nvSpPr>
        <xdr:cNvPr id="1328" name="Text Box 139"/>
        <xdr:cNvSpPr txBox="1">
          <a:spLocks noChangeArrowheads="1"/>
        </xdr:cNvSpPr>
      </xdr:nvSpPr>
      <xdr:spPr bwMode="auto">
        <a:xfrm>
          <a:off x="7086600" y="6280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266700</xdr:colOff>
      <xdr:row>16</xdr:row>
      <xdr:rowOff>0</xdr:rowOff>
    </xdr:from>
    <xdr:to>
      <xdr:col>13</xdr:col>
      <xdr:colOff>342900</xdr:colOff>
      <xdr:row>17</xdr:row>
      <xdr:rowOff>85725</xdr:rowOff>
    </xdr:to>
    <xdr:sp macro="" textlink="">
      <xdr:nvSpPr>
        <xdr:cNvPr id="1329" name="Text Box 421"/>
        <xdr:cNvSpPr txBox="1">
          <a:spLocks noChangeArrowheads="1"/>
        </xdr:cNvSpPr>
      </xdr:nvSpPr>
      <xdr:spPr bwMode="auto">
        <a:xfrm>
          <a:off x="7086600" y="6280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266700</xdr:colOff>
      <xdr:row>16</xdr:row>
      <xdr:rowOff>0</xdr:rowOff>
    </xdr:from>
    <xdr:to>
      <xdr:col>13</xdr:col>
      <xdr:colOff>342900</xdr:colOff>
      <xdr:row>17</xdr:row>
      <xdr:rowOff>85725</xdr:rowOff>
    </xdr:to>
    <xdr:sp macro="" textlink="">
      <xdr:nvSpPr>
        <xdr:cNvPr id="1330" name="Text Box 426"/>
        <xdr:cNvSpPr txBox="1">
          <a:spLocks noChangeArrowheads="1"/>
        </xdr:cNvSpPr>
      </xdr:nvSpPr>
      <xdr:spPr bwMode="auto">
        <a:xfrm>
          <a:off x="7086600" y="6280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266700</xdr:colOff>
      <xdr:row>16</xdr:row>
      <xdr:rowOff>0</xdr:rowOff>
    </xdr:from>
    <xdr:to>
      <xdr:col>13</xdr:col>
      <xdr:colOff>342900</xdr:colOff>
      <xdr:row>17</xdr:row>
      <xdr:rowOff>85725</xdr:rowOff>
    </xdr:to>
    <xdr:sp macro="" textlink="">
      <xdr:nvSpPr>
        <xdr:cNvPr id="1331" name="Text Box 431"/>
        <xdr:cNvSpPr txBox="1">
          <a:spLocks noChangeArrowheads="1"/>
        </xdr:cNvSpPr>
      </xdr:nvSpPr>
      <xdr:spPr bwMode="auto">
        <a:xfrm>
          <a:off x="7086600" y="6280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743</xdr:row>
      <xdr:rowOff>0</xdr:rowOff>
    </xdr:from>
    <xdr:to>
      <xdr:col>2</xdr:col>
      <xdr:colOff>342900</xdr:colOff>
      <xdr:row>745</xdr:row>
      <xdr:rowOff>9525</xdr:rowOff>
    </xdr:to>
    <xdr:sp macro="" textlink="">
      <xdr:nvSpPr>
        <xdr:cNvPr id="1333" name="Text Box 481"/>
        <xdr:cNvSpPr txBox="1">
          <a:spLocks noChangeArrowheads="1"/>
        </xdr:cNvSpPr>
      </xdr:nvSpPr>
      <xdr:spPr bwMode="auto">
        <a:xfrm>
          <a:off x="12687300" y="5880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743</xdr:row>
      <xdr:rowOff>0</xdr:rowOff>
    </xdr:from>
    <xdr:to>
      <xdr:col>2</xdr:col>
      <xdr:colOff>342900</xdr:colOff>
      <xdr:row>745</xdr:row>
      <xdr:rowOff>9525</xdr:rowOff>
    </xdr:to>
    <xdr:sp macro="" textlink="">
      <xdr:nvSpPr>
        <xdr:cNvPr id="1334" name="Text Box 486"/>
        <xdr:cNvSpPr txBox="1">
          <a:spLocks noChangeArrowheads="1"/>
        </xdr:cNvSpPr>
      </xdr:nvSpPr>
      <xdr:spPr bwMode="auto">
        <a:xfrm>
          <a:off x="12687300" y="5880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743</xdr:row>
      <xdr:rowOff>0</xdr:rowOff>
    </xdr:from>
    <xdr:to>
      <xdr:col>2</xdr:col>
      <xdr:colOff>342900</xdr:colOff>
      <xdr:row>745</xdr:row>
      <xdr:rowOff>9525</xdr:rowOff>
    </xdr:to>
    <xdr:sp macro="" textlink="">
      <xdr:nvSpPr>
        <xdr:cNvPr id="1335" name="Text Box 139"/>
        <xdr:cNvSpPr txBox="1">
          <a:spLocks noChangeArrowheads="1"/>
        </xdr:cNvSpPr>
      </xdr:nvSpPr>
      <xdr:spPr bwMode="auto">
        <a:xfrm>
          <a:off x="12687300" y="5880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743</xdr:row>
      <xdr:rowOff>0</xdr:rowOff>
    </xdr:from>
    <xdr:to>
      <xdr:col>2</xdr:col>
      <xdr:colOff>342900</xdr:colOff>
      <xdr:row>745</xdr:row>
      <xdr:rowOff>9525</xdr:rowOff>
    </xdr:to>
    <xdr:sp macro="" textlink="">
      <xdr:nvSpPr>
        <xdr:cNvPr id="1336" name="Text Box 421"/>
        <xdr:cNvSpPr txBox="1">
          <a:spLocks noChangeArrowheads="1"/>
        </xdr:cNvSpPr>
      </xdr:nvSpPr>
      <xdr:spPr bwMode="auto">
        <a:xfrm>
          <a:off x="12687300" y="5880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743</xdr:row>
      <xdr:rowOff>0</xdr:rowOff>
    </xdr:from>
    <xdr:to>
      <xdr:col>2</xdr:col>
      <xdr:colOff>342900</xdr:colOff>
      <xdr:row>745</xdr:row>
      <xdr:rowOff>9525</xdr:rowOff>
    </xdr:to>
    <xdr:sp macro="" textlink="">
      <xdr:nvSpPr>
        <xdr:cNvPr id="1337" name="Text Box 426"/>
        <xdr:cNvSpPr txBox="1">
          <a:spLocks noChangeArrowheads="1"/>
        </xdr:cNvSpPr>
      </xdr:nvSpPr>
      <xdr:spPr bwMode="auto">
        <a:xfrm>
          <a:off x="12687300" y="5880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743</xdr:row>
      <xdr:rowOff>0</xdr:rowOff>
    </xdr:from>
    <xdr:to>
      <xdr:col>2</xdr:col>
      <xdr:colOff>342900</xdr:colOff>
      <xdr:row>745</xdr:row>
      <xdr:rowOff>9525</xdr:rowOff>
    </xdr:to>
    <xdr:sp macro="" textlink="">
      <xdr:nvSpPr>
        <xdr:cNvPr id="1338" name="Text Box 431"/>
        <xdr:cNvSpPr txBox="1">
          <a:spLocks noChangeArrowheads="1"/>
        </xdr:cNvSpPr>
      </xdr:nvSpPr>
      <xdr:spPr bwMode="auto">
        <a:xfrm>
          <a:off x="12687300" y="5880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743</xdr:row>
      <xdr:rowOff>0</xdr:rowOff>
    </xdr:from>
    <xdr:to>
      <xdr:col>2</xdr:col>
      <xdr:colOff>342900</xdr:colOff>
      <xdr:row>745</xdr:row>
      <xdr:rowOff>9525</xdr:rowOff>
    </xdr:to>
    <xdr:sp macro="" textlink="">
      <xdr:nvSpPr>
        <xdr:cNvPr id="1339" name="Text Box 448"/>
        <xdr:cNvSpPr txBox="1">
          <a:spLocks noChangeArrowheads="1"/>
        </xdr:cNvSpPr>
      </xdr:nvSpPr>
      <xdr:spPr bwMode="auto">
        <a:xfrm>
          <a:off x="12687300" y="5880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743</xdr:row>
      <xdr:rowOff>0</xdr:rowOff>
    </xdr:from>
    <xdr:to>
      <xdr:col>2</xdr:col>
      <xdr:colOff>342900</xdr:colOff>
      <xdr:row>745</xdr:row>
      <xdr:rowOff>9525</xdr:rowOff>
    </xdr:to>
    <xdr:sp macro="" textlink="">
      <xdr:nvSpPr>
        <xdr:cNvPr id="1340" name="Text Box 549"/>
        <xdr:cNvSpPr txBox="1">
          <a:spLocks noChangeArrowheads="1"/>
        </xdr:cNvSpPr>
      </xdr:nvSpPr>
      <xdr:spPr bwMode="auto">
        <a:xfrm>
          <a:off x="12687300" y="5880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743</xdr:row>
      <xdr:rowOff>0</xdr:rowOff>
    </xdr:from>
    <xdr:to>
      <xdr:col>2</xdr:col>
      <xdr:colOff>342900</xdr:colOff>
      <xdr:row>745</xdr:row>
      <xdr:rowOff>9525</xdr:rowOff>
    </xdr:to>
    <xdr:sp macro="" textlink="">
      <xdr:nvSpPr>
        <xdr:cNvPr id="1341" name="Text Box 554"/>
        <xdr:cNvSpPr txBox="1">
          <a:spLocks noChangeArrowheads="1"/>
        </xdr:cNvSpPr>
      </xdr:nvSpPr>
      <xdr:spPr bwMode="auto">
        <a:xfrm>
          <a:off x="12687300" y="5880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743</xdr:row>
      <xdr:rowOff>0</xdr:rowOff>
    </xdr:from>
    <xdr:to>
      <xdr:col>2</xdr:col>
      <xdr:colOff>342900</xdr:colOff>
      <xdr:row>745</xdr:row>
      <xdr:rowOff>9525</xdr:rowOff>
    </xdr:to>
    <xdr:sp macro="" textlink="">
      <xdr:nvSpPr>
        <xdr:cNvPr id="1342" name="Text Box 139"/>
        <xdr:cNvSpPr txBox="1">
          <a:spLocks noChangeArrowheads="1"/>
        </xdr:cNvSpPr>
      </xdr:nvSpPr>
      <xdr:spPr bwMode="auto">
        <a:xfrm>
          <a:off x="12687300" y="5880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743</xdr:row>
      <xdr:rowOff>0</xdr:rowOff>
    </xdr:from>
    <xdr:to>
      <xdr:col>2</xdr:col>
      <xdr:colOff>342900</xdr:colOff>
      <xdr:row>745</xdr:row>
      <xdr:rowOff>9525</xdr:rowOff>
    </xdr:to>
    <xdr:sp macro="" textlink="">
      <xdr:nvSpPr>
        <xdr:cNvPr id="1343" name="Text Box 421"/>
        <xdr:cNvSpPr txBox="1">
          <a:spLocks noChangeArrowheads="1"/>
        </xdr:cNvSpPr>
      </xdr:nvSpPr>
      <xdr:spPr bwMode="auto">
        <a:xfrm>
          <a:off x="12687300" y="5880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743</xdr:row>
      <xdr:rowOff>0</xdr:rowOff>
    </xdr:from>
    <xdr:to>
      <xdr:col>2</xdr:col>
      <xdr:colOff>342900</xdr:colOff>
      <xdr:row>745</xdr:row>
      <xdr:rowOff>9525</xdr:rowOff>
    </xdr:to>
    <xdr:sp macro="" textlink="">
      <xdr:nvSpPr>
        <xdr:cNvPr id="1344" name="Text Box 426"/>
        <xdr:cNvSpPr txBox="1">
          <a:spLocks noChangeArrowheads="1"/>
        </xdr:cNvSpPr>
      </xdr:nvSpPr>
      <xdr:spPr bwMode="auto">
        <a:xfrm>
          <a:off x="12687300" y="5880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743</xdr:row>
      <xdr:rowOff>0</xdr:rowOff>
    </xdr:from>
    <xdr:to>
      <xdr:col>2</xdr:col>
      <xdr:colOff>342900</xdr:colOff>
      <xdr:row>745</xdr:row>
      <xdr:rowOff>9525</xdr:rowOff>
    </xdr:to>
    <xdr:sp macro="" textlink="">
      <xdr:nvSpPr>
        <xdr:cNvPr id="1364" name="Text Box 431"/>
        <xdr:cNvSpPr txBox="1">
          <a:spLocks noChangeArrowheads="1"/>
        </xdr:cNvSpPr>
      </xdr:nvSpPr>
      <xdr:spPr bwMode="auto">
        <a:xfrm>
          <a:off x="12687300" y="5880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127000</xdr:colOff>
      <xdr:row>743</xdr:row>
      <xdr:rowOff>6350</xdr:rowOff>
    </xdr:from>
    <xdr:to>
      <xdr:col>3</xdr:col>
      <xdr:colOff>203200</xdr:colOff>
      <xdr:row>745</xdr:row>
      <xdr:rowOff>15875</xdr:rowOff>
    </xdr:to>
    <xdr:sp macro="" textlink="">
      <xdr:nvSpPr>
        <xdr:cNvPr id="1365" name="Text Box 448"/>
        <xdr:cNvSpPr txBox="1">
          <a:spLocks noChangeArrowheads="1"/>
        </xdr:cNvSpPr>
      </xdr:nvSpPr>
      <xdr:spPr bwMode="auto">
        <a:xfrm>
          <a:off x="1778000" y="99250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774</xdr:row>
      <xdr:rowOff>0</xdr:rowOff>
    </xdr:from>
    <xdr:to>
      <xdr:col>2</xdr:col>
      <xdr:colOff>342900</xdr:colOff>
      <xdr:row>776</xdr:row>
      <xdr:rowOff>9524</xdr:rowOff>
    </xdr:to>
    <xdr:sp macro="" textlink="">
      <xdr:nvSpPr>
        <xdr:cNvPr id="1366" name="Text Box 481"/>
        <xdr:cNvSpPr txBox="1">
          <a:spLocks noChangeArrowheads="1"/>
        </xdr:cNvSpPr>
      </xdr:nvSpPr>
      <xdr:spPr bwMode="auto">
        <a:xfrm>
          <a:off x="12687300" y="988060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774</xdr:row>
      <xdr:rowOff>0</xdr:rowOff>
    </xdr:from>
    <xdr:to>
      <xdr:col>2</xdr:col>
      <xdr:colOff>342900</xdr:colOff>
      <xdr:row>776</xdr:row>
      <xdr:rowOff>9524</xdr:rowOff>
    </xdr:to>
    <xdr:sp macro="" textlink="">
      <xdr:nvSpPr>
        <xdr:cNvPr id="1367" name="Text Box 486"/>
        <xdr:cNvSpPr txBox="1">
          <a:spLocks noChangeArrowheads="1"/>
        </xdr:cNvSpPr>
      </xdr:nvSpPr>
      <xdr:spPr bwMode="auto">
        <a:xfrm>
          <a:off x="12687300" y="988060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774</xdr:row>
      <xdr:rowOff>0</xdr:rowOff>
    </xdr:from>
    <xdr:to>
      <xdr:col>2</xdr:col>
      <xdr:colOff>342900</xdr:colOff>
      <xdr:row>776</xdr:row>
      <xdr:rowOff>9524</xdr:rowOff>
    </xdr:to>
    <xdr:sp macro="" textlink="">
      <xdr:nvSpPr>
        <xdr:cNvPr id="1368" name="Text Box 139"/>
        <xdr:cNvSpPr txBox="1">
          <a:spLocks noChangeArrowheads="1"/>
        </xdr:cNvSpPr>
      </xdr:nvSpPr>
      <xdr:spPr bwMode="auto">
        <a:xfrm>
          <a:off x="12687300" y="988060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774</xdr:row>
      <xdr:rowOff>0</xdr:rowOff>
    </xdr:from>
    <xdr:to>
      <xdr:col>2</xdr:col>
      <xdr:colOff>342900</xdr:colOff>
      <xdr:row>776</xdr:row>
      <xdr:rowOff>9524</xdr:rowOff>
    </xdr:to>
    <xdr:sp macro="" textlink="">
      <xdr:nvSpPr>
        <xdr:cNvPr id="1369" name="Text Box 421"/>
        <xdr:cNvSpPr txBox="1">
          <a:spLocks noChangeArrowheads="1"/>
        </xdr:cNvSpPr>
      </xdr:nvSpPr>
      <xdr:spPr bwMode="auto">
        <a:xfrm>
          <a:off x="12687300" y="988060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774</xdr:row>
      <xdr:rowOff>0</xdr:rowOff>
    </xdr:from>
    <xdr:to>
      <xdr:col>2</xdr:col>
      <xdr:colOff>342900</xdr:colOff>
      <xdr:row>776</xdr:row>
      <xdr:rowOff>9524</xdr:rowOff>
    </xdr:to>
    <xdr:sp macro="" textlink="">
      <xdr:nvSpPr>
        <xdr:cNvPr id="1370" name="Text Box 426"/>
        <xdr:cNvSpPr txBox="1">
          <a:spLocks noChangeArrowheads="1"/>
        </xdr:cNvSpPr>
      </xdr:nvSpPr>
      <xdr:spPr bwMode="auto">
        <a:xfrm>
          <a:off x="12687300" y="988060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774</xdr:row>
      <xdr:rowOff>0</xdr:rowOff>
    </xdr:from>
    <xdr:to>
      <xdr:col>2</xdr:col>
      <xdr:colOff>342900</xdr:colOff>
      <xdr:row>776</xdr:row>
      <xdr:rowOff>9524</xdr:rowOff>
    </xdr:to>
    <xdr:sp macro="" textlink="">
      <xdr:nvSpPr>
        <xdr:cNvPr id="1371" name="Text Box 431"/>
        <xdr:cNvSpPr txBox="1">
          <a:spLocks noChangeArrowheads="1"/>
        </xdr:cNvSpPr>
      </xdr:nvSpPr>
      <xdr:spPr bwMode="auto">
        <a:xfrm>
          <a:off x="12687300" y="988060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774</xdr:row>
      <xdr:rowOff>0</xdr:rowOff>
    </xdr:from>
    <xdr:to>
      <xdr:col>2</xdr:col>
      <xdr:colOff>342900</xdr:colOff>
      <xdr:row>776</xdr:row>
      <xdr:rowOff>9524</xdr:rowOff>
    </xdr:to>
    <xdr:sp macro="" textlink="">
      <xdr:nvSpPr>
        <xdr:cNvPr id="1372" name="Text Box 448"/>
        <xdr:cNvSpPr txBox="1">
          <a:spLocks noChangeArrowheads="1"/>
        </xdr:cNvSpPr>
      </xdr:nvSpPr>
      <xdr:spPr bwMode="auto">
        <a:xfrm>
          <a:off x="12687300" y="988060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774</xdr:row>
      <xdr:rowOff>0</xdr:rowOff>
    </xdr:from>
    <xdr:to>
      <xdr:col>2</xdr:col>
      <xdr:colOff>342900</xdr:colOff>
      <xdr:row>776</xdr:row>
      <xdr:rowOff>9524</xdr:rowOff>
    </xdr:to>
    <xdr:sp macro="" textlink="">
      <xdr:nvSpPr>
        <xdr:cNvPr id="1373" name="Text Box 549"/>
        <xdr:cNvSpPr txBox="1">
          <a:spLocks noChangeArrowheads="1"/>
        </xdr:cNvSpPr>
      </xdr:nvSpPr>
      <xdr:spPr bwMode="auto">
        <a:xfrm>
          <a:off x="12687300" y="988060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774</xdr:row>
      <xdr:rowOff>0</xdr:rowOff>
    </xdr:from>
    <xdr:to>
      <xdr:col>2</xdr:col>
      <xdr:colOff>342900</xdr:colOff>
      <xdr:row>776</xdr:row>
      <xdr:rowOff>9524</xdr:rowOff>
    </xdr:to>
    <xdr:sp macro="" textlink="">
      <xdr:nvSpPr>
        <xdr:cNvPr id="1374" name="Text Box 554"/>
        <xdr:cNvSpPr txBox="1">
          <a:spLocks noChangeArrowheads="1"/>
        </xdr:cNvSpPr>
      </xdr:nvSpPr>
      <xdr:spPr bwMode="auto">
        <a:xfrm>
          <a:off x="12687300" y="988060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774</xdr:row>
      <xdr:rowOff>0</xdr:rowOff>
    </xdr:from>
    <xdr:to>
      <xdr:col>2</xdr:col>
      <xdr:colOff>342900</xdr:colOff>
      <xdr:row>776</xdr:row>
      <xdr:rowOff>9524</xdr:rowOff>
    </xdr:to>
    <xdr:sp macro="" textlink="">
      <xdr:nvSpPr>
        <xdr:cNvPr id="1375" name="Text Box 139"/>
        <xdr:cNvSpPr txBox="1">
          <a:spLocks noChangeArrowheads="1"/>
        </xdr:cNvSpPr>
      </xdr:nvSpPr>
      <xdr:spPr bwMode="auto">
        <a:xfrm>
          <a:off x="12687300" y="988060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774</xdr:row>
      <xdr:rowOff>0</xdr:rowOff>
    </xdr:from>
    <xdr:to>
      <xdr:col>2</xdr:col>
      <xdr:colOff>342900</xdr:colOff>
      <xdr:row>776</xdr:row>
      <xdr:rowOff>9524</xdr:rowOff>
    </xdr:to>
    <xdr:sp macro="" textlink="">
      <xdr:nvSpPr>
        <xdr:cNvPr id="1376" name="Text Box 421"/>
        <xdr:cNvSpPr txBox="1">
          <a:spLocks noChangeArrowheads="1"/>
        </xdr:cNvSpPr>
      </xdr:nvSpPr>
      <xdr:spPr bwMode="auto">
        <a:xfrm>
          <a:off x="12687300" y="988060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774</xdr:row>
      <xdr:rowOff>0</xdr:rowOff>
    </xdr:from>
    <xdr:to>
      <xdr:col>2</xdr:col>
      <xdr:colOff>342900</xdr:colOff>
      <xdr:row>776</xdr:row>
      <xdr:rowOff>9524</xdr:rowOff>
    </xdr:to>
    <xdr:sp macro="" textlink="">
      <xdr:nvSpPr>
        <xdr:cNvPr id="1377" name="Text Box 426"/>
        <xdr:cNvSpPr txBox="1">
          <a:spLocks noChangeArrowheads="1"/>
        </xdr:cNvSpPr>
      </xdr:nvSpPr>
      <xdr:spPr bwMode="auto">
        <a:xfrm>
          <a:off x="12687300" y="988060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774</xdr:row>
      <xdr:rowOff>0</xdr:rowOff>
    </xdr:from>
    <xdr:to>
      <xdr:col>2</xdr:col>
      <xdr:colOff>342900</xdr:colOff>
      <xdr:row>776</xdr:row>
      <xdr:rowOff>9524</xdr:rowOff>
    </xdr:to>
    <xdr:sp macro="" textlink="">
      <xdr:nvSpPr>
        <xdr:cNvPr id="1378" name="Text Box 431"/>
        <xdr:cNvSpPr txBox="1">
          <a:spLocks noChangeArrowheads="1"/>
        </xdr:cNvSpPr>
      </xdr:nvSpPr>
      <xdr:spPr bwMode="auto">
        <a:xfrm>
          <a:off x="12687300" y="988060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774</xdr:row>
      <xdr:rowOff>0</xdr:rowOff>
    </xdr:from>
    <xdr:to>
      <xdr:col>2</xdr:col>
      <xdr:colOff>342900</xdr:colOff>
      <xdr:row>776</xdr:row>
      <xdr:rowOff>9524</xdr:rowOff>
    </xdr:to>
    <xdr:sp macro="" textlink="">
      <xdr:nvSpPr>
        <xdr:cNvPr id="1379" name="Text Box 448"/>
        <xdr:cNvSpPr txBox="1">
          <a:spLocks noChangeArrowheads="1"/>
        </xdr:cNvSpPr>
      </xdr:nvSpPr>
      <xdr:spPr bwMode="auto">
        <a:xfrm>
          <a:off x="12687300" y="988060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43</xdr:row>
      <xdr:rowOff>0</xdr:rowOff>
    </xdr:from>
    <xdr:to>
      <xdr:col>23</xdr:col>
      <xdr:colOff>342900</xdr:colOff>
      <xdr:row>44</xdr:row>
      <xdr:rowOff>85726</xdr:rowOff>
    </xdr:to>
    <xdr:sp macro="" textlink="">
      <xdr:nvSpPr>
        <xdr:cNvPr id="1380" name="Text Box 481"/>
        <xdr:cNvSpPr txBox="1">
          <a:spLocks noChangeArrowheads="1"/>
        </xdr:cNvSpPr>
      </xdr:nvSpPr>
      <xdr:spPr bwMode="auto">
        <a:xfrm>
          <a:off x="12687300" y="1401445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43</xdr:row>
      <xdr:rowOff>0</xdr:rowOff>
    </xdr:from>
    <xdr:to>
      <xdr:col>23</xdr:col>
      <xdr:colOff>342900</xdr:colOff>
      <xdr:row>44</xdr:row>
      <xdr:rowOff>85726</xdr:rowOff>
    </xdr:to>
    <xdr:sp macro="" textlink="">
      <xdr:nvSpPr>
        <xdr:cNvPr id="1381" name="Text Box 486"/>
        <xdr:cNvSpPr txBox="1">
          <a:spLocks noChangeArrowheads="1"/>
        </xdr:cNvSpPr>
      </xdr:nvSpPr>
      <xdr:spPr bwMode="auto">
        <a:xfrm>
          <a:off x="12687300" y="1401445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43</xdr:row>
      <xdr:rowOff>0</xdr:rowOff>
    </xdr:from>
    <xdr:to>
      <xdr:col>23</xdr:col>
      <xdr:colOff>342900</xdr:colOff>
      <xdr:row>44</xdr:row>
      <xdr:rowOff>85726</xdr:rowOff>
    </xdr:to>
    <xdr:sp macro="" textlink="">
      <xdr:nvSpPr>
        <xdr:cNvPr id="1382" name="Text Box 139"/>
        <xdr:cNvSpPr txBox="1">
          <a:spLocks noChangeArrowheads="1"/>
        </xdr:cNvSpPr>
      </xdr:nvSpPr>
      <xdr:spPr bwMode="auto">
        <a:xfrm>
          <a:off x="12687300" y="1401445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43</xdr:row>
      <xdr:rowOff>0</xdr:rowOff>
    </xdr:from>
    <xdr:to>
      <xdr:col>23</xdr:col>
      <xdr:colOff>342900</xdr:colOff>
      <xdr:row>44</xdr:row>
      <xdr:rowOff>85726</xdr:rowOff>
    </xdr:to>
    <xdr:sp macro="" textlink="">
      <xdr:nvSpPr>
        <xdr:cNvPr id="1383" name="Text Box 421"/>
        <xdr:cNvSpPr txBox="1">
          <a:spLocks noChangeArrowheads="1"/>
        </xdr:cNvSpPr>
      </xdr:nvSpPr>
      <xdr:spPr bwMode="auto">
        <a:xfrm>
          <a:off x="12687300" y="1401445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43</xdr:row>
      <xdr:rowOff>0</xdr:rowOff>
    </xdr:from>
    <xdr:to>
      <xdr:col>23</xdr:col>
      <xdr:colOff>342900</xdr:colOff>
      <xdr:row>44</xdr:row>
      <xdr:rowOff>85726</xdr:rowOff>
    </xdr:to>
    <xdr:sp macro="" textlink="">
      <xdr:nvSpPr>
        <xdr:cNvPr id="1384" name="Text Box 426"/>
        <xdr:cNvSpPr txBox="1">
          <a:spLocks noChangeArrowheads="1"/>
        </xdr:cNvSpPr>
      </xdr:nvSpPr>
      <xdr:spPr bwMode="auto">
        <a:xfrm>
          <a:off x="12687300" y="1401445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43</xdr:row>
      <xdr:rowOff>0</xdr:rowOff>
    </xdr:from>
    <xdr:to>
      <xdr:col>23</xdr:col>
      <xdr:colOff>342900</xdr:colOff>
      <xdr:row>44</xdr:row>
      <xdr:rowOff>85726</xdr:rowOff>
    </xdr:to>
    <xdr:sp macro="" textlink="">
      <xdr:nvSpPr>
        <xdr:cNvPr id="1385" name="Text Box 431"/>
        <xdr:cNvSpPr txBox="1">
          <a:spLocks noChangeArrowheads="1"/>
        </xdr:cNvSpPr>
      </xdr:nvSpPr>
      <xdr:spPr bwMode="auto">
        <a:xfrm>
          <a:off x="12687300" y="1401445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43</xdr:row>
      <xdr:rowOff>0</xdr:rowOff>
    </xdr:from>
    <xdr:to>
      <xdr:col>23</xdr:col>
      <xdr:colOff>342900</xdr:colOff>
      <xdr:row>44</xdr:row>
      <xdr:rowOff>85726</xdr:rowOff>
    </xdr:to>
    <xdr:sp macro="" textlink="">
      <xdr:nvSpPr>
        <xdr:cNvPr id="1386" name="Text Box 448"/>
        <xdr:cNvSpPr txBox="1">
          <a:spLocks noChangeArrowheads="1"/>
        </xdr:cNvSpPr>
      </xdr:nvSpPr>
      <xdr:spPr bwMode="auto">
        <a:xfrm>
          <a:off x="12687300" y="1401445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43</xdr:row>
      <xdr:rowOff>0</xdr:rowOff>
    </xdr:from>
    <xdr:to>
      <xdr:col>23</xdr:col>
      <xdr:colOff>342900</xdr:colOff>
      <xdr:row>44</xdr:row>
      <xdr:rowOff>85726</xdr:rowOff>
    </xdr:to>
    <xdr:sp macro="" textlink="">
      <xdr:nvSpPr>
        <xdr:cNvPr id="1387" name="Text Box 549"/>
        <xdr:cNvSpPr txBox="1">
          <a:spLocks noChangeArrowheads="1"/>
        </xdr:cNvSpPr>
      </xdr:nvSpPr>
      <xdr:spPr bwMode="auto">
        <a:xfrm>
          <a:off x="12687300" y="1401445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43</xdr:row>
      <xdr:rowOff>0</xdr:rowOff>
    </xdr:from>
    <xdr:to>
      <xdr:col>23</xdr:col>
      <xdr:colOff>342900</xdr:colOff>
      <xdr:row>44</xdr:row>
      <xdr:rowOff>85726</xdr:rowOff>
    </xdr:to>
    <xdr:sp macro="" textlink="">
      <xdr:nvSpPr>
        <xdr:cNvPr id="1388" name="Text Box 554"/>
        <xdr:cNvSpPr txBox="1">
          <a:spLocks noChangeArrowheads="1"/>
        </xdr:cNvSpPr>
      </xdr:nvSpPr>
      <xdr:spPr bwMode="auto">
        <a:xfrm>
          <a:off x="12687300" y="1401445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43</xdr:row>
      <xdr:rowOff>0</xdr:rowOff>
    </xdr:from>
    <xdr:to>
      <xdr:col>23</xdr:col>
      <xdr:colOff>342900</xdr:colOff>
      <xdr:row>44</xdr:row>
      <xdr:rowOff>85726</xdr:rowOff>
    </xdr:to>
    <xdr:sp macro="" textlink="">
      <xdr:nvSpPr>
        <xdr:cNvPr id="1389" name="Text Box 139"/>
        <xdr:cNvSpPr txBox="1">
          <a:spLocks noChangeArrowheads="1"/>
        </xdr:cNvSpPr>
      </xdr:nvSpPr>
      <xdr:spPr bwMode="auto">
        <a:xfrm>
          <a:off x="12687300" y="1401445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43</xdr:row>
      <xdr:rowOff>0</xdr:rowOff>
    </xdr:from>
    <xdr:to>
      <xdr:col>23</xdr:col>
      <xdr:colOff>342900</xdr:colOff>
      <xdr:row>44</xdr:row>
      <xdr:rowOff>85726</xdr:rowOff>
    </xdr:to>
    <xdr:sp macro="" textlink="">
      <xdr:nvSpPr>
        <xdr:cNvPr id="1390" name="Text Box 421"/>
        <xdr:cNvSpPr txBox="1">
          <a:spLocks noChangeArrowheads="1"/>
        </xdr:cNvSpPr>
      </xdr:nvSpPr>
      <xdr:spPr bwMode="auto">
        <a:xfrm>
          <a:off x="12687300" y="1401445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43</xdr:row>
      <xdr:rowOff>0</xdr:rowOff>
    </xdr:from>
    <xdr:to>
      <xdr:col>23</xdr:col>
      <xdr:colOff>342900</xdr:colOff>
      <xdr:row>44</xdr:row>
      <xdr:rowOff>85726</xdr:rowOff>
    </xdr:to>
    <xdr:sp macro="" textlink="">
      <xdr:nvSpPr>
        <xdr:cNvPr id="1391" name="Text Box 426"/>
        <xdr:cNvSpPr txBox="1">
          <a:spLocks noChangeArrowheads="1"/>
        </xdr:cNvSpPr>
      </xdr:nvSpPr>
      <xdr:spPr bwMode="auto">
        <a:xfrm>
          <a:off x="12687300" y="1401445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43</xdr:row>
      <xdr:rowOff>0</xdr:rowOff>
    </xdr:from>
    <xdr:to>
      <xdr:col>23</xdr:col>
      <xdr:colOff>342900</xdr:colOff>
      <xdr:row>44</xdr:row>
      <xdr:rowOff>85726</xdr:rowOff>
    </xdr:to>
    <xdr:sp macro="" textlink="">
      <xdr:nvSpPr>
        <xdr:cNvPr id="1392" name="Text Box 431"/>
        <xdr:cNvSpPr txBox="1">
          <a:spLocks noChangeArrowheads="1"/>
        </xdr:cNvSpPr>
      </xdr:nvSpPr>
      <xdr:spPr bwMode="auto">
        <a:xfrm>
          <a:off x="12687300" y="1401445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266700</xdr:colOff>
      <xdr:row>43</xdr:row>
      <xdr:rowOff>0</xdr:rowOff>
    </xdr:from>
    <xdr:to>
      <xdr:col>23</xdr:col>
      <xdr:colOff>342900</xdr:colOff>
      <xdr:row>44</xdr:row>
      <xdr:rowOff>85726</xdr:rowOff>
    </xdr:to>
    <xdr:sp macro="" textlink="">
      <xdr:nvSpPr>
        <xdr:cNvPr id="1393" name="Text Box 448"/>
        <xdr:cNvSpPr txBox="1">
          <a:spLocks noChangeArrowheads="1"/>
        </xdr:cNvSpPr>
      </xdr:nvSpPr>
      <xdr:spPr bwMode="auto">
        <a:xfrm>
          <a:off x="12687300" y="14014450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33" name="Text Box 139"/>
        <xdr:cNvSpPr txBox="1">
          <a:spLocks noChangeArrowheads="1"/>
        </xdr:cNvSpPr>
      </xdr:nvSpPr>
      <xdr:spPr bwMode="auto">
        <a:xfrm>
          <a:off x="1295400" y="24574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34" name="Text Box 421"/>
        <xdr:cNvSpPr txBox="1">
          <a:spLocks noChangeArrowheads="1"/>
        </xdr:cNvSpPr>
      </xdr:nvSpPr>
      <xdr:spPr bwMode="auto">
        <a:xfrm>
          <a:off x="1295400" y="24574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35" name="Text Box 426"/>
        <xdr:cNvSpPr txBox="1">
          <a:spLocks noChangeArrowheads="1"/>
        </xdr:cNvSpPr>
      </xdr:nvSpPr>
      <xdr:spPr bwMode="auto">
        <a:xfrm>
          <a:off x="1295400" y="24574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36" name="Text Box 431"/>
        <xdr:cNvSpPr txBox="1">
          <a:spLocks noChangeArrowheads="1"/>
        </xdr:cNvSpPr>
      </xdr:nvSpPr>
      <xdr:spPr bwMode="auto">
        <a:xfrm>
          <a:off x="1295400" y="24574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37" name="Text Box 448"/>
        <xdr:cNvSpPr txBox="1">
          <a:spLocks noChangeArrowheads="1"/>
        </xdr:cNvSpPr>
      </xdr:nvSpPr>
      <xdr:spPr bwMode="auto">
        <a:xfrm>
          <a:off x="1295400" y="24574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38" name="Text Box 139"/>
        <xdr:cNvSpPr txBox="1">
          <a:spLocks noChangeArrowheads="1"/>
        </xdr:cNvSpPr>
      </xdr:nvSpPr>
      <xdr:spPr bwMode="auto">
        <a:xfrm>
          <a:off x="1295400" y="5257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39" name="Text Box 421"/>
        <xdr:cNvSpPr txBox="1">
          <a:spLocks noChangeArrowheads="1"/>
        </xdr:cNvSpPr>
      </xdr:nvSpPr>
      <xdr:spPr bwMode="auto">
        <a:xfrm>
          <a:off x="1295400" y="5257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40" name="Text Box 426"/>
        <xdr:cNvSpPr txBox="1">
          <a:spLocks noChangeArrowheads="1"/>
        </xdr:cNvSpPr>
      </xdr:nvSpPr>
      <xdr:spPr bwMode="auto">
        <a:xfrm>
          <a:off x="1295400" y="5257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41" name="Text Box 431"/>
        <xdr:cNvSpPr txBox="1">
          <a:spLocks noChangeArrowheads="1"/>
        </xdr:cNvSpPr>
      </xdr:nvSpPr>
      <xdr:spPr bwMode="auto">
        <a:xfrm>
          <a:off x="1295400" y="5257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42" name="Text Box 448"/>
        <xdr:cNvSpPr txBox="1">
          <a:spLocks noChangeArrowheads="1"/>
        </xdr:cNvSpPr>
      </xdr:nvSpPr>
      <xdr:spPr bwMode="auto">
        <a:xfrm>
          <a:off x="1295400" y="5257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43" name="Text Box 139"/>
        <xdr:cNvSpPr txBox="1">
          <a:spLocks noChangeArrowheads="1"/>
        </xdr:cNvSpPr>
      </xdr:nvSpPr>
      <xdr:spPr bwMode="auto">
        <a:xfrm>
          <a:off x="1295400" y="8058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44" name="Text Box 421"/>
        <xdr:cNvSpPr txBox="1">
          <a:spLocks noChangeArrowheads="1"/>
        </xdr:cNvSpPr>
      </xdr:nvSpPr>
      <xdr:spPr bwMode="auto">
        <a:xfrm>
          <a:off x="1295400" y="8058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45" name="Text Box 426"/>
        <xdr:cNvSpPr txBox="1">
          <a:spLocks noChangeArrowheads="1"/>
        </xdr:cNvSpPr>
      </xdr:nvSpPr>
      <xdr:spPr bwMode="auto">
        <a:xfrm>
          <a:off x="1295400" y="8058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46" name="Text Box 431"/>
        <xdr:cNvSpPr txBox="1">
          <a:spLocks noChangeArrowheads="1"/>
        </xdr:cNvSpPr>
      </xdr:nvSpPr>
      <xdr:spPr bwMode="auto">
        <a:xfrm>
          <a:off x="1295400" y="8058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47" name="Text Box 448"/>
        <xdr:cNvSpPr txBox="1">
          <a:spLocks noChangeArrowheads="1"/>
        </xdr:cNvSpPr>
      </xdr:nvSpPr>
      <xdr:spPr bwMode="auto">
        <a:xfrm>
          <a:off x="1295400" y="8058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48" name="Text Box 139"/>
        <xdr:cNvSpPr txBox="1">
          <a:spLocks noChangeArrowheads="1"/>
        </xdr:cNvSpPr>
      </xdr:nvSpPr>
      <xdr:spPr bwMode="auto">
        <a:xfrm>
          <a:off x="1295400" y="85915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49" name="Text Box 421"/>
        <xdr:cNvSpPr txBox="1">
          <a:spLocks noChangeArrowheads="1"/>
        </xdr:cNvSpPr>
      </xdr:nvSpPr>
      <xdr:spPr bwMode="auto">
        <a:xfrm>
          <a:off x="1295400" y="85915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50" name="Text Box 426"/>
        <xdr:cNvSpPr txBox="1">
          <a:spLocks noChangeArrowheads="1"/>
        </xdr:cNvSpPr>
      </xdr:nvSpPr>
      <xdr:spPr bwMode="auto">
        <a:xfrm>
          <a:off x="1295400" y="85915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51" name="Text Box 431"/>
        <xdr:cNvSpPr txBox="1">
          <a:spLocks noChangeArrowheads="1"/>
        </xdr:cNvSpPr>
      </xdr:nvSpPr>
      <xdr:spPr bwMode="auto">
        <a:xfrm>
          <a:off x="1295400" y="85915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52" name="Text Box 448"/>
        <xdr:cNvSpPr txBox="1">
          <a:spLocks noChangeArrowheads="1"/>
        </xdr:cNvSpPr>
      </xdr:nvSpPr>
      <xdr:spPr bwMode="auto">
        <a:xfrm>
          <a:off x="1295400" y="85915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53" name="Text Box 139"/>
        <xdr:cNvSpPr txBox="1">
          <a:spLocks noChangeArrowheads="1"/>
        </xdr:cNvSpPr>
      </xdr:nvSpPr>
      <xdr:spPr bwMode="auto">
        <a:xfrm>
          <a:off x="6600825" y="2057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54" name="Text Box 421"/>
        <xdr:cNvSpPr txBox="1">
          <a:spLocks noChangeArrowheads="1"/>
        </xdr:cNvSpPr>
      </xdr:nvSpPr>
      <xdr:spPr bwMode="auto">
        <a:xfrm>
          <a:off x="6600825" y="2057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55" name="Text Box 426"/>
        <xdr:cNvSpPr txBox="1">
          <a:spLocks noChangeArrowheads="1"/>
        </xdr:cNvSpPr>
      </xdr:nvSpPr>
      <xdr:spPr bwMode="auto">
        <a:xfrm>
          <a:off x="6600825" y="2057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56" name="Text Box 431"/>
        <xdr:cNvSpPr txBox="1">
          <a:spLocks noChangeArrowheads="1"/>
        </xdr:cNvSpPr>
      </xdr:nvSpPr>
      <xdr:spPr bwMode="auto">
        <a:xfrm>
          <a:off x="6600825" y="2057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57" name="Text Box 448"/>
        <xdr:cNvSpPr txBox="1">
          <a:spLocks noChangeArrowheads="1"/>
        </xdr:cNvSpPr>
      </xdr:nvSpPr>
      <xdr:spPr bwMode="auto">
        <a:xfrm>
          <a:off x="6600825" y="2057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58" name="Text Box 139"/>
        <xdr:cNvSpPr txBox="1">
          <a:spLocks noChangeArrowheads="1"/>
        </xdr:cNvSpPr>
      </xdr:nvSpPr>
      <xdr:spPr bwMode="auto">
        <a:xfrm>
          <a:off x="1295400" y="1059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59" name="Text Box 421"/>
        <xdr:cNvSpPr txBox="1">
          <a:spLocks noChangeArrowheads="1"/>
        </xdr:cNvSpPr>
      </xdr:nvSpPr>
      <xdr:spPr bwMode="auto">
        <a:xfrm>
          <a:off x="1295400" y="1059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60" name="Text Box 426"/>
        <xdr:cNvSpPr txBox="1">
          <a:spLocks noChangeArrowheads="1"/>
        </xdr:cNvSpPr>
      </xdr:nvSpPr>
      <xdr:spPr bwMode="auto">
        <a:xfrm>
          <a:off x="1295400" y="1059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61" name="Text Box 431"/>
        <xdr:cNvSpPr txBox="1">
          <a:spLocks noChangeArrowheads="1"/>
        </xdr:cNvSpPr>
      </xdr:nvSpPr>
      <xdr:spPr bwMode="auto">
        <a:xfrm>
          <a:off x="1295400" y="1059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62" name="Text Box 448"/>
        <xdr:cNvSpPr txBox="1">
          <a:spLocks noChangeArrowheads="1"/>
        </xdr:cNvSpPr>
      </xdr:nvSpPr>
      <xdr:spPr bwMode="auto">
        <a:xfrm>
          <a:off x="1295400" y="1059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63" name="Text Box 549"/>
        <xdr:cNvSpPr txBox="1">
          <a:spLocks noChangeArrowheads="1"/>
        </xdr:cNvSpPr>
      </xdr:nvSpPr>
      <xdr:spPr bwMode="auto">
        <a:xfrm>
          <a:off x="1295400" y="13392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64" name="Text Box 554"/>
        <xdr:cNvSpPr txBox="1">
          <a:spLocks noChangeArrowheads="1"/>
        </xdr:cNvSpPr>
      </xdr:nvSpPr>
      <xdr:spPr bwMode="auto">
        <a:xfrm>
          <a:off x="1295400" y="13392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65" name="Text Box 139"/>
        <xdr:cNvSpPr txBox="1">
          <a:spLocks noChangeArrowheads="1"/>
        </xdr:cNvSpPr>
      </xdr:nvSpPr>
      <xdr:spPr bwMode="auto">
        <a:xfrm>
          <a:off x="1295400" y="13392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66" name="Text Box 421"/>
        <xdr:cNvSpPr txBox="1">
          <a:spLocks noChangeArrowheads="1"/>
        </xdr:cNvSpPr>
      </xdr:nvSpPr>
      <xdr:spPr bwMode="auto">
        <a:xfrm>
          <a:off x="1295400" y="13392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67" name="Text Box 426"/>
        <xdr:cNvSpPr txBox="1">
          <a:spLocks noChangeArrowheads="1"/>
        </xdr:cNvSpPr>
      </xdr:nvSpPr>
      <xdr:spPr bwMode="auto">
        <a:xfrm>
          <a:off x="1295400" y="13392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68" name="Text Box 431"/>
        <xdr:cNvSpPr txBox="1">
          <a:spLocks noChangeArrowheads="1"/>
        </xdr:cNvSpPr>
      </xdr:nvSpPr>
      <xdr:spPr bwMode="auto">
        <a:xfrm>
          <a:off x="1295400" y="13392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69" name="Text Box 448"/>
        <xdr:cNvSpPr txBox="1">
          <a:spLocks noChangeArrowheads="1"/>
        </xdr:cNvSpPr>
      </xdr:nvSpPr>
      <xdr:spPr bwMode="auto">
        <a:xfrm>
          <a:off x="1295400" y="13392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70" name="Text Box 481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71" name="Text Box 486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72" name="Text Box 139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73" name="Text Box 421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74" name="Text Box 426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75" name="Text Box 431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76" name="Text Box 448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77" name="Text Box 549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78" name="Text Box 554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79" name="Text Box 139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80" name="Text Box 421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81" name="Text Box 426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82" name="Text Box 431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83" name="Text Box 448"/>
        <xdr:cNvSpPr txBox="1">
          <a:spLocks noChangeArrowheads="1"/>
        </xdr:cNvSpPr>
      </xdr:nvSpPr>
      <xdr:spPr bwMode="auto">
        <a:xfrm>
          <a:off x="1295400" y="16459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84" name="Text Box 137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85" name="Text Box 170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86" name="Text Box 438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87" name="Text Box 443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88" name="Text Box 139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89" name="Text Box 421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90" name="Text Box 426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91" name="Text Box 431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92" name="Text Box 448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93" name="Text Box 481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94" name="Text Box 486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95" name="Text Box 139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96" name="Text Box 421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97" name="Text Box 426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98" name="Text Box 431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99" name="Text Box 448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100" name="Text Box 549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101" name="Text Box 554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102" name="Text Box 139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103" name="Text Box 421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104" name="Text Box 426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105" name="Text Box 431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85725</xdr:rowOff>
    </xdr:to>
    <xdr:sp macro="" textlink="">
      <xdr:nvSpPr>
        <xdr:cNvPr id="106" name="Text Box 448"/>
        <xdr:cNvSpPr txBox="1">
          <a:spLocks noChangeArrowheads="1"/>
        </xdr:cNvSpPr>
      </xdr:nvSpPr>
      <xdr:spPr bwMode="auto">
        <a:xfrm>
          <a:off x="1295400" y="19107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28575</xdr:rowOff>
    </xdr:to>
    <xdr:sp macro="" textlink="">
      <xdr:nvSpPr>
        <xdr:cNvPr id="107" name="Text Box 125"/>
        <xdr:cNvSpPr txBox="1">
          <a:spLocks noChangeArrowheads="1"/>
        </xdr:cNvSpPr>
      </xdr:nvSpPr>
      <xdr:spPr bwMode="auto">
        <a:xfrm>
          <a:off x="1295400" y="21907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28575</xdr:rowOff>
    </xdr:to>
    <xdr:sp macro="" textlink="">
      <xdr:nvSpPr>
        <xdr:cNvPr id="108" name="Text Box 160"/>
        <xdr:cNvSpPr txBox="1">
          <a:spLocks noChangeArrowheads="1"/>
        </xdr:cNvSpPr>
      </xdr:nvSpPr>
      <xdr:spPr bwMode="auto">
        <a:xfrm>
          <a:off x="1295400" y="21907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</xdr:row>
      <xdr:rowOff>0</xdr:rowOff>
    </xdr:from>
    <xdr:to>
      <xdr:col>2</xdr:col>
      <xdr:colOff>342900</xdr:colOff>
      <xdr:row>8</xdr:row>
      <xdr:rowOff>85725</xdr:rowOff>
    </xdr:to>
    <xdr:sp macro="" textlink="">
      <xdr:nvSpPr>
        <xdr:cNvPr id="110" name="Text Box 137"/>
        <xdr:cNvSpPr txBox="1">
          <a:spLocks noChangeArrowheads="1"/>
        </xdr:cNvSpPr>
      </xdr:nvSpPr>
      <xdr:spPr bwMode="auto">
        <a:xfrm>
          <a:off x="1295400" y="21774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12" name="Text Box 438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13" name="Text Box 443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14" name="Text Box 139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15" name="Text Box 421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16" name="Text Box 426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17" name="Text Box 431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18" name="Text Box 448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19" name="Text Box 481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20" name="Text Box 486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21" name="Text Box 139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22" name="Text Box 421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23" name="Text Box 426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24" name="Text Box 431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25" name="Text Box 448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26" name="Text Box 549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27" name="Text Box 554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28" name="Text Box 139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</xdr:row>
      <xdr:rowOff>0</xdr:rowOff>
    </xdr:from>
    <xdr:to>
      <xdr:col>2</xdr:col>
      <xdr:colOff>342900</xdr:colOff>
      <xdr:row>9</xdr:row>
      <xdr:rowOff>85725</xdr:rowOff>
    </xdr:to>
    <xdr:sp macro="" textlink="">
      <xdr:nvSpPr>
        <xdr:cNvPr id="129" name="Text Box 421"/>
        <xdr:cNvSpPr txBox="1">
          <a:spLocks noChangeArrowheads="1"/>
        </xdr:cNvSpPr>
      </xdr:nvSpPr>
      <xdr:spPr bwMode="auto">
        <a:xfrm>
          <a:off x="1295400" y="21907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33" name="Text Box 117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34" name="Text Box 192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28575</xdr:rowOff>
    </xdr:to>
    <xdr:sp macro="" textlink="">
      <xdr:nvSpPr>
        <xdr:cNvPr id="135" name="Text Box 125"/>
        <xdr:cNvSpPr txBox="1">
          <a:spLocks noChangeArrowheads="1"/>
        </xdr:cNvSpPr>
      </xdr:nvSpPr>
      <xdr:spPr bwMode="auto">
        <a:xfrm>
          <a:off x="1295400" y="24841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28575</xdr:rowOff>
    </xdr:to>
    <xdr:sp macro="" textlink="">
      <xdr:nvSpPr>
        <xdr:cNvPr id="136" name="Text Box 160"/>
        <xdr:cNvSpPr txBox="1">
          <a:spLocks noChangeArrowheads="1"/>
        </xdr:cNvSpPr>
      </xdr:nvSpPr>
      <xdr:spPr bwMode="auto">
        <a:xfrm>
          <a:off x="1295400" y="24841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28575</xdr:rowOff>
    </xdr:to>
    <xdr:sp macro="" textlink="">
      <xdr:nvSpPr>
        <xdr:cNvPr id="137" name="Text Box 182"/>
        <xdr:cNvSpPr txBox="1">
          <a:spLocks noChangeArrowheads="1"/>
        </xdr:cNvSpPr>
      </xdr:nvSpPr>
      <xdr:spPr bwMode="auto">
        <a:xfrm>
          <a:off x="1295400" y="24841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40</xdr:row>
      <xdr:rowOff>0</xdr:rowOff>
    </xdr:from>
    <xdr:to>
      <xdr:col>2</xdr:col>
      <xdr:colOff>342900</xdr:colOff>
      <xdr:row>41</xdr:row>
      <xdr:rowOff>85725</xdr:rowOff>
    </xdr:to>
    <xdr:sp macro="" textlink="">
      <xdr:nvSpPr>
        <xdr:cNvPr id="138" name="Text Box 137"/>
        <xdr:cNvSpPr txBox="1">
          <a:spLocks noChangeArrowheads="1"/>
        </xdr:cNvSpPr>
      </xdr:nvSpPr>
      <xdr:spPr bwMode="auto">
        <a:xfrm>
          <a:off x="1295400" y="2470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40</xdr:row>
      <xdr:rowOff>0</xdr:rowOff>
    </xdr:from>
    <xdr:to>
      <xdr:col>2</xdr:col>
      <xdr:colOff>342900</xdr:colOff>
      <xdr:row>41</xdr:row>
      <xdr:rowOff>85725</xdr:rowOff>
    </xdr:to>
    <xdr:sp macro="" textlink="">
      <xdr:nvSpPr>
        <xdr:cNvPr id="139" name="Text Box 170"/>
        <xdr:cNvSpPr txBox="1">
          <a:spLocks noChangeArrowheads="1"/>
        </xdr:cNvSpPr>
      </xdr:nvSpPr>
      <xdr:spPr bwMode="auto">
        <a:xfrm>
          <a:off x="1295400" y="2470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40" name="Text Box 438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41" name="Text Box 443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42" name="Text Box 139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43" name="Text Box 421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44" name="Text Box 426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45" name="Text Box 431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46" name="Text Box 448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47" name="Text Box 481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48" name="Text Box 486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49" name="Text Box 139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50" name="Text Box 421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51" name="Text Box 426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52" name="Text Box 431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53" name="Text Box 448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54" name="Text Box 549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55" name="Text Box 554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56" name="Text Box 139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57" name="Text Box 421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58" name="Text Box 426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59" name="Text Box 431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</xdr:row>
      <xdr:rowOff>0</xdr:rowOff>
    </xdr:from>
    <xdr:to>
      <xdr:col>2</xdr:col>
      <xdr:colOff>342900</xdr:colOff>
      <xdr:row>42</xdr:row>
      <xdr:rowOff>85725</xdr:rowOff>
    </xdr:to>
    <xdr:sp macro="" textlink="">
      <xdr:nvSpPr>
        <xdr:cNvPr id="160" name="Text Box 448"/>
        <xdr:cNvSpPr txBox="1">
          <a:spLocks noChangeArrowheads="1"/>
        </xdr:cNvSpPr>
      </xdr:nvSpPr>
      <xdr:spPr bwMode="auto">
        <a:xfrm>
          <a:off x="1295400" y="24841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61" name="Text Box 139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62" name="Text Box 42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63" name="Text Box 426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64" name="Text Box 43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65" name="Text Box 448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66" name="Text Box 117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67" name="Text Box 192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28575</xdr:rowOff>
    </xdr:to>
    <xdr:sp macro="" textlink="">
      <xdr:nvSpPr>
        <xdr:cNvPr id="168" name="Text Box 125"/>
        <xdr:cNvSpPr txBox="1">
          <a:spLocks noChangeArrowheads="1"/>
        </xdr:cNvSpPr>
      </xdr:nvSpPr>
      <xdr:spPr bwMode="auto">
        <a:xfrm>
          <a:off x="1295400" y="27508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28575</xdr:rowOff>
    </xdr:to>
    <xdr:sp macro="" textlink="">
      <xdr:nvSpPr>
        <xdr:cNvPr id="169" name="Text Box 160"/>
        <xdr:cNvSpPr txBox="1">
          <a:spLocks noChangeArrowheads="1"/>
        </xdr:cNvSpPr>
      </xdr:nvSpPr>
      <xdr:spPr bwMode="auto">
        <a:xfrm>
          <a:off x="1295400" y="27508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28575</xdr:rowOff>
    </xdr:to>
    <xdr:sp macro="" textlink="">
      <xdr:nvSpPr>
        <xdr:cNvPr id="170" name="Text Box 182"/>
        <xdr:cNvSpPr txBox="1">
          <a:spLocks noChangeArrowheads="1"/>
        </xdr:cNvSpPr>
      </xdr:nvSpPr>
      <xdr:spPr bwMode="auto">
        <a:xfrm>
          <a:off x="1295400" y="27508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71" name="Text Box 137"/>
        <xdr:cNvSpPr txBox="1">
          <a:spLocks noChangeArrowheads="1"/>
        </xdr:cNvSpPr>
      </xdr:nvSpPr>
      <xdr:spPr bwMode="auto">
        <a:xfrm>
          <a:off x="1295400" y="27374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72" name="Text Box 170"/>
        <xdr:cNvSpPr txBox="1">
          <a:spLocks noChangeArrowheads="1"/>
        </xdr:cNvSpPr>
      </xdr:nvSpPr>
      <xdr:spPr bwMode="auto">
        <a:xfrm>
          <a:off x="1295400" y="27374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73" name="Text Box 438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74" name="Text Box 443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75" name="Text Box 139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76" name="Text Box 42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77" name="Text Box 426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78" name="Text Box 43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79" name="Text Box 448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80" name="Text Box 48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81" name="Text Box 486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82" name="Text Box 139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83" name="Text Box 42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84" name="Text Box 426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85" name="Text Box 43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86" name="Text Box 448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87" name="Text Box 549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88" name="Text Box 554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89" name="Text Box 139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90" name="Text Box 42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91" name="Text Box 426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92" name="Text Box 431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85725</xdr:rowOff>
    </xdr:to>
    <xdr:sp macro="" textlink="">
      <xdr:nvSpPr>
        <xdr:cNvPr id="193" name="Text Box 448"/>
        <xdr:cNvSpPr txBox="1">
          <a:spLocks noChangeArrowheads="1"/>
        </xdr:cNvSpPr>
      </xdr:nvSpPr>
      <xdr:spPr bwMode="auto">
        <a:xfrm>
          <a:off x="1295400" y="27508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28575</xdr:rowOff>
    </xdr:to>
    <xdr:sp macro="" textlink="">
      <xdr:nvSpPr>
        <xdr:cNvPr id="194" name="Text Box 139"/>
        <xdr:cNvSpPr txBox="1">
          <a:spLocks noChangeArrowheads="1"/>
        </xdr:cNvSpPr>
      </xdr:nvSpPr>
      <xdr:spPr bwMode="auto">
        <a:xfrm>
          <a:off x="1295400" y="27774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28575</xdr:rowOff>
    </xdr:to>
    <xdr:sp macro="" textlink="">
      <xdr:nvSpPr>
        <xdr:cNvPr id="195" name="Text Box 421"/>
        <xdr:cNvSpPr txBox="1">
          <a:spLocks noChangeArrowheads="1"/>
        </xdr:cNvSpPr>
      </xdr:nvSpPr>
      <xdr:spPr bwMode="auto">
        <a:xfrm>
          <a:off x="1295400" y="27774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28575</xdr:rowOff>
    </xdr:to>
    <xdr:sp macro="" textlink="">
      <xdr:nvSpPr>
        <xdr:cNvPr id="196" name="Text Box 426"/>
        <xdr:cNvSpPr txBox="1">
          <a:spLocks noChangeArrowheads="1"/>
        </xdr:cNvSpPr>
      </xdr:nvSpPr>
      <xdr:spPr bwMode="auto">
        <a:xfrm>
          <a:off x="1295400" y="27774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28575</xdr:rowOff>
    </xdr:to>
    <xdr:sp macro="" textlink="">
      <xdr:nvSpPr>
        <xdr:cNvPr id="197" name="Text Box 431"/>
        <xdr:cNvSpPr txBox="1">
          <a:spLocks noChangeArrowheads="1"/>
        </xdr:cNvSpPr>
      </xdr:nvSpPr>
      <xdr:spPr bwMode="auto">
        <a:xfrm>
          <a:off x="1295400" y="27774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84</xdr:row>
      <xdr:rowOff>0</xdr:rowOff>
    </xdr:from>
    <xdr:to>
      <xdr:col>2</xdr:col>
      <xdr:colOff>342900</xdr:colOff>
      <xdr:row>85</xdr:row>
      <xdr:rowOff>28575</xdr:rowOff>
    </xdr:to>
    <xdr:sp macro="" textlink="">
      <xdr:nvSpPr>
        <xdr:cNvPr id="198" name="Text Box 448"/>
        <xdr:cNvSpPr txBox="1">
          <a:spLocks noChangeArrowheads="1"/>
        </xdr:cNvSpPr>
      </xdr:nvSpPr>
      <xdr:spPr bwMode="auto">
        <a:xfrm>
          <a:off x="1295400" y="27774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199" name="Text Box 139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00" name="Text Box 421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01" name="Text Box 426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02" name="Text Box 431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03" name="Text Box 448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04" name="Text Box 117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05" name="Text Box 192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28575</xdr:rowOff>
    </xdr:to>
    <xdr:sp macro="" textlink="">
      <xdr:nvSpPr>
        <xdr:cNvPr id="206" name="Text Box 125"/>
        <xdr:cNvSpPr txBox="1">
          <a:spLocks noChangeArrowheads="1"/>
        </xdr:cNvSpPr>
      </xdr:nvSpPr>
      <xdr:spPr bwMode="auto">
        <a:xfrm>
          <a:off x="1295400" y="30441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28575</xdr:rowOff>
    </xdr:to>
    <xdr:sp macro="" textlink="">
      <xdr:nvSpPr>
        <xdr:cNvPr id="207" name="Text Box 160"/>
        <xdr:cNvSpPr txBox="1">
          <a:spLocks noChangeArrowheads="1"/>
        </xdr:cNvSpPr>
      </xdr:nvSpPr>
      <xdr:spPr bwMode="auto">
        <a:xfrm>
          <a:off x="1295400" y="30441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28575</xdr:rowOff>
    </xdr:to>
    <xdr:sp macro="" textlink="">
      <xdr:nvSpPr>
        <xdr:cNvPr id="208" name="Text Box 182"/>
        <xdr:cNvSpPr txBox="1">
          <a:spLocks noChangeArrowheads="1"/>
        </xdr:cNvSpPr>
      </xdr:nvSpPr>
      <xdr:spPr bwMode="auto">
        <a:xfrm>
          <a:off x="1295400" y="30441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115</xdr:row>
      <xdr:rowOff>0</xdr:rowOff>
    </xdr:from>
    <xdr:to>
      <xdr:col>2</xdr:col>
      <xdr:colOff>342900</xdr:colOff>
      <xdr:row>116</xdr:row>
      <xdr:rowOff>85725</xdr:rowOff>
    </xdr:to>
    <xdr:sp macro="" textlink="">
      <xdr:nvSpPr>
        <xdr:cNvPr id="209" name="Text Box 137"/>
        <xdr:cNvSpPr txBox="1">
          <a:spLocks noChangeArrowheads="1"/>
        </xdr:cNvSpPr>
      </xdr:nvSpPr>
      <xdr:spPr bwMode="auto">
        <a:xfrm>
          <a:off x="1295400" y="303085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115</xdr:row>
      <xdr:rowOff>0</xdr:rowOff>
    </xdr:from>
    <xdr:to>
      <xdr:col>2</xdr:col>
      <xdr:colOff>342900</xdr:colOff>
      <xdr:row>116</xdr:row>
      <xdr:rowOff>85725</xdr:rowOff>
    </xdr:to>
    <xdr:sp macro="" textlink="">
      <xdr:nvSpPr>
        <xdr:cNvPr id="210" name="Text Box 170"/>
        <xdr:cNvSpPr txBox="1">
          <a:spLocks noChangeArrowheads="1"/>
        </xdr:cNvSpPr>
      </xdr:nvSpPr>
      <xdr:spPr bwMode="auto">
        <a:xfrm>
          <a:off x="1295400" y="303085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11" name="Text Box 438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12" name="Text Box 443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13" name="Text Box 139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14" name="Text Box 421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15" name="Text Box 426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16" name="Text Box 431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17" name="Text Box 448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18" name="Text Box 481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19" name="Text Box 486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20" name="Text Box 139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21" name="Text Box 421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22" name="Text Box 426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23" name="Text Box 431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24" name="Text Box 448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25" name="Text Box 549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26" name="Text Box 554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27" name="Text Box 139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28" name="Text Box 421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29" name="Text Box 426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30" name="Text Box 431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116</xdr:row>
      <xdr:rowOff>0</xdr:rowOff>
    </xdr:from>
    <xdr:to>
      <xdr:col>2</xdr:col>
      <xdr:colOff>342900</xdr:colOff>
      <xdr:row>117</xdr:row>
      <xdr:rowOff>85725</xdr:rowOff>
    </xdr:to>
    <xdr:sp macro="" textlink="">
      <xdr:nvSpPr>
        <xdr:cNvPr id="231" name="Text Box 448"/>
        <xdr:cNvSpPr txBox="1">
          <a:spLocks noChangeArrowheads="1"/>
        </xdr:cNvSpPr>
      </xdr:nvSpPr>
      <xdr:spPr bwMode="auto">
        <a:xfrm>
          <a:off x="1295400" y="30441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118</xdr:row>
      <xdr:rowOff>0</xdr:rowOff>
    </xdr:from>
    <xdr:to>
      <xdr:col>2</xdr:col>
      <xdr:colOff>342900</xdr:colOff>
      <xdr:row>119</xdr:row>
      <xdr:rowOff>28575</xdr:rowOff>
    </xdr:to>
    <xdr:sp macro="" textlink="">
      <xdr:nvSpPr>
        <xdr:cNvPr id="232" name="Text Box 139"/>
        <xdr:cNvSpPr txBox="1">
          <a:spLocks noChangeArrowheads="1"/>
        </xdr:cNvSpPr>
      </xdr:nvSpPr>
      <xdr:spPr bwMode="auto">
        <a:xfrm>
          <a:off x="1295400" y="30708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118</xdr:row>
      <xdr:rowOff>0</xdr:rowOff>
    </xdr:from>
    <xdr:to>
      <xdr:col>2</xdr:col>
      <xdr:colOff>342900</xdr:colOff>
      <xdr:row>119</xdr:row>
      <xdr:rowOff>28575</xdr:rowOff>
    </xdr:to>
    <xdr:sp macro="" textlink="">
      <xdr:nvSpPr>
        <xdr:cNvPr id="233" name="Text Box 421"/>
        <xdr:cNvSpPr txBox="1">
          <a:spLocks noChangeArrowheads="1"/>
        </xdr:cNvSpPr>
      </xdr:nvSpPr>
      <xdr:spPr bwMode="auto">
        <a:xfrm>
          <a:off x="1295400" y="30708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118</xdr:row>
      <xdr:rowOff>0</xdr:rowOff>
    </xdr:from>
    <xdr:to>
      <xdr:col>2</xdr:col>
      <xdr:colOff>342900</xdr:colOff>
      <xdr:row>119</xdr:row>
      <xdr:rowOff>28575</xdr:rowOff>
    </xdr:to>
    <xdr:sp macro="" textlink="">
      <xdr:nvSpPr>
        <xdr:cNvPr id="234" name="Text Box 426"/>
        <xdr:cNvSpPr txBox="1">
          <a:spLocks noChangeArrowheads="1"/>
        </xdr:cNvSpPr>
      </xdr:nvSpPr>
      <xdr:spPr bwMode="auto">
        <a:xfrm>
          <a:off x="1295400" y="30708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118</xdr:row>
      <xdr:rowOff>0</xdr:rowOff>
    </xdr:from>
    <xdr:to>
      <xdr:col>2</xdr:col>
      <xdr:colOff>342900</xdr:colOff>
      <xdr:row>119</xdr:row>
      <xdr:rowOff>28575</xdr:rowOff>
    </xdr:to>
    <xdr:sp macro="" textlink="">
      <xdr:nvSpPr>
        <xdr:cNvPr id="235" name="Text Box 431"/>
        <xdr:cNvSpPr txBox="1">
          <a:spLocks noChangeArrowheads="1"/>
        </xdr:cNvSpPr>
      </xdr:nvSpPr>
      <xdr:spPr bwMode="auto">
        <a:xfrm>
          <a:off x="1295400" y="30708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147</xdr:row>
      <xdr:rowOff>0</xdr:rowOff>
    </xdr:from>
    <xdr:to>
      <xdr:col>2</xdr:col>
      <xdr:colOff>342900</xdr:colOff>
      <xdr:row>148</xdr:row>
      <xdr:rowOff>85725</xdr:rowOff>
    </xdr:to>
    <xdr:sp macro="" textlink="">
      <xdr:nvSpPr>
        <xdr:cNvPr id="237" name="Text Box 105"/>
        <xdr:cNvSpPr txBox="1">
          <a:spLocks noChangeArrowheads="1"/>
        </xdr:cNvSpPr>
      </xdr:nvSpPr>
      <xdr:spPr bwMode="auto">
        <a:xfrm>
          <a:off x="1295400" y="33108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147</xdr:row>
      <xdr:rowOff>0</xdr:rowOff>
    </xdr:from>
    <xdr:to>
      <xdr:col>2</xdr:col>
      <xdr:colOff>342900</xdr:colOff>
      <xdr:row>148</xdr:row>
      <xdr:rowOff>85725</xdr:rowOff>
    </xdr:to>
    <xdr:sp macro="" textlink="">
      <xdr:nvSpPr>
        <xdr:cNvPr id="238" name="Text Box 207"/>
        <xdr:cNvSpPr txBox="1">
          <a:spLocks noChangeArrowheads="1"/>
        </xdr:cNvSpPr>
      </xdr:nvSpPr>
      <xdr:spPr bwMode="auto">
        <a:xfrm>
          <a:off x="1295400" y="33108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76200</xdr:colOff>
      <xdr:row>148</xdr:row>
      <xdr:rowOff>85725</xdr:rowOff>
    </xdr:to>
    <xdr:sp macro="" textlink="">
      <xdr:nvSpPr>
        <xdr:cNvPr id="239" name="Text Box 105"/>
        <xdr:cNvSpPr txBox="1">
          <a:spLocks noChangeArrowheads="1"/>
        </xdr:cNvSpPr>
      </xdr:nvSpPr>
      <xdr:spPr bwMode="auto">
        <a:xfrm>
          <a:off x="1028700" y="33108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76200</xdr:colOff>
      <xdr:row>148</xdr:row>
      <xdr:rowOff>85725</xdr:rowOff>
    </xdr:to>
    <xdr:sp macro="" textlink="">
      <xdr:nvSpPr>
        <xdr:cNvPr id="240" name="Text Box 207"/>
        <xdr:cNvSpPr txBox="1">
          <a:spLocks noChangeArrowheads="1"/>
        </xdr:cNvSpPr>
      </xdr:nvSpPr>
      <xdr:spPr bwMode="auto">
        <a:xfrm>
          <a:off x="1028700" y="33108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41" name="Text Box 139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42" name="Text Box 42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43" name="Text Box 426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44" name="Text Box 43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45" name="Text Box 448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46" name="Text Box 117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47" name="Text Box 192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152</xdr:row>
      <xdr:rowOff>85725</xdr:rowOff>
    </xdr:to>
    <xdr:sp macro="" textlink="">
      <xdr:nvSpPr>
        <xdr:cNvPr id="248" name="Text Box 125"/>
        <xdr:cNvSpPr txBox="1">
          <a:spLocks noChangeArrowheads="1"/>
        </xdr:cNvSpPr>
      </xdr:nvSpPr>
      <xdr:spPr bwMode="auto">
        <a:xfrm>
          <a:off x="1295400" y="336423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152</xdr:row>
      <xdr:rowOff>85725</xdr:rowOff>
    </xdr:to>
    <xdr:sp macro="" textlink="">
      <xdr:nvSpPr>
        <xdr:cNvPr id="249" name="Text Box 160"/>
        <xdr:cNvSpPr txBox="1">
          <a:spLocks noChangeArrowheads="1"/>
        </xdr:cNvSpPr>
      </xdr:nvSpPr>
      <xdr:spPr bwMode="auto">
        <a:xfrm>
          <a:off x="1295400" y="336423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152</xdr:row>
      <xdr:rowOff>85725</xdr:rowOff>
    </xdr:to>
    <xdr:sp macro="" textlink="">
      <xdr:nvSpPr>
        <xdr:cNvPr id="250" name="Text Box 182"/>
        <xdr:cNvSpPr txBox="1">
          <a:spLocks noChangeArrowheads="1"/>
        </xdr:cNvSpPr>
      </xdr:nvSpPr>
      <xdr:spPr bwMode="auto">
        <a:xfrm>
          <a:off x="1295400" y="336423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150</xdr:row>
      <xdr:rowOff>0</xdr:rowOff>
    </xdr:from>
    <xdr:to>
      <xdr:col>2</xdr:col>
      <xdr:colOff>342900</xdr:colOff>
      <xdr:row>152</xdr:row>
      <xdr:rowOff>9525</xdr:rowOff>
    </xdr:to>
    <xdr:sp macro="" textlink="">
      <xdr:nvSpPr>
        <xdr:cNvPr id="251" name="Text Box 137"/>
        <xdr:cNvSpPr txBox="1">
          <a:spLocks noChangeArrowheads="1"/>
        </xdr:cNvSpPr>
      </xdr:nvSpPr>
      <xdr:spPr bwMode="auto">
        <a:xfrm>
          <a:off x="1295400" y="33508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150</xdr:row>
      <xdr:rowOff>0</xdr:rowOff>
    </xdr:from>
    <xdr:to>
      <xdr:col>2</xdr:col>
      <xdr:colOff>342900</xdr:colOff>
      <xdr:row>152</xdr:row>
      <xdr:rowOff>9525</xdr:rowOff>
    </xdr:to>
    <xdr:sp macro="" textlink="">
      <xdr:nvSpPr>
        <xdr:cNvPr id="252" name="Text Box 170"/>
        <xdr:cNvSpPr txBox="1">
          <a:spLocks noChangeArrowheads="1"/>
        </xdr:cNvSpPr>
      </xdr:nvSpPr>
      <xdr:spPr bwMode="auto">
        <a:xfrm>
          <a:off x="1295400" y="33508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53" name="Text Box 438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54" name="Text Box 443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55" name="Text Box 139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56" name="Text Box 42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57" name="Text Box 426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58" name="Text Box 43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59" name="Text Box 448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60" name="Text Box 48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61" name="Text Box 486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62" name="Text Box 139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63" name="Text Box 42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64" name="Text Box 426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65" name="Text Box 43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66" name="Text Box 448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67" name="Text Box 549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68" name="Text Box 554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69" name="Text Box 139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70" name="Text Box 42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71" name="Text Box 426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72" name="Text Box 431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151</xdr:row>
      <xdr:rowOff>0</xdr:rowOff>
    </xdr:from>
    <xdr:to>
      <xdr:col>2</xdr:col>
      <xdr:colOff>342900</xdr:colOff>
      <xdr:row>153</xdr:row>
      <xdr:rowOff>9525</xdr:rowOff>
    </xdr:to>
    <xdr:sp macro="" textlink="">
      <xdr:nvSpPr>
        <xdr:cNvPr id="273" name="Text Box 448"/>
        <xdr:cNvSpPr txBox="1">
          <a:spLocks noChangeArrowheads="1"/>
        </xdr:cNvSpPr>
      </xdr:nvSpPr>
      <xdr:spPr bwMode="auto">
        <a:xfrm>
          <a:off x="1295400" y="33642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171</xdr:row>
      <xdr:rowOff>85725</xdr:rowOff>
    </xdr:to>
    <xdr:sp macro="" textlink="">
      <xdr:nvSpPr>
        <xdr:cNvPr id="274" name="Text Box 494"/>
        <xdr:cNvSpPr txBox="1">
          <a:spLocks noChangeArrowheads="1"/>
        </xdr:cNvSpPr>
      </xdr:nvSpPr>
      <xdr:spPr bwMode="auto">
        <a:xfrm>
          <a:off x="1295400" y="36175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171</xdr:row>
      <xdr:rowOff>85725</xdr:rowOff>
    </xdr:to>
    <xdr:sp macro="" textlink="">
      <xdr:nvSpPr>
        <xdr:cNvPr id="275" name="Text Box 499"/>
        <xdr:cNvSpPr txBox="1">
          <a:spLocks noChangeArrowheads="1"/>
        </xdr:cNvSpPr>
      </xdr:nvSpPr>
      <xdr:spPr bwMode="auto">
        <a:xfrm>
          <a:off x="1295400" y="36175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76" name="Text Box 139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77" name="Text Box 42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78" name="Text Box 426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79" name="Text Box 43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80" name="Text Box 448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81" name="Text Box 117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82" name="Text Box 192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171</xdr:row>
      <xdr:rowOff>85725</xdr:rowOff>
    </xdr:to>
    <xdr:sp macro="" textlink="">
      <xdr:nvSpPr>
        <xdr:cNvPr id="283" name="Text Box 125"/>
        <xdr:cNvSpPr txBox="1">
          <a:spLocks noChangeArrowheads="1"/>
        </xdr:cNvSpPr>
      </xdr:nvSpPr>
      <xdr:spPr bwMode="auto">
        <a:xfrm>
          <a:off x="1295400" y="36175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171</xdr:row>
      <xdr:rowOff>85725</xdr:rowOff>
    </xdr:to>
    <xdr:sp macro="" textlink="">
      <xdr:nvSpPr>
        <xdr:cNvPr id="284" name="Text Box 160"/>
        <xdr:cNvSpPr txBox="1">
          <a:spLocks noChangeArrowheads="1"/>
        </xdr:cNvSpPr>
      </xdr:nvSpPr>
      <xdr:spPr bwMode="auto">
        <a:xfrm>
          <a:off x="1295400" y="36175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171</xdr:row>
      <xdr:rowOff>85725</xdr:rowOff>
    </xdr:to>
    <xdr:sp macro="" textlink="">
      <xdr:nvSpPr>
        <xdr:cNvPr id="285" name="Text Box 182"/>
        <xdr:cNvSpPr txBox="1">
          <a:spLocks noChangeArrowheads="1"/>
        </xdr:cNvSpPr>
      </xdr:nvSpPr>
      <xdr:spPr bwMode="auto">
        <a:xfrm>
          <a:off x="1295400" y="36175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169</xdr:row>
      <xdr:rowOff>0</xdr:rowOff>
    </xdr:from>
    <xdr:to>
      <xdr:col>2</xdr:col>
      <xdr:colOff>342900</xdr:colOff>
      <xdr:row>171</xdr:row>
      <xdr:rowOff>9525</xdr:rowOff>
    </xdr:to>
    <xdr:sp macro="" textlink="">
      <xdr:nvSpPr>
        <xdr:cNvPr id="286" name="Text Box 137"/>
        <xdr:cNvSpPr txBox="1">
          <a:spLocks noChangeArrowheads="1"/>
        </xdr:cNvSpPr>
      </xdr:nvSpPr>
      <xdr:spPr bwMode="auto">
        <a:xfrm>
          <a:off x="1295400" y="36042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169</xdr:row>
      <xdr:rowOff>0</xdr:rowOff>
    </xdr:from>
    <xdr:to>
      <xdr:col>2</xdr:col>
      <xdr:colOff>342900</xdr:colOff>
      <xdr:row>171</xdr:row>
      <xdr:rowOff>9525</xdr:rowOff>
    </xdr:to>
    <xdr:sp macro="" textlink="">
      <xdr:nvSpPr>
        <xdr:cNvPr id="287" name="Text Box 170"/>
        <xdr:cNvSpPr txBox="1">
          <a:spLocks noChangeArrowheads="1"/>
        </xdr:cNvSpPr>
      </xdr:nvSpPr>
      <xdr:spPr bwMode="auto">
        <a:xfrm>
          <a:off x="1295400" y="36042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88" name="Text Box 438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89" name="Text Box 443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90" name="Text Box 139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91" name="Text Box 42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92" name="Text Box 426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93" name="Text Box 43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94" name="Text Box 448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95" name="Text Box 48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96" name="Text Box 486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97" name="Text Box 139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98" name="Text Box 42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299" name="Text Box 426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300" name="Text Box 43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301" name="Text Box 448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302" name="Text Box 549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303" name="Text Box 554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304" name="Text Box 139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305" name="Text Box 42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306" name="Text Box 426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307" name="Text Box 431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170</xdr:row>
      <xdr:rowOff>0</xdr:rowOff>
    </xdr:from>
    <xdr:to>
      <xdr:col>2</xdr:col>
      <xdr:colOff>342900</xdr:colOff>
      <xdr:row>172</xdr:row>
      <xdr:rowOff>9525</xdr:rowOff>
    </xdr:to>
    <xdr:sp macro="" textlink="">
      <xdr:nvSpPr>
        <xdr:cNvPr id="308" name="Text Box 448"/>
        <xdr:cNvSpPr txBox="1">
          <a:spLocks noChangeArrowheads="1"/>
        </xdr:cNvSpPr>
      </xdr:nvSpPr>
      <xdr:spPr bwMode="auto">
        <a:xfrm>
          <a:off x="1295400" y="36175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189</xdr:row>
      <xdr:rowOff>85725</xdr:rowOff>
    </xdr:to>
    <xdr:sp macro="" textlink="">
      <xdr:nvSpPr>
        <xdr:cNvPr id="309" name="Text Box 93"/>
        <xdr:cNvSpPr txBox="1">
          <a:spLocks noChangeArrowheads="1"/>
        </xdr:cNvSpPr>
      </xdr:nvSpPr>
      <xdr:spPr bwMode="auto">
        <a:xfrm>
          <a:off x="1295400" y="38709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189</xdr:row>
      <xdr:rowOff>85725</xdr:rowOff>
    </xdr:to>
    <xdr:sp macro="" textlink="">
      <xdr:nvSpPr>
        <xdr:cNvPr id="310" name="Text Box 222"/>
        <xdr:cNvSpPr txBox="1">
          <a:spLocks noChangeArrowheads="1"/>
        </xdr:cNvSpPr>
      </xdr:nvSpPr>
      <xdr:spPr bwMode="auto">
        <a:xfrm>
          <a:off x="1295400" y="38709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189</xdr:row>
      <xdr:rowOff>85725</xdr:rowOff>
    </xdr:to>
    <xdr:sp macro="" textlink="">
      <xdr:nvSpPr>
        <xdr:cNvPr id="311" name="Text Box 494"/>
        <xdr:cNvSpPr txBox="1">
          <a:spLocks noChangeArrowheads="1"/>
        </xdr:cNvSpPr>
      </xdr:nvSpPr>
      <xdr:spPr bwMode="auto">
        <a:xfrm>
          <a:off x="1295400" y="38709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189</xdr:row>
      <xdr:rowOff>85725</xdr:rowOff>
    </xdr:to>
    <xdr:sp macro="" textlink="">
      <xdr:nvSpPr>
        <xdr:cNvPr id="312" name="Text Box 499"/>
        <xdr:cNvSpPr txBox="1">
          <a:spLocks noChangeArrowheads="1"/>
        </xdr:cNvSpPr>
      </xdr:nvSpPr>
      <xdr:spPr bwMode="auto">
        <a:xfrm>
          <a:off x="1295400" y="38709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13" name="Text Box 139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14" name="Text Box 42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15" name="Text Box 426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16" name="Text Box 43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17" name="Text Box 448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18" name="Text Box 117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19" name="Text Box 192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189</xdr:row>
      <xdr:rowOff>85725</xdr:rowOff>
    </xdr:to>
    <xdr:sp macro="" textlink="">
      <xdr:nvSpPr>
        <xdr:cNvPr id="320" name="Text Box 125"/>
        <xdr:cNvSpPr txBox="1">
          <a:spLocks noChangeArrowheads="1"/>
        </xdr:cNvSpPr>
      </xdr:nvSpPr>
      <xdr:spPr bwMode="auto">
        <a:xfrm>
          <a:off x="1295400" y="38709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189</xdr:row>
      <xdr:rowOff>85725</xdr:rowOff>
    </xdr:to>
    <xdr:sp macro="" textlink="">
      <xdr:nvSpPr>
        <xdr:cNvPr id="321" name="Text Box 160"/>
        <xdr:cNvSpPr txBox="1">
          <a:spLocks noChangeArrowheads="1"/>
        </xdr:cNvSpPr>
      </xdr:nvSpPr>
      <xdr:spPr bwMode="auto">
        <a:xfrm>
          <a:off x="1295400" y="38709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189</xdr:row>
      <xdr:rowOff>85725</xdr:rowOff>
    </xdr:to>
    <xdr:sp macro="" textlink="">
      <xdr:nvSpPr>
        <xdr:cNvPr id="322" name="Text Box 182"/>
        <xdr:cNvSpPr txBox="1">
          <a:spLocks noChangeArrowheads="1"/>
        </xdr:cNvSpPr>
      </xdr:nvSpPr>
      <xdr:spPr bwMode="auto">
        <a:xfrm>
          <a:off x="1295400" y="38709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23" name="Text Box 137"/>
        <xdr:cNvSpPr txBox="1">
          <a:spLocks noChangeArrowheads="1"/>
        </xdr:cNvSpPr>
      </xdr:nvSpPr>
      <xdr:spPr bwMode="auto">
        <a:xfrm>
          <a:off x="1295400" y="385762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24" name="Text Box 170"/>
        <xdr:cNvSpPr txBox="1">
          <a:spLocks noChangeArrowheads="1"/>
        </xdr:cNvSpPr>
      </xdr:nvSpPr>
      <xdr:spPr bwMode="auto">
        <a:xfrm>
          <a:off x="1295400" y="385762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25" name="Text Box 438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26" name="Text Box 443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27" name="Text Box 139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28" name="Text Box 42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29" name="Text Box 426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30" name="Text Box 43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31" name="Text Box 448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32" name="Text Box 48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33" name="Text Box 486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34" name="Text Box 139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35" name="Text Box 42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36" name="Text Box 426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37" name="Text Box 43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38" name="Text Box 448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39" name="Text Box 549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40" name="Text Box 554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41" name="Text Box 139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42" name="Text Box 42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43" name="Text Box 426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44" name="Text Box 431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188</xdr:row>
      <xdr:rowOff>0</xdr:rowOff>
    </xdr:from>
    <xdr:to>
      <xdr:col>2</xdr:col>
      <xdr:colOff>342900</xdr:colOff>
      <xdr:row>190</xdr:row>
      <xdr:rowOff>9525</xdr:rowOff>
    </xdr:to>
    <xdr:sp macro="" textlink="">
      <xdr:nvSpPr>
        <xdr:cNvPr id="345" name="Text Box 448"/>
        <xdr:cNvSpPr txBox="1">
          <a:spLocks noChangeArrowheads="1"/>
        </xdr:cNvSpPr>
      </xdr:nvSpPr>
      <xdr:spPr bwMode="auto">
        <a:xfrm>
          <a:off x="1295400" y="38709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76200</xdr:colOff>
      <xdr:row>207</xdr:row>
      <xdr:rowOff>9525</xdr:rowOff>
    </xdr:to>
    <xdr:sp macro="" textlink="">
      <xdr:nvSpPr>
        <xdr:cNvPr id="346" name="Text Box 89"/>
        <xdr:cNvSpPr txBox="1">
          <a:spLocks noChangeArrowheads="1"/>
        </xdr:cNvSpPr>
      </xdr:nvSpPr>
      <xdr:spPr bwMode="auto">
        <a:xfrm>
          <a:off x="1028700" y="41376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76200</xdr:colOff>
      <xdr:row>207</xdr:row>
      <xdr:rowOff>9525</xdr:rowOff>
    </xdr:to>
    <xdr:sp macro="" textlink="">
      <xdr:nvSpPr>
        <xdr:cNvPr id="347" name="Text Box 227"/>
        <xdr:cNvSpPr txBox="1">
          <a:spLocks noChangeArrowheads="1"/>
        </xdr:cNvSpPr>
      </xdr:nvSpPr>
      <xdr:spPr bwMode="auto">
        <a:xfrm>
          <a:off x="1028700" y="41376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210</xdr:row>
      <xdr:rowOff>85725</xdr:rowOff>
    </xdr:to>
    <xdr:sp macro="" textlink="">
      <xdr:nvSpPr>
        <xdr:cNvPr id="348" name="Text Box 93"/>
        <xdr:cNvSpPr txBox="1">
          <a:spLocks noChangeArrowheads="1"/>
        </xdr:cNvSpPr>
      </xdr:nvSpPr>
      <xdr:spPr bwMode="auto">
        <a:xfrm>
          <a:off x="1295400" y="41910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210</xdr:row>
      <xdr:rowOff>85725</xdr:rowOff>
    </xdr:to>
    <xdr:sp macro="" textlink="">
      <xdr:nvSpPr>
        <xdr:cNvPr id="349" name="Text Box 222"/>
        <xdr:cNvSpPr txBox="1">
          <a:spLocks noChangeArrowheads="1"/>
        </xdr:cNvSpPr>
      </xdr:nvSpPr>
      <xdr:spPr bwMode="auto">
        <a:xfrm>
          <a:off x="1295400" y="41910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210</xdr:row>
      <xdr:rowOff>85725</xdr:rowOff>
    </xdr:to>
    <xdr:sp macro="" textlink="">
      <xdr:nvSpPr>
        <xdr:cNvPr id="350" name="Text Box 494"/>
        <xdr:cNvSpPr txBox="1">
          <a:spLocks noChangeArrowheads="1"/>
        </xdr:cNvSpPr>
      </xdr:nvSpPr>
      <xdr:spPr bwMode="auto">
        <a:xfrm>
          <a:off x="1295400" y="41910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210</xdr:row>
      <xdr:rowOff>85725</xdr:rowOff>
    </xdr:to>
    <xdr:sp macro="" textlink="">
      <xdr:nvSpPr>
        <xdr:cNvPr id="351" name="Text Box 499"/>
        <xdr:cNvSpPr txBox="1">
          <a:spLocks noChangeArrowheads="1"/>
        </xdr:cNvSpPr>
      </xdr:nvSpPr>
      <xdr:spPr bwMode="auto">
        <a:xfrm>
          <a:off x="1295400" y="41910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52" name="Text Box 139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53" name="Text Box 42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54" name="Text Box 426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55" name="Text Box 43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56" name="Text Box 448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57" name="Text Box 117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58" name="Text Box 192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210</xdr:row>
      <xdr:rowOff>85725</xdr:rowOff>
    </xdr:to>
    <xdr:sp macro="" textlink="">
      <xdr:nvSpPr>
        <xdr:cNvPr id="359" name="Text Box 125"/>
        <xdr:cNvSpPr txBox="1">
          <a:spLocks noChangeArrowheads="1"/>
        </xdr:cNvSpPr>
      </xdr:nvSpPr>
      <xdr:spPr bwMode="auto">
        <a:xfrm>
          <a:off x="1295400" y="41910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210</xdr:row>
      <xdr:rowOff>85725</xdr:rowOff>
    </xdr:to>
    <xdr:sp macro="" textlink="">
      <xdr:nvSpPr>
        <xdr:cNvPr id="360" name="Text Box 160"/>
        <xdr:cNvSpPr txBox="1">
          <a:spLocks noChangeArrowheads="1"/>
        </xdr:cNvSpPr>
      </xdr:nvSpPr>
      <xdr:spPr bwMode="auto">
        <a:xfrm>
          <a:off x="1295400" y="41910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210</xdr:row>
      <xdr:rowOff>85725</xdr:rowOff>
    </xdr:to>
    <xdr:sp macro="" textlink="">
      <xdr:nvSpPr>
        <xdr:cNvPr id="361" name="Text Box 182"/>
        <xdr:cNvSpPr txBox="1">
          <a:spLocks noChangeArrowheads="1"/>
        </xdr:cNvSpPr>
      </xdr:nvSpPr>
      <xdr:spPr bwMode="auto">
        <a:xfrm>
          <a:off x="1295400" y="41910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208</xdr:row>
      <xdr:rowOff>0</xdr:rowOff>
    </xdr:from>
    <xdr:to>
      <xdr:col>2</xdr:col>
      <xdr:colOff>342900</xdr:colOff>
      <xdr:row>210</xdr:row>
      <xdr:rowOff>9525</xdr:rowOff>
    </xdr:to>
    <xdr:sp macro="" textlink="">
      <xdr:nvSpPr>
        <xdr:cNvPr id="362" name="Text Box 137"/>
        <xdr:cNvSpPr txBox="1">
          <a:spLocks noChangeArrowheads="1"/>
        </xdr:cNvSpPr>
      </xdr:nvSpPr>
      <xdr:spPr bwMode="auto">
        <a:xfrm>
          <a:off x="1295400" y="41776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208</xdr:row>
      <xdr:rowOff>0</xdr:rowOff>
    </xdr:from>
    <xdr:to>
      <xdr:col>2</xdr:col>
      <xdr:colOff>342900</xdr:colOff>
      <xdr:row>210</xdr:row>
      <xdr:rowOff>9525</xdr:rowOff>
    </xdr:to>
    <xdr:sp macro="" textlink="">
      <xdr:nvSpPr>
        <xdr:cNvPr id="363" name="Text Box 170"/>
        <xdr:cNvSpPr txBox="1">
          <a:spLocks noChangeArrowheads="1"/>
        </xdr:cNvSpPr>
      </xdr:nvSpPr>
      <xdr:spPr bwMode="auto">
        <a:xfrm>
          <a:off x="1295400" y="41776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64" name="Text Box 438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65" name="Text Box 443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66" name="Text Box 139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67" name="Text Box 42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68" name="Text Box 426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69" name="Text Box 43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70" name="Text Box 448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71" name="Text Box 48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72" name="Text Box 486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73" name="Text Box 139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74" name="Text Box 42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75" name="Text Box 426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76" name="Text Box 43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77" name="Text Box 448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78" name="Text Box 549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79" name="Text Box 554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80" name="Text Box 139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81" name="Text Box 42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82" name="Text Box 426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83" name="Text Box 431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209</xdr:row>
      <xdr:rowOff>0</xdr:rowOff>
    </xdr:from>
    <xdr:to>
      <xdr:col>2</xdr:col>
      <xdr:colOff>342900</xdr:colOff>
      <xdr:row>211</xdr:row>
      <xdr:rowOff>9525</xdr:rowOff>
    </xdr:to>
    <xdr:sp macro="" textlink="">
      <xdr:nvSpPr>
        <xdr:cNvPr id="384" name="Text Box 448"/>
        <xdr:cNvSpPr txBox="1">
          <a:spLocks noChangeArrowheads="1"/>
        </xdr:cNvSpPr>
      </xdr:nvSpPr>
      <xdr:spPr bwMode="auto">
        <a:xfrm>
          <a:off x="1295400" y="4191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385" name="Text Box 139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386" name="Text Box 42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387" name="Text Box 426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388" name="Text Box 43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389" name="Text Box 448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28575</xdr:rowOff>
    </xdr:to>
    <xdr:sp macro="" textlink="">
      <xdr:nvSpPr>
        <xdr:cNvPr id="390" name="Text Box 93"/>
        <xdr:cNvSpPr txBox="1">
          <a:spLocks noChangeArrowheads="1"/>
        </xdr:cNvSpPr>
      </xdr:nvSpPr>
      <xdr:spPr bwMode="auto">
        <a:xfrm>
          <a:off x="1295400" y="447103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28575</xdr:rowOff>
    </xdr:to>
    <xdr:sp macro="" textlink="">
      <xdr:nvSpPr>
        <xdr:cNvPr id="391" name="Text Box 222"/>
        <xdr:cNvSpPr txBox="1">
          <a:spLocks noChangeArrowheads="1"/>
        </xdr:cNvSpPr>
      </xdr:nvSpPr>
      <xdr:spPr bwMode="auto">
        <a:xfrm>
          <a:off x="1295400" y="447103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28575</xdr:rowOff>
    </xdr:to>
    <xdr:sp macro="" textlink="">
      <xdr:nvSpPr>
        <xdr:cNvPr id="392" name="Text Box 494"/>
        <xdr:cNvSpPr txBox="1">
          <a:spLocks noChangeArrowheads="1"/>
        </xdr:cNvSpPr>
      </xdr:nvSpPr>
      <xdr:spPr bwMode="auto">
        <a:xfrm>
          <a:off x="1295400" y="447103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28575</xdr:rowOff>
    </xdr:to>
    <xdr:sp macro="" textlink="">
      <xdr:nvSpPr>
        <xdr:cNvPr id="393" name="Text Box 499"/>
        <xdr:cNvSpPr txBox="1">
          <a:spLocks noChangeArrowheads="1"/>
        </xdr:cNvSpPr>
      </xdr:nvSpPr>
      <xdr:spPr bwMode="auto">
        <a:xfrm>
          <a:off x="1295400" y="447103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394" name="Text Box 139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395" name="Text Box 42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396" name="Text Box 426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397" name="Text Box 43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398" name="Text Box 448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399" name="Text Box 117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00" name="Text Box 192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28575</xdr:rowOff>
    </xdr:to>
    <xdr:sp macro="" textlink="">
      <xdr:nvSpPr>
        <xdr:cNvPr id="401" name="Text Box 125"/>
        <xdr:cNvSpPr txBox="1">
          <a:spLocks noChangeArrowheads="1"/>
        </xdr:cNvSpPr>
      </xdr:nvSpPr>
      <xdr:spPr bwMode="auto">
        <a:xfrm>
          <a:off x="1295400" y="447103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28575</xdr:rowOff>
    </xdr:to>
    <xdr:sp macro="" textlink="">
      <xdr:nvSpPr>
        <xdr:cNvPr id="402" name="Text Box 160"/>
        <xdr:cNvSpPr txBox="1">
          <a:spLocks noChangeArrowheads="1"/>
        </xdr:cNvSpPr>
      </xdr:nvSpPr>
      <xdr:spPr bwMode="auto">
        <a:xfrm>
          <a:off x="1295400" y="447103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28575</xdr:rowOff>
    </xdr:to>
    <xdr:sp macro="" textlink="">
      <xdr:nvSpPr>
        <xdr:cNvPr id="403" name="Text Box 182"/>
        <xdr:cNvSpPr txBox="1">
          <a:spLocks noChangeArrowheads="1"/>
        </xdr:cNvSpPr>
      </xdr:nvSpPr>
      <xdr:spPr bwMode="auto">
        <a:xfrm>
          <a:off x="1295400" y="447103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242</xdr:row>
      <xdr:rowOff>0</xdr:rowOff>
    </xdr:from>
    <xdr:to>
      <xdr:col>2</xdr:col>
      <xdr:colOff>342900</xdr:colOff>
      <xdr:row>243</xdr:row>
      <xdr:rowOff>85725</xdr:rowOff>
    </xdr:to>
    <xdr:sp macro="" textlink="">
      <xdr:nvSpPr>
        <xdr:cNvPr id="404" name="Text Box 137"/>
        <xdr:cNvSpPr txBox="1">
          <a:spLocks noChangeArrowheads="1"/>
        </xdr:cNvSpPr>
      </xdr:nvSpPr>
      <xdr:spPr bwMode="auto">
        <a:xfrm>
          <a:off x="1295400" y="44577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242</xdr:row>
      <xdr:rowOff>0</xdr:rowOff>
    </xdr:from>
    <xdr:to>
      <xdr:col>2</xdr:col>
      <xdr:colOff>342900</xdr:colOff>
      <xdr:row>243</xdr:row>
      <xdr:rowOff>85725</xdr:rowOff>
    </xdr:to>
    <xdr:sp macro="" textlink="">
      <xdr:nvSpPr>
        <xdr:cNvPr id="405" name="Text Box 170"/>
        <xdr:cNvSpPr txBox="1">
          <a:spLocks noChangeArrowheads="1"/>
        </xdr:cNvSpPr>
      </xdr:nvSpPr>
      <xdr:spPr bwMode="auto">
        <a:xfrm>
          <a:off x="1295400" y="44577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06" name="Text Box 438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07" name="Text Box 443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08" name="Text Box 139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09" name="Text Box 42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10" name="Text Box 426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11" name="Text Box 43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12" name="Text Box 448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13" name="Text Box 48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14" name="Text Box 486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15" name="Text Box 139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16" name="Text Box 42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17" name="Text Box 426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18" name="Text Box 43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19" name="Text Box 448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20" name="Text Box 549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21" name="Text Box 554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22" name="Text Box 139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23" name="Text Box 42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24" name="Text Box 426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25" name="Text Box 431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243</xdr:row>
      <xdr:rowOff>0</xdr:rowOff>
    </xdr:from>
    <xdr:to>
      <xdr:col>2</xdr:col>
      <xdr:colOff>342900</xdr:colOff>
      <xdr:row>244</xdr:row>
      <xdr:rowOff>85725</xdr:rowOff>
    </xdr:to>
    <xdr:sp macro="" textlink="">
      <xdr:nvSpPr>
        <xdr:cNvPr id="426" name="Text Box 448"/>
        <xdr:cNvSpPr txBox="1">
          <a:spLocks noChangeArrowheads="1"/>
        </xdr:cNvSpPr>
      </xdr:nvSpPr>
      <xdr:spPr bwMode="auto">
        <a:xfrm>
          <a:off x="1295400" y="44710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427" name="Text Box 288"/>
        <xdr:cNvSpPr txBox="1">
          <a:spLocks noChangeArrowheads="1"/>
        </xdr:cNvSpPr>
      </xdr:nvSpPr>
      <xdr:spPr bwMode="auto">
        <a:xfrm>
          <a:off x="6600825" y="47244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428" name="Text Box 293"/>
        <xdr:cNvSpPr txBox="1">
          <a:spLocks noChangeArrowheads="1"/>
        </xdr:cNvSpPr>
      </xdr:nvSpPr>
      <xdr:spPr bwMode="auto">
        <a:xfrm>
          <a:off x="6600825" y="47244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429" name="Text Box 139"/>
        <xdr:cNvSpPr txBox="1">
          <a:spLocks noChangeArrowheads="1"/>
        </xdr:cNvSpPr>
      </xdr:nvSpPr>
      <xdr:spPr bwMode="auto">
        <a:xfrm>
          <a:off x="6600825" y="472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430" name="Text Box 421"/>
        <xdr:cNvSpPr txBox="1">
          <a:spLocks noChangeArrowheads="1"/>
        </xdr:cNvSpPr>
      </xdr:nvSpPr>
      <xdr:spPr bwMode="auto">
        <a:xfrm>
          <a:off x="6600825" y="472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431" name="Text Box 426"/>
        <xdr:cNvSpPr txBox="1">
          <a:spLocks noChangeArrowheads="1"/>
        </xdr:cNvSpPr>
      </xdr:nvSpPr>
      <xdr:spPr bwMode="auto">
        <a:xfrm>
          <a:off x="6600825" y="472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432" name="Text Box 431"/>
        <xdr:cNvSpPr txBox="1">
          <a:spLocks noChangeArrowheads="1"/>
        </xdr:cNvSpPr>
      </xdr:nvSpPr>
      <xdr:spPr bwMode="auto">
        <a:xfrm>
          <a:off x="6600825" y="472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433" name="Text Box 448"/>
        <xdr:cNvSpPr txBox="1">
          <a:spLocks noChangeArrowheads="1"/>
        </xdr:cNvSpPr>
      </xdr:nvSpPr>
      <xdr:spPr bwMode="auto">
        <a:xfrm>
          <a:off x="6600825" y="472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28575</xdr:rowOff>
    </xdr:to>
    <xdr:sp macro="" textlink="">
      <xdr:nvSpPr>
        <xdr:cNvPr id="434" name="Text Box 133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28575</xdr:rowOff>
    </xdr:to>
    <xdr:sp macro="" textlink="">
      <xdr:nvSpPr>
        <xdr:cNvPr id="435" name="Text Box 155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28575</xdr:rowOff>
    </xdr:to>
    <xdr:sp macro="" textlink="">
      <xdr:nvSpPr>
        <xdr:cNvPr id="436" name="Text Box 172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37" name="Text Box 139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38" name="Text Box 42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39" name="Text Box 426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40" name="Text Box 43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41" name="Text Box 448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28575</xdr:rowOff>
    </xdr:to>
    <xdr:sp macro="" textlink="">
      <xdr:nvSpPr>
        <xdr:cNvPr id="442" name="Text Box 93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28575</xdr:rowOff>
    </xdr:to>
    <xdr:sp macro="" textlink="">
      <xdr:nvSpPr>
        <xdr:cNvPr id="443" name="Text Box 222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28575</xdr:rowOff>
    </xdr:to>
    <xdr:sp macro="" textlink="">
      <xdr:nvSpPr>
        <xdr:cNvPr id="444" name="Text Box 494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28575</xdr:rowOff>
    </xdr:to>
    <xdr:sp macro="" textlink="">
      <xdr:nvSpPr>
        <xdr:cNvPr id="445" name="Text Box 499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46" name="Text Box 139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47" name="Text Box 42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48" name="Text Box 426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49" name="Text Box 43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50" name="Text Box 448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51" name="Text Box 117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52" name="Text Box 192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28575</xdr:rowOff>
    </xdr:to>
    <xdr:sp macro="" textlink="">
      <xdr:nvSpPr>
        <xdr:cNvPr id="453" name="Text Box 125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28575</xdr:rowOff>
    </xdr:to>
    <xdr:sp macro="" textlink="">
      <xdr:nvSpPr>
        <xdr:cNvPr id="454" name="Text Box 160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28575</xdr:rowOff>
    </xdr:to>
    <xdr:sp macro="" textlink="">
      <xdr:nvSpPr>
        <xdr:cNvPr id="455" name="Text Box 182"/>
        <xdr:cNvSpPr txBox="1">
          <a:spLocks noChangeArrowheads="1"/>
        </xdr:cNvSpPr>
      </xdr:nvSpPr>
      <xdr:spPr bwMode="auto">
        <a:xfrm>
          <a:off x="1295400" y="47567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264</xdr:row>
      <xdr:rowOff>0</xdr:rowOff>
    </xdr:from>
    <xdr:to>
      <xdr:col>2</xdr:col>
      <xdr:colOff>342900</xdr:colOff>
      <xdr:row>265</xdr:row>
      <xdr:rowOff>85725</xdr:rowOff>
    </xdr:to>
    <xdr:sp macro="" textlink="">
      <xdr:nvSpPr>
        <xdr:cNvPr id="456" name="Text Box 137"/>
        <xdr:cNvSpPr txBox="1">
          <a:spLocks noChangeArrowheads="1"/>
        </xdr:cNvSpPr>
      </xdr:nvSpPr>
      <xdr:spPr bwMode="auto">
        <a:xfrm>
          <a:off x="1295400" y="47434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264</xdr:row>
      <xdr:rowOff>0</xdr:rowOff>
    </xdr:from>
    <xdr:to>
      <xdr:col>2</xdr:col>
      <xdr:colOff>342900</xdr:colOff>
      <xdr:row>265</xdr:row>
      <xdr:rowOff>85725</xdr:rowOff>
    </xdr:to>
    <xdr:sp macro="" textlink="">
      <xdr:nvSpPr>
        <xdr:cNvPr id="457" name="Text Box 170"/>
        <xdr:cNvSpPr txBox="1">
          <a:spLocks noChangeArrowheads="1"/>
        </xdr:cNvSpPr>
      </xdr:nvSpPr>
      <xdr:spPr bwMode="auto">
        <a:xfrm>
          <a:off x="1295400" y="47434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58" name="Text Box 438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59" name="Text Box 443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60" name="Text Box 139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61" name="Text Box 42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62" name="Text Box 426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63" name="Text Box 43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64" name="Text Box 448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65" name="Text Box 48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66" name="Text Box 486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67" name="Text Box 139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68" name="Text Box 42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69" name="Text Box 426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70" name="Text Box 43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71" name="Text Box 448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72" name="Text Box 549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73" name="Text Box 554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74" name="Text Box 139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75" name="Text Box 42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76" name="Text Box 426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77" name="Text Box 431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265</xdr:row>
      <xdr:rowOff>0</xdr:rowOff>
    </xdr:from>
    <xdr:to>
      <xdr:col>2</xdr:col>
      <xdr:colOff>342900</xdr:colOff>
      <xdr:row>266</xdr:row>
      <xdr:rowOff>85725</xdr:rowOff>
    </xdr:to>
    <xdr:sp macro="" textlink="">
      <xdr:nvSpPr>
        <xdr:cNvPr id="478" name="Text Box 448"/>
        <xdr:cNvSpPr txBox="1">
          <a:spLocks noChangeArrowheads="1"/>
        </xdr:cNvSpPr>
      </xdr:nvSpPr>
      <xdr:spPr bwMode="auto">
        <a:xfrm>
          <a:off x="1295400" y="475678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479" name="Text Box 121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480" name="Text Box 187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481" name="Text Box 139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482" name="Text Box 421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483" name="Text Box 426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484" name="Text Box 431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485" name="Text Box 448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486" name="Text Box 133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487" name="Text Box 155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488" name="Text Box 172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489" name="Text Box 139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490" name="Text Box 42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491" name="Text Box 426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492" name="Text Box 43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493" name="Text Box 448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494" name="Text Box 93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495" name="Text Box 222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496" name="Text Box 494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497" name="Text Box 499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498" name="Text Box 139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499" name="Text Box 42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00" name="Text Box 426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01" name="Text Box 43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02" name="Text Box 448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03" name="Text Box 117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04" name="Text Box 192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505" name="Text Box 125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506" name="Text Box 160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28575</xdr:rowOff>
    </xdr:to>
    <xdr:sp macro="" textlink="">
      <xdr:nvSpPr>
        <xdr:cNvPr id="507" name="Text Box 182"/>
        <xdr:cNvSpPr txBox="1">
          <a:spLocks noChangeArrowheads="1"/>
        </xdr:cNvSpPr>
      </xdr:nvSpPr>
      <xdr:spPr bwMode="auto">
        <a:xfrm>
          <a:off x="1295400" y="50101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283</xdr:row>
      <xdr:rowOff>0</xdr:rowOff>
    </xdr:from>
    <xdr:to>
      <xdr:col>2</xdr:col>
      <xdr:colOff>342900</xdr:colOff>
      <xdr:row>284</xdr:row>
      <xdr:rowOff>85725</xdr:rowOff>
    </xdr:to>
    <xdr:sp macro="" textlink="">
      <xdr:nvSpPr>
        <xdr:cNvPr id="508" name="Text Box 137"/>
        <xdr:cNvSpPr txBox="1">
          <a:spLocks noChangeArrowheads="1"/>
        </xdr:cNvSpPr>
      </xdr:nvSpPr>
      <xdr:spPr bwMode="auto">
        <a:xfrm>
          <a:off x="1295400" y="49968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283</xdr:row>
      <xdr:rowOff>0</xdr:rowOff>
    </xdr:from>
    <xdr:to>
      <xdr:col>2</xdr:col>
      <xdr:colOff>342900</xdr:colOff>
      <xdr:row>284</xdr:row>
      <xdr:rowOff>85725</xdr:rowOff>
    </xdr:to>
    <xdr:sp macro="" textlink="">
      <xdr:nvSpPr>
        <xdr:cNvPr id="509" name="Text Box 170"/>
        <xdr:cNvSpPr txBox="1">
          <a:spLocks noChangeArrowheads="1"/>
        </xdr:cNvSpPr>
      </xdr:nvSpPr>
      <xdr:spPr bwMode="auto">
        <a:xfrm>
          <a:off x="1295400" y="49968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10" name="Text Box 438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11" name="Text Box 443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12" name="Text Box 139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13" name="Text Box 42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14" name="Text Box 426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15" name="Text Box 43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16" name="Text Box 448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17" name="Text Box 48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18" name="Text Box 486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19" name="Text Box 139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20" name="Text Box 42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21" name="Text Box 426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22" name="Text Box 43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23" name="Text Box 448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24" name="Text Box 549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25" name="Text Box 554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26" name="Text Box 139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27" name="Text Box 42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28" name="Text Box 426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29" name="Text Box 431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284</xdr:row>
      <xdr:rowOff>0</xdr:rowOff>
    </xdr:from>
    <xdr:to>
      <xdr:col>2</xdr:col>
      <xdr:colOff>342900</xdr:colOff>
      <xdr:row>285</xdr:row>
      <xdr:rowOff>85725</xdr:rowOff>
    </xdr:to>
    <xdr:sp macro="" textlink="">
      <xdr:nvSpPr>
        <xdr:cNvPr id="530" name="Text Box 448"/>
        <xdr:cNvSpPr txBox="1">
          <a:spLocks noChangeArrowheads="1"/>
        </xdr:cNvSpPr>
      </xdr:nvSpPr>
      <xdr:spPr bwMode="auto">
        <a:xfrm>
          <a:off x="1295400" y="50101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300</xdr:row>
      <xdr:rowOff>0</xdr:rowOff>
    </xdr:from>
    <xdr:to>
      <xdr:col>2</xdr:col>
      <xdr:colOff>342900</xdr:colOff>
      <xdr:row>301</xdr:row>
      <xdr:rowOff>28575</xdr:rowOff>
    </xdr:to>
    <xdr:sp macro="" textlink="">
      <xdr:nvSpPr>
        <xdr:cNvPr id="531" name="Text Box 97"/>
        <xdr:cNvSpPr txBox="1">
          <a:spLocks noChangeArrowheads="1"/>
        </xdr:cNvSpPr>
      </xdr:nvSpPr>
      <xdr:spPr bwMode="auto">
        <a:xfrm>
          <a:off x="1295400" y="522351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300</xdr:row>
      <xdr:rowOff>0</xdr:rowOff>
    </xdr:from>
    <xdr:to>
      <xdr:col>2</xdr:col>
      <xdr:colOff>342900</xdr:colOff>
      <xdr:row>301</xdr:row>
      <xdr:rowOff>28575</xdr:rowOff>
    </xdr:to>
    <xdr:sp macro="" textlink="">
      <xdr:nvSpPr>
        <xdr:cNvPr id="532" name="Text Box 217"/>
        <xdr:cNvSpPr txBox="1">
          <a:spLocks noChangeArrowheads="1"/>
        </xdr:cNvSpPr>
      </xdr:nvSpPr>
      <xdr:spPr bwMode="auto">
        <a:xfrm>
          <a:off x="1295400" y="522351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76200</xdr:colOff>
      <xdr:row>301</xdr:row>
      <xdr:rowOff>28575</xdr:rowOff>
    </xdr:to>
    <xdr:sp macro="" textlink="">
      <xdr:nvSpPr>
        <xdr:cNvPr id="533" name="Text Box 97"/>
        <xdr:cNvSpPr txBox="1">
          <a:spLocks noChangeArrowheads="1"/>
        </xdr:cNvSpPr>
      </xdr:nvSpPr>
      <xdr:spPr bwMode="auto">
        <a:xfrm>
          <a:off x="1028700" y="522351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76200</xdr:colOff>
      <xdr:row>301</xdr:row>
      <xdr:rowOff>28575</xdr:rowOff>
    </xdr:to>
    <xdr:sp macro="" textlink="">
      <xdr:nvSpPr>
        <xdr:cNvPr id="534" name="Text Box 217"/>
        <xdr:cNvSpPr txBox="1">
          <a:spLocks noChangeArrowheads="1"/>
        </xdr:cNvSpPr>
      </xdr:nvSpPr>
      <xdr:spPr bwMode="auto">
        <a:xfrm>
          <a:off x="1028700" y="522351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35" name="Text Box 121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36" name="Text Box 187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37" name="Text Box 139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38" name="Text Box 421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39" name="Text Box 426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40" name="Text Box 431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41" name="Text Box 448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42" name="Text Box 133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43" name="Text Box 155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44" name="Text Box 172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45" name="Text Box 139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46" name="Text Box 421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47" name="Text Box 426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48" name="Text Box 431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49" name="Text Box 448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50" name="Text Box 93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51" name="Text Box 222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52" name="Text Box 494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53" name="Text Box 499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54" name="Text Box 139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55" name="Text Box 421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56" name="Text Box 426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57" name="Text Box 431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58" name="Text Box 448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59" name="Text Box 117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60" name="Text Box 192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61" name="Text Box 125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62" name="Text Box 160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303</xdr:row>
      <xdr:rowOff>28575</xdr:rowOff>
    </xdr:to>
    <xdr:sp macro="" textlink="">
      <xdr:nvSpPr>
        <xdr:cNvPr id="563" name="Text Box 182"/>
        <xdr:cNvSpPr txBox="1">
          <a:spLocks noChangeArrowheads="1"/>
        </xdr:cNvSpPr>
      </xdr:nvSpPr>
      <xdr:spPr bwMode="auto">
        <a:xfrm>
          <a:off x="1295400" y="52501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301</xdr:row>
      <xdr:rowOff>0</xdr:rowOff>
    </xdr:from>
    <xdr:to>
      <xdr:col>2</xdr:col>
      <xdr:colOff>342900</xdr:colOff>
      <xdr:row>302</xdr:row>
      <xdr:rowOff>85725</xdr:rowOff>
    </xdr:to>
    <xdr:sp macro="" textlink="">
      <xdr:nvSpPr>
        <xdr:cNvPr id="564" name="Text Box 137"/>
        <xdr:cNvSpPr txBox="1">
          <a:spLocks noChangeArrowheads="1"/>
        </xdr:cNvSpPr>
      </xdr:nvSpPr>
      <xdr:spPr bwMode="auto">
        <a:xfrm>
          <a:off x="1295400" y="523684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301</xdr:row>
      <xdr:rowOff>0</xdr:rowOff>
    </xdr:from>
    <xdr:to>
      <xdr:col>2</xdr:col>
      <xdr:colOff>342900</xdr:colOff>
      <xdr:row>302</xdr:row>
      <xdr:rowOff>85725</xdr:rowOff>
    </xdr:to>
    <xdr:sp macro="" textlink="">
      <xdr:nvSpPr>
        <xdr:cNvPr id="565" name="Text Box 170"/>
        <xdr:cNvSpPr txBox="1">
          <a:spLocks noChangeArrowheads="1"/>
        </xdr:cNvSpPr>
      </xdr:nvSpPr>
      <xdr:spPr bwMode="auto">
        <a:xfrm>
          <a:off x="1295400" y="523684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66" name="Text Box 438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67" name="Text Box 443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68" name="Text Box 139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69" name="Text Box 421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70" name="Text Box 426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71" name="Text Box 431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72" name="Text Box 448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73" name="Text Box 481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74" name="Text Box 486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75" name="Text Box 139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76" name="Text Box 421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77" name="Text Box 426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78" name="Text Box 431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79" name="Text Box 448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80" name="Text Box 549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81" name="Text Box 554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82" name="Text Box 139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83" name="Text Box 421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84" name="Text Box 426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85" name="Text Box 431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302</xdr:row>
      <xdr:rowOff>0</xdr:rowOff>
    </xdr:from>
    <xdr:to>
      <xdr:col>2</xdr:col>
      <xdr:colOff>342900</xdr:colOff>
      <xdr:row>304</xdr:row>
      <xdr:rowOff>38100</xdr:rowOff>
    </xdr:to>
    <xdr:sp macro="" textlink="">
      <xdr:nvSpPr>
        <xdr:cNvPr id="586" name="Text Box 448"/>
        <xdr:cNvSpPr txBox="1">
          <a:spLocks noChangeArrowheads="1"/>
        </xdr:cNvSpPr>
      </xdr:nvSpPr>
      <xdr:spPr bwMode="auto">
        <a:xfrm>
          <a:off x="1295400" y="52501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587" name="Text Box 139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588" name="Text Box 421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589" name="Text Box 426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590" name="Text Box 431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591" name="Text Box 448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592" name="Text Box 121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593" name="Text Box 187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594" name="Text Box 139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595" name="Text Box 421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596" name="Text Box 426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597" name="Text Box 431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598" name="Text Box 448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599" name="Text Box 133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600" name="Text Box 155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601" name="Text Box 172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602" name="Text Box 93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603" name="Text Box 222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604" name="Text Box 494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605" name="Text Box 499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606" name="Text Box 125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607" name="Text Box 160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327</xdr:row>
      <xdr:rowOff>0</xdr:rowOff>
    </xdr:from>
    <xdr:to>
      <xdr:col>2</xdr:col>
      <xdr:colOff>342900</xdr:colOff>
      <xdr:row>328</xdr:row>
      <xdr:rowOff>28575</xdr:rowOff>
    </xdr:to>
    <xdr:sp macro="" textlink="">
      <xdr:nvSpPr>
        <xdr:cNvPr id="608" name="Text Box 182"/>
        <xdr:cNvSpPr txBox="1">
          <a:spLocks noChangeArrowheads="1"/>
        </xdr:cNvSpPr>
      </xdr:nvSpPr>
      <xdr:spPr bwMode="auto">
        <a:xfrm>
          <a:off x="1295400" y="556545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326</xdr:row>
      <xdr:rowOff>0</xdr:rowOff>
    </xdr:from>
    <xdr:to>
      <xdr:col>2</xdr:col>
      <xdr:colOff>342900</xdr:colOff>
      <xdr:row>327</xdr:row>
      <xdr:rowOff>85725</xdr:rowOff>
    </xdr:to>
    <xdr:sp macro="" textlink="">
      <xdr:nvSpPr>
        <xdr:cNvPr id="609" name="Text Box 137"/>
        <xdr:cNvSpPr txBox="1">
          <a:spLocks noChangeArrowheads="1"/>
        </xdr:cNvSpPr>
      </xdr:nvSpPr>
      <xdr:spPr bwMode="auto">
        <a:xfrm>
          <a:off x="1295400" y="555212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326</xdr:row>
      <xdr:rowOff>0</xdr:rowOff>
    </xdr:from>
    <xdr:to>
      <xdr:col>2</xdr:col>
      <xdr:colOff>342900</xdr:colOff>
      <xdr:row>327</xdr:row>
      <xdr:rowOff>85725</xdr:rowOff>
    </xdr:to>
    <xdr:sp macro="" textlink="">
      <xdr:nvSpPr>
        <xdr:cNvPr id="610" name="Text Box 170"/>
        <xdr:cNvSpPr txBox="1">
          <a:spLocks noChangeArrowheads="1"/>
        </xdr:cNvSpPr>
      </xdr:nvSpPr>
      <xdr:spPr bwMode="auto">
        <a:xfrm>
          <a:off x="1295400" y="555212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85725</xdr:rowOff>
    </xdr:to>
    <xdr:sp macro="" textlink="">
      <xdr:nvSpPr>
        <xdr:cNvPr id="611" name="Text Box 77"/>
        <xdr:cNvSpPr txBox="1">
          <a:spLocks noChangeArrowheads="1"/>
        </xdr:cNvSpPr>
      </xdr:nvSpPr>
      <xdr:spPr bwMode="auto">
        <a:xfrm>
          <a:off x="1295400" y="580548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85725</xdr:rowOff>
    </xdr:to>
    <xdr:sp macro="" textlink="">
      <xdr:nvSpPr>
        <xdr:cNvPr id="612" name="Text Box 255"/>
        <xdr:cNvSpPr txBox="1">
          <a:spLocks noChangeArrowheads="1"/>
        </xdr:cNvSpPr>
      </xdr:nvSpPr>
      <xdr:spPr bwMode="auto">
        <a:xfrm>
          <a:off x="1295400" y="580548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85725</xdr:rowOff>
    </xdr:to>
    <xdr:sp macro="" textlink="">
      <xdr:nvSpPr>
        <xdr:cNvPr id="613" name="Text Box 260"/>
        <xdr:cNvSpPr txBox="1">
          <a:spLocks noChangeArrowheads="1"/>
        </xdr:cNvSpPr>
      </xdr:nvSpPr>
      <xdr:spPr bwMode="auto">
        <a:xfrm>
          <a:off x="1295400" y="580548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14" name="Text Box 139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15" name="Text Box 421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16" name="Text Box 426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17" name="Text Box 431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18" name="Text Box 448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19" name="Text Box 121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20" name="Text Box 187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21" name="Text Box 139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22" name="Text Box 421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23" name="Text Box 426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24" name="Text Box 431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25" name="Text Box 448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26" name="Text Box 133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27" name="Text Box 155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28" name="Text Box 172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29" name="Text Box 93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30" name="Text Box 222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31" name="Text Box 494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32" name="Text Box 499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33" name="Text Box 125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34" name="Text Box 160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345</xdr:row>
      <xdr:rowOff>0</xdr:rowOff>
    </xdr:from>
    <xdr:to>
      <xdr:col>2</xdr:col>
      <xdr:colOff>342900</xdr:colOff>
      <xdr:row>346</xdr:row>
      <xdr:rowOff>28575</xdr:rowOff>
    </xdr:to>
    <xdr:sp macro="" textlink="">
      <xdr:nvSpPr>
        <xdr:cNvPr id="635" name="Text Box 182"/>
        <xdr:cNvSpPr txBox="1">
          <a:spLocks noChangeArrowheads="1"/>
        </xdr:cNvSpPr>
      </xdr:nvSpPr>
      <xdr:spPr bwMode="auto">
        <a:xfrm>
          <a:off x="1295400" y="580548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344</xdr:row>
      <xdr:rowOff>0</xdr:rowOff>
    </xdr:from>
    <xdr:to>
      <xdr:col>2</xdr:col>
      <xdr:colOff>342900</xdr:colOff>
      <xdr:row>345</xdr:row>
      <xdr:rowOff>85725</xdr:rowOff>
    </xdr:to>
    <xdr:sp macro="" textlink="">
      <xdr:nvSpPr>
        <xdr:cNvPr id="636" name="Text Box 137"/>
        <xdr:cNvSpPr txBox="1">
          <a:spLocks noChangeArrowheads="1"/>
        </xdr:cNvSpPr>
      </xdr:nvSpPr>
      <xdr:spPr bwMode="auto">
        <a:xfrm>
          <a:off x="1295400" y="579215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344</xdr:row>
      <xdr:rowOff>0</xdr:rowOff>
    </xdr:from>
    <xdr:to>
      <xdr:col>2</xdr:col>
      <xdr:colOff>342900</xdr:colOff>
      <xdr:row>345</xdr:row>
      <xdr:rowOff>85725</xdr:rowOff>
    </xdr:to>
    <xdr:sp macro="" textlink="">
      <xdr:nvSpPr>
        <xdr:cNvPr id="637" name="Text Box 170"/>
        <xdr:cNvSpPr txBox="1">
          <a:spLocks noChangeArrowheads="1"/>
        </xdr:cNvSpPr>
      </xdr:nvSpPr>
      <xdr:spPr bwMode="auto">
        <a:xfrm>
          <a:off x="1295400" y="579215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366</xdr:row>
      <xdr:rowOff>0</xdr:rowOff>
    </xdr:from>
    <xdr:to>
      <xdr:col>2</xdr:col>
      <xdr:colOff>342900</xdr:colOff>
      <xdr:row>367</xdr:row>
      <xdr:rowOff>85725</xdr:rowOff>
    </xdr:to>
    <xdr:sp macro="" textlink="">
      <xdr:nvSpPr>
        <xdr:cNvPr id="638" name="Text Box 145"/>
        <xdr:cNvSpPr txBox="1">
          <a:spLocks noChangeArrowheads="1"/>
        </xdr:cNvSpPr>
      </xdr:nvSpPr>
      <xdr:spPr bwMode="auto">
        <a:xfrm>
          <a:off x="1295400" y="608552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366</xdr:row>
      <xdr:rowOff>0</xdr:rowOff>
    </xdr:from>
    <xdr:to>
      <xdr:col>2</xdr:col>
      <xdr:colOff>342900</xdr:colOff>
      <xdr:row>367</xdr:row>
      <xdr:rowOff>85725</xdr:rowOff>
    </xdr:to>
    <xdr:sp macro="" textlink="">
      <xdr:nvSpPr>
        <xdr:cNvPr id="639" name="Text Box 321"/>
        <xdr:cNvSpPr txBox="1">
          <a:spLocks noChangeArrowheads="1"/>
        </xdr:cNvSpPr>
      </xdr:nvSpPr>
      <xdr:spPr bwMode="auto">
        <a:xfrm>
          <a:off x="1295400" y="608552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366</xdr:row>
      <xdr:rowOff>0</xdr:rowOff>
    </xdr:from>
    <xdr:to>
      <xdr:col>2</xdr:col>
      <xdr:colOff>342900</xdr:colOff>
      <xdr:row>367</xdr:row>
      <xdr:rowOff>85725</xdr:rowOff>
    </xdr:to>
    <xdr:sp macro="" textlink="">
      <xdr:nvSpPr>
        <xdr:cNvPr id="640" name="Text Box 326"/>
        <xdr:cNvSpPr txBox="1">
          <a:spLocks noChangeArrowheads="1"/>
        </xdr:cNvSpPr>
      </xdr:nvSpPr>
      <xdr:spPr bwMode="auto">
        <a:xfrm>
          <a:off x="1295400" y="608552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366</xdr:row>
      <xdr:rowOff>0</xdr:rowOff>
    </xdr:from>
    <xdr:to>
      <xdr:col>2</xdr:col>
      <xdr:colOff>76200</xdr:colOff>
      <xdr:row>367</xdr:row>
      <xdr:rowOff>85725</xdr:rowOff>
    </xdr:to>
    <xdr:sp macro="" textlink="">
      <xdr:nvSpPr>
        <xdr:cNvPr id="641" name="Text Box 145"/>
        <xdr:cNvSpPr txBox="1">
          <a:spLocks noChangeArrowheads="1"/>
        </xdr:cNvSpPr>
      </xdr:nvSpPr>
      <xdr:spPr bwMode="auto">
        <a:xfrm>
          <a:off x="1028700" y="608552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366</xdr:row>
      <xdr:rowOff>0</xdr:rowOff>
    </xdr:from>
    <xdr:to>
      <xdr:col>2</xdr:col>
      <xdr:colOff>76200</xdr:colOff>
      <xdr:row>367</xdr:row>
      <xdr:rowOff>85725</xdr:rowOff>
    </xdr:to>
    <xdr:sp macro="" textlink="">
      <xdr:nvSpPr>
        <xdr:cNvPr id="642" name="Text Box 321"/>
        <xdr:cNvSpPr txBox="1">
          <a:spLocks noChangeArrowheads="1"/>
        </xdr:cNvSpPr>
      </xdr:nvSpPr>
      <xdr:spPr bwMode="auto">
        <a:xfrm>
          <a:off x="1028700" y="608552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366</xdr:row>
      <xdr:rowOff>0</xdr:rowOff>
    </xdr:from>
    <xdr:to>
      <xdr:col>2</xdr:col>
      <xdr:colOff>76200</xdr:colOff>
      <xdr:row>367</xdr:row>
      <xdr:rowOff>85725</xdr:rowOff>
    </xdr:to>
    <xdr:sp macro="" textlink="">
      <xdr:nvSpPr>
        <xdr:cNvPr id="643" name="Text Box 326"/>
        <xdr:cNvSpPr txBox="1">
          <a:spLocks noChangeArrowheads="1"/>
        </xdr:cNvSpPr>
      </xdr:nvSpPr>
      <xdr:spPr bwMode="auto">
        <a:xfrm>
          <a:off x="1028700" y="608552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85725</xdr:rowOff>
    </xdr:to>
    <xdr:sp macro="" textlink="">
      <xdr:nvSpPr>
        <xdr:cNvPr id="644" name="Text Box 77"/>
        <xdr:cNvSpPr txBox="1">
          <a:spLocks noChangeArrowheads="1"/>
        </xdr:cNvSpPr>
      </xdr:nvSpPr>
      <xdr:spPr bwMode="auto">
        <a:xfrm>
          <a:off x="1295400" y="613886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85725</xdr:rowOff>
    </xdr:to>
    <xdr:sp macro="" textlink="">
      <xdr:nvSpPr>
        <xdr:cNvPr id="645" name="Text Box 255"/>
        <xdr:cNvSpPr txBox="1">
          <a:spLocks noChangeArrowheads="1"/>
        </xdr:cNvSpPr>
      </xdr:nvSpPr>
      <xdr:spPr bwMode="auto">
        <a:xfrm>
          <a:off x="1295400" y="613886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85725</xdr:rowOff>
    </xdr:to>
    <xdr:sp macro="" textlink="">
      <xdr:nvSpPr>
        <xdr:cNvPr id="646" name="Text Box 260"/>
        <xdr:cNvSpPr txBox="1">
          <a:spLocks noChangeArrowheads="1"/>
        </xdr:cNvSpPr>
      </xdr:nvSpPr>
      <xdr:spPr bwMode="auto">
        <a:xfrm>
          <a:off x="1295400" y="613886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47" name="Text Box 139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48" name="Text Box 421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49" name="Text Box 426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50" name="Text Box 431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51" name="Text Box 448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52" name="Text Box 121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53" name="Text Box 187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54" name="Text Box 139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55" name="Text Box 421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56" name="Text Box 426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57" name="Text Box 431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58" name="Text Box 448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59" name="Text Box 133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60" name="Text Box 155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61" name="Text Box 172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62" name="Text Box 93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63" name="Text Box 222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64" name="Text Box 494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65" name="Text Box 499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66" name="Text Box 125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67" name="Text Box 160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370</xdr:row>
      <xdr:rowOff>0</xdr:rowOff>
    </xdr:from>
    <xdr:to>
      <xdr:col>2</xdr:col>
      <xdr:colOff>342900</xdr:colOff>
      <xdr:row>371</xdr:row>
      <xdr:rowOff>28575</xdr:rowOff>
    </xdr:to>
    <xdr:sp macro="" textlink="">
      <xdr:nvSpPr>
        <xdr:cNvPr id="668" name="Text Box 182"/>
        <xdr:cNvSpPr txBox="1">
          <a:spLocks noChangeArrowheads="1"/>
        </xdr:cNvSpPr>
      </xdr:nvSpPr>
      <xdr:spPr bwMode="auto">
        <a:xfrm>
          <a:off x="1295400" y="613886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669" name="Text Box 137"/>
        <xdr:cNvSpPr txBox="1">
          <a:spLocks noChangeArrowheads="1"/>
        </xdr:cNvSpPr>
      </xdr:nvSpPr>
      <xdr:spPr bwMode="auto">
        <a:xfrm>
          <a:off x="1295400" y="612552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369</xdr:row>
      <xdr:rowOff>0</xdr:rowOff>
    </xdr:from>
    <xdr:to>
      <xdr:col>2</xdr:col>
      <xdr:colOff>342900</xdr:colOff>
      <xdr:row>370</xdr:row>
      <xdr:rowOff>85725</xdr:rowOff>
    </xdr:to>
    <xdr:sp macro="" textlink="">
      <xdr:nvSpPr>
        <xdr:cNvPr id="670" name="Text Box 170"/>
        <xdr:cNvSpPr txBox="1">
          <a:spLocks noChangeArrowheads="1"/>
        </xdr:cNvSpPr>
      </xdr:nvSpPr>
      <xdr:spPr bwMode="auto">
        <a:xfrm>
          <a:off x="1295400" y="612552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71" name="Text Box 139"/>
        <xdr:cNvSpPr txBox="1">
          <a:spLocks noChangeArrowheads="1"/>
        </xdr:cNvSpPr>
      </xdr:nvSpPr>
      <xdr:spPr bwMode="auto">
        <a:xfrm>
          <a:off x="6600825" y="7524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72" name="Text Box 421"/>
        <xdr:cNvSpPr txBox="1">
          <a:spLocks noChangeArrowheads="1"/>
        </xdr:cNvSpPr>
      </xdr:nvSpPr>
      <xdr:spPr bwMode="auto">
        <a:xfrm>
          <a:off x="6600825" y="7524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73" name="Text Box 426"/>
        <xdr:cNvSpPr txBox="1">
          <a:spLocks noChangeArrowheads="1"/>
        </xdr:cNvSpPr>
      </xdr:nvSpPr>
      <xdr:spPr bwMode="auto">
        <a:xfrm>
          <a:off x="6600825" y="7524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74" name="Text Box 431"/>
        <xdr:cNvSpPr txBox="1">
          <a:spLocks noChangeArrowheads="1"/>
        </xdr:cNvSpPr>
      </xdr:nvSpPr>
      <xdr:spPr bwMode="auto">
        <a:xfrm>
          <a:off x="6600825" y="7524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75" name="Text Box 448"/>
        <xdr:cNvSpPr txBox="1">
          <a:spLocks noChangeArrowheads="1"/>
        </xdr:cNvSpPr>
      </xdr:nvSpPr>
      <xdr:spPr bwMode="auto">
        <a:xfrm>
          <a:off x="6600825" y="7524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76" name="Text Box 288"/>
        <xdr:cNvSpPr txBox="1">
          <a:spLocks noChangeArrowheads="1"/>
        </xdr:cNvSpPr>
      </xdr:nvSpPr>
      <xdr:spPr bwMode="auto">
        <a:xfrm>
          <a:off x="6600825" y="7524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77" name="Text Box 293"/>
        <xdr:cNvSpPr txBox="1">
          <a:spLocks noChangeArrowheads="1"/>
        </xdr:cNvSpPr>
      </xdr:nvSpPr>
      <xdr:spPr bwMode="auto">
        <a:xfrm>
          <a:off x="6600825" y="7524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678" name="Text Box 139"/>
        <xdr:cNvSpPr txBox="1">
          <a:spLocks noChangeArrowheads="1"/>
        </xdr:cNvSpPr>
      </xdr:nvSpPr>
      <xdr:spPr bwMode="auto">
        <a:xfrm>
          <a:off x="6600825" y="7524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679" name="Text Box 421"/>
        <xdr:cNvSpPr txBox="1">
          <a:spLocks noChangeArrowheads="1"/>
        </xdr:cNvSpPr>
      </xdr:nvSpPr>
      <xdr:spPr bwMode="auto">
        <a:xfrm>
          <a:off x="6600825" y="7524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680" name="Text Box 426"/>
        <xdr:cNvSpPr txBox="1">
          <a:spLocks noChangeArrowheads="1"/>
        </xdr:cNvSpPr>
      </xdr:nvSpPr>
      <xdr:spPr bwMode="auto">
        <a:xfrm>
          <a:off x="6600825" y="7524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681" name="Text Box 431"/>
        <xdr:cNvSpPr txBox="1">
          <a:spLocks noChangeArrowheads="1"/>
        </xdr:cNvSpPr>
      </xdr:nvSpPr>
      <xdr:spPr bwMode="auto">
        <a:xfrm>
          <a:off x="6600825" y="7524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682" name="Text Box 448"/>
        <xdr:cNvSpPr txBox="1">
          <a:spLocks noChangeArrowheads="1"/>
        </xdr:cNvSpPr>
      </xdr:nvSpPr>
      <xdr:spPr bwMode="auto">
        <a:xfrm>
          <a:off x="6600825" y="7524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83" name="Text Box 299"/>
        <xdr:cNvSpPr txBox="1">
          <a:spLocks noChangeArrowheads="1"/>
        </xdr:cNvSpPr>
      </xdr:nvSpPr>
      <xdr:spPr bwMode="auto">
        <a:xfrm>
          <a:off x="6600825" y="104584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84" name="Text Box 304"/>
        <xdr:cNvSpPr txBox="1">
          <a:spLocks noChangeArrowheads="1"/>
        </xdr:cNvSpPr>
      </xdr:nvSpPr>
      <xdr:spPr bwMode="auto">
        <a:xfrm>
          <a:off x="6600825" y="104584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85" name="Text Box 139"/>
        <xdr:cNvSpPr txBox="1">
          <a:spLocks noChangeArrowheads="1"/>
        </xdr:cNvSpPr>
      </xdr:nvSpPr>
      <xdr:spPr bwMode="auto">
        <a:xfrm>
          <a:off x="6600825" y="10191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86" name="Text Box 421"/>
        <xdr:cNvSpPr txBox="1">
          <a:spLocks noChangeArrowheads="1"/>
        </xdr:cNvSpPr>
      </xdr:nvSpPr>
      <xdr:spPr bwMode="auto">
        <a:xfrm>
          <a:off x="6600825" y="10191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87" name="Text Box 426"/>
        <xdr:cNvSpPr txBox="1">
          <a:spLocks noChangeArrowheads="1"/>
        </xdr:cNvSpPr>
      </xdr:nvSpPr>
      <xdr:spPr bwMode="auto">
        <a:xfrm>
          <a:off x="6600825" y="10191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88" name="Text Box 431"/>
        <xdr:cNvSpPr txBox="1">
          <a:spLocks noChangeArrowheads="1"/>
        </xdr:cNvSpPr>
      </xdr:nvSpPr>
      <xdr:spPr bwMode="auto">
        <a:xfrm>
          <a:off x="6600825" y="10191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89" name="Text Box 448"/>
        <xdr:cNvSpPr txBox="1">
          <a:spLocks noChangeArrowheads="1"/>
        </xdr:cNvSpPr>
      </xdr:nvSpPr>
      <xdr:spPr bwMode="auto">
        <a:xfrm>
          <a:off x="6600825" y="10191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90" name="Text Box 288"/>
        <xdr:cNvSpPr txBox="1">
          <a:spLocks noChangeArrowheads="1"/>
        </xdr:cNvSpPr>
      </xdr:nvSpPr>
      <xdr:spPr bwMode="auto">
        <a:xfrm>
          <a:off x="6600825" y="10191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91" name="Text Box 293"/>
        <xdr:cNvSpPr txBox="1">
          <a:spLocks noChangeArrowheads="1"/>
        </xdr:cNvSpPr>
      </xdr:nvSpPr>
      <xdr:spPr bwMode="auto">
        <a:xfrm>
          <a:off x="6600825" y="10191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692" name="Text Box 139"/>
        <xdr:cNvSpPr txBox="1">
          <a:spLocks noChangeArrowheads="1"/>
        </xdr:cNvSpPr>
      </xdr:nvSpPr>
      <xdr:spPr bwMode="auto">
        <a:xfrm>
          <a:off x="6600825" y="10191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693" name="Text Box 421"/>
        <xdr:cNvSpPr txBox="1">
          <a:spLocks noChangeArrowheads="1"/>
        </xdr:cNvSpPr>
      </xdr:nvSpPr>
      <xdr:spPr bwMode="auto">
        <a:xfrm>
          <a:off x="6600825" y="10191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694" name="Text Box 426"/>
        <xdr:cNvSpPr txBox="1">
          <a:spLocks noChangeArrowheads="1"/>
        </xdr:cNvSpPr>
      </xdr:nvSpPr>
      <xdr:spPr bwMode="auto">
        <a:xfrm>
          <a:off x="6600825" y="10191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695" name="Text Box 431"/>
        <xdr:cNvSpPr txBox="1">
          <a:spLocks noChangeArrowheads="1"/>
        </xdr:cNvSpPr>
      </xdr:nvSpPr>
      <xdr:spPr bwMode="auto">
        <a:xfrm>
          <a:off x="6600825" y="10191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696" name="Text Box 448"/>
        <xdr:cNvSpPr txBox="1">
          <a:spLocks noChangeArrowheads="1"/>
        </xdr:cNvSpPr>
      </xdr:nvSpPr>
      <xdr:spPr bwMode="auto">
        <a:xfrm>
          <a:off x="6600825" y="10191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97" name="Text Box 139"/>
        <xdr:cNvSpPr txBox="1">
          <a:spLocks noChangeArrowheads="1"/>
        </xdr:cNvSpPr>
      </xdr:nvSpPr>
      <xdr:spPr bwMode="auto">
        <a:xfrm>
          <a:off x="6600825" y="12858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98" name="Text Box 421"/>
        <xdr:cNvSpPr txBox="1">
          <a:spLocks noChangeArrowheads="1"/>
        </xdr:cNvSpPr>
      </xdr:nvSpPr>
      <xdr:spPr bwMode="auto">
        <a:xfrm>
          <a:off x="6600825" y="12858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699" name="Text Box 426"/>
        <xdr:cNvSpPr txBox="1">
          <a:spLocks noChangeArrowheads="1"/>
        </xdr:cNvSpPr>
      </xdr:nvSpPr>
      <xdr:spPr bwMode="auto">
        <a:xfrm>
          <a:off x="6600825" y="12858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00" name="Text Box 431"/>
        <xdr:cNvSpPr txBox="1">
          <a:spLocks noChangeArrowheads="1"/>
        </xdr:cNvSpPr>
      </xdr:nvSpPr>
      <xdr:spPr bwMode="auto">
        <a:xfrm>
          <a:off x="6600825" y="12858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01" name="Text Box 448"/>
        <xdr:cNvSpPr txBox="1">
          <a:spLocks noChangeArrowheads="1"/>
        </xdr:cNvSpPr>
      </xdr:nvSpPr>
      <xdr:spPr bwMode="auto">
        <a:xfrm>
          <a:off x="6600825" y="12858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02" name="Text Box 288"/>
        <xdr:cNvSpPr txBox="1">
          <a:spLocks noChangeArrowheads="1"/>
        </xdr:cNvSpPr>
      </xdr:nvSpPr>
      <xdr:spPr bwMode="auto">
        <a:xfrm>
          <a:off x="6600825" y="12858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03" name="Text Box 293"/>
        <xdr:cNvSpPr txBox="1">
          <a:spLocks noChangeArrowheads="1"/>
        </xdr:cNvSpPr>
      </xdr:nvSpPr>
      <xdr:spPr bwMode="auto">
        <a:xfrm>
          <a:off x="6600825" y="12858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704" name="Text Box 139"/>
        <xdr:cNvSpPr txBox="1">
          <a:spLocks noChangeArrowheads="1"/>
        </xdr:cNvSpPr>
      </xdr:nvSpPr>
      <xdr:spPr bwMode="auto">
        <a:xfrm>
          <a:off x="6600825" y="12858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705" name="Text Box 421"/>
        <xdr:cNvSpPr txBox="1">
          <a:spLocks noChangeArrowheads="1"/>
        </xdr:cNvSpPr>
      </xdr:nvSpPr>
      <xdr:spPr bwMode="auto">
        <a:xfrm>
          <a:off x="6600825" y="12858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706" name="Text Box 426"/>
        <xdr:cNvSpPr txBox="1">
          <a:spLocks noChangeArrowheads="1"/>
        </xdr:cNvSpPr>
      </xdr:nvSpPr>
      <xdr:spPr bwMode="auto">
        <a:xfrm>
          <a:off x="6600825" y="12858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707" name="Text Box 431"/>
        <xdr:cNvSpPr txBox="1">
          <a:spLocks noChangeArrowheads="1"/>
        </xdr:cNvSpPr>
      </xdr:nvSpPr>
      <xdr:spPr bwMode="auto">
        <a:xfrm>
          <a:off x="6600825" y="12858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708" name="Text Box 448"/>
        <xdr:cNvSpPr txBox="1">
          <a:spLocks noChangeArrowheads="1"/>
        </xdr:cNvSpPr>
      </xdr:nvSpPr>
      <xdr:spPr bwMode="auto">
        <a:xfrm>
          <a:off x="6600825" y="12858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09" name="Text Box 332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10" name="Text Box 337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11" name="Text Box 139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12" name="Text Box 421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13" name="Text Box 426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14" name="Text Box 431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15" name="Text Box 448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396</xdr:row>
      <xdr:rowOff>9525</xdr:rowOff>
    </xdr:to>
    <xdr:sp macro="" textlink="">
      <xdr:nvSpPr>
        <xdr:cNvPr id="716" name="Text Box 77"/>
        <xdr:cNvSpPr txBox="1">
          <a:spLocks noChangeArrowheads="1"/>
        </xdr:cNvSpPr>
      </xdr:nvSpPr>
      <xdr:spPr bwMode="auto">
        <a:xfrm>
          <a:off x="1295400" y="645223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396</xdr:row>
      <xdr:rowOff>9525</xdr:rowOff>
    </xdr:to>
    <xdr:sp macro="" textlink="">
      <xdr:nvSpPr>
        <xdr:cNvPr id="717" name="Text Box 255"/>
        <xdr:cNvSpPr txBox="1">
          <a:spLocks noChangeArrowheads="1"/>
        </xdr:cNvSpPr>
      </xdr:nvSpPr>
      <xdr:spPr bwMode="auto">
        <a:xfrm>
          <a:off x="1295400" y="645223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396</xdr:row>
      <xdr:rowOff>9525</xdr:rowOff>
    </xdr:to>
    <xdr:sp macro="" textlink="">
      <xdr:nvSpPr>
        <xdr:cNvPr id="718" name="Text Box 260"/>
        <xdr:cNvSpPr txBox="1">
          <a:spLocks noChangeArrowheads="1"/>
        </xdr:cNvSpPr>
      </xdr:nvSpPr>
      <xdr:spPr bwMode="auto">
        <a:xfrm>
          <a:off x="1295400" y="645223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19" name="Text Box 139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20" name="Text Box 421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21" name="Text Box 426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22" name="Text Box 431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23" name="Text Box 448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24" name="Text Box 121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25" name="Text Box 187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26" name="Text Box 139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27" name="Text Box 421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28" name="Text Box 426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29" name="Text Box 431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30" name="Text Box 448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31" name="Text Box 133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32" name="Text Box 155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33" name="Text Box 172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34" name="Text Box 93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35" name="Text Box 222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36" name="Text Box 494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37" name="Text Box 499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38" name="Text Box 125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39" name="Text Box 160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394</xdr:row>
      <xdr:rowOff>0</xdr:rowOff>
    </xdr:from>
    <xdr:to>
      <xdr:col>2</xdr:col>
      <xdr:colOff>342900</xdr:colOff>
      <xdr:row>395</xdr:row>
      <xdr:rowOff>85725</xdr:rowOff>
    </xdr:to>
    <xdr:sp macro="" textlink="">
      <xdr:nvSpPr>
        <xdr:cNvPr id="740" name="Text Box 182"/>
        <xdr:cNvSpPr txBox="1">
          <a:spLocks noChangeArrowheads="1"/>
        </xdr:cNvSpPr>
      </xdr:nvSpPr>
      <xdr:spPr bwMode="auto">
        <a:xfrm>
          <a:off x="1295400" y="64522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393</xdr:row>
      <xdr:rowOff>0</xdr:rowOff>
    </xdr:from>
    <xdr:to>
      <xdr:col>2</xdr:col>
      <xdr:colOff>342900</xdr:colOff>
      <xdr:row>394</xdr:row>
      <xdr:rowOff>85725</xdr:rowOff>
    </xdr:to>
    <xdr:sp macro="" textlink="">
      <xdr:nvSpPr>
        <xdr:cNvPr id="741" name="Text Box 137"/>
        <xdr:cNvSpPr txBox="1">
          <a:spLocks noChangeArrowheads="1"/>
        </xdr:cNvSpPr>
      </xdr:nvSpPr>
      <xdr:spPr bwMode="auto">
        <a:xfrm>
          <a:off x="1295400" y="64389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393</xdr:row>
      <xdr:rowOff>0</xdr:rowOff>
    </xdr:from>
    <xdr:to>
      <xdr:col>2</xdr:col>
      <xdr:colOff>342900</xdr:colOff>
      <xdr:row>394</xdr:row>
      <xdr:rowOff>85725</xdr:rowOff>
    </xdr:to>
    <xdr:sp macro="" textlink="">
      <xdr:nvSpPr>
        <xdr:cNvPr id="742" name="Text Box 170"/>
        <xdr:cNvSpPr txBox="1">
          <a:spLocks noChangeArrowheads="1"/>
        </xdr:cNvSpPr>
      </xdr:nvSpPr>
      <xdr:spPr bwMode="auto">
        <a:xfrm>
          <a:off x="1295400" y="64389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43" name="Text Box 354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44" name="Text Box 359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45" name="Text Box 139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46" name="Text Box 421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47" name="Text Box 426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48" name="Text Box 431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49" name="Text Box 448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50" name="Text Box 139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51" name="Text Box 421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52" name="Text Box 426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53" name="Text Box 431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54" name="Text Box 448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55" name="Text Box 288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56" name="Text Box 293"/>
        <xdr:cNvSpPr txBox="1">
          <a:spLocks noChangeArrowheads="1"/>
        </xdr:cNvSpPr>
      </xdr:nvSpPr>
      <xdr:spPr bwMode="auto">
        <a:xfrm>
          <a:off x="6600825" y="15925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757" name="Text Box 139"/>
        <xdr:cNvSpPr txBox="1">
          <a:spLocks noChangeArrowheads="1"/>
        </xdr:cNvSpPr>
      </xdr:nvSpPr>
      <xdr:spPr bwMode="auto">
        <a:xfrm>
          <a:off x="6600825" y="15925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758" name="Text Box 421"/>
        <xdr:cNvSpPr txBox="1">
          <a:spLocks noChangeArrowheads="1"/>
        </xdr:cNvSpPr>
      </xdr:nvSpPr>
      <xdr:spPr bwMode="auto">
        <a:xfrm>
          <a:off x="6600825" y="15925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759" name="Text Box 426"/>
        <xdr:cNvSpPr txBox="1">
          <a:spLocks noChangeArrowheads="1"/>
        </xdr:cNvSpPr>
      </xdr:nvSpPr>
      <xdr:spPr bwMode="auto">
        <a:xfrm>
          <a:off x="6600825" y="15925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760" name="Text Box 431"/>
        <xdr:cNvSpPr txBox="1">
          <a:spLocks noChangeArrowheads="1"/>
        </xdr:cNvSpPr>
      </xdr:nvSpPr>
      <xdr:spPr bwMode="auto">
        <a:xfrm>
          <a:off x="6600825" y="15925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761" name="Text Box 448"/>
        <xdr:cNvSpPr txBox="1">
          <a:spLocks noChangeArrowheads="1"/>
        </xdr:cNvSpPr>
      </xdr:nvSpPr>
      <xdr:spPr bwMode="auto">
        <a:xfrm>
          <a:off x="6600825" y="15925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62" name="Text Box 332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63" name="Text Box 337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64" name="Text Box 139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65" name="Text Box 421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66" name="Text Box 426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67" name="Text Box 431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68" name="Text Box 448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69" name="Text Box 139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70" name="Text Box 421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71" name="Text Box 426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72" name="Text Box 431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73" name="Text Box 448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74" name="Text Box 121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75" name="Text Box 187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76" name="Text Box 139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77" name="Text Box 421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78" name="Text Box 426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79" name="Text Box 431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80" name="Text Box 448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81" name="Text Box 133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82" name="Text Box 155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83" name="Text Box 172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84" name="Text Box 93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85" name="Text Box 222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86" name="Text Box 494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87" name="Text Box 499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88" name="Text Box 125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89" name="Text Box 160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414</xdr:row>
      <xdr:rowOff>0</xdr:rowOff>
    </xdr:from>
    <xdr:to>
      <xdr:col>2</xdr:col>
      <xdr:colOff>342900</xdr:colOff>
      <xdr:row>415</xdr:row>
      <xdr:rowOff>85725</xdr:rowOff>
    </xdr:to>
    <xdr:sp macro="" textlink="">
      <xdr:nvSpPr>
        <xdr:cNvPr id="790" name="Text Box 182"/>
        <xdr:cNvSpPr txBox="1">
          <a:spLocks noChangeArrowheads="1"/>
        </xdr:cNvSpPr>
      </xdr:nvSpPr>
      <xdr:spPr bwMode="auto">
        <a:xfrm>
          <a:off x="1295400" y="671893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413</xdr:row>
      <xdr:rowOff>0</xdr:rowOff>
    </xdr:from>
    <xdr:to>
      <xdr:col>2</xdr:col>
      <xdr:colOff>342900</xdr:colOff>
      <xdr:row>414</xdr:row>
      <xdr:rowOff>85725</xdr:rowOff>
    </xdr:to>
    <xdr:sp macro="" textlink="">
      <xdr:nvSpPr>
        <xdr:cNvPr id="791" name="Text Box 137"/>
        <xdr:cNvSpPr txBox="1">
          <a:spLocks noChangeArrowheads="1"/>
        </xdr:cNvSpPr>
      </xdr:nvSpPr>
      <xdr:spPr bwMode="auto">
        <a:xfrm>
          <a:off x="1295400" y="67056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413</xdr:row>
      <xdr:rowOff>0</xdr:rowOff>
    </xdr:from>
    <xdr:to>
      <xdr:col>2</xdr:col>
      <xdr:colOff>342900</xdr:colOff>
      <xdr:row>414</xdr:row>
      <xdr:rowOff>85725</xdr:rowOff>
    </xdr:to>
    <xdr:sp macro="" textlink="">
      <xdr:nvSpPr>
        <xdr:cNvPr id="792" name="Text Box 170"/>
        <xdr:cNvSpPr txBox="1">
          <a:spLocks noChangeArrowheads="1"/>
        </xdr:cNvSpPr>
      </xdr:nvSpPr>
      <xdr:spPr bwMode="auto">
        <a:xfrm>
          <a:off x="1295400" y="67056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93" name="Text Box 343"/>
        <xdr:cNvSpPr txBox="1">
          <a:spLocks noChangeArrowheads="1"/>
        </xdr:cNvSpPr>
      </xdr:nvSpPr>
      <xdr:spPr bwMode="auto">
        <a:xfrm>
          <a:off x="6600825" y="191071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94" name="Text Box 348"/>
        <xdr:cNvSpPr txBox="1">
          <a:spLocks noChangeArrowheads="1"/>
        </xdr:cNvSpPr>
      </xdr:nvSpPr>
      <xdr:spPr bwMode="auto">
        <a:xfrm>
          <a:off x="6600825" y="191071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95" name="Text Box 365"/>
        <xdr:cNvSpPr txBox="1">
          <a:spLocks noChangeArrowheads="1"/>
        </xdr:cNvSpPr>
      </xdr:nvSpPr>
      <xdr:spPr bwMode="auto">
        <a:xfrm>
          <a:off x="6600825" y="19240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96" name="Text Box 370"/>
        <xdr:cNvSpPr txBox="1">
          <a:spLocks noChangeArrowheads="1"/>
        </xdr:cNvSpPr>
      </xdr:nvSpPr>
      <xdr:spPr bwMode="auto">
        <a:xfrm>
          <a:off x="6600825" y="19240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97" name="Text Box 354"/>
        <xdr:cNvSpPr txBox="1">
          <a:spLocks noChangeArrowheads="1"/>
        </xdr:cNvSpPr>
      </xdr:nvSpPr>
      <xdr:spPr bwMode="auto">
        <a:xfrm>
          <a:off x="6600825" y="19240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98" name="Text Box 359"/>
        <xdr:cNvSpPr txBox="1">
          <a:spLocks noChangeArrowheads="1"/>
        </xdr:cNvSpPr>
      </xdr:nvSpPr>
      <xdr:spPr bwMode="auto">
        <a:xfrm>
          <a:off x="6600825" y="19240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799" name="Text Box 139"/>
        <xdr:cNvSpPr txBox="1">
          <a:spLocks noChangeArrowheads="1"/>
        </xdr:cNvSpPr>
      </xdr:nvSpPr>
      <xdr:spPr bwMode="auto">
        <a:xfrm>
          <a:off x="6600825" y="19240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800" name="Text Box 421"/>
        <xdr:cNvSpPr txBox="1">
          <a:spLocks noChangeArrowheads="1"/>
        </xdr:cNvSpPr>
      </xdr:nvSpPr>
      <xdr:spPr bwMode="auto">
        <a:xfrm>
          <a:off x="6600825" y="19240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801" name="Text Box 426"/>
        <xdr:cNvSpPr txBox="1">
          <a:spLocks noChangeArrowheads="1"/>
        </xdr:cNvSpPr>
      </xdr:nvSpPr>
      <xdr:spPr bwMode="auto">
        <a:xfrm>
          <a:off x="6600825" y="19240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802" name="Text Box 431"/>
        <xdr:cNvSpPr txBox="1">
          <a:spLocks noChangeArrowheads="1"/>
        </xdr:cNvSpPr>
      </xdr:nvSpPr>
      <xdr:spPr bwMode="auto">
        <a:xfrm>
          <a:off x="6600825" y="19240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803" name="Text Box 448"/>
        <xdr:cNvSpPr txBox="1">
          <a:spLocks noChangeArrowheads="1"/>
        </xdr:cNvSpPr>
      </xdr:nvSpPr>
      <xdr:spPr bwMode="auto">
        <a:xfrm>
          <a:off x="6600825" y="19240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804" name="Text Box 139"/>
        <xdr:cNvSpPr txBox="1">
          <a:spLocks noChangeArrowheads="1"/>
        </xdr:cNvSpPr>
      </xdr:nvSpPr>
      <xdr:spPr bwMode="auto">
        <a:xfrm>
          <a:off x="6600825" y="19240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805" name="Text Box 421"/>
        <xdr:cNvSpPr txBox="1">
          <a:spLocks noChangeArrowheads="1"/>
        </xdr:cNvSpPr>
      </xdr:nvSpPr>
      <xdr:spPr bwMode="auto">
        <a:xfrm>
          <a:off x="6600825" y="19240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806" name="Text Box 426"/>
        <xdr:cNvSpPr txBox="1">
          <a:spLocks noChangeArrowheads="1"/>
        </xdr:cNvSpPr>
      </xdr:nvSpPr>
      <xdr:spPr bwMode="auto">
        <a:xfrm>
          <a:off x="6600825" y="19240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807" name="Text Box 431"/>
        <xdr:cNvSpPr txBox="1">
          <a:spLocks noChangeArrowheads="1"/>
        </xdr:cNvSpPr>
      </xdr:nvSpPr>
      <xdr:spPr bwMode="auto">
        <a:xfrm>
          <a:off x="6600825" y="19240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808" name="Text Box 448"/>
        <xdr:cNvSpPr txBox="1">
          <a:spLocks noChangeArrowheads="1"/>
        </xdr:cNvSpPr>
      </xdr:nvSpPr>
      <xdr:spPr bwMode="auto">
        <a:xfrm>
          <a:off x="6600825" y="19240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809" name="Text Box 288"/>
        <xdr:cNvSpPr txBox="1">
          <a:spLocks noChangeArrowheads="1"/>
        </xdr:cNvSpPr>
      </xdr:nvSpPr>
      <xdr:spPr bwMode="auto">
        <a:xfrm>
          <a:off x="6600825" y="19240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28575</xdr:rowOff>
    </xdr:to>
    <xdr:sp macro="" textlink="">
      <xdr:nvSpPr>
        <xdr:cNvPr id="810" name="Text Box 293"/>
        <xdr:cNvSpPr txBox="1">
          <a:spLocks noChangeArrowheads="1"/>
        </xdr:cNvSpPr>
      </xdr:nvSpPr>
      <xdr:spPr bwMode="auto">
        <a:xfrm>
          <a:off x="6600825" y="192405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811" name="Text Box 139"/>
        <xdr:cNvSpPr txBox="1">
          <a:spLocks noChangeArrowheads="1"/>
        </xdr:cNvSpPr>
      </xdr:nvSpPr>
      <xdr:spPr bwMode="auto">
        <a:xfrm>
          <a:off x="6600825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812" name="Text Box 421"/>
        <xdr:cNvSpPr txBox="1">
          <a:spLocks noChangeArrowheads="1"/>
        </xdr:cNvSpPr>
      </xdr:nvSpPr>
      <xdr:spPr bwMode="auto">
        <a:xfrm>
          <a:off x="6600825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813" name="Text Box 426"/>
        <xdr:cNvSpPr txBox="1">
          <a:spLocks noChangeArrowheads="1"/>
        </xdr:cNvSpPr>
      </xdr:nvSpPr>
      <xdr:spPr bwMode="auto">
        <a:xfrm>
          <a:off x="6600825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814" name="Text Box 431"/>
        <xdr:cNvSpPr txBox="1">
          <a:spLocks noChangeArrowheads="1"/>
        </xdr:cNvSpPr>
      </xdr:nvSpPr>
      <xdr:spPr bwMode="auto">
        <a:xfrm>
          <a:off x="6600825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76200</xdr:colOff>
      <xdr:row>1</xdr:row>
      <xdr:rowOff>85725</xdr:rowOff>
    </xdr:to>
    <xdr:sp macro="" textlink="">
      <xdr:nvSpPr>
        <xdr:cNvPr id="815" name="Text Box 448"/>
        <xdr:cNvSpPr txBox="1">
          <a:spLocks noChangeArrowheads="1"/>
        </xdr:cNvSpPr>
      </xdr:nvSpPr>
      <xdr:spPr bwMode="auto">
        <a:xfrm>
          <a:off x="6600825" y="19240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16" name="Text Box 376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17" name="Text Box 381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18" name="Text Box 139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19" name="Text Box 421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20" name="Text Box 426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21" name="Text Box 431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22" name="Text Box 448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76200</xdr:colOff>
      <xdr:row>10</xdr:row>
      <xdr:rowOff>28575</xdr:rowOff>
    </xdr:to>
    <xdr:sp macro="" textlink="">
      <xdr:nvSpPr>
        <xdr:cNvPr id="823" name="Text Box 343"/>
        <xdr:cNvSpPr txBox="1">
          <a:spLocks noChangeArrowheads="1"/>
        </xdr:cNvSpPr>
      </xdr:nvSpPr>
      <xdr:spPr bwMode="auto">
        <a:xfrm>
          <a:off x="6600825" y="22040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76200</xdr:colOff>
      <xdr:row>10</xdr:row>
      <xdr:rowOff>28575</xdr:rowOff>
    </xdr:to>
    <xdr:sp macro="" textlink="">
      <xdr:nvSpPr>
        <xdr:cNvPr id="824" name="Text Box 348"/>
        <xdr:cNvSpPr txBox="1">
          <a:spLocks noChangeArrowheads="1"/>
        </xdr:cNvSpPr>
      </xdr:nvSpPr>
      <xdr:spPr bwMode="auto">
        <a:xfrm>
          <a:off x="6600825" y="22040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25" name="Text Box 365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26" name="Text Box 370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27" name="Text Box 354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28" name="Text Box 359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29" name="Text Box 139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30" name="Text Box 421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31" name="Text Box 426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32" name="Text Box 431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33" name="Text Box 448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34" name="Text Box 139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35" name="Text Box 421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36" name="Text Box 426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37" name="Text Box 431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38" name="Text Box 448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39" name="Text Box 288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28575</xdr:rowOff>
    </xdr:to>
    <xdr:sp macro="" textlink="">
      <xdr:nvSpPr>
        <xdr:cNvPr id="840" name="Text Box 293"/>
        <xdr:cNvSpPr txBox="1">
          <a:spLocks noChangeArrowheads="1"/>
        </xdr:cNvSpPr>
      </xdr:nvSpPr>
      <xdr:spPr bwMode="auto">
        <a:xfrm>
          <a:off x="6600825" y="221742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85725</xdr:rowOff>
    </xdr:to>
    <xdr:sp macro="" textlink="">
      <xdr:nvSpPr>
        <xdr:cNvPr id="841" name="Text Box 139"/>
        <xdr:cNvSpPr txBox="1">
          <a:spLocks noChangeArrowheads="1"/>
        </xdr:cNvSpPr>
      </xdr:nvSpPr>
      <xdr:spPr bwMode="auto">
        <a:xfrm>
          <a:off x="6600825" y="22174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85725</xdr:rowOff>
    </xdr:to>
    <xdr:sp macro="" textlink="">
      <xdr:nvSpPr>
        <xdr:cNvPr id="842" name="Text Box 421"/>
        <xdr:cNvSpPr txBox="1">
          <a:spLocks noChangeArrowheads="1"/>
        </xdr:cNvSpPr>
      </xdr:nvSpPr>
      <xdr:spPr bwMode="auto">
        <a:xfrm>
          <a:off x="6600825" y="22174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85725</xdr:rowOff>
    </xdr:to>
    <xdr:sp macro="" textlink="">
      <xdr:nvSpPr>
        <xdr:cNvPr id="843" name="Text Box 426"/>
        <xdr:cNvSpPr txBox="1">
          <a:spLocks noChangeArrowheads="1"/>
        </xdr:cNvSpPr>
      </xdr:nvSpPr>
      <xdr:spPr bwMode="auto">
        <a:xfrm>
          <a:off x="6600825" y="22174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85725</xdr:rowOff>
    </xdr:to>
    <xdr:sp macro="" textlink="">
      <xdr:nvSpPr>
        <xdr:cNvPr id="844" name="Text Box 431"/>
        <xdr:cNvSpPr txBox="1">
          <a:spLocks noChangeArrowheads="1"/>
        </xdr:cNvSpPr>
      </xdr:nvSpPr>
      <xdr:spPr bwMode="auto">
        <a:xfrm>
          <a:off x="6600825" y="22174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76200</xdr:colOff>
      <xdr:row>11</xdr:row>
      <xdr:rowOff>85725</xdr:rowOff>
    </xdr:to>
    <xdr:sp macro="" textlink="">
      <xdr:nvSpPr>
        <xdr:cNvPr id="845" name="Text Box 448"/>
        <xdr:cNvSpPr txBox="1">
          <a:spLocks noChangeArrowheads="1"/>
        </xdr:cNvSpPr>
      </xdr:nvSpPr>
      <xdr:spPr bwMode="auto">
        <a:xfrm>
          <a:off x="6600825" y="22174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76200</xdr:colOff>
      <xdr:row>43</xdr:row>
      <xdr:rowOff>38100</xdr:rowOff>
    </xdr:to>
    <xdr:sp macro="" textlink="">
      <xdr:nvSpPr>
        <xdr:cNvPr id="848" name="Text Box 398"/>
        <xdr:cNvSpPr txBox="1">
          <a:spLocks noChangeArrowheads="1"/>
        </xdr:cNvSpPr>
      </xdr:nvSpPr>
      <xdr:spPr bwMode="auto">
        <a:xfrm>
          <a:off x="6600825" y="249745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76200</xdr:colOff>
      <xdr:row>43</xdr:row>
      <xdr:rowOff>38100</xdr:rowOff>
    </xdr:to>
    <xdr:sp macro="" textlink="">
      <xdr:nvSpPr>
        <xdr:cNvPr id="849" name="Text Box 403"/>
        <xdr:cNvSpPr txBox="1">
          <a:spLocks noChangeArrowheads="1"/>
        </xdr:cNvSpPr>
      </xdr:nvSpPr>
      <xdr:spPr bwMode="auto">
        <a:xfrm>
          <a:off x="6600825" y="249745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38100</xdr:rowOff>
    </xdr:to>
    <xdr:sp macro="" textlink="">
      <xdr:nvSpPr>
        <xdr:cNvPr id="852" name="Text Box 409"/>
        <xdr:cNvSpPr txBox="1">
          <a:spLocks noChangeArrowheads="1"/>
        </xdr:cNvSpPr>
      </xdr:nvSpPr>
      <xdr:spPr bwMode="auto">
        <a:xfrm>
          <a:off x="6600825" y="25107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38100</xdr:rowOff>
    </xdr:to>
    <xdr:sp macro="" textlink="">
      <xdr:nvSpPr>
        <xdr:cNvPr id="857" name="Text Box 414"/>
        <xdr:cNvSpPr txBox="1">
          <a:spLocks noChangeArrowheads="1"/>
        </xdr:cNvSpPr>
      </xdr:nvSpPr>
      <xdr:spPr bwMode="auto">
        <a:xfrm>
          <a:off x="6600825" y="25107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38100</xdr:rowOff>
    </xdr:to>
    <xdr:sp macro="" textlink="">
      <xdr:nvSpPr>
        <xdr:cNvPr id="871" name="Text Box 657"/>
        <xdr:cNvSpPr txBox="1">
          <a:spLocks noChangeArrowheads="1"/>
        </xdr:cNvSpPr>
      </xdr:nvSpPr>
      <xdr:spPr bwMode="auto">
        <a:xfrm>
          <a:off x="6600825" y="25107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38100</xdr:rowOff>
    </xdr:to>
    <xdr:sp macro="" textlink="">
      <xdr:nvSpPr>
        <xdr:cNvPr id="876" name="Text Box 662"/>
        <xdr:cNvSpPr txBox="1">
          <a:spLocks noChangeArrowheads="1"/>
        </xdr:cNvSpPr>
      </xdr:nvSpPr>
      <xdr:spPr bwMode="auto">
        <a:xfrm>
          <a:off x="6600825" y="25107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38100</xdr:rowOff>
    </xdr:to>
    <xdr:sp macro="" textlink="">
      <xdr:nvSpPr>
        <xdr:cNvPr id="896" name="Text Box 714"/>
        <xdr:cNvSpPr txBox="1">
          <a:spLocks noChangeArrowheads="1"/>
        </xdr:cNvSpPr>
      </xdr:nvSpPr>
      <xdr:spPr bwMode="auto">
        <a:xfrm>
          <a:off x="6600825" y="25107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38100</xdr:rowOff>
    </xdr:to>
    <xdr:sp macro="" textlink="">
      <xdr:nvSpPr>
        <xdr:cNvPr id="901" name="Text Box 719"/>
        <xdr:cNvSpPr txBox="1">
          <a:spLocks noChangeArrowheads="1"/>
        </xdr:cNvSpPr>
      </xdr:nvSpPr>
      <xdr:spPr bwMode="auto">
        <a:xfrm>
          <a:off x="6600825" y="25107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38100</xdr:rowOff>
    </xdr:to>
    <xdr:sp macro="" textlink="">
      <xdr:nvSpPr>
        <xdr:cNvPr id="907" name="Text Box 736"/>
        <xdr:cNvSpPr txBox="1">
          <a:spLocks noChangeArrowheads="1"/>
        </xdr:cNvSpPr>
      </xdr:nvSpPr>
      <xdr:spPr bwMode="auto">
        <a:xfrm>
          <a:off x="6600825" y="25107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38100</xdr:rowOff>
    </xdr:to>
    <xdr:sp macro="" textlink="">
      <xdr:nvSpPr>
        <xdr:cNvPr id="912" name="Text Box 741"/>
        <xdr:cNvSpPr txBox="1">
          <a:spLocks noChangeArrowheads="1"/>
        </xdr:cNvSpPr>
      </xdr:nvSpPr>
      <xdr:spPr bwMode="auto">
        <a:xfrm>
          <a:off x="6600825" y="251079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15" name="Text Box 376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16" name="Text Box 381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17" name="Text Box 139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18" name="Text Box 421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19" name="Text Box 426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20" name="Text Box 431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21" name="Text Box 448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76200</xdr:colOff>
      <xdr:row>43</xdr:row>
      <xdr:rowOff>28575</xdr:rowOff>
    </xdr:to>
    <xdr:sp macro="" textlink="">
      <xdr:nvSpPr>
        <xdr:cNvPr id="922" name="Text Box 343"/>
        <xdr:cNvSpPr txBox="1">
          <a:spLocks noChangeArrowheads="1"/>
        </xdr:cNvSpPr>
      </xdr:nvSpPr>
      <xdr:spPr bwMode="auto">
        <a:xfrm>
          <a:off x="6600825" y="249745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76200</xdr:colOff>
      <xdr:row>43</xdr:row>
      <xdr:rowOff>28575</xdr:rowOff>
    </xdr:to>
    <xdr:sp macro="" textlink="">
      <xdr:nvSpPr>
        <xdr:cNvPr id="923" name="Text Box 348"/>
        <xdr:cNvSpPr txBox="1">
          <a:spLocks noChangeArrowheads="1"/>
        </xdr:cNvSpPr>
      </xdr:nvSpPr>
      <xdr:spPr bwMode="auto">
        <a:xfrm>
          <a:off x="6600825" y="249745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24" name="Text Box 365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25" name="Text Box 370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26" name="Text Box 354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27" name="Text Box 359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28" name="Text Box 139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29" name="Text Box 421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30" name="Text Box 426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31" name="Text Box 431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32" name="Text Box 448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33" name="Text Box 139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34" name="Text Box 421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35" name="Text Box 426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36" name="Text Box 431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37" name="Text Box 448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38" name="Text Box 288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28575</xdr:rowOff>
    </xdr:to>
    <xdr:sp macro="" textlink="">
      <xdr:nvSpPr>
        <xdr:cNvPr id="939" name="Text Box 293"/>
        <xdr:cNvSpPr txBox="1">
          <a:spLocks noChangeArrowheads="1"/>
        </xdr:cNvSpPr>
      </xdr:nvSpPr>
      <xdr:spPr bwMode="auto">
        <a:xfrm>
          <a:off x="6600825" y="25107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85725</xdr:rowOff>
    </xdr:to>
    <xdr:sp macro="" textlink="">
      <xdr:nvSpPr>
        <xdr:cNvPr id="940" name="Text Box 139"/>
        <xdr:cNvSpPr txBox="1">
          <a:spLocks noChangeArrowheads="1"/>
        </xdr:cNvSpPr>
      </xdr:nvSpPr>
      <xdr:spPr bwMode="auto">
        <a:xfrm>
          <a:off x="6600825" y="2510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85725</xdr:rowOff>
    </xdr:to>
    <xdr:sp macro="" textlink="">
      <xdr:nvSpPr>
        <xdr:cNvPr id="941" name="Text Box 421"/>
        <xdr:cNvSpPr txBox="1">
          <a:spLocks noChangeArrowheads="1"/>
        </xdr:cNvSpPr>
      </xdr:nvSpPr>
      <xdr:spPr bwMode="auto">
        <a:xfrm>
          <a:off x="6600825" y="2510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85725</xdr:rowOff>
    </xdr:to>
    <xdr:sp macro="" textlink="">
      <xdr:nvSpPr>
        <xdr:cNvPr id="942" name="Text Box 426"/>
        <xdr:cNvSpPr txBox="1">
          <a:spLocks noChangeArrowheads="1"/>
        </xdr:cNvSpPr>
      </xdr:nvSpPr>
      <xdr:spPr bwMode="auto">
        <a:xfrm>
          <a:off x="6600825" y="2510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85725</xdr:rowOff>
    </xdr:to>
    <xdr:sp macro="" textlink="">
      <xdr:nvSpPr>
        <xdr:cNvPr id="943" name="Text Box 431"/>
        <xdr:cNvSpPr txBox="1">
          <a:spLocks noChangeArrowheads="1"/>
        </xdr:cNvSpPr>
      </xdr:nvSpPr>
      <xdr:spPr bwMode="auto">
        <a:xfrm>
          <a:off x="6600825" y="2510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76200</xdr:colOff>
      <xdr:row>45</xdr:row>
      <xdr:rowOff>85725</xdr:rowOff>
    </xdr:to>
    <xdr:sp macro="" textlink="">
      <xdr:nvSpPr>
        <xdr:cNvPr id="944" name="Text Box 448"/>
        <xdr:cNvSpPr txBox="1">
          <a:spLocks noChangeArrowheads="1"/>
        </xdr:cNvSpPr>
      </xdr:nvSpPr>
      <xdr:spPr bwMode="auto">
        <a:xfrm>
          <a:off x="6600825" y="2510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45" name="Text Box 387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46" name="Text Box 392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47" name="Text Box 139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48" name="Text Box 42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49" name="Text Box 426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50" name="Text Box 43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51" name="Text Box 448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76200</xdr:colOff>
      <xdr:row>87</xdr:row>
      <xdr:rowOff>38100</xdr:rowOff>
    </xdr:to>
    <xdr:sp macro="" textlink="">
      <xdr:nvSpPr>
        <xdr:cNvPr id="952" name="Text Box 398"/>
        <xdr:cNvSpPr txBox="1">
          <a:spLocks noChangeArrowheads="1"/>
        </xdr:cNvSpPr>
      </xdr:nvSpPr>
      <xdr:spPr bwMode="auto">
        <a:xfrm>
          <a:off x="6600825" y="280416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76200</xdr:colOff>
      <xdr:row>87</xdr:row>
      <xdr:rowOff>38100</xdr:rowOff>
    </xdr:to>
    <xdr:sp macro="" textlink="">
      <xdr:nvSpPr>
        <xdr:cNvPr id="953" name="Text Box 403"/>
        <xdr:cNvSpPr txBox="1">
          <a:spLocks noChangeArrowheads="1"/>
        </xdr:cNvSpPr>
      </xdr:nvSpPr>
      <xdr:spPr bwMode="auto">
        <a:xfrm>
          <a:off x="6600825" y="280416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38100</xdr:rowOff>
    </xdr:to>
    <xdr:sp macro="" textlink="">
      <xdr:nvSpPr>
        <xdr:cNvPr id="954" name="Text Box 409"/>
        <xdr:cNvSpPr txBox="1">
          <a:spLocks noChangeArrowheads="1"/>
        </xdr:cNvSpPr>
      </xdr:nvSpPr>
      <xdr:spPr bwMode="auto">
        <a:xfrm>
          <a:off x="6600825" y="281749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38100</xdr:rowOff>
    </xdr:to>
    <xdr:sp macro="" textlink="">
      <xdr:nvSpPr>
        <xdr:cNvPr id="955" name="Text Box 414"/>
        <xdr:cNvSpPr txBox="1">
          <a:spLocks noChangeArrowheads="1"/>
        </xdr:cNvSpPr>
      </xdr:nvSpPr>
      <xdr:spPr bwMode="auto">
        <a:xfrm>
          <a:off x="6600825" y="281749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38100</xdr:rowOff>
    </xdr:to>
    <xdr:sp macro="" textlink="">
      <xdr:nvSpPr>
        <xdr:cNvPr id="956" name="Text Box 657"/>
        <xdr:cNvSpPr txBox="1">
          <a:spLocks noChangeArrowheads="1"/>
        </xdr:cNvSpPr>
      </xdr:nvSpPr>
      <xdr:spPr bwMode="auto">
        <a:xfrm>
          <a:off x="6600825" y="281749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38100</xdr:rowOff>
    </xdr:to>
    <xdr:sp macro="" textlink="">
      <xdr:nvSpPr>
        <xdr:cNvPr id="957" name="Text Box 662"/>
        <xdr:cNvSpPr txBox="1">
          <a:spLocks noChangeArrowheads="1"/>
        </xdr:cNvSpPr>
      </xdr:nvSpPr>
      <xdr:spPr bwMode="auto">
        <a:xfrm>
          <a:off x="6600825" y="281749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38100</xdr:rowOff>
    </xdr:to>
    <xdr:sp macro="" textlink="">
      <xdr:nvSpPr>
        <xdr:cNvPr id="958" name="Text Box 714"/>
        <xdr:cNvSpPr txBox="1">
          <a:spLocks noChangeArrowheads="1"/>
        </xdr:cNvSpPr>
      </xdr:nvSpPr>
      <xdr:spPr bwMode="auto">
        <a:xfrm>
          <a:off x="6600825" y="281749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38100</xdr:rowOff>
    </xdr:to>
    <xdr:sp macro="" textlink="">
      <xdr:nvSpPr>
        <xdr:cNvPr id="959" name="Text Box 719"/>
        <xdr:cNvSpPr txBox="1">
          <a:spLocks noChangeArrowheads="1"/>
        </xdr:cNvSpPr>
      </xdr:nvSpPr>
      <xdr:spPr bwMode="auto">
        <a:xfrm>
          <a:off x="6600825" y="281749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38100</xdr:rowOff>
    </xdr:to>
    <xdr:sp macro="" textlink="">
      <xdr:nvSpPr>
        <xdr:cNvPr id="960" name="Text Box 736"/>
        <xdr:cNvSpPr txBox="1">
          <a:spLocks noChangeArrowheads="1"/>
        </xdr:cNvSpPr>
      </xdr:nvSpPr>
      <xdr:spPr bwMode="auto">
        <a:xfrm>
          <a:off x="6600825" y="281749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38100</xdr:rowOff>
    </xdr:to>
    <xdr:sp macro="" textlink="">
      <xdr:nvSpPr>
        <xdr:cNvPr id="961" name="Text Box 741"/>
        <xdr:cNvSpPr txBox="1">
          <a:spLocks noChangeArrowheads="1"/>
        </xdr:cNvSpPr>
      </xdr:nvSpPr>
      <xdr:spPr bwMode="auto">
        <a:xfrm>
          <a:off x="6600825" y="281749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62" name="Text Box 376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63" name="Text Box 38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64" name="Text Box 139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65" name="Text Box 42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66" name="Text Box 426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67" name="Text Box 43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68" name="Text Box 448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76200</xdr:colOff>
      <xdr:row>87</xdr:row>
      <xdr:rowOff>28575</xdr:rowOff>
    </xdr:to>
    <xdr:sp macro="" textlink="">
      <xdr:nvSpPr>
        <xdr:cNvPr id="969" name="Text Box 343"/>
        <xdr:cNvSpPr txBox="1">
          <a:spLocks noChangeArrowheads="1"/>
        </xdr:cNvSpPr>
      </xdr:nvSpPr>
      <xdr:spPr bwMode="auto">
        <a:xfrm>
          <a:off x="6600825" y="28041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76200</xdr:colOff>
      <xdr:row>87</xdr:row>
      <xdr:rowOff>28575</xdr:rowOff>
    </xdr:to>
    <xdr:sp macro="" textlink="">
      <xdr:nvSpPr>
        <xdr:cNvPr id="970" name="Text Box 348"/>
        <xdr:cNvSpPr txBox="1">
          <a:spLocks noChangeArrowheads="1"/>
        </xdr:cNvSpPr>
      </xdr:nvSpPr>
      <xdr:spPr bwMode="auto">
        <a:xfrm>
          <a:off x="6600825" y="280416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71" name="Text Box 365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72" name="Text Box 370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73" name="Text Box 354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74" name="Text Box 359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75" name="Text Box 139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76" name="Text Box 42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77" name="Text Box 426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78" name="Text Box 43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79" name="Text Box 448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80" name="Text Box 139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81" name="Text Box 42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82" name="Text Box 426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83" name="Text Box 431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84" name="Text Box 448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85" name="Text Box 288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28575</xdr:rowOff>
    </xdr:to>
    <xdr:sp macro="" textlink="">
      <xdr:nvSpPr>
        <xdr:cNvPr id="986" name="Text Box 293"/>
        <xdr:cNvSpPr txBox="1">
          <a:spLocks noChangeArrowheads="1"/>
        </xdr:cNvSpPr>
      </xdr:nvSpPr>
      <xdr:spPr bwMode="auto">
        <a:xfrm>
          <a:off x="6600825" y="281749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85725</xdr:rowOff>
    </xdr:to>
    <xdr:sp macro="" textlink="">
      <xdr:nvSpPr>
        <xdr:cNvPr id="987" name="Text Box 139"/>
        <xdr:cNvSpPr txBox="1">
          <a:spLocks noChangeArrowheads="1"/>
        </xdr:cNvSpPr>
      </xdr:nvSpPr>
      <xdr:spPr bwMode="auto">
        <a:xfrm>
          <a:off x="6600825" y="28174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85725</xdr:rowOff>
    </xdr:to>
    <xdr:sp macro="" textlink="">
      <xdr:nvSpPr>
        <xdr:cNvPr id="988" name="Text Box 421"/>
        <xdr:cNvSpPr txBox="1">
          <a:spLocks noChangeArrowheads="1"/>
        </xdr:cNvSpPr>
      </xdr:nvSpPr>
      <xdr:spPr bwMode="auto">
        <a:xfrm>
          <a:off x="6600825" y="28174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85725</xdr:rowOff>
    </xdr:to>
    <xdr:sp macro="" textlink="">
      <xdr:nvSpPr>
        <xdr:cNvPr id="989" name="Text Box 426"/>
        <xdr:cNvSpPr txBox="1">
          <a:spLocks noChangeArrowheads="1"/>
        </xdr:cNvSpPr>
      </xdr:nvSpPr>
      <xdr:spPr bwMode="auto">
        <a:xfrm>
          <a:off x="6600825" y="28174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85725</xdr:rowOff>
    </xdr:to>
    <xdr:sp macro="" textlink="">
      <xdr:nvSpPr>
        <xdr:cNvPr id="990" name="Text Box 431"/>
        <xdr:cNvSpPr txBox="1">
          <a:spLocks noChangeArrowheads="1"/>
        </xdr:cNvSpPr>
      </xdr:nvSpPr>
      <xdr:spPr bwMode="auto">
        <a:xfrm>
          <a:off x="6600825" y="28174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76200</xdr:colOff>
      <xdr:row>88</xdr:row>
      <xdr:rowOff>85725</xdr:rowOff>
    </xdr:to>
    <xdr:sp macro="" textlink="">
      <xdr:nvSpPr>
        <xdr:cNvPr id="991" name="Text Box 448"/>
        <xdr:cNvSpPr txBox="1">
          <a:spLocks noChangeArrowheads="1"/>
        </xdr:cNvSpPr>
      </xdr:nvSpPr>
      <xdr:spPr bwMode="auto">
        <a:xfrm>
          <a:off x="6600825" y="28174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996" name="Text Box 456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01" name="Text Box 461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05" name="Text Box 468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06" name="Text Box 473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15" name="Text Box 668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16" name="Text Box 673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19" name="Text Box 679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24" name="Text Box 684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30" name="Text Box 690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35" name="Text Box 695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45" name="Text Box 710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46" name="Text Box 711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49" name="Text Box 725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54" name="Text Box 730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61" name="Text Box 748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66" name="Text Box 753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70" name="Text Box 387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71" name="Text Box 392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72" name="Text Box 139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73" name="Text Box 421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74" name="Text Box 426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75" name="Text Box 431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76" name="Text Box 448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76200</xdr:colOff>
      <xdr:row>123</xdr:row>
      <xdr:rowOff>38100</xdr:rowOff>
    </xdr:to>
    <xdr:sp macro="" textlink="">
      <xdr:nvSpPr>
        <xdr:cNvPr id="1077" name="Text Box 398"/>
        <xdr:cNvSpPr txBox="1">
          <a:spLocks noChangeArrowheads="1"/>
        </xdr:cNvSpPr>
      </xdr:nvSpPr>
      <xdr:spPr bwMode="auto">
        <a:xfrm>
          <a:off x="6600825" y="311086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76200</xdr:colOff>
      <xdr:row>123</xdr:row>
      <xdr:rowOff>38100</xdr:rowOff>
    </xdr:to>
    <xdr:sp macro="" textlink="">
      <xdr:nvSpPr>
        <xdr:cNvPr id="1078" name="Text Box 403"/>
        <xdr:cNvSpPr txBox="1">
          <a:spLocks noChangeArrowheads="1"/>
        </xdr:cNvSpPr>
      </xdr:nvSpPr>
      <xdr:spPr bwMode="auto">
        <a:xfrm>
          <a:off x="6600825" y="311086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38100</xdr:rowOff>
    </xdr:to>
    <xdr:sp macro="" textlink="">
      <xdr:nvSpPr>
        <xdr:cNvPr id="1079" name="Text Box 409"/>
        <xdr:cNvSpPr txBox="1">
          <a:spLocks noChangeArrowheads="1"/>
        </xdr:cNvSpPr>
      </xdr:nvSpPr>
      <xdr:spPr bwMode="auto">
        <a:xfrm>
          <a:off x="6600825" y="312420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38100</xdr:rowOff>
    </xdr:to>
    <xdr:sp macro="" textlink="">
      <xdr:nvSpPr>
        <xdr:cNvPr id="1080" name="Text Box 414"/>
        <xdr:cNvSpPr txBox="1">
          <a:spLocks noChangeArrowheads="1"/>
        </xdr:cNvSpPr>
      </xdr:nvSpPr>
      <xdr:spPr bwMode="auto">
        <a:xfrm>
          <a:off x="6600825" y="312420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38100</xdr:rowOff>
    </xdr:to>
    <xdr:sp macro="" textlink="">
      <xdr:nvSpPr>
        <xdr:cNvPr id="1081" name="Text Box 657"/>
        <xdr:cNvSpPr txBox="1">
          <a:spLocks noChangeArrowheads="1"/>
        </xdr:cNvSpPr>
      </xdr:nvSpPr>
      <xdr:spPr bwMode="auto">
        <a:xfrm>
          <a:off x="6600825" y="312420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38100</xdr:rowOff>
    </xdr:to>
    <xdr:sp macro="" textlink="">
      <xdr:nvSpPr>
        <xdr:cNvPr id="1082" name="Text Box 662"/>
        <xdr:cNvSpPr txBox="1">
          <a:spLocks noChangeArrowheads="1"/>
        </xdr:cNvSpPr>
      </xdr:nvSpPr>
      <xdr:spPr bwMode="auto">
        <a:xfrm>
          <a:off x="6600825" y="312420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38100</xdr:rowOff>
    </xdr:to>
    <xdr:sp macro="" textlink="">
      <xdr:nvSpPr>
        <xdr:cNvPr id="1083" name="Text Box 714"/>
        <xdr:cNvSpPr txBox="1">
          <a:spLocks noChangeArrowheads="1"/>
        </xdr:cNvSpPr>
      </xdr:nvSpPr>
      <xdr:spPr bwMode="auto">
        <a:xfrm>
          <a:off x="6600825" y="312420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38100</xdr:rowOff>
    </xdr:to>
    <xdr:sp macro="" textlink="">
      <xdr:nvSpPr>
        <xdr:cNvPr id="1084" name="Text Box 719"/>
        <xdr:cNvSpPr txBox="1">
          <a:spLocks noChangeArrowheads="1"/>
        </xdr:cNvSpPr>
      </xdr:nvSpPr>
      <xdr:spPr bwMode="auto">
        <a:xfrm>
          <a:off x="6600825" y="312420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38100</xdr:rowOff>
    </xdr:to>
    <xdr:sp macro="" textlink="">
      <xdr:nvSpPr>
        <xdr:cNvPr id="1085" name="Text Box 736"/>
        <xdr:cNvSpPr txBox="1">
          <a:spLocks noChangeArrowheads="1"/>
        </xdr:cNvSpPr>
      </xdr:nvSpPr>
      <xdr:spPr bwMode="auto">
        <a:xfrm>
          <a:off x="6600825" y="312420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38100</xdr:rowOff>
    </xdr:to>
    <xdr:sp macro="" textlink="">
      <xdr:nvSpPr>
        <xdr:cNvPr id="1086" name="Text Box 741"/>
        <xdr:cNvSpPr txBox="1">
          <a:spLocks noChangeArrowheads="1"/>
        </xdr:cNvSpPr>
      </xdr:nvSpPr>
      <xdr:spPr bwMode="auto">
        <a:xfrm>
          <a:off x="6600825" y="312420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87" name="Text Box 376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88" name="Text Box 381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89" name="Text Box 139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90" name="Text Box 421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91" name="Text Box 426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92" name="Text Box 431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93" name="Text Box 448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76200</xdr:colOff>
      <xdr:row>123</xdr:row>
      <xdr:rowOff>28575</xdr:rowOff>
    </xdr:to>
    <xdr:sp macro="" textlink="">
      <xdr:nvSpPr>
        <xdr:cNvPr id="1094" name="Text Box 343"/>
        <xdr:cNvSpPr txBox="1">
          <a:spLocks noChangeArrowheads="1"/>
        </xdr:cNvSpPr>
      </xdr:nvSpPr>
      <xdr:spPr bwMode="auto">
        <a:xfrm>
          <a:off x="6600825" y="311086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76200</xdr:colOff>
      <xdr:row>123</xdr:row>
      <xdr:rowOff>28575</xdr:rowOff>
    </xdr:to>
    <xdr:sp macro="" textlink="">
      <xdr:nvSpPr>
        <xdr:cNvPr id="1095" name="Text Box 348"/>
        <xdr:cNvSpPr txBox="1">
          <a:spLocks noChangeArrowheads="1"/>
        </xdr:cNvSpPr>
      </xdr:nvSpPr>
      <xdr:spPr bwMode="auto">
        <a:xfrm>
          <a:off x="6600825" y="311086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96" name="Text Box 365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97" name="Text Box 370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98" name="Text Box 354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099" name="Text Box 359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100" name="Text Box 139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101" name="Text Box 421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102" name="Text Box 426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103" name="Text Box 431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104" name="Text Box 448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105" name="Text Box 139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106" name="Text Box 421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107" name="Text Box 426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108" name="Text Box 431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109" name="Text Box 448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110" name="Text Box 288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28575</xdr:rowOff>
    </xdr:to>
    <xdr:sp macro="" textlink="">
      <xdr:nvSpPr>
        <xdr:cNvPr id="1111" name="Text Box 293"/>
        <xdr:cNvSpPr txBox="1">
          <a:spLocks noChangeArrowheads="1"/>
        </xdr:cNvSpPr>
      </xdr:nvSpPr>
      <xdr:spPr bwMode="auto">
        <a:xfrm>
          <a:off x="6600825" y="312420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85725</xdr:rowOff>
    </xdr:to>
    <xdr:sp macro="" textlink="">
      <xdr:nvSpPr>
        <xdr:cNvPr id="1112" name="Text Box 139"/>
        <xdr:cNvSpPr txBox="1">
          <a:spLocks noChangeArrowheads="1"/>
        </xdr:cNvSpPr>
      </xdr:nvSpPr>
      <xdr:spPr bwMode="auto">
        <a:xfrm>
          <a:off x="6600825" y="31242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85725</xdr:rowOff>
    </xdr:to>
    <xdr:sp macro="" textlink="">
      <xdr:nvSpPr>
        <xdr:cNvPr id="1113" name="Text Box 421"/>
        <xdr:cNvSpPr txBox="1">
          <a:spLocks noChangeArrowheads="1"/>
        </xdr:cNvSpPr>
      </xdr:nvSpPr>
      <xdr:spPr bwMode="auto">
        <a:xfrm>
          <a:off x="6600825" y="31242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85725</xdr:rowOff>
    </xdr:to>
    <xdr:sp macro="" textlink="">
      <xdr:nvSpPr>
        <xdr:cNvPr id="1114" name="Text Box 426"/>
        <xdr:cNvSpPr txBox="1">
          <a:spLocks noChangeArrowheads="1"/>
        </xdr:cNvSpPr>
      </xdr:nvSpPr>
      <xdr:spPr bwMode="auto">
        <a:xfrm>
          <a:off x="6600825" y="31242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85725</xdr:rowOff>
    </xdr:to>
    <xdr:sp macro="" textlink="">
      <xdr:nvSpPr>
        <xdr:cNvPr id="1115" name="Text Box 431"/>
        <xdr:cNvSpPr txBox="1">
          <a:spLocks noChangeArrowheads="1"/>
        </xdr:cNvSpPr>
      </xdr:nvSpPr>
      <xdr:spPr bwMode="auto">
        <a:xfrm>
          <a:off x="6600825" y="31242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76200</xdr:colOff>
      <xdr:row>124</xdr:row>
      <xdr:rowOff>85725</xdr:rowOff>
    </xdr:to>
    <xdr:sp macro="" textlink="">
      <xdr:nvSpPr>
        <xdr:cNvPr id="1116" name="Text Box 448"/>
        <xdr:cNvSpPr txBox="1">
          <a:spLocks noChangeArrowheads="1"/>
        </xdr:cNvSpPr>
      </xdr:nvSpPr>
      <xdr:spPr bwMode="auto">
        <a:xfrm>
          <a:off x="6600825" y="31242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</xdr:row>
      <xdr:rowOff>0</xdr:rowOff>
    </xdr:from>
    <xdr:to>
      <xdr:col>2</xdr:col>
      <xdr:colOff>371475</xdr:colOff>
      <xdr:row>16</xdr:row>
      <xdr:rowOff>28575</xdr:rowOff>
    </xdr:to>
    <xdr:sp macro="" textlink="">
      <xdr:nvSpPr>
        <xdr:cNvPr id="1117" name="Text Box 534"/>
        <xdr:cNvSpPr txBox="1">
          <a:spLocks noChangeArrowheads="1"/>
        </xdr:cNvSpPr>
      </xdr:nvSpPr>
      <xdr:spPr bwMode="auto">
        <a:xfrm>
          <a:off x="1571625" y="22669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</xdr:row>
      <xdr:rowOff>0</xdr:rowOff>
    </xdr:from>
    <xdr:to>
      <xdr:col>2</xdr:col>
      <xdr:colOff>371475</xdr:colOff>
      <xdr:row>16</xdr:row>
      <xdr:rowOff>28575</xdr:rowOff>
    </xdr:to>
    <xdr:sp macro="" textlink="">
      <xdr:nvSpPr>
        <xdr:cNvPr id="1118" name="Text Box 539"/>
        <xdr:cNvSpPr txBox="1">
          <a:spLocks noChangeArrowheads="1"/>
        </xdr:cNvSpPr>
      </xdr:nvSpPr>
      <xdr:spPr bwMode="auto">
        <a:xfrm>
          <a:off x="1571625" y="22669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</xdr:row>
      <xdr:rowOff>0</xdr:rowOff>
    </xdr:from>
    <xdr:to>
      <xdr:col>2</xdr:col>
      <xdr:colOff>342900</xdr:colOff>
      <xdr:row>17</xdr:row>
      <xdr:rowOff>85725</xdr:rowOff>
    </xdr:to>
    <xdr:sp macro="" textlink="">
      <xdr:nvSpPr>
        <xdr:cNvPr id="1119" name="Text Box 139"/>
        <xdr:cNvSpPr txBox="1">
          <a:spLocks noChangeArrowheads="1"/>
        </xdr:cNvSpPr>
      </xdr:nvSpPr>
      <xdr:spPr bwMode="auto">
        <a:xfrm>
          <a:off x="1295400" y="5257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</xdr:row>
      <xdr:rowOff>0</xdr:rowOff>
    </xdr:from>
    <xdr:to>
      <xdr:col>2</xdr:col>
      <xdr:colOff>342900</xdr:colOff>
      <xdr:row>17</xdr:row>
      <xdr:rowOff>85725</xdr:rowOff>
    </xdr:to>
    <xdr:sp macro="" textlink="">
      <xdr:nvSpPr>
        <xdr:cNvPr id="1120" name="Text Box 421"/>
        <xdr:cNvSpPr txBox="1">
          <a:spLocks noChangeArrowheads="1"/>
        </xdr:cNvSpPr>
      </xdr:nvSpPr>
      <xdr:spPr bwMode="auto">
        <a:xfrm>
          <a:off x="1295400" y="5257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</xdr:row>
      <xdr:rowOff>0</xdr:rowOff>
    </xdr:from>
    <xdr:to>
      <xdr:col>2</xdr:col>
      <xdr:colOff>342900</xdr:colOff>
      <xdr:row>17</xdr:row>
      <xdr:rowOff>85725</xdr:rowOff>
    </xdr:to>
    <xdr:sp macro="" textlink="">
      <xdr:nvSpPr>
        <xdr:cNvPr id="1121" name="Text Box 426"/>
        <xdr:cNvSpPr txBox="1">
          <a:spLocks noChangeArrowheads="1"/>
        </xdr:cNvSpPr>
      </xdr:nvSpPr>
      <xdr:spPr bwMode="auto">
        <a:xfrm>
          <a:off x="1295400" y="5257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</xdr:row>
      <xdr:rowOff>0</xdr:rowOff>
    </xdr:from>
    <xdr:to>
      <xdr:col>2</xdr:col>
      <xdr:colOff>342900</xdr:colOff>
      <xdr:row>17</xdr:row>
      <xdr:rowOff>85725</xdr:rowOff>
    </xdr:to>
    <xdr:sp macro="" textlink="">
      <xdr:nvSpPr>
        <xdr:cNvPr id="1122" name="Text Box 431"/>
        <xdr:cNvSpPr txBox="1">
          <a:spLocks noChangeArrowheads="1"/>
        </xdr:cNvSpPr>
      </xdr:nvSpPr>
      <xdr:spPr bwMode="auto">
        <a:xfrm>
          <a:off x="1295400" y="5257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</xdr:row>
      <xdr:rowOff>0</xdr:rowOff>
    </xdr:from>
    <xdr:to>
      <xdr:col>2</xdr:col>
      <xdr:colOff>342900</xdr:colOff>
      <xdr:row>17</xdr:row>
      <xdr:rowOff>85725</xdr:rowOff>
    </xdr:to>
    <xdr:sp macro="" textlink="">
      <xdr:nvSpPr>
        <xdr:cNvPr id="1123" name="Text Box 448"/>
        <xdr:cNvSpPr txBox="1">
          <a:spLocks noChangeArrowheads="1"/>
        </xdr:cNvSpPr>
      </xdr:nvSpPr>
      <xdr:spPr bwMode="auto">
        <a:xfrm>
          <a:off x="1295400" y="5257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44</xdr:row>
      <xdr:rowOff>0</xdr:rowOff>
    </xdr:from>
    <xdr:to>
      <xdr:col>2</xdr:col>
      <xdr:colOff>371475</xdr:colOff>
      <xdr:row>44</xdr:row>
      <xdr:rowOff>28575</xdr:rowOff>
    </xdr:to>
    <xdr:sp macro="" textlink="">
      <xdr:nvSpPr>
        <xdr:cNvPr id="1124" name="Text Box 534"/>
        <xdr:cNvSpPr txBox="1">
          <a:spLocks noChangeArrowheads="1"/>
        </xdr:cNvSpPr>
      </xdr:nvSpPr>
      <xdr:spPr bwMode="auto">
        <a:xfrm>
          <a:off x="1295400" y="20002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44</xdr:row>
      <xdr:rowOff>0</xdr:rowOff>
    </xdr:from>
    <xdr:to>
      <xdr:col>2</xdr:col>
      <xdr:colOff>371475</xdr:colOff>
      <xdr:row>44</xdr:row>
      <xdr:rowOff>28575</xdr:rowOff>
    </xdr:to>
    <xdr:sp macro="" textlink="">
      <xdr:nvSpPr>
        <xdr:cNvPr id="1125" name="Text Box 539"/>
        <xdr:cNvSpPr txBox="1">
          <a:spLocks noChangeArrowheads="1"/>
        </xdr:cNvSpPr>
      </xdr:nvSpPr>
      <xdr:spPr bwMode="auto">
        <a:xfrm>
          <a:off x="1295400" y="20002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44</xdr:row>
      <xdr:rowOff>0</xdr:rowOff>
    </xdr:from>
    <xdr:to>
      <xdr:col>2</xdr:col>
      <xdr:colOff>342900</xdr:colOff>
      <xdr:row>45</xdr:row>
      <xdr:rowOff>85725</xdr:rowOff>
    </xdr:to>
    <xdr:sp macro="" textlink="">
      <xdr:nvSpPr>
        <xdr:cNvPr id="1126" name="Text Box 139"/>
        <xdr:cNvSpPr txBox="1">
          <a:spLocks noChangeArrowheads="1"/>
        </xdr:cNvSpPr>
      </xdr:nvSpPr>
      <xdr:spPr bwMode="auto">
        <a:xfrm>
          <a:off x="1295400" y="20002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44</xdr:row>
      <xdr:rowOff>0</xdr:rowOff>
    </xdr:from>
    <xdr:to>
      <xdr:col>2</xdr:col>
      <xdr:colOff>342900</xdr:colOff>
      <xdr:row>45</xdr:row>
      <xdr:rowOff>85725</xdr:rowOff>
    </xdr:to>
    <xdr:sp macro="" textlink="">
      <xdr:nvSpPr>
        <xdr:cNvPr id="1127" name="Text Box 421"/>
        <xdr:cNvSpPr txBox="1">
          <a:spLocks noChangeArrowheads="1"/>
        </xdr:cNvSpPr>
      </xdr:nvSpPr>
      <xdr:spPr bwMode="auto">
        <a:xfrm>
          <a:off x="1295400" y="20002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44</xdr:row>
      <xdr:rowOff>0</xdr:rowOff>
    </xdr:from>
    <xdr:to>
      <xdr:col>2</xdr:col>
      <xdr:colOff>342900</xdr:colOff>
      <xdr:row>45</xdr:row>
      <xdr:rowOff>85725</xdr:rowOff>
    </xdr:to>
    <xdr:sp macro="" textlink="">
      <xdr:nvSpPr>
        <xdr:cNvPr id="1128" name="Text Box 426"/>
        <xdr:cNvSpPr txBox="1">
          <a:spLocks noChangeArrowheads="1"/>
        </xdr:cNvSpPr>
      </xdr:nvSpPr>
      <xdr:spPr bwMode="auto">
        <a:xfrm>
          <a:off x="1295400" y="20002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44</xdr:row>
      <xdr:rowOff>0</xdr:rowOff>
    </xdr:from>
    <xdr:to>
      <xdr:col>2</xdr:col>
      <xdr:colOff>342900</xdr:colOff>
      <xdr:row>45</xdr:row>
      <xdr:rowOff>85725</xdr:rowOff>
    </xdr:to>
    <xdr:sp macro="" textlink="">
      <xdr:nvSpPr>
        <xdr:cNvPr id="1129" name="Text Box 431"/>
        <xdr:cNvSpPr txBox="1">
          <a:spLocks noChangeArrowheads="1"/>
        </xdr:cNvSpPr>
      </xdr:nvSpPr>
      <xdr:spPr bwMode="auto">
        <a:xfrm>
          <a:off x="1295400" y="20002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44</xdr:row>
      <xdr:rowOff>0</xdr:rowOff>
    </xdr:from>
    <xdr:to>
      <xdr:col>2</xdr:col>
      <xdr:colOff>342900</xdr:colOff>
      <xdr:row>45</xdr:row>
      <xdr:rowOff>85725</xdr:rowOff>
    </xdr:to>
    <xdr:sp macro="" textlink="">
      <xdr:nvSpPr>
        <xdr:cNvPr id="1130" name="Text Box 448"/>
        <xdr:cNvSpPr txBox="1">
          <a:spLocks noChangeArrowheads="1"/>
        </xdr:cNvSpPr>
      </xdr:nvSpPr>
      <xdr:spPr bwMode="auto">
        <a:xfrm>
          <a:off x="1295400" y="20002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31" name="Text Box 73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32" name="Text Box 85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33" name="Text Box 89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34" name="Text Box 97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35" name="Text Box 109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36" name="Text Box 117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37" name="Text Box 121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38" name="Text Box 133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39" name="Text Box 137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40" name="Text Box 145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41" name="Text Box 155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42" name="Text Box 170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43" name="Text Box 172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44" name="Text Box 187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45" name="Text Box 192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46" name="Text Box 202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47" name="Text Box 217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48" name="Text Box 227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49" name="Text Box 233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50" name="Text Box 238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51" name="Text Box 266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52" name="Text Box 271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53" name="Text Box 299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54" name="Text Box 304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55" name="Text Box 310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56" name="Text Box 315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57" name="Text Box 321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58" name="Text Box 326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59" name="Text Box 343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60" name="Text Box 348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61" name="Text Box 354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62" name="Text Box 359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63" name="Text Box 365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64" name="Text Box 370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65" name="Text Box 387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66" name="Text Box 392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67" name="Text Box 438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68" name="Text Box 443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69" name="Text Box 456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70" name="Text Box 461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71" name="Text Box 468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72" name="Text Box 473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59</xdr:row>
      <xdr:rowOff>0</xdr:rowOff>
    </xdr:from>
    <xdr:to>
      <xdr:col>2</xdr:col>
      <xdr:colOff>371475</xdr:colOff>
      <xdr:row>59</xdr:row>
      <xdr:rowOff>28575</xdr:rowOff>
    </xdr:to>
    <xdr:sp macro="" textlink="">
      <xdr:nvSpPr>
        <xdr:cNvPr id="1173" name="Text Box 494"/>
        <xdr:cNvSpPr txBox="1">
          <a:spLocks noChangeArrowheads="1"/>
        </xdr:cNvSpPr>
      </xdr:nvSpPr>
      <xdr:spPr bwMode="auto">
        <a:xfrm>
          <a:off x="8505825" y="3238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285750</xdr:colOff>
      <xdr:row>60</xdr:row>
      <xdr:rowOff>9525</xdr:rowOff>
    </xdr:from>
    <xdr:to>
      <xdr:col>2</xdr:col>
      <xdr:colOff>390525</xdr:colOff>
      <xdr:row>60</xdr:row>
      <xdr:rowOff>38100</xdr:rowOff>
    </xdr:to>
    <xdr:sp macro="" textlink="">
      <xdr:nvSpPr>
        <xdr:cNvPr id="1174" name="Text Box 499"/>
        <xdr:cNvSpPr txBox="1">
          <a:spLocks noChangeArrowheads="1"/>
        </xdr:cNvSpPr>
      </xdr:nvSpPr>
      <xdr:spPr bwMode="auto">
        <a:xfrm>
          <a:off x="1314450" y="4943475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</xdr:row>
      <xdr:rowOff>0</xdr:rowOff>
    </xdr:from>
    <xdr:to>
      <xdr:col>2</xdr:col>
      <xdr:colOff>371475</xdr:colOff>
      <xdr:row>72</xdr:row>
      <xdr:rowOff>28575</xdr:rowOff>
    </xdr:to>
    <xdr:sp macro="" textlink="">
      <xdr:nvSpPr>
        <xdr:cNvPr id="1175" name="Text Box 534"/>
        <xdr:cNvSpPr txBox="1">
          <a:spLocks noChangeArrowheads="1"/>
        </xdr:cNvSpPr>
      </xdr:nvSpPr>
      <xdr:spPr bwMode="auto">
        <a:xfrm>
          <a:off x="1295400" y="42672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</xdr:row>
      <xdr:rowOff>0</xdr:rowOff>
    </xdr:from>
    <xdr:to>
      <xdr:col>2</xdr:col>
      <xdr:colOff>342900</xdr:colOff>
      <xdr:row>73</xdr:row>
      <xdr:rowOff>85725</xdr:rowOff>
    </xdr:to>
    <xdr:sp macro="" textlink="">
      <xdr:nvSpPr>
        <xdr:cNvPr id="1177" name="Text Box 139"/>
        <xdr:cNvSpPr txBox="1">
          <a:spLocks noChangeArrowheads="1"/>
        </xdr:cNvSpPr>
      </xdr:nvSpPr>
      <xdr:spPr bwMode="auto">
        <a:xfrm>
          <a:off x="1295400" y="4267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</xdr:row>
      <xdr:rowOff>0</xdr:rowOff>
    </xdr:from>
    <xdr:to>
      <xdr:col>2</xdr:col>
      <xdr:colOff>342900</xdr:colOff>
      <xdr:row>73</xdr:row>
      <xdr:rowOff>85725</xdr:rowOff>
    </xdr:to>
    <xdr:sp macro="" textlink="">
      <xdr:nvSpPr>
        <xdr:cNvPr id="1178" name="Text Box 421"/>
        <xdr:cNvSpPr txBox="1">
          <a:spLocks noChangeArrowheads="1"/>
        </xdr:cNvSpPr>
      </xdr:nvSpPr>
      <xdr:spPr bwMode="auto">
        <a:xfrm>
          <a:off x="1295400" y="4267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</xdr:row>
      <xdr:rowOff>0</xdr:rowOff>
    </xdr:from>
    <xdr:to>
      <xdr:col>2</xdr:col>
      <xdr:colOff>342900</xdr:colOff>
      <xdr:row>73</xdr:row>
      <xdr:rowOff>85725</xdr:rowOff>
    </xdr:to>
    <xdr:sp macro="" textlink="">
      <xdr:nvSpPr>
        <xdr:cNvPr id="1179" name="Text Box 426"/>
        <xdr:cNvSpPr txBox="1">
          <a:spLocks noChangeArrowheads="1"/>
        </xdr:cNvSpPr>
      </xdr:nvSpPr>
      <xdr:spPr bwMode="auto">
        <a:xfrm>
          <a:off x="1295400" y="4267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</xdr:row>
      <xdr:rowOff>0</xdr:rowOff>
    </xdr:from>
    <xdr:to>
      <xdr:col>2</xdr:col>
      <xdr:colOff>342900</xdr:colOff>
      <xdr:row>73</xdr:row>
      <xdr:rowOff>85725</xdr:rowOff>
    </xdr:to>
    <xdr:sp macro="" textlink="">
      <xdr:nvSpPr>
        <xdr:cNvPr id="1180" name="Text Box 431"/>
        <xdr:cNvSpPr txBox="1">
          <a:spLocks noChangeArrowheads="1"/>
        </xdr:cNvSpPr>
      </xdr:nvSpPr>
      <xdr:spPr bwMode="auto">
        <a:xfrm>
          <a:off x="1295400" y="4267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72</xdr:row>
      <xdr:rowOff>0</xdr:rowOff>
    </xdr:from>
    <xdr:to>
      <xdr:col>2</xdr:col>
      <xdr:colOff>342900</xdr:colOff>
      <xdr:row>73</xdr:row>
      <xdr:rowOff>85725</xdr:rowOff>
    </xdr:to>
    <xdr:sp macro="" textlink="">
      <xdr:nvSpPr>
        <xdr:cNvPr id="1181" name="Text Box 448"/>
        <xdr:cNvSpPr txBox="1">
          <a:spLocks noChangeArrowheads="1"/>
        </xdr:cNvSpPr>
      </xdr:nvSpPr>
      <xdr:spPr bwMode="auto">
        <a:xfrm>
          <a:off x="1295400" y="4267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98</xdr:row>
      <xdr:rowOff>0</xdr:rowOff>
    </xdr:from>
    <xdr:to>
      <xdr:col>2</xdr:col>
      <xdr:colOff>371475</xdr:colOff>
      <xdr:row>98</xdr:row>
      <xdr:rowOff>28575</xdr:rowOff>
    </xdr:to>
    <xdr:sp macro="" textlink="">
      <xdr:nvSpPr>
        <xdr:cNvPr id="1182" name="Text Box 534"/>
        <xdr:cNvSpPr txBox="1">
          <a:spLocks noChangeArrowheads="1"/>
        </xdr:cNvSpPr>
      </xdr:nvSpPr>
      <xdr:spPr bwMode="auto">
        <a:xfrm>
          <a:off x="1295400" y="64008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98</xdr:row>
      <xdr:rowOff>0</xdr:rowOff>
    </xdr:from>
    <xdr:to>
      <xdr:col>2</xdr:col>
      <xdr:colOff>371475</xdr:colOff>
      <xdr:row>98</xdr:row>
      <xdr:rowOff>28575</xdr:rowOff>
    </xdr:to>
    <xdr:sp macro="" textlink="">
      <xdr:nvSpPr>
        <xdr:cNvPr id="1183" name="Text Box 539"/>
        <xdr:cNvSpPr txBox="1">
          <a:spLocks noChangeArrowheads="1"/>
        </xdr:cNvSpPr>
      </xdr:nvSpPr>
      <xdr:spPr bwMode="auto">
        <a:xfrm>
          <a:off x="1295400" y="64008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98</xdr:row>
      <xdr:rowOff>0</xdr:rowOff>
    </xdr:from>
    <xdr:to>
      <xdr:col>2</xdr:col>
      <xdr:colOff>342900</xdr:colOff>
      <xdr:row>99</xdr:row>
      <xdr:rowOff>85725</xdr:rowOff>
    </xdr:to>
    <xdr:sp macro="" textlink="">
      <xdr:nvSpPr>
        <xdr:cNvPr id="1184" name="Text Box 139"/>
        <xdr:cNvSpPr txBox="1">
          <a:spLocks noChangeArrowheads="1"/>
        </xdr:cNvSpPr>
      </xdr:nvSpPr>
      <xdr:spPr bwMode="auto">
        <a:xfrm>
          <a:off x="1295400" y="6400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98</xdr:row>
      <xdr:rowOff>0</xdr:rowOff>
    </xdr:from>
    <xdr:to>
      <xdr:col>2</xdr:col>
      <xdr:colOff>342900</xdr:colOff>
      <xdr:row>99</xdr:row>
      <xdr:rowOff>85725</xdr:rowOff>
    </xdr:to>
    <xdr:sp macro="" textlink="">
      <xdr:nvSpPr>
        <xdr:cNvPr id="1185" name="Text Box 421"/>
        <xdr:cNvSpPr txBox="1">
          <a:spLocks noChangeArrowheads="1"/>
        </xdr:cNvSpPr>
      </xdr:nvSpPr>
      <xdr:spPr bwMode="auto">
        <a:xfrm>
          <a:off x="1295400" y="6400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98</xdr:row>
      <xdr:rowOff>0</xdr:rowOff>
    </xdr:from>
    <xdr:to>
      <xdr:col>2</xdr:col>
      <xdr:colOff>342900</xdr:colOff>
      <xdr:row>99</xdr:row>
      <xdr:rowOff>85725</xdr:rowOff>
    </xdr:to>
    <xdr:sp macro="" textlink="">
      <xdr:nvSpPr>
        <xdr:cNvPr id="1186" name="Text Box 426"/>
        <xdr:cNvSpPr txBox="1">
          <a:spLocks noChangeArrowheads="1"/>
        </xdr:cNvSpPr>
      </xdr:nvSpPr>
      <xdr:spPr bwMode="auto">
        <a:xfrm>
          <a:off x="1295400" y="6400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98</xdr:row>
      <xdr:rowOff>0</xdr:rowOff>
    </xdr:from>
    <xdr:to>
      <xdr:col>2</xdr:col>
      <xdr:colOff>342900</xdr:colOff>
      <xdr:row>99</xdr:row>
      <xdr:rowOff>85725</xdr:rowOff>
    </xdr:to>
    <xdr:sp macro="" textlink="">
      <xdr:nvSpPr>
        <xdr:cNvPr id="1187" name="Text Box 431"/>
        <xdr:cNvSpPr txBox="1">
          <a:spLocks noChangeArrowheads="1"/>
        </xdr:cNvSpPr>
      </xdr:nvSpPr>
      <xdr:spPr bwMode="auto">
        <a:xfrm>
          <a:off x="1295400" y="6400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98</xdr:row>
      <xdr:rowOff>0</xdr:rowOff>
    </xdr:from>
    <xdr:to>
      <xdr:col>2</xdr:col>
      <xdr:colOff>342900</xdr:colOff>
      <xdr:row>99</xdr:row>
      <xdr:rowOff>85725</xdr:rowOff>
    </xdr:to>
    <xdr:sp macro="" textlink="">
      <xdr:nvSpPr>
        <xdr:cNvPr id="1188" name="Text Box 448"/>
        <xdr:cNvSpPr txBox="1">
          <a:spLocks noChangeArrowheads="1"/>
        </xdr:cNvSpPr>
      </xdr:nvSpPr>
      <xdr:spPr bwMode="auto">
        <a:xfrm>
          <a:off x="1295400" y="6400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129</xdr:row>
      <xdr:rowOff>0</xdr:rowOff>
    </xdr:from>
    <xdr:to>
      <xdr:col>2</xdr:col>
      <xdr:colOff>371475</xdr:colOff>
      <xdr:row>129</xdr:row>
      <xdr:rowOff>28575</xdr:rowOff>
    </xdr:to>
    <xdr:sp macro="" textlink="">
      <xdr:nvSpPr>
        <xdr:cNvPr id="1189" name="Text Box 534"/>
        <xdr:cNvSpPr txBox="1">
          <a:spLocks noChangeArrowheads="1"/>
        </xdr:cNvSpPr>
      </xdr:nvSpPr>
      <xdr:spPr bwMode="auto">
        <a:xfrm>
          <a:off x="1295400" y="104013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129</xdr:row>
      <xdr:rowOff>0</xdr:rowOff>
    </xdr:from>
    <xdr:to>
      <xdr:col>2</xdr:col>
      <xdr:colOff>371475</xdr:colOff>
      <xdr:row>129</xdr:row>
      <xdr:rowOff>28575</xdr:rowOff>
    </xdr:to>
    <xdr:sp macro="" textlink="">
      <xdr:nvSpPr>
        <xdr:cNvPr id="1190" name="Text Box 539"/>
        <xdr:cNvSpPr txBox="1">
          <a:spLocks noChangeArrowheads="1"/>
        </xdr:cNvSpPr>
      </xdr:nvSpPr>
      <xdr:spPr bwMode="auto">
        <a:xfrm>
          <a:off x="1295400" y="104013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129</xdr:row>
      <xdr:rowOff>0</xdr:rowOff>
    </xdr:from>
    <xdr:to>
      <xdr:col>2</xdr:col>
      <xdr:colOff>342900</xdr:colOff>
      <xdr:row>130</xdr:row>
      <xdr:rowOff>85725</xdr:rowOff>
    </xdr:to>
    <xdr:sp macro="" textlink="">
      <xdr:nvSpPr>
        <xdr:cNvPr id="1191" name="Text Box 139"/>
        <xdr:cNvSpPr txBox="1">
          <a:spLocks noChangeArrowheads="1"/>
        </xdr:cNvSpPr>
      </xdr:nvSpPr>
      <xdr:spPr bwMode="auto">
        <a:xfrm>
          <a:off x="1295400" y="10401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129</xdr:row>
      <xdr:rowOff>0</xdr:rowOff>
    </xdr:from>
    <xdr:to>
      <xdr:col>2</xdr:col>
      <xdr:colOff>342900</xdr:colOff>
      <xdr:row>130</xdr:row>
      <xdr:rowOff>85725</xdr:rowOff>
    </xdr:to>
    <xdr:sp macro="" textlink="">
      <xdr:nvSpPr>
        <xdr:cNvPr id="1192" name="Text Box 421"/>
        <xdr:cNvSpPr txBox="1">
          <a:spLocks noChangeArrowheads="1"/>
        </xdr:cNvSpPr>
      </xdr:nvSpPr>
      <xdr:spPr bwMode="auto">
        <a:xfrm>
          <a:off x="1295400" y="10401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129</xdr:row>
      <xdr:rowOff>0</xdr:rowOff>
    </xdr:from>
    <xdr:to>
      <xdr:col>2</xdr:col>
      <xdr:colOff>342900</xdr:colOff>
      <xdr:row>130</xdr:row>
      <xdr:rowOff>85725</xdr:rowOff>
    </xdr:to>
    <xdr:sp macro="" textlink="">
      <xdr:nvSpPr>
        <xdr:cNvPr id="1193" name="Text Box 426"/>
        <xdr:cNvSpPr txBox="1">
          <a:spLocks noChangeArrowheads="1"/>
        </xdr:cNvSpPr>
      </xdr:nvSpPr>
      <xdr:spPr bwMode="auto">
        <a:xfrm>
          <a:off x="1295400" y="10401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129</xdr:row>
      <xdr:rowOff>0</xdr:rowOff>
    </xdr:from>
    <xdr:to>
      <xdr:col>2</xdr:col>
      <xdr:colOff>342900</xdr:colOff>
      <xdr:row>130</xdr:row>
      <xdr:rowOff>85725</xdr:rowOff>
    </xdr:to>
    <xdr:sp macro="" textlink="">
      <xdr:nvSpPr>
        <xdr:cNvPr id="1194" name="Text Box 431"/>
        <xdr:cNvSpPr txBox="1">
          <a:spLocks noChangeArrowheads="1"/>
        </xdr:cNvSpPr>
      </xdr:nvSpPr>
      <xdr:spPr bwMode="auto">
        <a:xfrm>
          <a:off x="1295400" y="10401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129</xdr:row>
      <xdr:rowOff>0</xdr:rowOff>
    </xdr:from>
    <xdr:to>
      <xdr:col>2</xdr:col>
      <xdr:colOff>342900</xdr:colOff>
      <xdr:row>130</xdr:row>
      <xdr:rowOff>85725</xdr:rowOff>
    </xdr:to>
    <xdr:sp macro="" textlink="">
      <xdr:nvSpPr>
        <xdr:cNvPr id="1195" name="Text Box 448"/>
        <xdr:cNvSpPr txBox="1">
          <a:spLocks noChangeArrowheads="1"/>
        </xdr:cNvSpPr>
      </xdr:nvSpPr>
      <xdr:spPr bwMode="auto">
        <a:xfrm>
          <a:off x="1295400" y="10401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144</xdr:row>
      <xdr:rowOff>0</xdr:rowOff>
    </xdr:from>
    <xdr:to>
      <xdr:col>2</xdr:col>
      <xdr:colOff>371475</xdr:colOff>
      <xdr:row>144</xdr:row>
      <xdr:rowOff>28575</xdr:rowOff>
    </xdr:to>
    <xdr:sp macro="" textlink="">
      <xdr:nvSpPr>
        <xdr:cNvPr id="1196" name="Text Box 587"/>
        <xdr:cNvSpPr txBox="1">
          <a:spLocks noChangeArrowheads="1"/>
        </xdr:cNvSpPr>
      </xdr:nvSpPr>
      <xdr:spPr bwMode="auto">
        <a:xfrm>
          <a:off x="1571625" y="14735175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144</xdr:row>
      <xdr:rowOff>0</xdr:rowOff>
    </xdr:from>
    <xdr:to>
      <xdr:col>2</xdr:col>
      <xdr:colOff>371475</xdr:colOff>
      <xdr:row>144</xdr:row>
      <xdr:rowOff>28575</xdr:rowOff>
    </xdr:to>
    <xdr:sp macro="" textlink="">
      <xdr:nvSpPr>
        <xdr:cNvPr id="1197" name="Text Box 588"/>
        <xdr:cNvSpPr txBox="1">
          <a:spLocks noChangeArrowheads="1"/>
        </xdr:cNvSpPr>
      </xdr:nvSpPr>
      <xdr:spPr bwMode="auto">
        <a:xfrm>
          <a:off x="1571625" y="14735175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155</xdr:row>
      <xdr:rowOff>0</xdr:rowOff>
    </xdr:from>
    <xdr:to>
      <xdr:col>2</xdr:col>
      <xdr:colOff>371475</xdr:colOff>
      <xdr:row>155</xdr:row>
      <xdr:rowOff>28575</xdr:rowOff>
    </xdr:to>
    <xdr:sp macro="" textlink="">
      <xdr:nvSpPr>
        <xdr:cNvPr id="1198" name="Text Box 534"/>
        <xdr:cNvSpPr txBox="1">
          <a:spLocks noChangeArrowheads="1"/>
        </xdr:cNvSpPr>
      </xdr:nvSpPr>
      <xdr:spPr bwMode="auto">
        <a:xfrm>
          <a:off x="1295400" y="128016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155</xdr:row>
      <xdr:rowOff>0</xdr:rowOff>
    </xdr:from>
    <xdr:to>
      <xdr:col>2</xdr:col>
      <xdr:colOff>371475</xdr:colOff>
      <xdr:row>155</xdr:row>
      <xdr:rowOff>28575</xdr:rowOff>
    </xdr:to>
    <xdr:sp macro="" textlink="">
      <xdr:nvSpPr>
        <xdr:cNvPr id="1199" name="Text Box 539"/>
        <xdr:cNvSpPr txBox="1">
          <a:spLocks noChangeArrowheads="1"/>
        </xdr:cNvSpPr>
      </xdr:nvSpPr>
      <xdr:spPr bwMode="auto">
        <a:xfrm>
          <a:off x="1295400" y="128016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155</xdr:row>
      <xdr:rowOff>0</xdr:rowOff>
    </xdr:from>
    <xdr:to>
      <xdr:col>2</xdr:col>
      <xdr:colOff>342900</xdr:colOff>
      <xdr:row>156</xdr:row>
      <xdr:rowOff>85725</xdr:rowOff>
    </xdr:to>
    <xdr:sp macro="" textlink="">
      <xdr:nvSpPr>
        <xdr:cNvPr id="1200" name="Text Box 139"/>
        <xdr:cNvSpPr txBox="1">
          <a:spLocks noChangeArrowheads="1"/>
        </xdr:cNvSpPr>
      </xdr:nvSpPr>
      <xdr:spPr bwMode="auto">
        <a:xfrm>
          <a:off x="1295400" y="12801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155</xdr:row>
      <xdr:rowOff>0</xdr:rowOff>
    </xdr:from>
    <xdr:to>
      <xdr:col>2</xdr:col>
      <xdr:colOff>342900</xdr:colOff>
      <xdr:row>156</xdr:row>
      <xdr:rowOff>85725</xdr:rowOff>
    </xdr:to>
    <xdr:sp macro="" textlink="">
      <xdr:nvSpPr>
        <xdr:cNvPr id="1201" name="Text Box 421"/>
        <xdr:cNvSpPr txBox="1">
          <a:spLocks noChangeArrowheads="1"/>
        </xdr:cNvSpPr>
      </xdr:nvSpPr>
      <xdr:spPr bwMode="auto">
        <a:xfrm>
          <a:off x="1295400" y="12801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155</xdr:row>
      <xdr:rowOff>0</xdr:rowOff>
    </xdr:from>
    <xdr:to>
      <xdr:col>2</xdr:col>
      <xdr:colOff>342900</xdr:colOff>
      <xdr:row>156</xdr:row>
      <xdr:rowOff>85725</xdr:rowOff>
    </xdr:to>
    <xdr:sp macro="" textlink="">
      <xdr:nvSpPr>
        <xdr:cNvPr id="1202" name="Text Box 426"/>
        <xdr:cNvSpPr txBox="1">
          <a:spLocks noChangeArrowheads="1"/>
        </xdr:cNvSpPr>
      </xdr:nvSpPr>
      <xdr:spPr bwMode="auto">
        <a:xfrm>
          <a:off x="1295400" y="12801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155</xdr:row>
      <xdr:rowOff>0</xdr:rowOff>
    </xdr:from>
    <xdr:to>
      <xdr:col>2</xdr:col>
      <xdr:colOff>342900</xdr:colOff>
      <xdr:row>156</xdr:row>
      <xdr:rowOff>85725</xdr:rowOff>
    </xdr:to>
    <xdr:sp macro="" textlink="">
      <xdr:nvSpPr>
        <xdr:cNvPr id="1203" name="Text Box 431"/>
        <xdr:cNvSpPr txBox="1">
          <a:spLocks noChangeArrowheads="1"/>
        </xdr:cNvSpPr>
      </xdr:nvSpPr>
      <xdr:spPr bwMode="auto">
        <a:xfrm>
          <a:off x="1295400" y="12801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155</xdr:row>
      <xdr:rowOff>0</xdr:rowOff>
    </xdr:from>
    <xdr:to>
      <xdr:col>2</xdr:col>
      <xdr:colOff>342900</xdr:colOff>
      <xdr:row>156</xdr:row>
      <xdr:rowOff>85725</xdr:rowOff>
    </xdr:to>
    <xdr:sp macro="" textlink="">
      <xdr:nvSpPr>
        <xdr:cNvPr id="1204" name="Text Box 448"/>
        <xdr:cNvSpPr txBox="1">
          <a:spLocks noChangeArrowheads="1"/>
        </xdr:cNvSpPr>
      </xdr:nvSpPr>
      <xdr:spPr bwMode="auto">
        <a:xfrm>
          <a:off x="1295400" y="128016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185</xdr:row>
      <xdr:rowOff>0</xdr:rowOff>
    </xdr:from>
    <xdr:to>
      <xdr:col>2</xdr:col>
      <xdr:colOff>371475</xdr:colOff>
      <xdr:row>185</xdr:row>
      <xdr:rowOff>28575</xdr:rowOff>
    </xdr:to>
    <xdr:sp macro="" textlink="">
      <xdr:nvSpPr>
        <xdr:cNvPr id="1205" name="Text Box 534"/>
        <xdr:cNvSpPr txBox="1">
          <a:spLocks noChangeArrowheads="1"/>
        </xdr:cNvSpPr>
      </xdr:nvSpPr>
      <xdr:spPr bwMode="auto">
        <a:xfrm>
          <a:off x="1295400" y="149352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185</xdr:row>
      <xdr:rowOff>0</xdr:rowOff>
    </xdr:from>
    <xdr:to>
      <xdr:col>2</xdr:col>
      <xdr:colOff>371475</xdr:colOff>
      <xdr:row>185</xdr:row>
      <xdr:rowOff>28575</xdr:rowOff>
    </xdr:to>
    <xdr:sp macro="" textlink="">
      <xdr:nvSpPr>
        <xdr:cNvPr id="1206" name="Text Box 539"/>
        <xdr:cNvSpPr txBox="1">
          <a:spLocks noChangeArrowheads="1"/>
        </xdr:cNvSpPr>
      </xdr:nvSpPr>
      <xdr:spPr bwMode="auto">
        <a:xfrm>
          <a:off x="1295400" y="149352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185</xdr:row>
      <xdr:rowOff>0</xdr:rowOff>
    </xdr:from>
    <xdr:to>
      <xdr:col>2</xdr:col>
      <xdr:colOff>342900</xdr:colOff>
      <xdr:row>186</xdr:row>
      <xdr:rowOff>85725</xdr:rowOff>
    </xdr:to>
    <xdr:sp macro="" textlink="">
      <xdr:nvSpPr>
        <xdr:cNvPr id="1207" name="Text Box 139"/>
        <xdr:cNvSpPr txBox="1">
          <a:spLocks noChangeArrowheads="1"/>
        </xdr:cNvSpPr>
      </xdr:nvSpPr>
      <xdr:spPr bwMode="auto">
        <a:xfrm>
          <a:off x="1295400" y="14935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185</xdr:row>
      <xdr:rowOff>0</xdr:rowOff>
    </xdr:from>
    <xdr:to>
      <xdr:col>2</xdr:col>
      <xdr:colOff>342900</xdr:colOff>
      <xdr:row>186</xdr:row>
      <xdr:rowOff>85725</xdr:rowOff>
    </xdr:to>
    <xdr:sp macro="" textlink="">
      <xdr:nvSpPr>
        <xdr:cNvPr id="1208" name="Text Box 421"/>
        <xdr:cNvSpPr txBox="1">
          <a:spLocks noChangeArrowheads="1"/>
        </xdr:cNvSpPr>
      </xdr:nvSpPr>
      <xdr:spPr bwMode="auto">
        <a:xfrm>
          <a:off x="1295400" y="14935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185</xdr:row>
      <xdr:rowOff>0</xdr:rowOff>
    </xdr:from>
    <xdr:to>
      <xdr:col>2</xdr:col>
      <xdr:colOff>342900</xdr:colOff>
      <xdr:row>186</xdr:row>
      <xdr:rowOff>85725</xdr:rowOff>
    </xdr:to>
    <xdr:sp macro="" textlink="">
      <xdr:nvSpPr>
        <xdr:cNvPr id="1209" name="Text Box 426"/>
        <xdr:cNvSpPr txBox="1">
          <a:spLocks noChangeArrowheads="1"/>
        </xdr:cNvSpPr>
      </xdr:nvSpPr>
      <xdr:spPr bwMode="auto">
        <a:xfrm>
          <a:off x="1295400" y="14935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185</xdr:row>
      <xdr:rowOff>0</xdr:rowOff>
    </xdr:from>
    <xdr:to>
      <xdr:col>2</xdr:col>
      <xdr:colOff>342900</xdr:colOff>
      <xdr:row>186</xdr:row>
      <xdr:rowOff>85725</xdr:rowOff>
    </xdr:to>
    <xdr:sp macro="" textlink="">
      <xdr:nvSpPr>
        <xdr:cNvPr id="1210" name="Text Box 431"/>
        <xdr:cNvSpPr txBox="1">
          <a:spLocks noChangeArrowheads="1"/>
        </xdr:cNvSpPr>
      </xdr:nvSpPr>
      <xdr:spPr bwMode="auto">
        <a:xfrm>
          <a:off x="1295400" y="14935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185</xdr:row>
      <xdr:rowOff>0</xdr:rowOff>
    </xdr:from>
    <xdr:to>
      <xdr:col>2</xdr:col>
      <xdr:colOff>342900</xdr:colOff>
      <xdr:row>186</xdr:row>
      <xdr:rowOff>85725</xdr:rowOff>
    </xdr:to>
    <xdr:sp macro="" textlink="">
      <xdr:nvSpPr>
        <xdr:cNvPr id="1211" name="Text Box 448"/>
        <xdr:cNvSpPr txBox="1">
          <a:spLocks noChangeArrowheads="1"/>
        </xdr:cNvSpPr>
      </xdr:nvSpPr>
      <xdr:spPr bwMode="auto">
        <a:xfrm>
          <a:off x="1295400" y="149352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060" name="Text Box 117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062" name="Text Box 192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28575</xdr:rowOff>
    </xdr:to>
    <xdr:sp macro="" textlink="">
      <xdr:nvSpPr>
        <xdr:cNvPr id="1063" name="Text Box 125"/>
        <xdr:cNvSpPr txBox="1">
          <a:spLocks noChangeArrowheads="1"/>
        </xdr:cNvSpPr>
      </xdr:nvSpPr>
      <xdr:spPr bwMode="auto">
        <a:xfrm>
          <a:off x="1295400" y="52006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28575</xdr:rowOff>
    </xdr:to>
    <xdr:sp macro="" textlink="">
      <xdr:nvSpPr>
        <xdr:cNvPr id="1064" name="Text Box 160"/>
        <xdr:cNvSpPr txBox="1">
          <a:spLocks noChangeArrowheads="1"/>
        </xdr:cNvSpPr>
      </xdr:nvSpPr>
      <xdr:spPr bwMode="auto">
        <a:xfrm>
          <a:off x="1295400" y="52006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28575</xdr:rowOff>
    </xdr:to>
    <xdr:sp macro="" textlink="">
      <xdr:nvSpPr>
        <xdr:cNvPr id="1065" name="Text Box 182"/>
        <xdr:cNvSpPr txBox="1">
          <a:spLocks noChangeArrowheads="1"/>
        </xdr:cNvSpPr>
      </xdr:nvSpPr>
      <xdr:spPr bwMode="auto">
        <a:xfrm>
          <a:off x="1295400" y="52006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40</xdr:row>
      <xdr:rowOff>0</xdr:rowOff>
    </xdr:from>
    <xdr:to>
      <xdr:col>3</xdr:col>
      <xdr:colOff>342900</xdr:colOff>
      <xdr:row>41</xdr:row>
      <xdr:rowOff>85725</xdr:rowOff>
    </xdr:to>
    <xdr:sp macro="" textlink="">
      <xdr:nvSpPr>
        <xdr:cNvPr id="1067" name="Text Box 137"/>
        <xdr:cNvSpPr txBox="1">
          <a:spLocks noChangeArrowheads="1"/>
        </xdr:cNvSpPr>
      </xdr:nvSpPr>
      <xdr:spPr bwMode="auto">
        <a:xfrm>
          <a:off x="1295400" y="5067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40</xdr:row>
      <xdr:rowOff>0</xdr:rowOff>
    </xdr:from>
    <xdr:to>
      <xdr:col>3</xdr:col>
      <xdr:colOff>342900</xdr:colOff>
      <xdr:row>41</xdr:row>
      <xdr:rowOff>85725</xdr:rowOff>
    </xdr:to>
    <xdr:sp macro="" textlink="">
      <xdr:nvSpPr>
        <xdr:cNvPr id="1068" name="Text Box 170"/>
        <xdr:cNvSpPr txBox="1">
          <a:spLocks noChangeArrowheads="1"/>
        </xdr:cNvSpPr>
      </xdr:nvSpPr>
      <xdr:spPr bwMode="auto">
        <a:xfrm>
          <a:off x="1295400" y="5067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069" name="Text Box 438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12" name="Text Box 443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13" name="Text Box 139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14" name="Text Box 42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15" name="Text Box 426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16" name="Text Box 43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17" name="Text Box 448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18" name="Text Box 48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19" name="Text Box 486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20" name="Text Box 139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21" name="Text Box 42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22" name="Text Box 426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23" name="Text Box 43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24" name="Text Box 448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25" name="Text Box 549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26" name="Text Box 554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27" name="Text Box 139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28" name="Text Box 42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29" name="Text Box 426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30" name="Text Box 43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41</xdr:row>
      <xdr:rowOff>0</xdr:rowOff>
    </xdr:from>
    <xdr:to>
      <xdr:col>3</xdr:col>
      <xdr:colOff>342900</xdr:colOff>
      <xdr:row>42</xdr:row>
      <xdr:rowOff>85725</xdr:rowOff>
    </xdr:to>
    <xdr:sp macro="" textlink="">
      <xdr:nvSpPr>
        <xdr:cNvPr id="1231" name="Text Box 448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32" name="Text Box 117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33" name="Text Box 192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28575</xdr:rowOff>
    </xdr:to>
    <xdr:sp macro="" textlink="">
      <xdr:nvSpPr>
        <xdr:cNvPr id="1234" name="Text Box 125"/>
        <xdr:cNvSpPr txBox="1">
          <a:spLocks noChangeArrowheads="1"/>
        </xdr:cNvSpPr>
      </xdr:nvSpPr>
      <xdr:spPr bwMode="auto">
        <a:xfrm>
          <a:off x="1295400" y="52006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28575</xdr:rowOff>
    </xdr:to>
    <xdr:sp macro="" textlink="">
      <xdr:nvSpPr>
        <xdr:cNvPr id="1235" name="Text Box 160"/>
        <xdr:cNvSpPr txBox="1">
          <a:spLocks noChangeArrowheads="1"/>
        </xdr:cNvSpPr>
      </xdr:nvSpPr>
      <xdr:spPr bwMode="auto">
        <a:xfrm>
          <a:off x="1295400" y="52006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28575</xdr:rowOff>
    </xdr:to>
    <xdr:sp macro="" textlink="">
      <xdr:nvSpPr>
        <xdr:cNvPr id="1236" name="Text Box 182"/>
        <xdr:cNvSpPr txBox="1">
          <a:spLocks noChangeArrowheads="1"/>
        </xdr:cNvSpPr>
      </xdr:nvSpPr>
      <xdr:spPr bwMode="auto">
        <a:xfrm>
          <a:off x="1295400" y="52006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40</xdr:row>
      <xdr:rowOff>0</xdr:rowOff>
    </xdr:from>
    <xdr:to>
      <xdr:col>4</xdr:col>
      <xdr:colOff>342900</xdr:colOff>
      <xdr:row>41</xdr:row>
      <xdr:rowOff>85725</xdr:rowOff>
    </xdr:to>
    <xdr:sp macro="" textlink="">
      <xdr:nvSpPr>
        <xdr:cNvPr id="1237" name="Text Box 137"/>
        <xdr:cNvSpPr txBox="1">
          <a:spLocks noChangeArrowheads="1"/>
        </xdr:cNvSpPr>
      </xdr:nvSpPr>
      <xdr:spPr bwMode="auto">
        <a:xfrm>
          <a:off x="1295400" y="5067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40</xdr:row>
      <xdr:rowOff>0</xdr:rowOff>
    </xdr:from>
    <xdr:to>
      <xdr:col>4</xdr:col>
      <xdr:colOff>342900</xdr:colOff>
      <xdr:row>41</xdr:row>
      <xdr:rowOff>85725</xdr:rowOff>
    </xdr:to>
    <xdr:sp macro="" textlink="">
      <xdr:nvSpPr>
        <xdr:cNvPr id="1238" name="Text Box 170"/>
        <xdr:cNvSpPr txBox="1">
          <a:spLocks noChangeArrowheads="1"/>
        </xdr:cNvSpPr>
      </xdr:nvSpPr>
      <xdr:spPr bwMode="auto">
        <a:xfrm>
          <a:off x="1295400" y="5067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39" name="Text Box 438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40" name="Text Box 443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41" name="Text Box 139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42" name="Text Box 42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43" name="Text Box 426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44" name="Text Box 43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45" name="Text Box 448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46" name="Text Box 48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47" name="Text Box 486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48" name="Text Box 139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49" name="Text Box 42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50" name="Text Box 426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51" name="Text Box 43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52" name="Text Box 448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53" name="Text Box 549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54" name="Text Box 554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55" name="Text Box 139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56" name="Text Box 42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57" name="Text Box 426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58" name="Text Box 43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41</xdr:row>
      <xdr:rowOff>0</xdr:rowOff>
    </xdr:from>
    <xdr:to>
      <xdr:col>4</xdr:col>
      <xdr:colOff>342900</xdr:colOff>
      <xdr:row>42</xdr:row>
      <xdr:rowOff>85725</xdr:rowOff>
    </xdr:to>
    <xdr:sp macro="" textlink="">
      <xdr:nvSpPr>
        <xdr:cNvPr id="1259" name="Text Box 448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60" name="Text Box 117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61" name="Text Box 192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28575</xdr:rowOff>
    </xdr:to>
    <xdr:sp macro="" textlink="">
      <xdr:nvSpPr>
        <xdr:cNvPr id="1262" name="Text Box 125"/>
        <xdr:cNvSpPr txBox="1">
          <a:spLocks noChangeArrowheads="1"/>
        </xdr:cNvSpPr>
      </xdr:nvSpPr>
      <xdr:spPr bwMode="auto">
        <a:xfrm>
          <a:off x="1295400" y="52006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28575</xdr:rowOff>
    </xdr:to>
    <xdr:sp macro="" textlink="">
      <xdr:nvSpPr>
        <xdr:cNvPr id="1263" name="Text Box 160"/>
        <xdr:cNvSpPr txBox="1">
          <a:spLocks noChangeArrowheads="1"/>
        </xdr:cNvSpPr>
      </xdr:nvSpPr>
      <xdr:spPr bwMode="auto">
        <a:xfrm>
          <a:off x="1295400" y="52006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28575</xdr:rowOff>
    </xdr:to>
    <xdr:sp macro="" textlink="">
      <xdr:nvSpPr>
        <xdr:cNvPr id="1264" name="Text Box 182"/>
        <xdr:cNvSpPr txBox="1">
          <a:spLocks noChangeArrowheads="1"/>
        </xdr:cNvSpPr>
      </xdr:nvSpPr>
      <xdr:spPr bwMode="auto">
        <a:xfrm>
          <a:off x="1295400" y="52006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40</xdr:row>
      <xdr:rowOff>0</xdr:rowOff>
    </xdr:from>
    <xdr:to>
      <xdr:col>5</xdr:col>
      <xdr:colOff>342900</xdr:colOff>
      <xdr:row>41</xdr:row>
      <xdr:rowOff>85725</xdr:rowOff>
    </xdr:to>
    <xdr:sp macro="" textlink="">
      <xdr:nvSpPr>
        <xdr:cNvPr id="1265" name="Text Box 137"/>
        <xdr:cNvSpPr txBox="1">
          <a:spLocks noChangeArrowheads="1"/>
        </xdr:cNvSpPr>
      </xdr:nvSpPr>
      <xdr:spPr bwMode="auto">
        <a:xfrm>
          <a:off x="1295400" y="5067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40</xdr:row>
      <xdr:rowOff>0</xdr:rowOff>
    </xdr:from>
    <xdr:to>
      <xdr:col>5</xdr:col>
      <xdr:colOff>342900</xdr:colOff>
      <xdr:row>41</xdr:row>
      <xdr:rowOff>85725</xdr:rowOff>
    </xdr:to>
    <xdr:sp macro="" textlink="">
      <xdr:nvSpPr>
        <xdr:cNvPr id="1266" name="Text Box 170"/>
        <xdr:cNvSpPr txBox="1">
          <a:spLocks noChangeArrowheads="1"/>
        </xdr:cNvSpPr>
      </xdr:nvSpPr>
      <xdr:spPr bwMode="auto">
        <a:xfrm>
          <a:off x="1295400" y="5067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67" name="Text Box 438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68" name="Text Box 443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69" name="Text Box 139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70" name="Text Box 42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71" name="Text Box 426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72" name="Text Box 43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73" name="Text Box 448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74" name="Text Box 48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75" name="Text Box 486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76" name="Text Box 139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77" name="Text Box 42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78" name="Text Box 426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79" name="Text Box 43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80" name="Text Box 448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81" name="Text Box 549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82" name="Text Box 554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83" name="Text Box 139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84" name="Text Box 42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85" name="Text Box 426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86" name="Text Box 43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41</xdr:row>
      <xdr:rowOff>0</xdr:rowOff>
    </xdr:from>
    <xdr:to>
      <xdr:col>5</xdr:col>
      <xdr:colOff>342900</xdr:colOff>
      <xdr:row>42</xdr:row>
      <xdr:rowOff>85725</xdr:rowOff>
    </xdr:to>
    <xdr:sp macro="" textlink="">
      <xdr:nvSpPr>
        <xdr:cNvPr id="1287" name="Text Box 448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288" name="Text Box 117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289" name="Text Box 192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28575</xdr:rowOff>
    </xdr:to>
    <xdr:sp macro="" textlink="">
      <xdr:nvSpPr>
        <xdr:cNvPr id="1290" name="Text Box 125"/>
        <xdr:cNvSpPr txBox="1">
          <a:spLocks noChangeArrowheads="1"/>
        </xdr:cNvSpPr>
      </xdr:nvSpPr>
      <xdr:spPr bwMode="auto">
        <a:xfrm>
          <a:off x="1295400" y="52006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28575</xdr:rowOff>
    </xdr:to>
    <xdr:sp macro="" textlink="">
      <xdr:nvSpPr>
        <xdr:cNvPr id="1291" name="Text Box 160"/>
        <xdr:cNvSpPr txBox="1">
          <a:spLocks noChangeArrowheads="1"/>
        </xdr:cNvSpPr>
      </xdr:nvSpPr>
      <xdr:spPr bwMode="auto">
        <a:xfrm>
          <a:off x="1295400" y="52006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28575</xdr:rowOff>
    </xdr:to>
    <xdr:sp macro="" textlink="">
      <xdr:nvSpPr>
        <xdr:cNvPr id="1292" name="Text Box 182"/>
        <xdr:cNvSpPr txBox="1">
          <a:spLocks noChangeArrowheads="1"/>
        </xdr:cNvSpPr>
      </xdr:nvSpPr>
      <xdr:spPr bwMode="auto">
        <a:xfrm>
          <a:off x="1295400" y="52006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40</xdr:row>
      <xdr:rowOff>0</xdr:rowOff>
    </xdr:from>
    <xdr:to>
      <xdr:col>6</xdr:col>
      <xdr:colOff>342900</xdr:colOff>
      <xdr:row>41</xdr:row>
      <xdr:rowOff>85725</xdr:rowOff>
    </xdr:to>
    <xdr:sp macro="" textlink="">
      <xdr:nvSpPr>
        <xdr:cNvPr id="1293" name="Text Box 137"/>
        <xdr:cNvSpPr txBox="1">
          <a:spLocks noChangeArrowheads="1"/>
        </xdr:cNvSpPr>
      </xdr:nvSpPr>
      <xdr:spPr bwMode="auto">
        <a:xfrm>
          <a:off x="1295400" y="5067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40</xdr:row>
      <xdr:rowOff>0</xdr:rowOff>
    </xdr:from>
    <xdr:to>
      <xdr:col>6</xdr:col>
      <xdr:colOff>342900</xdr:colOff>
      <xdr:row>41</xdr:row>
      <xdr:rowOff>85725</xdr:rowOff>
    </xdr:to>
    <xdr:sp macro="" textlink="">
      <xdr:nvSpPr>
        <xdr:cNvPr id="1294" name="Text Box 170"/>
        <xdr:cNvSpPr txBox="1">
          <a:spLocks noChangeArrowheads="1"/>
        </xdr:cNvSpPr>
      </xdr:nvSpPr>
      <xdr:spPr bwMode="auto">
        <a:xfrm>
          <a:off x="1295400" y="50673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295" name="Text Box 438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296" name="Text Box 443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297" name="Text Box 139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298" name="Text Box 42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299" name="Text Box 426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300" name="Text Box 43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301" name="Text Box 448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302" name="Text Box 48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303" name="Text Box 486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304" name="Text Box 139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305" name="Text Box 42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306" name="Text Box 426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307" name="Text Box 43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308" name="Text Box 448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309" name="Text Box 549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310" name="Text Box 554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311" name="Text Box 139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312" name="Text Box 42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313" name="Text Box 426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314" name="Text Box 431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41</xdr:row>
      <xdr:rowOff>0</xdr:rowOff>
    </xdr:from>
    <xdr:to>
      <xdr:col>6</xdr:col>
      <xdr:colOff>342900</xdr:colOff>
      <xdr:row>42</xdr:row>
      <xdr:rowOff>85725</xdr:rowOff>
    </xdr:to>
    <xdr:sp macro="" textlink="">
      <xdr:nvSpPr>
        <xdr:cNvPr id="1315" name="Text Box 448"/>
        <xdr:cNvSpPr txBox="1">
          <a:spLocks noChangeArrowheads="1"/>
        </xdr:cNvSpPr>
      </xdr:nvSpPr>
      <xdr:spPr bwMode="auto">
        <a:xfrm>
          <a:off x="1295400" y="52006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28575</xdr:rowOff>
    </xdr:to>
    <xdr:sp macro="" textlink="">
      <xdr:nvSpPr>
        <xdr:cNvPr id="1316" name="Text Box 125"/>
        <xdr:cNvSpPr txBox="1">
          <a:spLocks noChangeArrowheads="1"/>
        </xdr:cNvSpPr>
      </xdr:nvSpPr>
      <xdr:spPr bwMode="auto">
        <a:xfrm>
          <a:off x="1295400" y="1066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28575</xdr:rowOff>
    </xdr:to>
    <xdr:sp macro="" textlink="">
      <xdr:nvSpPr>
        <xdr:cNvPr id="1317" name="Text Box 160"/>
        <xdr:cNvSpPr txBox="1">
          <a:spLocks noChangeArrowheads="1"/>
        </xdr:cNvSpPr>
      </xdr:nvSpPr>
      <xdr:spPr bwMode="auto">
        <a:xfrm>
          <a:off x="1295400" y="1066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28575</xdr:rowOff>
    </xdr:to>
    <xdr:sp macro="" textlink="">
      <xdr:nvSpPr>
        <xdr:cNvPr id="1318" name="Text Box 182"/>
        <xdr:cNvSpPr txBox="1">
          <a:spLocks noChangeArrowheads="1"/>
        </xdr:cNvSpPr>
      </xdr:nvSpPr>
      <xdr:spPr bwMode="auto">
        <a:xfrm>
          <a:off x="1295400" y="1066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63</xdr:row>
      <xdr:rowOff>0</xdr:rowOff>
    </xdr:from>
    <xdr:to>
      <xdr:col>2</xdr:col>
      <xdr:colOff>342900</xdr:colOff>
      <xdr:row>64</xdr:row>
      <xdr:rowOff>85725</xdr:rowOff>
    </xdr:to>
    <xdr:sp macro="" textlink="">
      <xdr:nvSpPr>
        <xdr:cNvPr id="1319" name="Text Box 137"/>
        <xdr:cNvSpPr txBox="1">
          <a:spLocks noChangeArrowheads="1"/>
        </xdr:cNvSpPr>
      </xdr:nvSpPr>
      <xdr:spPr bwMode="auto">
        <a:xfrm>
          <a:off x="1295400" y="9334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20" name="Text Box 438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21" name="Text Box 443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22" name="Text Box 139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23" name="Text Box 421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24" name="Text Box 426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25" name="Text Box 431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26" name="Text Box 448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27" name="Text Box 481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28" name="Text Box 486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29" name="Text Box 139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30" name="Text Box 421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31" name="Text Box 426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32" name="Text Box 431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33" name="Text Box 448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34" name="Text Box 549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35" name="Text Box 554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36" name="Text Box 139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37" name="Text Box 421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64</xdr:row>
      <xdr:rowOff>0</xdr:rowOff>
    </xdr:from>
    <xdr:to>
      <xdr:col>2</xdr:col>
      <xdr:colOff>342900</xdr:colOff>
      <xdr:row>65</xdr:row>
      <xdr:rowOff>85725</xdr:rowOff>
    </xdr:to>
    <xdr:sp macro="" textlink="">
      <xdr:nvSpPr>
        <xdr:cNvPr id="1338" name="Text Box 426"/>
        <xdr:cNvSpPr txBox="1">
          <a:spLocks noChangeArrowheads="1"/>
        </xdr:cNvSpPr>
      </xdr:nvSpPr>
      <xdr:spPr bwMode="auto">
        <a:xfrm>
          <a:off x="12954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76200</xdr:colOff>
      <xdr:row>16</xdr:row>
      <xdr:rowOff>28575</xdr:rowOff>
    </xdr:to>
    <xdr:sp macro="" textlink="">
      <xdr:nvSpPr>
        <xdr:cNvPr id="1340" name="Text Box 97"/>
        <xdr:cNvSpPr txBox="1">
          <a:spLocks noChangeArrowheads="1"/>
        </xdr:cNvSpPr>
      </xdr:nvSpPr>
      <xdr:spPr bwMode="auto">
        <a:xfrm>
          <a:off x="1028700" y="759809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76200</xdr:colOff>
      <xdr:row>16</xdr:row>
      <xdr:rowOff>28575</xdr:rowOff>
    </xdr:to>
    <xdr:sp macro="" textlink="">
      <xdr:nvSpPr>
        <xdr:cNvPr id="1341" name="Text Box 217"/>
        <xdr:cNvSpPr txBox="1">
          <a:spLocks noChangeArrowheads="1"/>
        </xdr:cNvSpPr>
      </xdr:nvSpPr>
      <xdr:spPr bwMode="auto">
        <a:xfrm>
          <a:off x="1028700" y="7598092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28575</xdr:rowOff>
    </xdr:to>
    <xdr:sp macro="" textlink="">
      <xdr:nvSpPr>
        <xdr:cNvPr id="1342" name="Text Box 125"/>
        <xdr:cNvSpPr txBox="1">
          <a:spLocks noChangeArrowheads="1"/>
        </xdr:cNvSpPr>
      </xdr:nvSpPr>
      <xdr:spPr bwMode="auto">
        <a:xfrm>
          <a:off x="1346200" y="1066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28575</xdr:rowOff>
    </xdr:to>
    <xdr:sp macro="" textlink="">
      <xdr:nvSpPr>
        <xdr:cNvPr id="1343" name="Text Box 160"/>
        <xdr:cNvSpPr txBox="1">
          <a:spLocks noChangeArrowheads="1"/>
        </xdr:cNvSpPr>
      </xdr:nvSpPr>
      <xdr:spPr bwMode="auto">
        <a:xfrm>
          <a:off x="1346200" y="1066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44" name="Text Box 438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45" name="Text Box 443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46" name="Text Box 139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47" name="Text Box 42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48" name="Text Box 426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49" name="Text Box 43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50" name="Text Box 448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51" name="Text Box 48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52" name="Text Box 486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53" name="Text Box 139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54" name="Text Box 42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55" name="Text Box 426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56" name="Text Box 43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57" name="Text Box 448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58" name="Text Box 549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59" name="Text Box 554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60" name="Text Box 139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8</xdr:row>
      <xdr:rowOff>0</xdr:rowOff>
    </xdr:from>
    <xdr:to>
      <xdr:col>3</xdr:col>
      <xdr:colOff>342900</xdr:colOff>
      <xdr:row>9</xdr:row>
      <xdr:rowOff>85725</xdr:rowOff>
    </xdr:to>
    <xdr:sp macro="" textlink="">
      <xdr:nvSpPr>
        <xdr:cNvPr id="1361" name="Text Box 42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28575</xdr:rowOff>
    </xdr:to>
    <xdr:sp macro="" textlink="">
      <xdr:nvSpPr>
        <xdr:cNvPr id="1362" name="Text Box 125"/>
        <xdr:cNvSpPr txBox="1">
          <a:spLocks noChangeArrowheads="1"/>
        </xdr:cNvSpPr>
      </xdr:nvSpPr>
      <xdr:spPr bwMode="auto">
        <a:xfrm>
          <a:off x="1346200" y="1066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28575</xdr:rowOff>
    </xdr:to>
    <xdr:sp macro="" textlink="">
      <xdr:nvSpPr>
        <xdr:cNvPr id="1363" name="Text Box 160"/>
        <xdr:cNvSpPr txBox="1">
          <a:spLocks noChangeArrowheads="1"/>
        </xdr:cNvSpPr>
      </xdr:nvSpPr>
      <xdr:spPr bwMode="auto">
        <a:xfrm>
          <a:off x="1346200" y="1066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64" name="Text Box 438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65" name="Text Box 443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66" name="Text Box 139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67" name="Text Box 42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68" name="Text Box 426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69" name="Text Box 43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70" name="Text Box 448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71" name="Text Box 48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72" name="Text Box 486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73" name="Text Box 139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74" name="Text Box 42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75" name="Text Box 426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76" name="Text Box 43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77" name="Text Box 448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78" name="Text Box 549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79" name="Text Box 554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80" name="Text Box 139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266700</xdr:colOff>
      <xdr:row>8</xdr:row>
      <xdr:rowOff>0</xdr:rowOff>
    </xdr:from>
    <xdr:to>
      <xdr:col>4</xdr:col>
      <xdr:colOff>342900</xdr:colOff>
      <xdr:row>9</xdr:row>
      <xdr:rowOff>85725</xdr:rowOff>
    </xdr:to>
    <xdr:sp macro="" textlink="">
      <xdr:nvSpPr>
        <xdr:cNvPr id="1381" name="Text Box 42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28575</xdr:rowOff>
    </xdr:to>
    <xdr:sp macro="" textlink="">
      <xdr:nvSpPr>
        <xdr:cNvPr id="1382" name="Text Box 125"/>
        <xdr:cNvSpPr txBox="1">
          <a:spLocks noChangeArrowheads="1"/>
        </xdr:cNvSpPr>
      </xdr:nvSpPr>
      <xdr:spPr bwMode="auto">
        <a:xfrm>
          <a:off x="1346200" y="1066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28575</xdr:rowOff>
    </xdr:to>
    <xdr:sp macro="" textlink="">
      <xdr:nvSpPr>
        <xdr:cNvPr id="1383" name="Text Box 160"/>
        <xdr:cNvSpPr txBox="1">
          <a:spLocks noChangeArrowheads="1"/>
        </xdr:cNvSpPr>
      </xdr:nvSpPr>
      <xdr:spPr bwMode="auto">
        <a:xfrm>
          <a:off x="1346200" y="1066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384" name="Text Box 438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385" name="Text Box 443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386" name="Text Box 139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387" name="Text Box 42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388" name="Text Box 426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389" name="Text Box 43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390" name="Text Box 448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391" name="Text Box 48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392" name="Text Box 486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393" name="Text Box 139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394" name="Text Box 42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395" name="Text Box 426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396" name="Text Box 43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397" name="Text Box 448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398" name="Text Box 549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399" name="Text Box 554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</xdr:row>
      <xdr:rowOff>0</xdr:rowOff>
    </xdr:from>
    <xdr:to>
      <xdr:col>5</xdr:col>
      <xdr:colOff>342900</xdr:colOff>
      <xdr:row>9</xdr:row>
      <xdr:rowOff>85725</xdr:rowOff>
    </xdr:to>
    <xdr:sp macro="" textlink="">
      <xdr:nvSpPr>
        <xdr:cNvPr id="1400" name="Text Box 139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28575</xdr:rowOff>
    </xdr:to>
    <xdr:sp macro="" textlink="">
      <xdr:nvSpPr>
        <xdr:cNvPr id="1402" name="Text Box 125"/>
        <xdr:cNvSpPr txBox="1">
          <a:spLocks noChangeArrowheads="1"/>
        </xdr:cNvSpPr>
      </xdr:nvSpPr>
      <xdr:spPr bwMode="auto">
        <a:xfrm>
          <a:off x="1346200" y="1066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28575</xdr:rowOff>
    </xdr:to>
    <xdr:sp macro="" textlink="">
      <xdr:nvSpPr>
        <xdr:cNvPr id="1403" name="Text Box 160"/>
        <xdr:cNvSpPr txBox="1">
          <a:spLocks noChangeArrowheads="1"/>
        </xdr:cNvSpPr>
      </xdr:nvSpPr>
      <xdr:spPr bwMode="auto">
        <a:xfrm>
          <a:off x="1346200" y="1066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04" name="Text Box 438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05" name="Text Box 443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06" name="Text Box 139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07" name="Text Box 42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08" name="Text Box 426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09" name="Text Box 43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10" name="Text Box 448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11" name="Text Box 48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12" name="Text Box 486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13" name="Text Box 139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14" name="Text Box 42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15" name="Text Box 426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16" name="Text Box 431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17" name="Text Box 448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18" name="Text Box 549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19" name="Text Box 554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20" name="Text Box 139"/>
        <xdr:cNvSpPr txBox="1">
          <a:spLocks noChangeArrowheads="1"/>
        </xdr:cNvSpPr>
      </xdr:nvSpPr>
      <xdr:spPr bwMode="auto">
        <a:xfrm>
          <a:off x="134620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200</xdr:row>
      <xdr:rowOff>0</xdr:rowOff>
    </xdr:from>
    <xdr:to>
      <xdr:col>2</xdr:col>
      <xdr:colOff>342900</xdr:colOff>
      <xdr:row>201</xdr:row>
      <xdr:rowOff>85725</xdr:rowOff>
    </xdr:to>
    <xdr:sp macro="" textlink="">
      <xdr:nvSpPr>
        <xdr:cNvPr id="1422" name="Text Box 105"/>
        <xdr:cNvSpPr txBox="1">
          <a:spLocks noChangeArrowheads="1"/>
        </xdr:cNvSpPr>
      </xdr:nvSpPr>
      <xdr:spPr bwMode="auto">
        <a:xfrm>
          <a:off x="1346200" y="19469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200</xdr:row>
      <xdr:rowOff>0</xdr:rowOff>
    </xdr:from>
    <xdr:to>
      <xdr:col>2</xdr:col>
      <xdr:colOff>342900</xdr:colOff>
      <xdr:row>201</xdr:row>
      <xdr:rowOff>85725</xdr:rowOff>
    </xdr:to>
    <xdr:sp macro="" textlink="">
      <xdr:nvSpPr>
        <xdr:cNvPr id="1423" name="Text Box 207"/>
        <xdr:cNvSpPr txBox="1">
          <a:spLocks noChangeArrowheads="1"/>
        </xdr:cNvSpPr>
      </xdr:nvSpPr>
      <xdr:spPr bwMode="auto">
        <a:xfrm>
          <a:off x="1346200" y="19469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76200</xdr:colOff>
      <xdr:row>201</xdr:row>
      <xdr:rowOff>85725</xdr:rowOff>
    </xdr:to>
    <xdr:sp macro="" textlink="">
      <xdr:nvSpPr>
        <xdr:cNvPr id="1424" name="Text Box 105"/>
        <xdr:cNvSpPr txBox="1">
          <a:spLocks noChangeArrowheads="1"/>
        </xdr:cNvSpPr>
      </xdr:nvSpPr>
      <xdr:spPr bwMode="auto">
        <a:xfrm>
          <a:off x="1079500" y="19469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76200</xdr:colOff>
      <xdr:row>201</xdr:row>
      <xdr:rowOff>85725</xdr:rowOff>
    </xdr:to>
    <xdr:sp macro="" textlink="">
      <xdr:nvSpPr>
        <xdr:cNvPr id="1425" name="Text Box 207"/>
        <xdr:cNvSpPr txBox="1">
          <a:spLocks noChangeArrowheads="1"/>
        </xdr:cNvSpPr>
      </xdr:nvSpPr>
      <xdr:spPr bwMode="auto">
        <a:xfrm>
          <a:off x="1079500" y="19469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26" name="Text Box 139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27" name="Text Box 421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28" name="Text Box 426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29" name="Text Box 431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30" name="Text Box 448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31" name="Text Box 117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32" name="Text Box 192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205</xdr:row>
      <xdr:rowOff>85725</xdr:rowOff>
    </xdr:to>
    <xdr:sp macro="" textlink="">
      <xdr:nvSpPr>
        <xdr:cNvPr id="1433" name="Text Box 125"/>
        <xdr:cNvSpPr txBox="1">
          <a:spLocks noChangeArrowheads="1"/>
        </xdr:cNvSpPr>
      </xdr:nvSpPr>
      <xdr:spPr bwMode="auto">
        <a:xfrm>
          <a:off x="1346200" y="20002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205</xdr:row>
      <xdr:rowOff>85725</xdr:rowOff>
    </xdr:to>
    <xdr:sp macro="" textlink="">
      <xdr:nvSpPr>
        <xdr:cNvPr id="1434" name="Text Box 160"/>
        <xdr:cNvSpPr txBox="1">
          <a:spLocks noChangeArrowheads="1"/>
        </xdr:cNvSpPr>
      </xdr:nvSpPr>
      <xdr:spPr bwMode="auto">
        <a:xfrm>
          <a:off x="1346200" y="20002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205</xdr:row>
      <xdr:rowOff>85725</xdr:rowOff>
    </xdr:to>
    <xdr:sp macro="" textlink="">
      <xdr:nvSpPr>
        <xdr:cNvPr id="1435" name="Text Box 182"/>
        <xdr:cNvSpPr txBox="1">
          <a:spLocks noChangeArrowheads="1"/>
        </xdr:cNvSpPr>
      </xdr:nvSpPr>
      <xdr:spPr bwMode="auto">
        <a:xfrm>
          <a:off x="1346200" y="200025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203</xdr:row>
      <xdr:rowOff>0</xdr:rowOff>
    </xdr:from>
    <xdr:to>
      <xdr:col>2</xdr:col>
      <xdr:colOff>342900</xdr:colOff>
      <xdr:row>205</xdr:row>
      <xdr:rowOff>9525</xdr:rowOff>
    </xdr:to>
    <xdr:sp macro="" textlink="">
      <xdr:nvSpPr>
        <xdr:cNvPr id="1436" name="Text Box 137"/>
        <xdr:cNvSpPr txBox="1">
          <a:spLocks noChangeArrowheads="1"/>
        </xdr:cNvSpPr>
      </xdr:nvSpPr>
      <xdr:spPr bwMode="auto">
        <a:xfrm>
          <a:off x="1346200" y="198691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38" name="Text Box 438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39" name="Text Box 443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40" name="Text Box 139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41" name="Text Box 421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42" name="Text Box 426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43" name="Text Box 431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44" name="Text Box 448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45" name="Text Box 481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46" name="Text Box 486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47" name="Text Box 139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48" name="Text Box 421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49" name="Text Box 426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204</xdr:row>
      <xdr:rowOff>0</xdr:rowOff>
    </xdr:from>
    <xdr:to>
      <xdr:col>2</xdr:col>
      <xdr:colOff>342900</xdr:colOff>
      <xdr:row>206</xdr:row>
      <xdr:rowOff>9525</xdr:rowOff>
    </xdr:to>
    <xdr:sp macro="" textlink="">
      <xdr:nvSpPr>
        <xdr:cNvPr id="1450" name="Text Box 431"/>
        <xdr:cNvSpPr txBox="1">
          <a:spLocks noChangeArrowheads="1"/>
        </xdr:cNvSpPr>
      </xdr:nvSpPr>
      <xdr:spPr bwMode="auto">
        <a:xfrm>
          <a:off x="1346200" y="200025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197</xdr:row>
      <xdr:rowOff>0</xdr:rowOff>
    </xdr:from>
    <xdr:to>
      <xdr:col>2</xdr:col>
      <xdr:colOff>371475</xdr:colOff>
      <xdr:row>197</xdr:row>
      <xdr:rowOff>28575</xdr:rowOff>
    </xdr:to>
    <xdr:sp macro="" textlink="">
      <xdr:nvSpPr>
        <xdr:cNvPr id="1459" name="Text Box 587"/>
        <xdr:cNvSpPr txBox="1">
          <a:spLocks noChangeArrowheads="1"/>
        </xdr:cNvSpPr>
      </xdr:nvSpPr>
      <xdr:spPr bwMode="auto">
        <a:xfrm>
          <a:off x="1346200" y="190690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197</xdr:row>
      <xdr:rowOff>0</xdr:rowOff>
    </xdr:from>
    <xdr:to>
      <xdr:col>2</xdr:col>
      <xdr:colOff>371475</xdr:colOff>
      <xdr:row>197</xdr:row>
      <xdr:rowOff>28575</xdr:rowOff>
    </xdr:to>
    <xdr:sp macro="" textlink="">
      <xdr:nvSpPr>
        <xdr:cNvPr id="1460" name="Text Box 588"/>
        <xdr:cNvSpPr txBox="1">
          <a:spLocks noChangeArrowheads="1"/>
        </xdr:cNvSpPr>
      </xdr:nvSpPr>
      <xdr:spPr bwMode="auto">
        <a:xfrm>
          <a:off x="1346200" y="190690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208</xdr:row>
      <xdr:rowOff>0</xdr:rowOff>
    </xdr:from>
    <xdr:to>
      <xdr:col>2</xdr:col>
      <xdr:colOff>371475</xdr:colOff>
      <xdr:row>208</xdr:row>
      <xdr:rowOff>28575</xdr:rowOff>
    </xdr:to>
    <xdr:sp macro="" textlink="">
      <xdr:nvSpPr>
        <xdr:cNvPr id="1461" name="Text Box 534"/>
        <xdr:cNvSpPr txBox="1">
          <a:spLocks noChangeArrowheads="1"/>
        </xdr:cNvSpPr>
      </xdr:nvSpPr>
      <xdr:spPr bwMode="auto">
        <a:xfrm>
          <a:off x="1346200" y="205359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208</xdr:row>
      <xdr:rowOff>0</xdr:rowOff>
    </xdr:from>
    <xdr:to>
      <xdr:col>2</xdr:col>
      <xdr:colOff>371475</xdr:colOff>
      <xdr:row>208</xdr:row>
      <xdr:rowOff>28575</xdr:rowOff>
    </xdr:to>
    <xdr:sp macro="" textlink="">
      <xdr:nvSpPr>
        <xdr:cNvPr id="1462" name="Text Box 539"/>
        <xdr:cNvSpPr txBox="1">
          <a:spLocks noChangeArrowheads="1"/>
        </xdr:cNvSpPr>
      </xdr:nvSpPr>
      <xdr:spPr bwMode="auto">
        <a:xfrm>
          <a:off x="1346200" y="205359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208</xdr:row>
      <xdr:rowOff>0</xdr:rowOff>
    </xdr:from>
    <xdr:to>
      <xdr:col>2</xdr:col>
      <xdr:colOff>342900</xdr:colOff>
      <xdr:row>209</xdr:row>
      <xdr:rowOff>85725</xdr:rowOff>
    </xdr:to>
    <xdr:sp macro="" textlink="">
      <xdr:nvSpPr>
        <xdr:cNvPr id="1463" name="Text Box 139"/>
        <xdr:cNvSpPr txBox="1">
          <a:spLocks noChangeArrowheads="1"/>
        </xdr:cNvSpPr>
      </xdr:nvSpPr>
      <xdr:spPr bwMode="auto">
        <a:xfrm>
          <a:off x="1346200" y="20535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208</xdr:row>
      <xdr:rowOff>0</xdr:rowOff>
    </xdr:from>
    <xdr:to>
      <xdr:col>2</xdr:col>
      <xdr:colOff>342900</xdr:colOff>
      <xdr:row>209</xdr:row>
      <xdr:rowOff>85725</xdr:rowOff>
    </xdr:to>
    <xdr:sp macro="" textlink="">
      <xdr:nvSpPr>
        <xdr:cNvPr id="1464" name="Text Box 421"/>
        <xdr:cNvSpPr txBox="1">
          <a:spLocks noChangeArrowheads="1"/>
        </xdr:cNvSpPr>
      </xdr:nvSpPr>
      <xdr:spPr bwMode="auto">
        <a:xfrm>
          <a:off x="1346200" y="20535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208</xdr:row>
      <xdr:rowOff>0</xdr:rowOff>
    </xdr:from>
    <xdr:to>
      <xdr:col>2</xdr:col>
      <xdr:colOff>342900</xdr:colOff>
      <xdr:row>209</xdr:row>
      <xdr:rowOff>85725</xdr:rowOff>
    </xdr:to>
    <xdr:sp macro="" textlink="">
      <xdr:nvSpPr>
        <xdr:cNvPr id="1465" name="Text Box 426"/>
        <xdr:cNvSpPr txBox="1">
          <a:spLocks noChangeArrowheads="1"/>
        </xdr:cNvSpPr>
      </xdr:nvSpPr>
      <xdr:spPr bwMode="auto">
        <a:xfrm>
          <a:off x="1346200" y="20535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208</xdr:row>
      <xdr:rowOff>0</xdr:rowOff>
    </xdr:from>
    <xdr:to>
      <xdr:col>2</xdr:col>
      <xdr:colOff>342900</xdr:colOff>
      <xdr:row>209</xdr:row>
      <xdr:rowOff>85725</xdr:rowOff>
    </xdr:to>
    <xdr:sp macro="" textlink="">
      <xdr:nvSpPr>
        <xdr:cNvPr id="1466" name="Text Box 431"/>
        <xdr:cNvSpPr txBox="1">
          <a:spLocks noChangeArrowheads="1"/>
        </xdr:cNvSpPr>
      </xdr:nvSpPr>
      <xdr:spPr bwMode="auto">
        <a:xfrm>
          <a:off x="1346200" y="20535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208</xdr:row>
      <xdr:rowOff>0</xdr:rowOff>
    </xdr:from>
    <xdr:to>
      <xdr:col>2</xdr:col>
      <xdr:colOff>342900</xdr:colOff>
      <xdr:row>209</xdr:row>
      <xdr:rowOff>85725</xdr:rowOff>
    </xdr:to>
    <xdr:sp macro="" textlink="">
      <xdr:nvSpPr>
        <xdr:cNvPr id="1467" name="Text Box 448"/>
        <xdr:cNvSpPr txBox="1">
          <a:spLocks noChangeArrowheads="1"/>
        </xdr:cNvSpPr>
      </xdr:nvSpPr>
      <xdr:spPr bwMode="auto">
        <a:xfrm>
          <a:off x="1346200" y="20535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28575</xdr:rowOff>
    </xdr:to>
    <xdr:sp macro="" textlink="">
      <xdr:nvSpPr>
        <xdr:cNvPr id="1437" name="Text Box 125"/>
        <xdr:cNvSpPr txBox="1">
          <a:spLocks noChangeArrowheads="1"/>
        </xdr:cNvSpPr>
      </xdr:nvSpPr>
      <xdr:spPr bwMode="auto">
        <a:xfrm>
          <a:off x="3003550" y="1066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28575</xdr:rowOff>
    </xdr:to>
    <xdr:sp macro="" textlink="">
      <xdr:nvSpPr>
        <xdr:cNvPr id="1451" name="Text Box 160"/>
        <xdr:cNvSpPr txBox="1">
          <a:spLocks noChangeArrowheads="1"/>
        </xdr:cNvSpPr>
      </xdr:nvSpPr>
      <xdr:spPr bwMode="auto">
        <a:xfrm>
          <a:off x="3003550" y="10668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52" name="Text Box 438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53" name="Text Box 443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54" name="Text Box 139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55" name="Text Box 421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56" name="Text Box 426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57" name="Text Box 431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58" name="Text Box 448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68" name="Text Box 481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69" name="Text Box 486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70" name="Text Box 139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71" name="Text Box 421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72" name="Text Box 426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73" name="Text Box 431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74" name="Text Box 448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75" name="Text Box 549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76" name="Text Box 554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266700</xdr:colOff>
      <xdr:row>8</xdr:row>
      <xdr:rowOff>0</xdr:rowOff>
    </xdr:from>
    <xdr:to>
      <xdr:col>6</xdr:col>
      <xdr:colOff>342900</xdr:colOff>
      <xdr:row>9</xdr:row>
      <xdr:rowOff>85725</xdr:rowOff>
    </xdr:to>
    <xdr:sp macro="" textlink="">
      <xdr:nvSpPr>
        <xdr:cNvPr id="1477" name="Text Box 139"/>
        <xdr:cNvSpPr txBox="1">
          <a:spLocks noChangeArrowheads="1"/>
        </xdr:cNvSpPr>
      </xdr:nvSpPr>
      <xdr:spPr bwMode="auto">
        <a:xfrm>
          <a:off x="3003550" y="106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28575</xdr:rowOff>
    </xdr:to>
    <xdr:sp macro="" textlink="">
      <xdr:nvSpPr>
        <xdr:cNvPr id="1478" name="Text Box 125"/>
        <xdr:cNvSpPr txBox="1">
          <a:spLocks noChangeArrowheads="1"/>
        </xdr:cNvSpPr>
      </xdr:nvSpPr>
      <xdr:spPr bwMode="auto">
        <a:xfrm>
          <a:off x="1085850" y="85344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28575</xdr:rowOff>
    </xdr:to>
    <xdr:sp macro="" textlink="">
      <xdr:nvSpPr>
        <xdr:cNvPr id="1479" name="Text Box 160"/>
        <xdr:cNvSpPr txBox="1">
          <a:spLocks noChangeArrowheads="1"/>
        </xdr:cNvSpPr>
      </xdr:nvSpPr>
      <xdr:spPr bwMode="auto">
        <a:xfrm>
          <a:off x="1085850" y="85344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28575</xdr:rowOff>
    </xdr:to>
    <xdr:sp macro="" textlink="">
      <xdr:nvSpPr>
        <xdr:cNvPr id="1480" name="Text Box 182"/>
        <xdr:cNvSpPr txBox="1">
          <a:spLocks noChangeArrowheads="1"/>
        </xdr:cNvSpPr>
      </xdr:nvSpPr>
      <xdr:spPr bwMode="auto">
        <a:xfrm>
          <a:off x="1085850" y="85344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81" name="Text Box 438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82" name="Text Box 443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83" name="Text Box 139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84" name="Text Box 42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85" name="Text Box 426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86" name="Text Box 43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87" name="Text Box 448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88" name="Text Box 48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89" name="Text Box 486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90" name="Text Box 139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91" name="Text Box 42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92" name="Text Box 426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93" name="Text Box 43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94" name="Text Box 448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95" name="Text Box 549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96" name="Text Box 554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97" name="Text Box 139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98" name="Text Box 42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499" name="Text Box 426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65</xdr:row>
      <xdr:rowOff>0</xdr:rowOff>
    </xdr:from>
    <xdr:to>
      <xdr:col>2</xdr:col>
      <xdr:colOff>342900</xdr:colOff>
      <xdr:row>66</xdr:row>
      <xdr:rowOff>85725</xdr:rowOff>
    </xdr:to>
    <xdr:sp macro="" textlink="">
      <xdr:nvSpPr>
        <xdr:cNvPr id="1500" name="Text Box 43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28575</xdr:rowOff>
    </xdr:to>
    <xdr:sp macro="" textlink="">
      <xdr:nvSpPr>
        <xdr:cNvPr id="1501" name="Text Box 125"/>
        <xdr:cNvSpPr txBox="1">
          <a:spLocks noChangeArrowheads="1"/>
        </xdr:cNvSpPr>
      </xdr:nvSpPr>
      <xdr:spPr bwMode="auto">
        <a:xfrm>
          <a:off x="1085850" y="85344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28575</xdr:rowOff>
    </xdr:to>
    <xdr:sp macro="" textlink="">
      <xdr:nvSpPr>
        <xdr:cNvPr id="1502" name="Text Box 160"/>
        <xdr:cNvSpPr txBox="1">
          <a:spLocks noChangeArrowheads="1"/>
        </xdr:cNvSpPr>
      </xdr:nvSpPr>
      <xdr:spPr bwMode="auto">
        <a:xfrm>
          <a:off x="1085850" y="85344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28575</xdr:rowOff>
    </xdr:to>
    <xdr:sp macro="" textlink="">
      <xdr:nvSpPr>
        <xdr:cNvPr id="1503" name="Text Box 182"/>
        <xdr:cNvSpPr txBox="1">
          <a:spLocks noChangeArrowheads="1"/>
        </xdr:cNvSpPr>
      </xdr:nvSpPr>
      <xdr:spPr bwMode="auto">
        <a:xfrm>
          <a:off x="1085850" y="85344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04" name="Text Box 438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05" name="Text Box 443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06" name="Text Box 139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07" name="Text Box 42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08" name="Text Box 426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09" name="Text Box 43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10" name="Text Box 448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11" name="Text Box 48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12" name="Text Box 486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13" name="Text Box 139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14" name="Text Box 42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15" name="Text Box 426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16" name="Text Box 43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17" name="Text Box 448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18" name="Text Box 549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19" name="Text Box 554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20" name="Text Box 139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21" name="Text Box 42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22" name="Text Box 426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66</xdr:row>
      <xdr:rowOff>0</xdr:rowOff>
    </xdr:from>
    <xdr:to>
      <xdr:col>2</xdr:col>
      <xdr:colOff>342900</xdr:colOff>
      <xdr:row>67</xdr:row>
      <xdr:rowOff>85725</xdr:rowOff>
    </xdr:to>
    <xdr:sp macro="" textlink="">
      <xdr:nvSpPr>
        <xdr:cNvPr id="1523" name="Text Box 43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28575</xdr:rowOff>
    </xdr:to>
    <xdr:sp macro="" textlink="">
      <xdr:nvSpPr>
        <xdr:cNvPr id="1524" name="Text Box 125"/>
        <xdr:cNvSpPr txBox="1">
          <a:spLocks noChangeArrowheads="1"/>
        </xdr:cNvSpPr>
      </xdr:nvSpPr>
      <xdr:spPr bwMode="auto">
        <a:xfrm>
          <a:off x="1085850" y="8667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28575</xdr:rowOff>
    </xdr:to>
    <xdr:sp macro="" textlink="">
      <xdr:nvSpPr>
        <xdr:cNvPr id="1525" name="Text Box 160"/>
        <xdr:cNvSpPr txBox="1">
          <a:spLocks noChangeArrowheads="1"/>
        </xdr:cNvSpPr>
      </xdr:nvSpPr>
      <xdr:spPr bwMode="auto">
        <a:xfrm>
          <a:off x="1085850" y="8667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28575</xdr:rowOff>
    </xdr:to>
    <xdr:sp macro="" textlink="">
      <xdr:nvSpPr>
        <xdr:cNvPr id="1526" name="Text Box 182"/>
        <xdr:cNvSpPr txBox="1">
          <a:spLocks noChangeArrowheads="1"/>
        </xdr:cNvSpPr>
      </xdr:nvSpPr>
      <xdr:spPr bwMode="auto">
        <a:xfrm>
          <a:off x="1085850" y="8667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27" name="Text Box 438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28" name="Text Box 443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29" name="Text Box 139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30" name="Text Box 421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31" name="Text Box 426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32" name="Text Box 431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33" name="Text Box 448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34" name="Text Box 481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35" name="Text Box 486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36" name="Text Box 139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37" name="Text Box 421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38" name="Text Box 426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39" name="Text Box 431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40" name="Text Box 448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41" name="Text Box 549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42" name="Text Box 554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43" name="Text Box 139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44" name="Text Box 421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45" name="Text Box 426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46" name="Text Box 431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28575</xdr:rowOff>
    </xdr:to>
    <xdr:sp macro="" textlink="">
      <xdr:nvSpPr>
        <xdr:cNvPr id="1547" name="Text Box 125"/>
        <xdr:cNvSpPr txBox="1">
          <a:spLocks noChangeArrowheads="1"/>
        </xdr:cNvSpPr>
      </xdr:nvSpPr>
      <xdr:spPr bwMode="auto">
        <a:xfrm>
          <a:off x="1085850" y="85344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28575</xdr:rowOff>
    </xdr:to>
    <xdr:sp macro="" textlink="">
      <xdr:nvSpPr>
        <xdr:cNvPr id="1548" name="Text Box 160"/>
        <xdr:cNvSpPr txBox="1">
          <a:spLocks noChangeArrowheads="1"/>
        </xdr:cNvSpPr>
      </xdr:nvSpPr>
      <xdr:spPr bwMode="auto">
        <a:xfrm>
          <a:off x="1085850" y="85344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28575</xdr:rowOff>
    </xdr:to>
    <xdr:sp macro="" textlink="">
      <xdr:nvSpPr>
        <xdr:cNvPr id="1549" name="Text Box 182"/>
        <xdr:cNvSpPr txBox="1">
          <a:spLocks noChangeArrowheads="1"/>
        </xdr:cNvSpPr>
      </xdr:nvSpPr>
      <xdr:spPr bwMode="auto">
        <a:xfrm>
          <a:off x="1085850" y="85344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50" name="Text Box 438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51" name="Text Box 443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52" name="Text Box 139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53" name="Text Box 42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54" name="Text Box 426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55" name="Text Box 43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56" name="Text Box 448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57" name="Text Box 48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58" name="Text Box 486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59" name="Text Box 139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60" name="Text Box 42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61" name="Text Box 426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62" name="Text Box 43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63" name="Text Box 448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64" name="Text Box 549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65" name="Text Box 554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66" name="Text Box 139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67" name="Text Box 42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68" name="Text Box 426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67</xdr:row>
      <xdr:rowOff>0</xdr:rowOff>
    </xdr:from>
    <xdr:to>
      <xdr:col>2</xdr:col>
      <xdr:colOff>342900</xdr:colOff>
      <xdr:row>68</xdr:row>
      <xdr:rowOff>85725</xdr:rowOff>
    </xdr:to>
    <xdr:sp macro="" textlink="">
      <xdr:nvSpPr>
        <xdr:cNvPr id="1569" name="Text Box 431"/>
        <xdr:cNvSpPr txBox="1">
          <a:spLocks noChangeArrowheads="1"/>
        </xdr:cNvSpPr>
      </xdr:nvSpPr>
      <xdr:spPr bwMode="auto">
        <a:xfrm>
          <a:off x="1085850" y="8534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28575</xdr:rowOff>
    </xdr:to>
    <xdr:sp macro="" textlink="">
      <xdr:nvSpPr>
        <xdr:cNvPr id="1570" name="Text Box 125"/>
        <xdr:cNvSpPr txBox="1">
          <a:spLocks noChangeArrowheads="1"/>
        </xdr:cNvSpPr>
      </xdr:nvSpPr>
      <xdr:spPr bwMode="auto">
        <a:xfrm>
          <a:off x="1085850" y="8667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28575</xdr:rowOff>
    </xdr:to>
    <xdr:sp macro="" textlink="">
      <xdr:nvSpPr>
        <xdr:cNvPr id="1571" name="Text Box 160"/>
        <xdr:cNvSpPr txBox="1">
          <a:spLocks noChangeArrowheads="1"/>
        </xdr:cNvSpPr>
      </xdr:nvSpPr>
      <xdr:spPr bwMode="auto">
        <a:xfrm>
          <a:off x="1085850" y="8667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28575</xdr:rowOff>
    </xdr:to>
    <xdr:sp macro="" textlink="">
      <xdr:nvSpPr>
        <xdr:cNvPr id="1572" name="Text Box 182"/>
        <xdr:cNvSpPr txBox="1">
          <a:spLocks noChangeArrowheads="1"/>
        </xdr:cNvSpPr>
      </xdr:nvSpPr>
      <xdr:spPr bwMode="auto">
        <a:xfrm>
          <a:off x="1085850" y="86677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73" name="Text Box 438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74" name="Text Box 443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75" name="Text Box 139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76" name="Text Box 421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77" name="Text Box 426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78" name="Text Box 431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79" name="Text Box 448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80" name="Text Box 481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81" name="Text Box 486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82" name="Text Box 139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83" name="Text Box 421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84" name="Text Box 426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85" name="Text Box 431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86" name="Text Box 448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87" name="Text Box 549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88" name="Text Box 554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89" name="Text Box 139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90" name="Text Box 421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68</xdr:row>
      <xdr:rowOff>0</xdr:rowOff>
    </xdr:from>
    <xdr:to>
      <xdr:col>2</xdr:col>
      <xdr:colOff>342900</xdr:colOff>
      <xdr:row>69</xdr:row>
      <xdr:rowOff>85725</xdr:rowOff>
    </xdr:to>
    <xdr:sp macro="" textlink="">
      <xdr:nvSpPr>
        <xdr:cNvPr id="1591" name="Text Box 426"/>
        <xdr:cNvSpPr txBox="1">
          <a:spLocks noChangeArrowheads="1"/>
        </xdr:cNvSpPr>
      </xdr:nvSpPr>
      <xdr:spPr bwMode="auto">
        <a:xfrm>
          <a:off x="1085850" y="8667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476250</xdr:colOff>
      <xdr:row>65</xdr:row>
      <xdr:rowOff>25400</xdr:rowOff>
    </xdr:from>
    <xdr:to>
      <xdr:col>5</xdr:col>
      <xdr:colOff>552450</xdr:colOff>
      <xdr:row>66</xdr:row>
      <xdr:rowOff>111125</xdr:rowOff>
    </xdr:to>
    <xdr:sp macro="" textlink="">
      <xdr:nvSpPr>
        <xdr:cNvPr id="1592" name="Text Box 431"/>
        <xdr:cNvSpPr txBox="1">
          <a:spLocks noChangeArrowheads="1"/>
        </xdr:cNvSpPr>
      </xdr:nvSpPr>
      <xdr:spPr bwMode="auto">
        <a:xfrm>
          <a:off x="3213100" y="86931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76200</xdr:colOff>
      <xdr:row>224</xdr:row>
      <xdr:rowOff>9525</xdr:rowOff>
    </xdr:to>
    <xdr:sp macro="" textlink="">
      <xdr:nvSpPr>
        <xdr:cNvPr id="1632" name="Text Box 89"/>
        <xdr:cNvSpPr txBox="1">
          <a:spLocks noChangeArrowheads="1"/>
        </xdr:cNvSpPr>
      </xdr:nvSpPr>
      <xdr:spPr bwMode="auto">
        <a:xfrm>
          <a:off x="819150" y="273367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76200</xdr:colOff>
      <xdr:row>224</xdr:row>
      <xdr:rowOff>9525</xdr:rowOff>
    </xdr:to>
    <xdr:sp macro="" textlink="">
      <xdr:nvSpPr>
        <xdr:cNvPr id="1633" name="Text Box 227"/>
        <xdr:cNvSpPr txBox="1">
          <a:spLocks noChangeArrowheads="1"/>
        </xdr:cNvSpPr>
      </xdr:nvSpPr>
      <xdr:spPr bwMode="auto">
        <a:xfrm>
          <a:off x="819150" y="273367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217</xdr:row>
      <xdr:rowOff>0</xdr:rowOff>
    </xdr:from>
    <xdr:to>
      <xdr:col>2</xdr:col>
      <xdr:colOff>342900</xdr:colOff>
      <xdr:row>218</xdr:row>
      <xdr:rowOff>85725</xdr:rowOff>
    </xdr:to>
    <xdr:sp macro="" textlink="">
      <xdr:nvSpPr>
        <xdr:cNvPr id="1634" name="Text Box 105"/>
        <xdr:cNvSpPr txBox="1">
          <a:spLocks noChangeArrowheads="1"/>
        </xdr:cNvSpPr>
      </xdr:nvSpPr>
      <xdr:spPr bwMode="auto">
        <a:xfrm>
          <a:off x="1085850" y="2667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217</xdr:row>
      <xdr:rowOff>0</xdr:rowOff>
    </xdr:from>
    <xdr:to>
      <xdr:col>2</xdr:col>
      <xdr:colOff>342900</xdr:colOff>
      <xdr:row>218</xdr:row>
      <xdr:rowOff>85725</xdr:rowOff>
    </xdr:to>
    <xdr:sp macro="" textlink="">
      <xdr:nvSpPr>
        <xdr:cNvPr id="1635" name="Text Box 207"/>
        <xdr:cNvSpPr txBox="1">
          <a:spLocks noChangeArrowheads="1"/>
        </xdr:cNvSpPr>
      </xdr:nvSpPr>
      <xdr:spPr bwMode="auto">
        <a:xfrm>
          <a:off x="1085850" y="2667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76200</xdr:colOff>
      <xdr:row>218</xdr:row>
      <xdr:rowOff>85725</xdr:rowOff>
    </xdr:to>
    <xdr:sp macro="" textlink="">
      <xdr:nvSpPr>
        <xdr:cNvPr id="1636" name="Text Box 105"/>
        <xdr:cNvSpPr txBox="1">
          <a:spLocks noChangeArrowheads="1"/>
        </xdr:cNvSpPr>
      </xdr:nvSpPr>
      <xdr:spPr bwMode="auto">
        <a:xfrm>
          <a:off x="819150" y="2667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76200</xdr:colOff>
      <xdr:row>218</xdr:row>
      <xdr:rowOff>85725</xdr:rowOff>
    </xdr:to>
    <xdr:sp macro="" textlink="">
      <xdr:nvSpPr>
        <xdr:cNvPr id="1637" name="Text Box 207"/>
        <xdr:cNvSpPr txBox="1">
          <a:spLocks noChangeArrowheads="1"/>
        </xdr:cNvSpPr>
      </xdr:nvSpPr>
      <xdr:spPr bwMode="auto">
        <a:xfrm>
          <a:off x="819150" y="266700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38" name="Text Box 139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39" name="Text Box 421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40" name="Text Box 426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41" name="Text Box 431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42" name="Text Box 448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43" name="Text Box 117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44" name="Text Box 192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85725</xdr:rowOff>
    </xdr:to>
    <xdr:sp macro="" textlink="">
      <xdr:nvSpPr>
        <xdr:cNvPr id="1645" name="Text Box 125"/>
        <xdr:cNvSpPr txBox="1">
          <a:spLocks noChangeArrowheads="1"/>
        </xdr:cNvSpPr>
      </xdr:nvSpPr>
      <xdr:spPr bwMode="auto">
        <a:xfrm>
          <a:off x="1085850" y="27203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85725</xdr:rowOff>
    </xdr:to>
    <xdr:sp macro="" textlink="">
      <xdr:nvSpPr>
        <xdr:cNvPr id="1646" name="Text Box 160"/>
        <xdr:cNvSpPr txBox="1">
          <a:spLocks noChangeArrowheads="1"/>
        </xdr:cNvSpPr>
      </xdr:nvSpPr>
      <xdr:spPr bwMode="auto">
        <a:xfrm>
          <a:off x="1085850" y="27203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222</xdr:row>
      <xdr:rowOff>85725</xdr:rowOff>
    </xdr:to>
    <xdr:sp macro="" textlink="">
      <xdr:nvSpPr>
        <xdr:cNvPr id="1647" name="Text Box 182"/>
        <xdr:cNvSpPr txBox="1">
          <a:spLocks noChangeArrowheads="1"/>
        </xdr:cNvSpPr>
      </xdr:nvSpPr>
      <xdr:spPr bwMode="auto">
        <a:xfrm>
          <a:off x="1085850" y="272034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220</xdr:row>
      <xdr:rowOff>0</xdr:rowOff>
    </xdr:from>
    <xdr:to>
      <xdr:col>2</xdr:col>
      <xdr:colOff>342900</xdr:colOff>
      <xdr:row>222</xdr:row>
      <xdr:rowOff>9525</xdr:rowOff>
    </xdr:to>
    <xdr:sp macro="" textlink="">
      <xdr:nvSpPr>
        <xdr:cNvPr id="1648" name="Text Box 137"/>
        <xdr:cNvSpPr txBox="1">
          <a:spLocks noChangeArrowheads="1"/>
        </xdr:cNvSpPr>
      </xdr:nvSpPr>
      <xdr:spPr bwMode="auto">
        <a:xfrm>
          <a:off x="1085850" y="270700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49" name="Text Box 438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50" name="Text Box 443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51" name="Text Box 139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52" name="Text Box 421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53" name="Text Box 426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54" name="Text Box 431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55" name="Text Box 448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56" name="Text Box 481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57" name="Text Box 486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58" name="Text Box 139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59" name="Text Box 421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60" name="Text Box 426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221</xdr:row>
      <xdr:rowOff>0</xdr:rowOff>
    </xdr:from>
    <xdr:to>
      <xdr:col>2</xdr:col>
      <xdr:colOff>342900</xdr:colOff>
      <xdr:row>223</xdr:row>
      <xdr:rowOff>9525</xdr:rowOff>
    </xdr:to>
    <xdr:sp macro="" textlink="">
      <xdr:nvSpPr>
        <xdr:cNvPr id="1661" name="Text Box 431"/>
        <xdr:cNvSpPr txBox="1">
          <a:spLocks noChangeArrowheads="1"/>
        </xdr:cNvSpPr>
      </xdr:nvSpPr>
      <xdr:spPr bwMode="auto">
        <a:xfrm>
          <a:off x="1085850" y="272034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214</xdr:row>
      <xdr:rowOff>0</xdr:rowOff>
    </xdr:from>
    <xdr:to>
      <xdr:col>2</xdr:col>
      <xdr:colOff>371475</xdr:colOff>
      <xdr:row>214</xdr:row>
      <xdr:rowOff>28575</xdr:rowOff>
    </xdr:to>
    <xdr:sp macro="" textlink="">
      <xdr:nvSpPr>
        <xdr:cNvPr id="1662" name="Text Box 587"/>
        <xdr:cNvSpPr txBox="1">
          <a:spLocks noChangeArrowheads="1"/>
        </xdr:cNvSpPr>
      </xdr:nvSpPr>
      <xdr:spPr bwMode="auto">
        <a:xfrm>
          <a:off x="1085850" y="262699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214</xdr:row>
      <xdr:rowOff>0</xdr:rowOff>
    </xdr:from>
    <xdr:to>
      <xdr:col>2</xdr:col>
      <xdr:colOff>371475</xdr:colOff>
      <xdr:row>214</xdr:row>
      <xdr:rowOff>28575</xdr:rowOff>
    </xdr:to>
    <xdr:sp macro="" textlink="">
      <xdr:nvSpPr>
        <xdr:cNvPr id="1663" name="Text Box 588"/>
        <xdr:cNvSpPr txBox="1">
          <a:spLocks noChangeArrowheads="1"/>
        </xdr:cNvSpPr>
      </xdr:nvSpPr>
      <xdr:spPr bwMode="auto">
        <a:xfrm>
          <a:off x="1085850" y="2626995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225</xdr:row>
      <xdr:rowOff>0</xdr:rowOff>
    </xdr:from>
    <xdr:to>
      <xdr:col>2</xdr:col>
      <xdr:colOff>371475</xdr:colOff>
      <xdr:row>225</xdr:row>
      <xdr:rowOff>28575</xdr:rowOff>
    </xdr:to>
    <xdr:sp macro="" textlink="">
      <xdr:nvSpPr>
        <xdr:cNvPr id="1664" name="Text Box 534"/>
        <xdr:cNvSpPr txBox="1">
          <a:spLocks noChangeArrowheads="1"/>
        </xdr:cNvSpPr>
      </xdr:nvSpPr>
      <xdr:spPr bwMode="auto">
        <a:xfrm>
          <a:off x="1085850" y="277368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225</xdr:row>
      <xdr:rowOff>0</xdr:rowOff>
    </xdr:from>
    <xdr:to>
      <xdr:col>2</xdr:col>
      <xdr:colOff>371475</xdr:colOff>
      <xdr:row>225</xdr:row>
      <xdr:rowOff>28575</xdr:rowOff>
    </xdr:to>
    <xdr:sp macro="" textlink="">
      <xdr:nvSpPr>
        <xdr:cNvPr id="1665" name="Text Box 539"/>
        <xdr:cNvSpPr txBox="1">
          <a:spLocks noChangeArrowheads="1"/>
        </xdr:cNvSpPr>
      </xdr:nvSpPr>
      <xdr:spPr bwMode="auto">
        <a:xfrm>
          <a:off x="1085850" y="277368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225</xdr:row>
      <xdr:rowOff>0</xdr:rowOff>
    </xdr:from>
    <xdr:to>
      <xdr:col>2</xdr:col>
      <xdr:colOff>342900</xdr:colOff>
      <xdr:row>226</xdr:row>
      <xdr:rowOff>85725</xdr:rowOff>
    </xdr:to>
    <xdr:sp macro="" textlink="">
      <xdr:nvSpPr>
        <xdr:cNvPr id="1666" name="Text Box 139"/>
        <xdr:cNvSpPr txBox="1">
          <a:spLocks noChangeArrowheads="1"/>
        </xdr:cNvSpPr>
      </xdr:nvSpPr>
      <xdr:spPr bwMode="auto">
        <a:xfrm>
          <a:off x="1085850" y="2773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225</xdr:row>
      <xdr:rowOff>0</xdr:rowOff>
    </xdr:from>
    <xdr:to>
      <xdr:col>2</xdr:col>
      <xdr:colOff>342900</xdr:colOff>
      <xdr:row>226</xdr:row>
      <xdr:rowOff>85725</xdr:rowOff>
    </xdr:to>
    <xdr:sp macro="" textlink="">
      <xdr:nvSpPr>
        <xdr:cNvPr id="1667" name="Text Box 421"/>
        <xdr:cNvSpPr txBox="1">
          <a:spLocks noChangeArrowheads="1"/>
        </xdr:cNvSpPr>
      </xdr:nvSpPr>
      <xdr:spPr bwMode="auto">
        <a:xfrm>
          <a:off x="1085850" y="2773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225</xdr:row>
      <xdr:rowOff>0</xdr:rowOff>
    </xdr:from>
    <xdr:to>
      <xdr:col>2</xdr:col>
      <xdr:colOff>342900</xdr:colOff>
      <xdr:row>226</xdr:row>
      <xdr:rowOff>85725</xdr:rowOff>
    </xdr:to>
    <xdr:sp macro="" textlink="">
      <xdr:nvSpPr>
        <xdr:cNvPr id="1668" name="Text Box 426"/>
        <xdr:cNvSpPr txBox="1">
          <a:spLocks noChangeArrowheads="1"/>
        </xdr:cNvSpPr>
      </xdr:nvSpPr>
      <xdr:spPr bwMode="auto">
        <a:xfrm>
          <a:off x="1085850" y="2773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225</xdr:row>
      <xdr:rowOff>0</xdr:rowOff>
    </xdr:from>
    <xdr:to>
      <xdr:col>2</xdr:col>
      <xdr:colOff>342900</xdr:colOff>
      <xdr:row>226</xdr:row>
      <xdr:rowOff>85725</xdr:rowOff>
    </xdr:to>
    <xdr:sp macro="" textlink="">
      <xdr:nvSpPr>
        <xdr:cNvPr id="1669" name="Text Box 431"/>
        <xdr:cNvSpPr txBox="1">
          <a:spLocks noChangeArrowheads="1"/>
        </xdr:cNvSpPr>
      </xdr:nvSpPr>
      <xdr:spPr bwMode="auto">
        <a:xfrm>
          <a:off x="1085850" y="2773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225</xdr:row>
      <xdr:rowOff>0</xdr:rowOff>
    </xdr:from>
    <xdr:to>
      <xdr:col>2</xdr:col>
      <xdr:colOff>342900</xdr:colOff>
      <xdr:row>226</xdr:row>
      <xdr:rowOff>85725</xdr:rowOff>
    </xdr:to>
    <xdr:sp macro="" textlink="">
      <xdr:nvSpPr>
        <xdr:cNvPr id="1670" name="Text Box 448"/>
        <xdr:cNvSpPr txBox="1">
          <a:spLocks noChangeArrowheads="1"/>
        </xdr:cNvSpPr>
      </xdr:nvSpPr>
      <xdr:spPr bwMode="auto">
        <a:xfrm>
          <a:off x="1085850" y="2773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13</xdr:row>
      <xdr:rowOff>0</xdr:rowOff>
    </xdr:from>
    <xdr:to>
      <xdr:col>2</xdr:col>
      <xdr:colOff>342900</xdr:colOff>
      <xdr:row>14</xdr:row>
      <xdr:rowOff>76200</xdr:rowOff>
    </xdr:to>
    <xdr:sp macro="" textlink="">
      <xdr:nvSpPr>
        <xdr:cNvPr id="2" name="Text Box 145"/>
        <xdr:cNvSpPr txBox="1">
          <a:spLocks noChangeArrowheads="1"/>
        </xdr:cNvSpPr>
      </xdr:nvSpPr>
      <xdr:spPr bwMode="auto">
        <a:xfrm>
          <a:off x="1409700" y="87620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13</xdr:row>
      <xdr:rowOff>0</xdr:rowOff>
    </xdr:from>
    <xdr:to>
      <xdr:col>2</xdr:col>
      <xdr:colOff>342900</xdr:colOff>
      <xdr:row>14</xdr:row>
      <xdr:rowOff>76200</xdr:rowOff>
    </xdr:to>
    <xdr:sp macro="" textlink="">
      <xdr:nvSpPr>
        <xdr:cNvPr id="3" name="Text Box 321"/>
        <xdr:cNvSpPr txBox="1">
          <a:spLocks noChangeArrowheads="1"/>
        </xdr:cNvSpPr>
      </xdr:nvSpPr>
      <xdr:spPr bwMode="auto">
        <a:xfrm>
          <a:off x="1409700" y="87620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13</xdr:row>
      <xdr:rowOff>0</xdr:rowOff>
    </xdr:from>
    <xdr:to>
      <xdr:col>2</xdr:col>
      <xdr:colOff>342900</xdr:colOff>
      <xdr:row>14</xdr:row>
      <xdr:rowOff>76200</xdr:rowOff>
    </xdr:to>
    <xdr:sp macro="" textlink="">
      <xdr:nvSpPr>
        <xdr:cNvPr id="4" name="Text Box 326"/>
        <xdr:cNvSpPr txBox="1">
          <a:spLocks noChangeArrowheads="1"/>
        </xdr:cNvSpPr>
      </xdr:nvSpPr>
      <xdr:spPr bwMode="auto">
        <a:xfrm>
          <a:off x="1409700" y="87620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76200</xdr:colOff>
      <xdr:row>14</xdr:row>
      <xdr:rowOff>76200</xdr:rowOff>
    </xdr:to>
    <xdr:sp macro="" textlink="">
      <xdr:nvSpPr>
        <xdr:cNvPr id="5" name="Text Box 145"/>
        <xdr:cNvSpPr txBox="1">
          <a:spLocks noChangeArrowheads="1"/>
        </xdr:cNvSpPr>
      </xdr:nvSpPr>
      <xdr:spPr bwMode="auto">
        <a:xfrm>
          <a:off x="1143000" y="87620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76200</xdr:colOff>
      <xdr:row>14</xdr:row>
      <xdr:rowOff>76200</xdr:rowOff>
    </xdr:to>
    <xdr:sp macro="" textlink="">
      <xdr:nvSpPr>
        <xdr:cNvPr id="6" name="Text Box 321"/>
        <xdr:cNvSpPr txBox="1">
          <a:spLocks noChangeArrowheads="1"/>
        </xdr:cNvSpPr>
      </xdr:nvSpPr>
      <xdr:spPr bwMode="auto">
        <a:xfrm>
          <a:off x="1143000" y="87620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76200</xdr:colOff>
      <xdr:row>14</xdr:row>
      <xdr:rowOff>76200</xdr:rowOff>
    </xdr:to>
    <xdr:sp macro="" textlink="">
      <xdr:nvSpPr>
        <xdr:cNvPr id="7" name="Text Box 326"/>
        <xdr:cNvSpPr txBox="1">
          <a:spLocks noChangeArrowheads="1"/>
        </xdr:cNvSpPr>
      </xdr:nvSpPr>
      <xdr:spPr bwMode="auto">
        <a:xfrm>
          <a:off x="1143000" y="87620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85724</xdr:rowOff>
    </xdr:to>
    <xdr:sp macro="" textlink="">
      <xdr:nvSpPr>
        <xdr:cNvPr id="8" name="Text Box 77"/>
        <xdr:cNvSpPr txBox="1">
          <a:spLocks noChangeArrowheads="1"/>
        </xdr:cNvSpPr>
      </xdr:nvSpPr>
      <xdr:spPr bwMode="auto">
        <a:xfrm>
          <a:off x="1409700" y="88153875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85724</xdr:rowOff>
    </xdr:to>
    <xdr:sp macro="" textlink="">
      <xdr:nvSpPr>
        <xdr:cNvPr id="9" name="Text Box 255"/>
        <xdr:cNvSpPr txBox="1">
          <a:spLocks noChangeArrowheads="1"/>
        </xdr:cNvSpPr>
      </xdr:nvSpPr>
      <xdr:spPr bwMode="auto">
        <a:xfrm>
          <a:off x="1409700" y="88153875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85724</xdr:rowOff>
    </xdr:to>
    <xdr:sp macro="" textlink="">
      <xdr:nvSpPr>
        <xdr:cNvPr id="10" name="Text Box 260"/>
        <xdr:cNvSpPr txBox="1">
          <a:spLocks noChangeArrowheads="1"/>
        </xdr:cNvSpPr>
      </xdr:nvSpPr>
      <xdr:spPr bwMode="auto">
        <a:xfrm>
          <a:off x="1409700" y="88153875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11" name="Text Box 139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12" name="Text Box 421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13" name="Text Box 426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14" name="Text Box 431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15" name="Text Box 448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16" name="Text Box 121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17" name="Text Box 187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18" name="Text Box 139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19" name="Text Box 421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20" name="Text Box 426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21" name="Text Box 431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22" name="Text Box 448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23" name="Text Box 133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24" name="Text Box 155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25" name="Text Box 172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26" name="Text Box 93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27" name="Text Box 222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28" name="Text Box 494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29" name="Text Box 499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30" name="Text Box 125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31" name="Text Box 160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17</xdr:row>
      <xdr:rowOff>0</xdr:rowOff>
    </xdr:from>
    <xdr:to>
      <xdr:col>2</xdr:col>
      <xdr:colOff>342900</xdr:colOff>
      <xdr:row>18</xdr:row>
      <xdr:rowOff>28574</xdr:rowOff>
    </xdr:to>
    <xdr:sp macro="" textlink="">
      <xdr:nvSpPr>
        <xdr:cNvPr id="32" name="Text Box 182"/>
        <xdr:cNvSpPr txBox="1">
          <a:spLocks noChangeArrowheads="1"/>
        </xdr:cNvSpPr>
      </xdr:nvSpPr>
      <xdr:spPr bwMode="auto">
        <a:xfrm>
          <a:off x="1409700" y="881538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</xdr:row>
      <xdr:rowOff>0</xdr:rowOff>
    </xdr:from>
    <xdr:to>
      <xdr:col>2</xdr:col>
      <xdr:colOff>342900</xdr:colOff>
      <xdr:row>17</xdr:row>
      <xdr:rowOff>76201</xdr:rowOff>
    </xdr:to>
    <xdr:sp macro="" textlink="">
      <xdr:nvSpPr>
        <xdr:cNvPr id="33" name="Text Box 137"/>
        <xdr:cNvSpPr txBox="1">
          <a:spLocks noChangeArrowheads="1"/>
        </xdr:cNvSpPr>
      </xdr:nvSpPr>
      <xdr:spPr bwMode="auto">
        <a:xfrm>
          <a:off x="1409700" y="88020525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16</xdr:row>
      <xdr:rowOff>0</xdr:rowOff>
    </xdr:from>
    <xdr:to>
      <xdr:col>2</xdr:col>
      <xdr:colOff>342900</xdr:colOff>
      <xdr:row>17</xdr:row>
      <xdr:rowOff>76201</xdr:rowOff>
    </xdr:to>
    <xdr:sp macro="" textlink="">
      <xdr:nvSpPr>
        <xdr:cNvPr id="34" name="Text Box 170"/>
        <xdr:cNvSpPr txBox="1">
          <a:spLocks noChangeArrowheads="1"/>
        </xdr:cNvSpPr>
      </xdr:nvSpPr>
      <xdr:spPr bwMode="auto">
        <a:xfrm>
          <a:off x="1409700" y="88020525"/>
          <a:ext cx="76200" cy="219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28575</xdr:rowOff>
    </xdr:to>
    <xdr:sp macro="" textlink="">
      <xdr:nvSpPr>
        <xdr:cNvPr id="35" name="Text Box 494"/>
        <xdr:cNvSpPr txBox="1">
          <a:spLocks noChangeArrowheads="1"/>
        </xdr:cNvSpPr>
      </xdr:nvSpPr>
      <xdr:spPr bwMode="auto">
        <a:xfrm>
          <a:off x="1409700" y="492156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28575</xdr:rowOff>
    </xdr:to>
    <xdr:sp macro="" textlink="">
      <xdr:nvSpPr>
        <xdr:cNvPr id="36" name="Text Box 499"/>
        <xdr:cNvSpPr txBox="1">
          <a:spLocks noChangeArrowheads="1"/>
        </xdr:cNvSpPr>
      </xdr:nvSpPr>
      <xdr:spPr bwMode="auto">
        <a:xfrm>
          <a:off x="1409700" y="492156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37" name="Text Box 139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38" name="Text Box 421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39" name="Text Box 426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40" name="Text Box 431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41" name="Text Box 448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42" name="Text Box 117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43" name="Text Box 192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28575</xdr:rowOff>
    </xdr:to>
    <xdr:sp macro="" textlink="">
      <xdr:nvSpPr>
        <xdr:cNvPr id="44" name="Text Box 125"/>
        <xdr:cNvSpPr txBox="1">
          <a:spLocks noChangeArrowheads="1"/>
        </xdr:cNvSpPr>
      </xdr:nvSpPr>
      <xdr:spPr bwMode="auto">
        <a:xfrm>
          <a:off x="1409700" y="492156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28575</xdr:rowOff>
    </xdr:to>
    <xdr:sp macro="" textlink="">
      <xdr:nvSpPr>
        <xdr:cNvPr id="45" name="Text Box 160"/>
        <xdr:cNvSpPr txBox="1">
          <a:spLocks noChangeArrowheads="1"/>
        </xdr:cNvSpPr>
      </xdr:nvSpPr>
      <xdr:spPr bwMode="auto">
        <a:xfrm>
          <a:off x="1409700" y="492156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28575</xdr:rowOff>
    </xdr:to>
    <xdr:sp macro="" textlink="">
      <xdr:nvSpPr>
        <xdr:cNvPr id="46" name="Text Box 182"/>
        <xdr:cNvSpPr txBox="1">
          <a:spLocks noChangeArrowheads="1"/>
        </xdr:cNvSpPr>
      </xdr:nvSpPr>
      <xdr:spPr bwMode="auto">
        <a:xfrm>
          <a:off x="1409700" y="49215675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35</xdr:row>
      <xdr:rowOff>0</xdr:rowOff>
    </xdr:from>
    <xdr:to>
      <xdr:col>2</xdr:col>
      <xdr:colOff>342900</xdr:colOff>
      <xdr:row>36</xdr:row>
      <xdr:rowOff>76199</xdr:rowOff>
    </xdr:to>
    <xdr:sp macro="" textlink="">
      <xdr:nvSpPr>
        <xdr:cNvPr id="47" name="Text Box 137"/>
        <xdr:cNvSpPr txBox="1">
          <a:spLocks noChangeArrowheads="1"/>
        </xdr:cNvSpPr>
      </xdr:nvSpPr>
      <xdr:spPr bwMode="auto">
        <a:xfrm>
          <a:off x="1409700" y="49082325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35</xdr:row>
      <xdr:rowOff>0</xdr:rowOff>
    </xdr:from>
    <xdr:to>
      <xdr:col>2</xdr:col>
      <xdr:colOff>342900</xdr:colOff>
      <xdr:row>36</xdr:row>
      <xdr:rowOff>76199</xdr:rowOff>
    </xdr:to>
    <xdr:sp macro="" textlink="">
      <xdr:nvSpPr>
        <xdr:cNvPr id="48" name="Text Box 170"/>
        <xdr:cNvSpPr txBox="1">
          <a:spLocks noChangeArrowheads="1"/>
        </xdr:cNvSpPr>
      </xdr:nvSpPr>
      <xdr:spPr bwMode="auto">
        <a:xfrm>
          <a:off x="1409700" y="49082325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49" name="Text Box 438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50" name="Text Box 443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51" name="Text Box 139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52" name="Text Box 421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53" name="Text Box 426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54" name="Text Box 431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55" name="Text Box 448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56" name="Text Box 481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57" name="Text Box 486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58" name="Text Box 139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59" name="Text Box 421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60" name="Text Box 426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61" name="Text Box 431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62" name="Text Box 448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63" name="Text Box 549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64" name="Text Box 554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65" name="Text Box 139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66" name="Text Box 421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67" name="Text Box 426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68" name="Text Box 431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36</xdr:row>
      <xdr:rowOff>0</xdr:rowOff>
    </xdr:from>
    <xdr:to>
      <xdr:col>2</xdr:col>
      <xdr:colOff>342900</xdr:colOff>
      <xdr:row>37</xdr:row>
      <xdr:rowOff>85725</xdr:rowOff>
    </xdr:to>
    <xdr:sp macro="" textlink="">
      <xdr:nvSpPr>
        <xdr:cNvPr id="69" name="Text Box 448"/>
        <xdr:cNvSpPr txBox="1">
          <a:spLocks noChangeArrowheads="1"/>
        </xdr:cNvSpPr>
      </xdr:nvSpPr>
      <xdr:spPr bwMode="auto">
        <a:xfrm>
          <a:off x="1409700" y="492156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70" name="Text Box 139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71" name="Text Box 421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72" name="Text Box 426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73" name="Text Box 431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74" name="Text Box 448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9527</xdr:rowOff>
    </xdr:to>
    <xdr:sp macro="" textlink="">
      <xdr:nvSpPr>
        <xdr:cNvPr id="75" name="Text Box 93"/>
        <xdr:cNvSpPr txBox="1">
          <a:spLocks noChangeArrowheads="1"/>
        </xdr:cNvSpPr>
      </xdr:nvSpPr>
      <xdr:spPr bwMode="auto">
        <a:xfrm>
          <a:off x="1409700" y="65217675"/>
          <a:ext cx="76200" cy="1619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9527</xdr:rowOff>
    </xdr:to>
    <xdr:sp macro="" textlink="">
      <xdr:nvSpPr>
        <xdr:cNvPr id="76" name="Text Box 222"/>
        <xdr:cNvSpPr txBox="1">
          <a:spLocks noChangeArrowheads="1"/>
        </xdr:cNvSpPr>
      </xdr:nvSpPr>
      <xdr:spPr bwMode="auto">
        <a:xfrm>
          <a:off x="1409700" y="65217675"/>
          <a:ext cx="76200" cy="1619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9527</xdr:rowOff>
    </xdr:to>
    <xdr:sp macro="" textlink="">
      <xdr:nvSpPr>
        <xdr:cNvPr id="77" name="Text Box 494"/>
        <xdr:cNvSpPr txBox="1">
          <a:spLocks noChangeArrowheads="1"/>
        </xdr:cNvSpPr>
      </xdr:nvSpPr>
      <xdr:spPr bwMode="auto">
        <a:xfrm>
          <a:off x="1409700" y="65217675"/>
          <a:ext cx="76200" cy="1619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9527</xdr:rowOff>
    </xdr:to>
    <xdr:sp macro="" textlink="">
      <xdr:nvSpPr>
        <xdr:cNvPr id="78" name="Text Box 499"/>
        <xdr:cNvSpPr txBox="1">
          <a:spLocks noChangeArrowheads="1"/>
        </xdr:cNvSpPr>
      </xdr:nvSpPr>
      <xdr:spPr bwMode="auto">
        <a:xfrm>
          <a:off x="1409700" y="65217675"/>
          <a:ext cx="76200" cy="1619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79" name="Text Box 139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80" name="Text Box 421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81" name="Text Box 426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82" name="Text Box 431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83" name="Text Box 448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84" name="Text Box 117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85" name="Text Box 192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9527</xdr:rowOff>
    </xdr:to>
    <xdr:sp macro="" textlink="">
      <xdr:nvSpPr>
        <xdr:cNvPr id="86" name="Text Box 125"/>
        <xdr:cNvSpPr txBox="1">
          <a:spLocks noChangeArrowheads="1"/>
        </xdr:cNvSpPr>
      </xdr:nvSpPr>
      <xdr:spPr bwMode="auto">
        <a:xfrm>
          <a:off x="1409700" y="65217675"/>
          <a:ext cx="76200" cy="1619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9527</xdr:rowOff>
    </xdr:to>
    <xdr:sp macro="" textlink="">
      <xdr:nvSpPr>
        <xdr:cNvPr id="87" name="Text Box 160"/>
        <xdr:cNvSpPr txBox="1">
          <a:spLocks noChangeArrowheads="1"/>
        </xdr:cNvSpPr>
      </xdr:nvSpPr>
      <xdr:spPr bwMode="auto">
        <a:xfrm>
          <a:off x="1409700" y="65217675"/>
          <a:ext cx="76200" cy="1619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9527</xdr:rowOff>
    </xdr:to>
    <xdr:sp macro="" textlink="">
      <xdr:nvSpPr>
        <xdr:cNvPr id="88" name="Text Box 182"/>
        <xdr:cNvSpPr txBox="1">
          <a:spLocks noChangeArrowheads="1"/>
        </xdr:cNvSpPr>
      </xdr:nvSpPr>
      <xdr:spPr bwMode="auto">
        <a:xfrm>
          <a:off x="1409700" y="65217675"/>
          <a:ext cx="76200" cy="1619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55</xdr:row>
      <xdr:rowOff>0</xdr:rowOff>
    </xdr:from>
    <xdr:to>
      <xdr:col>2</xdr:col>
      <xdr:colOff>342900</xdr:colOff>
      <xdr:row>56</xdr:row>
      <xdr:rowOff>66674</xdr:rowOff>
    </xdr:to>
    <xdr:sp macro="" textlink="">
      <xdr:nvSpPr>
        <xdr:cNvPr id="89" name="Text Box 137"/>
        <xdr:cNvSpPr txBox="1">
          <a:spLocks noChangeArrowheads="1"/>
        </xdr:cNvSpPr>
      </xdr:nvSpPr>
      <xdr:spPr bwMode="auto">
        <a:xfrm>
          <a:off x="1409700" y="65084325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55</xdr:row>
      <xdr:rowOff>0</xdr:rowOff>
    </xdr:from>
    <xdr:to>
      <xdr:col>2</xdr:col>
      <xdr:colOff>342900</xdr:colOff>
      <xdr:row>56</xdr:row>
      <xdr:rowOff>66674</xdr:rowOff>
    </xdr:to>
    <xdr:sp macro="" textlink="">
      <xdr:nvSpPr>
        <xdr:cNvPr id="90" name="Text Box 170"/>
        <xdr:cNvSpPr txBox="1">
          <a:spLocks noChangeArrowheads="1"/>
        </xdr:cNvSpPr>
      </xdr:nvSpPr>
      <xdr:spPr bwMode="auto">
        <a:xfrm>
          <a:off x="1409700" y="65084325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91" name="Text Box 438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92" name="Text Box 443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93" name="Text Box 139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94" name="Text Box 421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95" name="Text Box 426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96" name="Text Box 431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97" name="Text Box 448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98" name="Text Box 481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99" name="Text Box 486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100" name="Text Box 139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101" name="Text Box 421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102" name="Text Box 426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103" name="Text Box 431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104" name="Text Box 448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105" name="Text Box 549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106" name="Text Box 554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107" name="Text Box 139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108" name="Text Box 421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109" name="Text Box 426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110" name="Text Box 431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56</xdr:row>
      <xdr:rowOff>0</xdr:rowOff>
    </xdr:from>
    <xdr:to>
      <xdr:col>2</xdr:col>
      <xdr:colOff>342900</xdr:colOff>
      <xdr:row>57</xdr:row>
      <xdr:rowOff>66677</xdr:rowOff>
    </xdr:to>
    <xdr:sp macro="" textlink="">
      <xdr:nvSpPr>
        <xdr:cNvPr id="111" name="Text Box 448"/>
        <xdr:cNvSpPr txBox="1">
          <a:spLocks noChangeArrowheads="1"/>
        </xdr:cNvSpPr>
      </xdr:nvSpPr>
      <xdr:spPr bwMode="auto">
        <a:xfrm>
          <a:off x="1409700" y="65217675"/>
          <a:ext cx="76200" cy="219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12" name="Text Box 332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13" name="Text Box 337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14" name="Text Box 139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15" name="Text Box 421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16" name="Text Box 426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17" name="Text Box 431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18" name="Text Box 448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19" name="Text Box 139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20" name="Text Box 421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21" name="Text Box 426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22" name="Text Box 431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23" name="Text Box 448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24" name="Text Box 121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25" name="Text Box 187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26" name="Text Box 139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27" name="Text Box 421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28" name="Text Box 426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29" name="Text Box 431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30" name="Text Box 448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31" name="Text Box 133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32" name="Text Box 155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33" name="Text Box 172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34" name="Text Box 93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35" name="Text Box 222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36" name="Text Box 494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37" name="Text Box 499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38" name="Text Box 125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39" name="Text Box 160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40" name="Text Box 182"/>
        <xdr:cNvSpPr txBox="1">
          <a:spLocks noChangeArrowheads="1"/>
        </xdr:cNvSpPr>
      </xdr:nvSpPr>
      <xdr:spPr bwMode="auto">
        <a:xfrm>
          <a:off x="1409700" y="92687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41" name="Text Box 137"/>
        <xdr:cNvSpPr txBox="1">
          <a:spLocks noChangeArrowheads="1"/>
        </xdr:cNvSpPr>
      </xdr:nvSpPr>
      <xdr:spPr bwMode="auto">
        <a:xfrm>
          <a:off x="1409700" y="925544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85725</xdr:rowOff>
    </xdr:to>
    <xdr:sp macro="" textlink="">
      <xdr:nvSpPr>
        <xdr:cNvPr id="142" name="Text Box 170"/>
        <xdr:cNvSpPr txBox="1">
          <a:spLocks noChangeArrowheads="1"/>
        </xdr:cNvSpPr>
      </xdr:nvSpPr>
      <xdr:spPr bwMode="auto">
        <a:xfrm>
          <a:off x="1409700" y="925544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43" name="Text Box 332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44" name="Text Box 337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45" name="Text Box 139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46" name="Text Box 421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47" name="Text Box 426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48" name="Text Box 431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49" name="Text Box 448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50" name="Text Box 139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51" name="Text Box 421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52" name="Text Box 426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53" name="Text Box 431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54" name="Text Box 448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55" name="Text Box 121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56" name="Text Box 187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57" name="Text Box 139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58" name="Text Box 421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59" name="Text Box 426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60" name="Text Box 431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61" name="Text Box 448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62" name="Text Box 133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63" name="Text Box 155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64" name="Text Box 172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65" name="Text Box 93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66" name="Text Box 222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67" name="Text Box 494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68" name="Text Box 499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69" name="Text Box 125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70" name="Text Box 160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82</xdr:row>
      <xdr:rowOff>0</xdr:rowOff>
    </xdr:from>
    <xdr:to>
      <xdr:col>2</xdr:col>
      <xdr:colOff>342900</xdr:colOff>
      <xdr:row>83</xdr:row>
      <xdr:rowOff>87313</xdr:rowOff>
    </xdr:to>
    <xdr:sp macro="" textlink="">
      <xdr:nvSpPr>
        <xdr:cNvPr id="171" name="Text Box 182"/>
        <xdr:cNvSpPr txBox="1">
          <a:spLocks noChangeArrowheads="1"/>
        </xdr:cNvSpPr>
      </xdr:nvSpPr>
      <xdr:spPr bwMode="auto">
        <a:xfrm>
          <a:off x="1409700" y="96288225"/>
          <a:ext cx="76200" cy="220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81</xdr:row>
      <xdr:rowOff>0</xdr:rowOff>
    </xdr:from>
    <xdr:to>
      <xdr:col>2</xdr:col>
      <xdr:colOff>342900</xdr:colOff>
      <xdr:row>82</xdr:row>
      <xdr:rowOff>87312</xdr:rowOff>
    </xdr:to>
    <xdr:sp macro="" textlink="">
      <xdr:nvSpPr>
        <xdr:cNvPr id="172" name="Text Box 137"/>
        <xdr:cNvSpPr txBox="1">
          <a:spLocks noChangeArrowheads="1"/>
        </xdr:cNvSpPr>
      </xdr:nvSpPr>
      <xdr:spPr bwMode="auto">
        <a:xfrm>
          <a:off x="1409700" y="96154875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81</xdr:row>
      <xdr:rowOff>0</xdr:rowOff>
    </xdr:from>
    <xdr:to>
      <xdr:col>2</xdr:col>
      <xdr:colOff>342900</xdr:colOff>
      <xdr:row>82</xdr:row>
      <xdr:rowOff>87312</xdr:rowOff>
    </xdr:to>
    <xdr:sp macro="" textlink="">
      <xdr:nvSpPr>
        <xdr:cNvPr id="173" name="Text Box 170"/>
        <xdr:cNvSpPr txBox="1">
          <a:spLocks noChangeArrowheads="1"/>
        </xdr:cNvSpPr>
      </xdr:nvSpPr>
      <xdr:spPr bwMode="auto">
        <a:xfrm>
          <a:off x="1409700" y="96154875"/>
          <a:ext cx="76200" cy="220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74" name="Text Box 332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75" name="Text Box 337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76" name="Text Box 139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77" name="Text Box 421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78" name="Text Box 426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79" name="Text Box 431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80" name="Text Box 448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81" name="Text Box 139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82" name="Text Box 421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83" name="Text Box 426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84" name="Text Box 431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85" name="Text Box 448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86" name="Text Box 121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87" name="Text Box 187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88" name="Text Box 139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89" name="Text Box 421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90" name="Text Box 426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91" name="Text Box 431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92" name="Text Box 448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93" name="Text Box 133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94" name="Text Box 155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95" name="Text Box 172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96" name="Text Box 93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97" name="Text Box 222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98" name="Text Box 494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199" name="Text Box 499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200" name="Text Box 125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201" name="Text Box 160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202" name="Text Box 182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203" name="Text Box 137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80</xdr:row>
      <xdr:rowOff>0</xdr:rowOff>
    </xdr:from>
    <xdr:to>
      <xdr:col>2</xdr:col>
      <xdr:colOff>342900</xdr:colOff>
      <xdr:row>81</xdr:row>
      <xdr:rowOff>76200</xdr:rowOff>
    </xdr:to>
    <xdr:sp macro="" textlink="">
      <xdr:nvSpPr>
        <xdr:cNvPr id="204" name="Text Box 170"/>
        <xdr:cNvSpPr txBox="1">
          <a:spLocks noChangeArrowheads="1"/>
        </xdr:cNvSpPr>
      </xdr:nvSpPr>
      <xdr:spPr bwMode="auto">
        <a:xfrm>
          <a:off x="1581150" y="153543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05" name="Text Box 332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06" name="Text Box 337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07" name="Text Box 139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08" name="Text Box 421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09" name="Text Box 426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10" name="Text Box 431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11" name="Text Box 448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12" name="Text Box 139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13" name="Text Box 421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14" name="Text Box 426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15" name="Text Box 431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16" name="Text Box 448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17" name="Text Box 121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18" name="Text Box 187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19" name="Text Box 139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20" name="Text Box 421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21" name="Text Box 426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22" name="Text Box 431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23" name="Text Box 448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24" name="Text Box 133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25" name="Text Box 155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26" name="Text Box 172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27" name="Text Box 93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28" name="Text Box 222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29" name="Text Box 494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30" name="Text Box 499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31" name="Text Box 125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32" name="Text Box 160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33" name="Text Box 182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34" name="Text Box 137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85725</xdr:rowOff>
    </xdr:to>
    <xdr:sp macro="" textlink="">
      <xdr:nvSpPr>
        <xdr:cNvPr id="235" name="Text Box 170"/>
        <xdr:cNvSpPr txBox="1">
          <a:spLocks noChangeArrowheads="1"/>
        </xdr:cNvSpPr>
      </xdr:nvSpPr>
      <xdr:spPr bwMode="auto">
        <a:xfrm>
          <a:off x="1162050" y="1434465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36" name="Text Box 332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37" name="Text Box 337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38" name="Text Box 139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39" name="Text Box 421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40" name="Text Box 426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41" name="Text Box 431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42" name="Text Box 448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43" name="Text Box 139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44" name="Text Box 421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45" name="Text Box 426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46" name="Text Box 431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47" name="Text Box 448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48" name="Text Box 121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49" name="Text Box 187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50" name="Text Box 139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51" name="Text Box 421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52" name="Text Box 426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53" name="Text Box 431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54" name="Text Box 448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55" name="Text Box 133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56" name="Text Box 155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57" name="Text Box 172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58" name="Text Box 93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59" name="Text Box 222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60" name="Text Box 494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61" name="Text Box 499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62" name="Text Box 125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63" name="Text Box 160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64" name="Text Box 182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65" name="Text Box 137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266700</xdr:colOff>
      <xdr:row>80</xdr:row>
      <xdr:rowOff>0</xdr:rowOff>
    </xdr:from>
    <xdr:to>
      <xdr:col>5</xdr:col>
      <xdr:colOff>342900</xdr:colOff>
      <xdr:row>81</xdr:row>
      <xdr:rowOff>76200</xdr:rowOff>
    </xdr:to>
    <xdr:sp macro="" textlink="">
      <xdr:nvSpPr>
        <xdr:cNvPr id="266" name="Text Box 170"/>
        <xdr:cNvSpPr txBox="1">
          <a:spLocks noChangeArrowheads="1"/>
        </xdr:cNvSpPr>
      </xdr:nvSpPr>
      <xdr:spPr bwMode="auto">
        <a:xfrm>
          <a:off x="1162050" y="14344650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57149</xdr:rowOff>
    </xdr:to>
    <xdr:sp macro="" textlink="">
      <xdr:nvSpPr>
        <xdr:cNvPr id="2" name="Text Box 139"/>
        <xdr:cNvSpPr txBox="1">
          <a:spLocks noChangeArrowheads="1"/>
        </xdr:cNvSpPr>
      </xdr:nvSpPr>
      <xdr:spPr bwMode="auto">
        <a:xfrm>
          <a:off x="1409700" y="388143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57149</xdr:rowOff>
    </xdr:to>
    <xdr:sp macro="" textlink="">
      <xdr:nvSpPr>
        <xdr:cNvPr id="3" name="Text Box 421"/>
        <xdr:cNvSpPr txBox="1">
          <a:spLocks noChangeArrowheads="1"/>
        </xdr:cNvSpPr>
      </xdr:nvSpPr>
      <xdr:spPr bwMode="auto">
        <a:xfrm>
          <a:off x="1409700" y="388143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57149</xdr:rowOff>
    </xdr:to>
    <xdr:sp macro="" textlink="">
      <xdr:nvSpPr>
        <xdr:cNvPr id="4" name="Text Box 426"/>
        <xdr:cNvSpPr txBox="1">
          <a:spLocks noChangeArrowheads="1"/>
        </xdr:cNvSpPr>
      </xdr:nvSpPr>
      <xdr:spPr bwMode="auto">
        <a:xfrm>
          <a:off x="1409700" y="388143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57149</xdr:rowOff>
    </xdr:to>
    <xdr:sp macro="" textlink="">
      <xdr:nvSpPr>
        <xdr:cNvPr id="5" name="Text Box 431"/>
        <xdr:cNvSpPr txBox="1">
          <a:spLocks noChangeArrowheads="1"/>
        </xdr:cNvSpPr>
      </xdr:nvSpPr>
      <xdr:spPr bwMode="auto">
        <a:xfrm>
          <a:off x="1409700" y="388143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266700</xdr:colOff>
      <xdr:row>0</xdr:row>
      <xdr:rowOff>0</xdr:rowOff>
    </xdr:from>
    <xdr:to>
      <xdr:col>2</xdr:col>
      <xdr:colOff>342900</xdr:colOff>
      <xdr:row>1</xdr:row>
      <xdr:rowOff>57149</xdr:rowOff>
    </xdr:to>
    <xdr:sp macro="" textlink="">
      <xdr:nvSpPr>
        <xdr:cNvPr id="6" name="Text Box 448"/>
        <xdr:cNvSpPr txBox="1">
          <a:spLocks noChangeArrowheads="1"/>
        </xdr:cNvSpPr>
      </xdr:nvSpPr>
      <xdr:spPr bwMode="auto">
        <a:xfrm>
          <a:off x="1409700" y="38814375"/>
          <a:ext cx="76200" cy="161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22</xdr:row>
      <xdr:rowOff>0</xdr:rowOff>
    </xdr:from>
    <xdr:to>
      <xdr:col>3</xdr:col>
      <xdr:colOff>371475</xdr:colOff>
      <xdr:row>22</xdr:row>
      <xdr:rowOff>28575</xdr:rowOff>
    </xdr:to>
    <xdr:sp macro="" textlink="">
      <xdr:nvSpPr>
        <xdr:cNvPr id="14" name="Text Box 534"/>
        <xdr:cNvSpPr txBox="1">
          <a:spLocks noChangeArrowheads="1"/>
        </xdr:cNvSpPr>
      </xdr:nvSpPr>
      <xdr:spPr bwMode="auto">
        <a:xfrm>
          <a:off x="1085850" y="277368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22</xdr:row>
      <xdr:rowOff>0</xdr:rowOff>
    </xdr:from>
    <xdr:to>
      <xdr:col>3</xdr:col>
      <xdr:colOff>371475</xdr:colOff>
      <xdr:row>22</xdr:row>
      <xdr:rowOff>28575</xdr:rowOff>
    </xdr:to>
    <xdr:sp macro="" textlink="">
      <xdr:nvSpPr>
        <xdr:cNvPr id="15" name="Text Box 539"/>
        <xdr:cNvSpPr txBox="1">
          <a:spLocks noChangeArrowheads="1"/>
        </xdr:cNvSpPr>
      </xdr:nvSpPr>
      <xdr:spPr bwMode="auto">
        <a:xfrm>
          <a:off x="1085850" y="277368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22</xdr:row>
      <xdr:rowOff>0</xdr:rowOff>
    </xdr:from>
    <xdr:to>
      <xdr:col>3</xdr:col>
      <xdr:colOff>342900</xdr:colOff>
      <xdr:row>23</xdr:row>
      <xdr:rowOff>85725</xdr:rowOff>
    </xdr:to>
    <xdr:sp macro="" textlink="">
      <xdr:nvSpPr>
        <xdr:cNvPr id="16" name="Text Box 139"/>
        <xdr:cNvSpPr txBox="1">
          <a:spLocks noChangeArrowheads="1"/>
        </xdr:cNvSpPr>
      </xdr:nvSpPr>
      <xdr:spPr bwMode="auto">
        <a:xfrm>
          <a:off x="1085850" y="2773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22</xdr:row>
      <xdr:rowOff>0</xdr:rowOff>
    </xdr:from>
    <xdr:to>
      <xdr:col>3</xdr:col>
      <xdr:colOff>342900</xdr:colOff>
      <xdr:row>23</xdr:row>
      <xdr:rowOff>85725</xdr:rowOff>
    </xdr:to>
    <xdr:sp macro="" textlink="">
      <xdr:nvSpPr>
        <xdr:cNvPr id="17" name="Text Box 421"/>
        <xdr:cNvSpPr txBox="1">
          <a:spLocks noChangeArrowheads="1"/>
        </xdr:cNvSpPr>
      </xdr:nvSpPr>
      <xdr:spPr bwMode="auto">
        <a:xfrm>
          <a:off x="1085850" y="2773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22</xdr:row>
      <xdr:rowOff>0</xdr:rowOff>
    </xdr:from>
    <xdr:to>
      <xdr:col>3</xdr:col>
      <xdr:colOff>342900</xdr:colOff>
      <xdr:row>23</xdr:row>
      <xdr:rowOff>85725</xdr:rowOff>
    </xdr:to>
    <xdr:sp macro="" textlink="">
      <xdr:nvSpPr>
        <xdr:cNvPr id="18" name="Text Box 426"/>
        <xdr:cNvSpPr txBox="1">
          <a:spLocks noChangeArrowheads="1"/>
        </xdr:cNvSpPr>
      </xdr:nvSpPr>
      <xdr:spPr bwMode="auto">
        <a:xfrm>
          <a:off x="1085850" y="2773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22</xdr:row>
      <xdr:rowOff>0</xdr:rowOff>
    </xdr:from>
    <xdr:to>
      <xdr:col>3</xdr:col>
      <xdr:colOff>342900</xdr:colOff>
      <xdr:row>23</xdr:row>
      <xdr:rowOff>85725</xdr:rowOff>
    </xdr:to>
    <xdr:sp macro="" textlink="">
      <xdr:nvSpPr>
        <xdr:cNvPr id="19" name="Text Box 431"/>
        <xdr:cNvSpPr txBox="1">
          <a:spLocks noChangeArrowheads="1"/>
        </xdr:cNvSpPr>
      </xdr:nvSpPr>
      <xdr:spPr bwMode="auto">
        <a:xfrm>
          <a:off x="1085850" y="2773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266700</xdr:colOff>
      <xdr:row>22</xdr:row>
      <xdr:rowOff>0</xdr:rowOff>
    </xdr:from>
    <xdr:to>
      <xdr:col>3</xdr:col>
      <xdr:colOff>342900</xdr:colOff>
      <xdr:row>23</xdr:row>
      <xdr:rowOff>85725</xdr:rowOff>
    </xdr:to>
    <xdr:sp macro="" textlink="">
      <xdr:nvSpPr>
        <xdr:cNvPr id="20" name="Text Box 448"/>
        <xdr:cNvSpPr txBox="1">
          <a:spLocks noChangeArrowheads="1"/>
        </xdr:cNvSpPr>
      </xdr:nvSpPr>
      <xdr:spPr bwMode="auto">
        <a:xfrm>
          <a:off x="1085850" y="277368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0</xdr:rowOff>
    </xdr:from>
    <xdr:to>
      <xdr:col>1</xdr:col>
      <xdr:colOff>342900</xdr:colOff>
      <xdr:row>1</xdr:row>
      <xdr:rowOff>47624</xdr:rowOff>
    </xdr:to>
    <xdr:sp macro="" textlink="">
      <xdr:nvSpPr>
        <xdr:cNvPr id="2" name="Text Box 139"/>
        <xdr:cNvSpPr txBox="1">
          <a:spLocks noChangeArrowheads="1"/>
        </xdr:cNvSpPr>
      </xdr:nvSpPr>
      <xdr:spPr bwMode="auto">
        <a:xfrm>
          <a:off x="2028825" y="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266700</xdr:colOff>
      <xdr:row>0</xdr:row>
      <xdr:rowOff>0</xdr:rowOff>
    </xdr:from>
    <xdr:to>
      <xdr:col>1</xdr:col>
      <xdr:colOff>342900</xdr:colOff>
      <xdr:row>1</xdr:row>
      <xdr:rowOff>47624</xdr:rowOff>
    </xdr:to>
    <xdr:sp macro="" textlink="">
      <xdr:nvSpPr>
        <xdr:cNvPr id="3" name="Text Box 421"/>
        <xdr:cNvSpPr txBox="1">
          <a:spLocks noChangeArrowheads="1"/>
        </xdr:cNvSpPr>
      </xdr:nvSpPr>
      <xdr:spPr bwMode="auto">
        <a:xfrm>
          <a:off x="2028825" y="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266700</xdr:colOff>
      <xdr:row>0</xdr:row>
      <xdr:rowOff>0</xdr:rowOff>
    </xdr:from>
    <xdr:to>
      <xdr:col>1</xdr:col>
      <xdr:colOff>342900</xdr:colOff>
      <xdr:row>1</xdr:row>
      <xdr:rowOff>47624</xdr:rowOff>
    </xdr:to>
    <xdr:sp macro="" textlink="">
      <xdr:nvSpPr>
        <xdr:cNvPr id="4" name="Text Box 426"/>
        <xdr:cNvSpPr txBox="1">
          <a:spLocks noChangeArrowheads="1"/>
        </xdr:cNvSpPr>
      </xdr:nvSpPr>
      <xdr:spPr bwMode="auto">
        <a:xfrm>
          <a:off x="2028825" y="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266700</xdr:colOff>
      <xdr:row>0</xdr:row>
      <xdr:rowOff>0</xdr:rowOff>
    </xdr:from>
    <xdr:to>
      <xdr:col>1</xdr:col>
      <xdr:colOff>342900</xdr:colOff>
      <xdr:row>1</xdr:row>
      <xdr:rowOff>47624</xdr:rowOff>
    </xdr:to>
    <xdr:sp macro="" textlink="">
      <xdr:nvSpPr>
        <xdr:cNvPr id="5" name="Text Box 431"/>
        <xdr:cNvSpPr txBox="1">
          <a:spLocks noChangeArrowheads="1"/>
        </xdr:cNvSpPr>
      </xdr:nvSpPr>
      <xdr:spPr bwMode="auto">
        <a:xfrm>
          <a:off x="2028825" y="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266700</xdr:colOff>
      <xdr:row>0</xdr:row>
      <xdr:rowOff>0</xdr:rowOff>
    </xdr:from>
    <xdr:to>
      <xdr:col>1</xdr:col>
      <xdr:colOff>342900</xdr:colOff>
      <xdr:row>1</xdr:row>
      <xdr:rowOff>47624</xdr:rowOff>
    </xdr:to>
    <xdr:sp macro="" textlink="">
      <xdr:nvSpPr>
        <xdr:cNvPr id="6" name="Text Box 448"/>
        <xdr:cNvSpPr txBox="1">
          <a:spLocks noChangeArrowheads="1"/>
        </xdr:cNvSpPr>
      </xdr:nvSpPr>
      <xdr:spPr bwMode="auto">
        <a:xfrm>
          <a:off x="2028825" y="0"/>
          <a:ext cx="762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STATISTIK/DATA%20KP3K/2015/Data%20KP3K_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LANKO"/>
      <sheetName val="Tab"/>
      <sheetName val="bllg"/>
      <sheetName val="dps"/>
      <sheetName val="bdg"/>
      <sheetName val="gnr"/>
      <sheetName val="Krg"/>
      <sheetName val="Klk"/>
      <sheetName val="Jbr"/>
      <sheetName val="BAL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K189"/>
  <sheetViews>
    <sheetView topLeftCell="A109" zoomScale="200" zoomScaleNormal="200" zoomScaleSheetLayoutView="100" workbookViewId="0">
      <selection activeCell="D165" sqref="D165"/>
    </sheetView>
  </sheetViews>
  <sheetFormatPr defaultRowHeight="9"/>
  <cols>
    <col min="1" max="1" width="2.42578125" style="2" customWidth="1"/>
    <col min="2" max="2" width="6.28515625" style="2" customWidth="1"/>
    <col min="3" max="3" width="9.140625" style="2"/>
    <col min="4" max="4" width="8.7109375" style="2" customWidth="1"/>
    <col min="5" max="5" width="7.140625" style="2" customWidth="1"/>
    <col min="6" max="6" width="6.7109375" style="2" customWidth="1"/>
    <col min="7" max="7" width="2.5703125" style="3" customWidth="1"/>
    <col min="8" max="8" width="3.7109375" style="2" customWidth="1"/>
    <col min="9" max="16384" width="9.140625" style="2"/>
  </cols>
  <sheetData>
    <row r="1" spans="1:8">
      <c r="A1" s="961" t="s">
        <v>0</v>
      </c>
      <c r="B1" s="961"/>
      <c r="C1" s="961"/>
      <c r="D1" s="961"/>
      <c r="E1" s="961"/>
      <c r="F1" s="961"/>
      <c r="G1" s="961"/>
      <c r="H1" s="961"/>
    </row>
    <row r="2" spans="1:8">
      <c r="A2" s="5" t="s">
        <v>1</v>
      </c>
      <c r="F2" s="963" t="s">
        <v>2</v>
      </c>
      <c r="G2" s="963"/>
    </row>
    <row r="3" spans="1:8">
      <c r="A3" s="962" t="s">
        <v>79</v>
      </c>
      <c r="B3" s="962"/>
      <c r="C3" s="962"/>
      <c r="D3" s="962"/>
      <c r="E3" s="962"/>
      <c r="F3" s="962"/>
      <c r="G3" s="3" t="s">
        <v>3</v>
      </c>
    </row>
    <row r="4" spans="1:8" ht="3" customHeight="1">
      <c r="A4" s="10"/>
      <c r="B4" s="10"/>
      <c r="C4" s="10"/>
      <c r="D4" s="10"/>
      <c r="E4" s="10"/>
      <c r="F4" s="10"/>
    </row>
    <row r="5" spans="1:8">
      <c r="A5" s="962" t="s">
        <v>80</v>
      </c>
      <c r="B5" s="962"/>
      <c r="C5" s="962"/>
      <c r="D5" s="962"/>
      <c r="E5" s="962"/>
      <c r="F5" s="962"/>
      <c r="G5" s="3" t="s">
        <v>4</v>
      </c>
    </row>
    <row r="6" spans="1:8" ht="3" customHeight="1">
      <c r="A6" s="10"/>
      <c r="B6" s="10"/>
      <c r="C6" s="10"/>
      <c r="D6" s="10"/>
      <c r="E6" s="10"/>
      <c r="F6" s="10"/>
    </row>
    <row r="7" spans="1:8">
      <c r="A7" s="11" t="s">
        <v>5</v>
      </c>
      <c r="B7" s="962" t="s">
        <v>81</v>
      </c>
      <c r="C7" s="962"/>
      <c r="D7" s="962"/>
      <c r="E7" s="962"/>
      <c r="F7" s="962"/>
      <c r="G7" s="3">
        <v>1</v>
      </c>
    </row>
    <row r="8" spans="1:8" ht="2.25" customHeight="1">
      <c r="A8" s="11"/>
      <c r="B8" s="10"/>
      <c r="C8" s="10"/>
      <c r="D8" s="10"/>
      <c r="E8" s="10"/>
      <c r="F8" s="10"/>
    </row>
    <row r="9" spans="1:8">
      <c r="B9" s="2" t="s">
        <v>6</v>
      </c>
      <c r="C9" s="477" t="s">
        <v>438</v>
      </c>
      <c r="D9" s="477"/>
      <c r="E9" s="477"/>
      <c r="F9" s="477"/>
      <c r="G9" s="1"/>
    </row>
    <row r="10" spans="1:8">
      <c r="C10" s="765" t="s">
        <v>653</v>
      </c>
      <c r="D10" s="477"/>
      <c r="E10" s="477"/>
      <c r="F10" s="477"/>
      <c r="G10" s="1">
        <v>2</v>
      </c>
    </row>
    <row r="11" spans="1:8" ht="3.75" customHeight="1">
      <c r="C11" s="477"/>
      <c r="D11" s="477"/>
      <c r="E11" s="477"/>
      <c r="F11" s="477"/>
      <c r="G11" s="6"/>
    </row>
    <row r="12" spans="1:8">
      <c r="B12" s="7" t="s">
        <v>9</v>
      </c>
      <c r="C12" s="964" t="s">
        <v>441</v>
      </c>
      <c r="D12" s="964"/>
      <c r="E12" s="964"/>
      <c r="F12" s="964"/>
      <c r="G12" s="1"/>
    </row>
    <row r="13" spans="1:8">
      <c r="C13" s="964" t="s">
        <v>654</v>
      </c>
      <c r="D13" s="964"/>
      <c r="E13" s="964"/>
      <c r="F13" s="964"/>
      <c r="G13" s="477">
        <v>3</v>
      </c>
    </row>
    <row r="14" spans="1:8" ht="3.75" customHeight="1">
      <c r="C14" s="477"/>
      <c r="D14" s="477"/>
      <c r="E14" s="477"/>
      <c r="F14" s="477"/>
      <c r="G14" s="6"/>
    </row>
    <row r="15" spans="1:8">
      <c r="B15" s="7" t="s">
        <v>11</v>
      </c>
      <c r="C15" s="964" t="s">
        <v>442</v>
      </c>
      <c r="D15" s="964"/>
      <c r="E15" s="964"/>
      <c r="F15" s="964"/>
      <c r="G15" s="1"/>
    </row>
    <row r="16" spans="1:8">
      <c r="B16" s="7"/>
      <c r="C16" s="477" t="s">
        <v>443</v>
      </c>
      <c r="D16" s="477"/>
      <c r="E16" s="477"/>
      <c r="F16" s="477"/>
      <c r="G16" s="1"/>
    </row>
    <row r="17" spans="1:7">
      <c r="C17" s="964" t="s">
        <v>655</v>
      </c>
      <c r="D17" s="964"/>
      <c r="E17" s="964"/>
      <c r="F17" s="964"/>
      <c r="G17" s="477">
        <v>4</v>
      </c>
    </row>
    <row r="18" spans="1:7" ht="3.75" customHeight="1">
      <c r="C18" s="477"/>
      <c r="D18" s="477"/>
      <c r="E18" s="477"/>
      <c r="F18" s="477"/>
      <c r="G18" s="477"/>
    </row>
    <row r="19" spans="1:7">
      <c r="B19" s="2" t="s">
        <v>12</v>
      </c>
      <c r="C19" s="477" t="s">
        <v>449</v>
      </c>
      <c r="D19" s="477"/>
      <c r="E19" s="477"/>
      <c r="F19" s="477"/>
      <c r="G19" s="1"/>
    </row>
    <row r="20" spans="1:7">
      <c r="C20" s="964" t="s">
        <v>656</v>
      </c>
      <c r="D20" s="964"/>
      <c r="E20" s="964"/>
      <c r="F20" s="964"/>
      <c r="G20" s="6">
        <v>5</v>
      </c>
    </row>
    <row r="21" spans="1:7" ht="3.75" customHeight="1">
      <c r="C21" s="477"/>
      <c r="D21" s="477"/>
      <c r="E21" s="477"/>
      <c r="F21" s="477"/>
      <c r="G21" s="6"/>
    </row>
    <row r="22" spans="1:7">
      <c r="A22" s="11" t="s">
        <v>475</v>
      </c>
      <c r="B22" s="962" t="s">
        <v>82</v>
      </c>
      <c r="C22" s="962"/>
      <c r="D22" s="962"/>
      <c r="E22" s="962"/>
      <c r="F22" s="962"/>
      <c r="G22" s="3">
        <v>6</v>
      </c>
    </row>
    <row r="23" spans="1:7" ht="3" customHeight="1">
      <c r="A23" s="11"/>
      <c r="B23" s="10"/>
      <c r="C23" s="10"/>
      <c r="D23" s="10"/>
      <c r="E23" s="10"/>
      <c r="F23" s="10"/>
    </row>
    <row r="24" spans="1:7">
      <c r="A24" s="11" t="s">
        <v>478</v>
      </c>
      <c r="B24" s="962" t="s">
        <v>83</v>
      </c>
      <c r="C24" s="962"/>
      <c r="D24" s="962"/>
      <c r="E24" s="962"/>
      <c r="F24" s="962"/>
      <c r="G24" s="3">
        <v>7</v>
      </c>
    </row>
    <row r="25" spans="1:7" ht="3" customHeight="1">
      <c r="A25" s="11"/>
      <c r="B25" s="10"/>
      <c r="C25" s="10"/>
      <c r="D25" s="10"/>
      <c r="E25" s="10"/>
      <c r="F25" s="10"/>
    </row>
    <row r="26" spans="1:7">
      <c r="A26" s="11" t="s">
        <v>476</v>
      </c>
      <c r="B26" s="962" t="s">
        <v>84</v>
      </c>
      <c r="C26" s="962"/>
      <c r="D26" s="962"/>
      <c r="E26" s="962"/>
      <c r="F26" s="962"/>
      <c r="G26" s="3">
        <v>9</v>
      </c>
    </row>
    <row r="27" spans="1:7" ht="3" customHeight="1">
      <c r="A27" s="11"/>
      <c r="B27" s="10"/>
      <c r="C27" s="10"/>
      <c r="D27" s="10"/>
      <c r="E27" s="10"/>
      <c r="F27" s="10"/>
    </row>
    <row r="28" spans="1:7">
      <c r="A28" s="12" t="s">
        <v>18</v>
      </c>
      <c r="B28" s="962" t="s">
        <v>659</v>
      </c>
      <c r="C28" s="962"/>
      <c r="D28" s="962"/>
      <c r="E28" s="962"/>
      <c r="F28" s="962"/>
      <c r="G28" s="1">
        <v>10</v>
      </c>
    </row>
    <row r="29" spans="1:7" ht="3.75" customHeight="1">
      <c r="A29" s="4"/>
      <c r="B29" s="3"/>
      <c r="C29" s="3"/>
      <c r="D29" s="3"/>
      <c r="E29" s="3"/>
      <c r="F29" s="3"/>
      <c r="G29" s="1"/>
    </row>
    <row r="30" spans="1:7">
      <c r="B30" s="2" t="s">
        <v>51</v>
      </c>
      <c r="C30" s="3" t="s">
        <v>7</v>
      </c>
      <c r="D30" s="3"/>
      <c r="E30" s="3"/>
      <c r="F30" s="3"/>
      <c r="G30" s="1"/>
    </row>
    <row r="31" spans="1:7">
      <c r="C31" s="3" t="s">
        <v>8</v>
      </c>
      <c r="D31" s="3"/>
      <c r="E31" s="3"/>
      <c r="F31" s="3"/>
      <c r="G31" s="1"/>
    </row>
    <row r="32" spans="1:7">
      <c r="C32" s="964" t="s">
        <v>660</v>
      </c>
      <c r="D32" s="964"/>
      <c r="E32" s="964"/>
      <c r="F32" s="964"/>
      <c r="G32" s="6">
        <v>10</v>
      </c>
    </row>
    <row r="33" spans="2:7" ht="3.75" customHeight="1">
      <c r="C33" s="3"/>
      <c r="D33" s="3"/>
      <c r="E33" s="3"/>
      <c r="F33" s="3"/>
      <c r="G33" s="6"/>
    </row>
    <row r="34" spans="2:7">
      <c r="B34" s="7" t="s">
        <v>446</v>
      </c>
      <c r="C34" s="964" t="s">
        <v>10</v>
      </c>
      <c r="D34" s="964"/>
      <c r="E34" s="964"/>
      <c r="F34" s="964"/>
      <c r="G34" s="1"/>
    </row>
    <row r="35" spans="2:7">
      <c r="C35" s="964" t="s">
        <v>661</v>
      </c>
      <c r="D35" s="964"/>
      <c r="E35" s="964"/>
      <c r="F35" s="964"/>
      <c r="G35" s="3">
        <v>11</v>
      </c>
    </row>
    <row r="36" spans="2:7" ht="3" customHeight="1">
      <c r="C36" s="3"/>
      <c r="D36" s="3"/>
      <c r="E36" s="3"/>
      <c r="F36" s="3"/>
    </row>
    <row r="37" spans="2:7">
      <c r="B37" s="2" t="s">
        <v>447</v>
      </c>
      <c r="C37" s="3" t="s">
        <v>48</v>
      </c>
      <c r="D37" s="3"/>
      <c r="E37" s="3"/>
      <c r="F37" s="3"/>
      <c r="G37" s="1"/>
    </row>
    <row r="38" spans="2:7">
      <c r="C38" s="765" t="s">
        <v>662</v>
      </c>
      <c r="D38" s="3"/>
      <c r="F38" s="3"/>
      <c r="G38" s="3">
        <v>12</v>
      </c>
    </row>
    <row r="39" spans="2:7" ht="2.25" customHeight="1">
      <c r="C39" s="3"/>
      <c r="D39" s="3"/>
      <c r="F39" s="3"/>
    </row>
    <row r="40" spans="2:7">
      <c r="B40" s="2" t="s">
        <v>64</v>
      </c>
      <c r="C40" s="3" t="s">
        <v>49</v>
      </c>
      <c r="D40" s="3"/>
      <c r="E40" s="3"/>
      <c r="F40" s="3"/>
      <c r="G40" s="1"/>
    </row>
    <row r="41" spans="2:7">
      <c r="C41" s="765" t="s">
        <v>663</v>
      </c>
      <c r="D41" s="3"/>
      <c r="E41" s="3"/>
      <c r="G41" s="3">
        <v>13</v>
      </c>
    </row>
    <row r="42" spans="2:7" ht="3" customHeight="1">
      <c r="C42" s="3"/>
      <c r="D42" s="3"/>
      <c r="E42" s="3"/>
    </row>
    <row r="43" spans="2:7">
      <c r="B43" s="2" t="s">
        <v>448</v>
      </c>
      <c r="C43" s="3" t="s">
        <v>52</v>
      </c>
      <c r="D43" s="3"/>
      <c r="E43" s="3"/>
    </row>
    <row r="44" spans="2:7">
      <c r="C44" s="765" t="s">
        <v>664</v>
      </c>
      <c r="D44" s="3"/>
      <c r="E44" s="3"/>
      <c r="G44" s="3">
        <v>14</v>
      </c>
    </row>
    <row r="45" spans="2:7" ht="2.25" customHeight="1">
      <c r="C45" s="3"/>
      <c r="D45" s="3"/>
      <c r="E45" s="3"/>
    </row>
    <row r="46" spans="2:7">
      <c r="B46" s="2" t="s">
        <v>15</v>
      </c>
      <c r="C46" s="20" t="s">
        <v>57</v>
      </c>
      <c r="D46" s="20"/>
      <c r="E46" s="20"/>
      <c r="G46" s="20"/>
    </row>
    <row r="47" spans="2:7">
      <c r="C47" s="765" t="s">
        <v>665</v>
      </c>
      <c r="D47" s="20"/>
      <c r="E47" s="20"/>
      <c r="G47" s="20">
        <v>15</v>
      </c>
    </row>
    <row r="48" spans="2:7" ht="3.75" customHeight="1">
      <c r="C48" s="568"/>
      <c r="D48" s="568"/>
      <c r="E48" s="568"/>
      <c r="G48" s="568"/>
    </row>
    <row r="49" spans="1:11">
      <c r="B49" s="2" t="s">
        <v>16</v>
      </c>
      <c r="C49" s="568" t="s">
        <v>521</v>
      </c>
      <c r="D49" s="568"/>
      <c r="E49" s="568"/>
      <c r="G49" s="568"/>
    </row>
    <row r="50" spans="1:11">
      <c r="C50" s="765" t="s">
        <v>666</v>
      </c>
      <c r="D50" s="568"/>
      <c r="E50" s="568"/>
      <c r="G50" s="568">
        <v>16</v>
      </c>
    </row>
    <row r="51" spans="1:11" ht="17.25" customHeight="1">
      <c r="A51" s="965" t="s">
        <v>77</v>
      </c>
      <c r="B51" s="965"/>
      <c r="C51" s="965"/>
      <c r="D51" s="965"/>
      <c r="E51" s="965"/>
      <c r="F51" s="965"/>
      <c r="G51" s="965"/>
    </row>
    <row r="52" spans="1:11">
      <c r="A52" s="476"/>
      <c r="B52" s="476"/>
      <c r="C52" s="476"/>
      <c r="D52" s="476"/>
      <c r="E52" s="476"/>
      <c r="F52" s="476"/>
      <c r="G52" s="476"/>
    </row>
    <row r="53" spans="1:11">
      <c r="A53" s="11" t="s">
        <v>19</v>
      </c>
      <c r="B53" s="11" t="s">
        <v>667</v>
      </c>
      <c r="C53" s="3"/>
      <c r="D53" s="3"/>
      <c r="E53" s="3"/>
      <c r="G53" s="3">
        <v>17</v>
      </c>
    </row>
    <row r="54" spans="1:11" ht="2.25" customHeight="1">
      <c r="A54" s="11"/>
      <c r="B54" s="11"/>
      <c r="C54" s="20"/>
      <c r="D54" s="20"/>
      <c r="E54" s="20"/>
      <c r="G54" s="20"/>
    </row>
    <row r="55" spans="1:11">
      <c r="A55" s="11"/>
      <c r="B55" s="2" t="s">
        <v>17</v>
      </c>
      <c r="C55" s="20" t="s">
        <v>56</v>
      </c>
      <c r="D55" s="20"/>
      <c r="E55" s="20"/>
      <c r="G55" s="20"/>
    </row>
    <row r="56" spans="1:11">
      <c r="C56" s="765" t="s">
        <v>668</v>
      </c>
      <c r="D56" s="3"/>
      <c r="E56" s="3"/>
      <c r="G56" s="3">
        <v>17</v>
      </c>
    </row>
    <row r="57" spans="1:11" ht="3" customHeight="1">
      <c r="C57" s="3"/>
      <c r="D57" s="3"/>
      <c r="E57" s="3"/>
    </row>
    <row r="58" spans="1:11">
      <c r="B58" s="7" t="s">
        <v>524</v>
      </c>
      <c r="C58" s="3" t="s">
        <v>10</v>
      </c>
      <c r="D58" s="3"/>
      <c r="F58" s="3"/>
      <c r="K58" s="2" t="s">
        <v>85</v>
      </c>
    </row>
    <row r="59" spans="1:11">
      <c r="C59" s="765" t="s">
        <v>669</v>
      </c>
      <c r="F59" s="3"/>
      <c r="G59" s="3">
        <v>18</v>
      </c>
    </row>
    <row r="60" spans="1:11" ht="3" customHeight="1">
      <c r="C60" s="3"/>
      <c r="F60" s="3"/>
    </row>
    <row r="61" spans="1:11">
      <c r="B61" s="7" t="s">
        <v>525</v>
      </c>
      <c r="C61" s="108" t="s">
        <v>259</v>
      </c>
      <c r="D61" s="3"/>
      <c r="F61" s="3"/>
      <c r="G61" s="1"/>
    </row>
    <row r="62" spans="1:11">
      <c r="C62" s="765" t="s">
        <v>670</v>
      </c>
      <c r="F62" s="3"/>
      <c r="G62" s="3">
        <v>19</v>
      </c>
    </row>
    <row r="63" spans="1:11" ht="3" customHeight="1">
      <c r="C63" s="3"/>
      <c r="D63" s="3"/>
      <c r="E63" s="3"/>
    </row>
    <row r="64" spans="1:11">
      <c r="B64" s="2" t="s">
        <v>20</v>
      </c>
      <c r="C64" s="3" t="s">
        <v>53</v>
      </c>
      <c r="F64" s="3"/>
      <c r="G64" s="1"/>
    </row>
    <row r="65" spans="1:7">
      <c r="C65" s="765" t="s">
        <v>671</v>
      </c>
      <c r="F65" s="3"/>
      <c r="G65" s="3">
        <v>20</v>
      </c>
    </row>
    <row r="66" spans="1:7" ht="3" customHeight="1">
      <c r="C66" s="3"/>
      <c r="F66" s="3"/>
    </row>
    <row r="67" spans="1:7">
      <c r="B67" s="2" t="s">
        <v>21</v>
      </c>
      <c r="C67" s="108" t="s">
        <v>275</v>
      </c>
      <c r="F67" s="3"/>
    </row>
    <row r="68" spans="1:7">
      <c r="C68" s="765" t="s">
        <v>672</v>
      </c>
      <c r="F68" s="3"/>
      <c r="G68" s="3">
        <v>21</v>
      </c>
    </row>
    <row r="69" spans="1:7" ht="3" customHeight="1">
      <c r="C69" s="3"/>
      <c r="F69" s="3"/>
    </row>
    <row r="70" spans="1:7">
      <c r="B70" s="2" t="s">
        <v>23</v>
      </c>
      <c r="C70" s="108" t="s">
        <v>276</v>
      </c>
      <c r="D70" s="3"/>
      <c r="F70" s="3"/>
    </row>
    <row r="71" spans="1:7">
      <c r="A71" s="7" t="s">
        <v>14</v>
      </c>
      <c r="C71" s="765" t="s">
        <v>673</v>
      </c>
      <c r="F71" s="3"/>
      <c r="G71" s="3">
        <v>22</v>
      </c>
    </row>
    <row r="72" spans="1:7" ht="2.25" customHeight="1">
      <c r="A72" s="7"/>
      <c r="C72" s="3"/>
      <c r="F72" s="3"/>
    </row>
    <row r="73" spans="1:7">
      <c r="B73" s="2" t="s">
        <v>24</v>
      </c>
      <c r="C73" s="108" t="s">
        <v>295</v>
      </c>
      <c r="D73" s="3"/>
      <c r="F73" s="3"/>
    </row>
    <row r="74" spans="1:7">
      <c r="C74" s="765" t="s">
        <v>674</v>
      </c>
      <c r="G74" s="3">
        <v>24</v>
      </c>
    </row>
    <row r="75" spans="1:7" ht="3" customHeight="1">
      <c r="C75" s="3"/>
    </row>
    <row r="76" spans="1:7">
      <c r="A76" s="4"/>
      <c r="B76" s="2" t="s">
        <v>25</v>
      </c>
      <c r="C76" s="2" t="s">
        <v>54</v>
      </c>
    </row>
    <row r="77" spans="1:7">
      <c r="A77" s="4"/>
      <c r="B77" s="8"/>
      <c r="C77" s="2" t="s">
        <v>675</v>
      </c>
      <c r="G77" s="3">
        <v>25</v>
      </c>
    </row>
    <row r="78" spans="1:7" ht="3" customHeight="1">
      <c r="A78" s="4"/>
      <c r="B78" s="9"/>
    </row>
    <row r="79" spans="1:7">
      <c r="A79" s="4"/>
      <c r="B79" s="2" t="s">
        <v>26</v>
      </c>
      <c r="C79" s="2" t="s">
        <v>65</v>
      </c>
    </row>
    <row r="80" spans="1:7">
      <c r="A80" s="4"/>
      <c r="C80" s="2" t="s">
        <v>676</v>
      </c>
      <c r="G80" s="3">
        <v>26</v>
      </c>
    </row>
    <row r="81" spans="1:7" ht="3.75" customHeight="1">
      <c r="A81" s="4"/>
    </row>
    <row r="82" spans="1:7">
      <c r="A82" s="4"/>
      <c r="B82" s="2" t="s">
        <v>27</v>
      </c>
      <c r="C82" s="2" t="s">
        <v>308</v>
      </c>
    </row>
    <row r="83" spans="1:7">
      <c r="A83" s="4"/>
      <c r="C83" s="2" t="s">
        <v>677</v>
      </c>
      <c r="G83" s="3">
        <v>28</v>
      </c>
    </row>
    <row r="84" spans="1:7" ht="3.75" customHeight="1">
      <c r="A84" s="4"/>
    </row>
    <row r="85" spans="1:7">
      <c r="A85" s="4"/>
      <c r="B85" s="2" t="s">
        <v>28</v>
      </c>
      <c r="C85" s="2" t="s">
        <v>55</v>
      </c>
    </row>
    <row r="86" spans="1:7">
      <c r="A86" s="4"/>
      <c r="C86" s="2" t="s">
        <v>678</v>
      </c>
      <c r="G86" s="3">
        <v>29</v>
      </c>
    </row>
    <row r="87" spans="1:7" ht="3.75" customHeight="1">
      <c r="A87" s="4"/>
    </row>
    <row r="88" spans="1:7">
      <c r="A88" s="11" t="s">
        <v>50</v>
      </c>
      <c r="B88" s="11" t="s">
        <v>679</v>
      </c>
      <c r="C88" s="3"/>
      <c r="D88" s="3"/>
      <c r="E88" s="3"/>
      <c r="G88" s="3">
        <v>30</v>
      </c>
    </row>
    <row r="89" spans="1:7" ht="4.5" customHeight="1">
      <c r="C89" s="3"/>
      <c r="D89" s="3"/>
      <c r="E89" s="3"/>
    </row>
    <row r="90" spans="1:7">
      <c r="B90" s="7" t="s">
        <v>29</v>
      </c>
      <c r="C90" s="3" t="s">
        <v>13</v>
      </c>
      <c r="D90" s="3"/>
      <c r="F90" s="3"/>
    </row>
    <row r="91" spans="1:7">
      <c r="C91" s="765" t="s">
        <v>680</v>
      </c>
      <c r="F91" s="3"/>
      <c r="G91" s="3">
        <v>30</v>
      </c>
    </row>
    <row r="92" spans="1:7" ht="3" customHeight="1">
      <c r="C92" s="3"/>
      <c r="F92" s="3"/>
    </row>
    <row r="93" spans="1:7">
      <c r="B93" s="7" t="s">
        <v>30</v>
      </c>
      <c r="C93" s="2" t="s">
        <v>337</v>
      </c>
      <c r="D93" s="3"/>
      <c r="F93" s="3"/>
    </row>
    <row r="94" spans="1:7">
      <c r="B94" s="9"/>
      <c r="C94" s="2" t="s">
        <v>681</v>
      </c>
      <c r="F94" s="3"/>
      <c r="G94" s="3">
        <v>31</v>
      </c>
    </row>
    <row r="95" spans="1:7" ht="3" customHeight="1">
      <c r="B95" s="8"/>
      <c r="C95" s="3"/>
      <c r="F95" s="3"/>
    </row>
    <row r="96" spans="1:7">
      <c r="B96" s="2" t="s">
        <v>32</v>
      </c>
      <c r="C96" s="3" t="s">
        <v>59</v>
      </c>
      <c r="D96" s="3"/>
      <c r="E96" s="3"/>
      <c r="F96" s="3"/>
    </row>
    <row r="97" spans="1:7">
      <c r="A97" s="4"/>
      <c r="C97" s="765" t="s">
        <v>682</v>
      </c>
      <c r="G97" s="3">
        <v>32</v>
      </c>
    </row>
    <row r="98" spans="1:7" ht="2.25" customHeight="1">
      <c r="A98" s="4"/>
    </row>
    <row r="99" spans="1:7">
      <c r="B99" s="2" t="s">
        <v>33</v>
      </c>
      <c r="C99" s="2" t="s">
        <v>47</v>
      </c>
    </row>
    <row r="100" spans="1:7">
      <c r="C100" s="964" t="s">
        <v>683</v>
      </c>
      <c r="D100" s="964"/>
      <c r="E100" s="964"/>
      <c r="F100" s="964"/>
      <c r="G100" s="3">
        <v>33</v>
      </c>
    </row>
    <row r="101" spans="1:7" ht="4.5" customHeight="1"/>
    <row r="102" spans="1:7">
      <c r="A102" s="960" t="s">
        <v>78</v>
      </c>
      <c r="B102" s="960"/>
      <c r="C102" s="960"/>
      <c r="D102" s="960"/>
      <c r="E102" s="960"/>
      <c r="F102" s="960"/>
      <c r="G102" s="960"/>
    </row>
    <row r="103" spans="1:7" ht="4.5" customHeight="1">
      <c r="G103" s="477"/>
    </row>
    <row r="104" spans="1:7">
      <c r="B104" s="2" t="s">
        <v>66</v>
      </c>
      <c r="C104" s="2" t="s">
        <v>60</v>
      </c>
    </row>
    <row r="105" spans="1:7">
      <c r="C105" s="964" t="s">
        <v>684</v>
      </c>
      <c r="D105" s="964"/>
      <c r="E105" s="964"/>
      <c r="F105" s="964"/>
      <c r="G105" s="3">
        <v>34</v>
      </c>
    </row>
    <row r="106" spans="1:7" ht="3.75" customHeight="1">
      <c r="A106" s="4"/>
    </row>
    <row r="107" spans="1:7">
      <c r="B107" s="7" t="s">
        <v>34</v>
      </c>
      <c r="C107" s="2" t="s">
        <v>61</v>
      </c>
    </row>
    <row r="108" spans="1:7">
      <c r="C108" s="2" t="s">
        <v>685</v>
      </c>
      <c r="G108" s="3">
        <v>35</v>
      </c>
    </row>
    <row r="109" spans="1:7" ht="4.5" customHeight="1">
      <c r="A109" s="4"/>
    </row>
    <row r="110" spans="1:7">
      <c r="B110" s="2" t="s">
        <v>35</v>
      </c>
      <c r="C110" s="2" t="s">
        <v>62</v>
      </c>
    </row>
    <row r="111" spans="1:7">
      <c r="A111" s="7" t="s">
        <v>22</v>
      </c>
      <c r="C111" s="964" t="s">
        <v>686</v>
      </c>
      <c r="D111" s="964"/>
      <c r="E111" s="964"/>
      <c r="F111" s="964"/>
      <c r="G111" s="3">
        <v>36</v>
      </c>
    </row>
    <row r="112" spans="1:7" ht="4.5" customHeight="1">
      <c r="A112" s="7"/>
      <c r="C112" s="3"/>
      <c r="D112" s="3"/>
      <c r="E112" s="3"/>
      <c r="F112" s="3"/>
    </row>
    <row r="113" spans="1:7">
      <c r="B113" s="7" t="s">
        <v>36</v>
      </c>
      <c r="C113" s="2" t="s">
        <v>62</v>
      </c>
    </row>
    <row r="114" spans="1:7">
      <c r="C114" s="964" t="s">
        <v>687</v>
      </c>
      <c r="D114" s="964"/>
      <c r="E114" s="964"/>
      <c r="F114" s="964"/>
      <c r="G114" s="3">
        <v>37</v>
      </c>
    </row>
    <row r="115" spans="1:7">
      <c r="B115" s="2" t="s">
        <v>39</v>
      </c>
      <c r="C115" s="3" t="s">
        <v>63</v>
      </c>
      <c r="D115" s="3"/>
      <c r="E115" s="3"/>
      <c r="F115" s="3"/>
    </row>
    <row r="116" spans="1:7">
      <c r="C116" s="964" t="s">
        <v>688</v>
      </c>
      <c r="D116" s="964"/>
      <c r="E116" s="964"/>
      <c r="F116" s="964"/>
      <c r="G116" s="3">
        <v>38</v>
      </c>
    </row>
    <row r="117" spans="1:7" ht="3.75" customHeight="1">
      <c r="B117" s="7"/>
      <c r="C117" s="3"/>
      <c r="D117" s="3"/>
      <c r="E117" s="3"/>
      <c r="F117" s="3"/>
    </row>
    <row r="118" spans="1:7" ht="9" customHeight="1">
      <c r="B118" s="2" t="s">
        <v>554</v>
      </c>
      <c r="C118" s="568" t="s">
        <v>63</v>
      </c>
      <c r="D118" s="568"/>
      <c r="E118" s="568"/>
      <c r="F118" s="568"/>
      <c r="G118" s="568"/>
    </row>
    <row r="119" spans="1:7" ht="9" customHeight="1">
      <c r="C119" s="964" t="s">
        <v>689</v>
      </c>
      <c r="D119" s="964"/>
      <c r="E119" s="964"/>
      <c r="F119" s="964"/>
      <c r="G119" s="568">
        <v>39</v>
      </c>
    </row>
    <row r="120" spans="1:7" ht="3.75" customHeight="1">
      <c r="B120" s="7"/>
      <c r="C120" s="568"/>
      <c r="D120" s="568"/>
      <c r="E120" s="568"/>
      <c r="F120" s="568"/>
      <c r="G120" s="568"/>
    </row>
    <row r="121" spans="1:7" ht="9" customHeight="1">
      <c r="B121" s="2" t="s">
        <v>40</v>
      </c>
      <c r="C121" s="587" t="s">
        <v>555</v>
      </c>
      <c r="D121" s="587"/>
      <c r="E121" s="587"/>
      <c r="F121" s="587"/>
      <c r="G121" s="587"/>
    </row>
    <row r="122" spans="1:7" ht="9" customHeight="1">
      <c r="C122" s="964" t="s">
        <v>657</v>
      </c>
      <c r="D122" s="964"/>
      <c r="E122" s="964"/>
      <c r="F122" s="964"/>
      <c r="G122" s="587">
        <v>40</v>
      </c>
    </row>
    <row r="123" spans="1:7">
      <c r="A123" s="11" t="s">
        <v>58</v>
      </c>
      <c r="B123" s="11" t="s">
        <v>690</v>
      </c>
      <c r="C123" s="4"/>
      <c r="D123" s="4"/>
      <c r="E123" s="4"/>
      <c r="F123" s="4"/>
      <c r="G123" s="3">
        <v>41</v>
      </c>
    </row>
    <row r="124" spans="1:7" ht="3.75" customHeight="1">
      <c r="B124" s="7"/>
      <c r="C124" s="3"/>
      <c r="D124" s="3"/>
      <c r="E124" s="3"/>
      <c r="F124" s="3"/>
    </row>
    <row r="125" spans="1:7">
      <c r="B125" s="2" t="s">
        <v>41</v>
      </c>
      <c r="C125" s="3" t="s">
        <v>67</v>
      </c>
      <c r="D125" s="3"/>
      <c r="E125" s="3"/>
      <c r="F125" s="3"/>
    </row>
    <row r="126" spans="1:7">
      <c r="C126" s="765" t="s">
        <v>691</v>
      </c>
      <c r="D126" s="3"/>
      <c r="E126" s="3"/>
      <c r="F126" s="3"/>
      <c r="G126" s="3">
        <v>41</v>
      </c>
    </row>
    <row r="127" spans="1:7" ht="3.75" customHeight="1">
      <c r="C127" s="3"/>
      <c r="D127" s="3"/>
      <c r="E127" s="3"/>
      <c r="F127" s="3"/>
    </row>
    <row r="128" spans="1:7">
      <c r="B128" s="7" t="s">
        <v>42</v>
      </c>
      <c r="C128" s="3" t="s">
        <v>68</v>
      </c>
      <c r="D128" s="3"/>
      <c r="E128" s="3"/>
      <c r="F128" s="3"/>
    </row>
    <row r="129" spans="1:7">
      <c r="C129" s="964" t="s">
        <v>692</v>
      </c>
      <c r="D129" s="964"/>
      <c r="E129" s="964"/>
      <c r="F129" s="964"/>
      <c r="G129" s="3">
        <v>43</v>
      </c>
    </row>
    <row r="130" spans="1:7" ht="4.5" customHeight="1">
      <c r="C130" s="3"/>
      <c r="D130" s="3"/>
      <c r="E130" s="3"/>
      <c r="F130" s="3"/>
    </row>
    <row r="131" spans="1:7">
      <c r="B131" s="7" t="s">
        <v>43</v>
      </c>
      <c r="C131" s="3" t="s">
        <v>67</v>
      </c>
      <c r="D131" s="3"/>
      <c r="E131" s="3"/>
      <c r="F131" s="3"/>
    </row>
    <row r="132" spans="1:7">
      <c r="C132" s="964" t="s">
        <v>693</v>
      </c>
      <c r="D132" s="964"/>
      <c r="E132" s="964"/>
      <c r="F132" s="964"/>
      <c r="G132" s="3">
        <v>45</v>
      </c>
    </row>
    <row r="133" spans="1:7" ht="3" customHeight="1">
      <c r="C133" s="3"/>
      <c r="D133" s="3"/>
      <c r="E133" s="3"/>
      <c r="F133" s="3"/>
    </row>
    <row r="134" spans="1:7">
      <c r="B134" s="7" t="s">
        <v>44</v>
      </c>
      <c r="C134" s="3" t="s">
        <v>67</v>
      </c>
      <c r="D134" s="3"/>
      <c r="E134" s="3"/>
      <c r="F134" s="3"/>
    </row>
    <row r="135" spans="1:7">
      <c r="B135" s="2" t="s">
        <v>31</v>
      </c>
      <c r="C135" s="765" t="s">
        <v>694</v>
      </c>
      <c r="D135" s="3"/>
      <c r="E135" s="3"/>
      <c r="F135" s="3"/>
      <c r="G135" s="3">
        <v>46</v>
      </c>
    </row>
    <row r="136" spans="1:7" ht="3.75" customHeight="1">
      <c r="C136" s="3"/>
      <c r="D136" s="3"/>
      <c r="E136" s="3"/>
      <c r="F136" s="3"/>
    </row>
    <row r="137" spans="1:7">
      <c r="B137" s="7" t="s">
        <v>45</v>
      </c>
      <c r="C137" s="964" t="s">
        <v>37</v>
      </c>
      <c r="D137" s="964"/>
      <c r="E137" s="964"/>
      <c r="F137" s="964"/>
    </row>
    <row r="138" spans="1:7">
      <c r="B138" s="2" t="s">
        <v>31</v>
      </c>
      <c r="C138" s="765" t="s">
        <v>695</v>
      </c>
      <c r="D138" s="3"/>
      <c r="E138" s="3"/>
      <c r="F138" s="3"/>
      <c r="G138" s="3">
        <v>47</v>
      </c>
    </row>
    <row r="139" spans="1:7" ht="3" customHeight="1">
      <c r="A139" s="7" t="s">
        <v>38</v>
      </c>
      <c r="C139" s="3"/>
      <c r="D139" s="3"/>
      <c r="E139" s="3"/>
      <c r="F139" s="3"/>
      <c r="G139" s="568"/>
    </row>
    <row r="140" spans="1:7">
      <c r="B140" s="7" t="s">
        <v>76</v>
      </c>
      <c r="C140" s="3" t="s">
        <v>69</v>
      </c>
      <c r="D140" s="3"/>
      <c r="E140" s="3"/>
      <c r="F140" s="3"/>
    </row>
    <row r="141" spans="1:7">
      <c r="A141" s="7" t="s">
        <v>22</v>
      </c>
      <c r="C141" s="964" t="s">
        <v>696</v>
      </c>
      <c r="D141" s="964"/>
      <c r="E141" s="964"/>
      <c r="F141" s="964"/>
      <c r="G141" s="3">
        <v>48</v>
      </c>
    </row>
    <row r="142" spans="1:7" ht="3" customHeight="1">
      <c r="A142" s="7"/>
      <c r="C142" s="3"/>
      <c r="D142" s="3"/>
      <c r="E142" s="3"/>
      <c r="F142" s="3"/>
    </row>
    <row r="143" spans="1:7">
      <c r="B143" s="7" t="s">
        <v>450</v>
      </c>
      <c r="C143" s="664" t="s">
        <v>597</v>
      </c>
      <c r="D143" s="664"/>
      <c r="E143" s="664"/>
      <c r="F143" s="664"/>
      <c r="G143" s="664"/>
    </row>
    <row r="144" spans="1:7">
      <c r="A144" s="7" t="s">
        <v>22</v>
      </c>
      <c r="C144" s="964" t="s">
        <v>658</v>
      </c>
      <c r="D144" s="964"/>
      <c r="E144" s="964"/>
      <c r="F144" s="964"/>
      <c r="G144" s="664">
        <v>49</v>
      </c>
    </row>
    <row r="145" spans="1:7" ht="2.25" customHeight="1">
      <c r="A145" s="7"/>
      <c r="C145" s="664"/>
      <c r="D145" s="664"/>
      <c r="E145" s="664"/>
      <c r="F145" s="664"/>
      <c r="G145" s="664"/>
    </row>
    <row r="146" spans="1:7">
      <c r="A146" s="11" t="s">
        <v>479</v>
      </c>
      <c r="B146" s="11" t="s">
        <v>699</v>
      </c>
      <c r="C146" s="4"/>
      <c r="D146" s="4"/>
      <c r="E146" s="4"/>
      <c r="F146" s="4"/>
      <c r="G146" s="477">
        <v>50</v>
      </c>
    </row>
    <row r="147" spans="1:7" ht="2.25" customHeight="1">
      <c r="B147" s="7"/>
      <c r="C147" s="477"/>
      <c r="D147" s="477"/>
      <c r="E147" s="477"/>
      <c r="F147" s="477"/>
      <c r="G147" s="477"/>
    </row>
    <row r="148" spans="1:7">
      <c r="B148" s="2" t="s">
        <v>451</v>
      </c>
      <c r="C148" s="546" t="s">
        <v>503</v>
      </c>
      <c r="D148" s="477"/>
      <c r="E148" s="477"/>
      <c r="F148" s="477"/>
      <c r="G148" s="477"/>
    </row>
    <row r="149" spans="1:7">
      <c r="C149" s="546" t="s">
        <v>504</v>
      </c>
      <c r="D149" s="546"/>
      <c r="E149" s="546"/>
      <c r="F149" s="546"/>
      <c r="G149" s="546"/>
    </row>
    <row r="150" spans="1:7">
      <c r="C150" s="765" t="s">
        <v>691</v>
      </c>
      <c r="D150" s="477"/>
      <c r="E150" s="477"/>
      <c r="F150" s="477"/>
      <c r="G150" s="477">
        <v>50</v>
      </c>
    </row>
    <row r="151" spans="1:7" ht="3.75" customHeight="1">
      <c r="C151" s="477"/>
      <c r="D151" s="477"/>
      <c r="E151" s="477"/>
      <c r="F151" s="477"/>
      <c r="G151" s="477"/>
    </row>
    <row r="152" spans="1:7">
      <c r="A152" s="960" t="s">
        <v>595</v>
      </c>
      <c r="B152" s="960"/>
      <c r="C152" s="960"/>
      <c r="D152" s="960"/>
      <c r="E152" s="960"/>
      <c r="F152" s="960"/>
      <c r="G152" s="960"/>
    </row>
    <row r="153" spans="1:7">
      <c r="A153" s="476"/>
      <c r="B153" s="476"/>
      <c r="C153" s="476"/>
      <c r="D153" s="476"/>
      <c r="E153" s="476"/>
      <c r="F153" s="476"/>
      <c r="G153" s="476"/>
    </row>
    <row r="154" spans="1:7" ht="3" customHeight="1">
      <c r="C154" s="477"/>
      <c r="D154" s="477"/>
      <c r="E154" s="477"/>
      <c r="F154" s="477"/>
      <c r="G154" s="477"/>
    </row>
    <row r="155" spans="1:7">
      <c r="B155" s="7" t="s">
        <v>452</v>
      </c>
      <c r="C155" s="477" t="s">
        <v>444</v>
      </c>
      <c r="D155" s="477"/>
      <c r="E155" s="477"/>
      <c r="F155" s="477"/>
      <c r="G155" s="477"/>
    </row>
    <row r="156" spans="1:7">
      <c r="B156" s="2" t="s">
        <v>31</v>
      </c>
      <c r="C156" s="964" t="s">
        <v>700</v>
      </c>
      <c r="D156" s="964"/>
      <c r="E156" s="964"/>
      <c r="F156" s="964"/>
      <c r="G156" s="477">
        <v>51</v>
      </c>
    </row>
    <row r="157" spans="1:7" ht="3.75" customHeight="1">
      <c r="C157" s="477"/>
      <c r="D157" s="477"/>
      <c r="E157" s="477"/>
      <c r="F157" s="477"/>
      <c r="G157" s="477"/>
    </row>
    <row r="158" spans="1:7">
      <c r="B158" s="7" t="s">
        <v>453</v>
      </c>
      <c r="C158" s="477" t="s">
        <v>445</v>
      </c>
      <c r="D158" s="477"/>
      <c r="E158" s="477"/>
      <c r="F158" s="477"/>
      <c r="G158" s="477"/>
    </row>
    <row r="159" spans="1:7">
      <c r="B159" s="2" t="s">
        <v>31</v>
      </c>
      <c r="C159" s="964" t="s">
        <v>698</v>
      </c>
      <c r="D159" s="964"/>
      <c r="E159" s="964"/>
      <c r="F159" s="964"/>
      <c r="G159" s="477">
        <v>52</v>
      </c>
    </row>
    <row r="160" spans="1:7" ht="3" customHeight="1">
      <c r="A160" s="7" t="s">
        <v>38</v>
      </c>
      <c r="C160" s="477"/>
      <c r="D160" s="477"/>
      <c r="E160" s="477"/>
      <c r="F160" s="477"/>
      <c r="G160" s="477"/>
    </row>
    <row r="161" spans="1:7">
      <c r="A161" s="11" t="s">
        <v>477</v>
      </c>
      <c r="B161" s="11" t="s">
        <v>86</v>
      </c>
      <c r="C161" s="3"/>
      <c r="D161" s="3"/>
      <c r="E161" s="3"/>
      <c r="F161" s="3"/>
    </row>
    <row r="162" spans="1:7">
      <c r="A162" s="2" t="s">
        <v>70</v>
      </c>
      <c r="B162" s="764" t="s">
        <v>701</v>
      </c>
      <c r="C162" s="3"/>
      <c r="D162" s="3"/>
      <c r="E162" s="3"/>
      <c r="F162" s="3"/>
      <c r="G162" s="3">
        <v>53</v>
      </c>
    </row>
    <row r="163" spans="1:7" ht="4.5" customHeight="1">
      <c r="B163" s="3"/>
      <c r="C163" s="3"/>
      <c r="D163" s="3"/>
      <c r="E163" s="3"/>
      <c r="F163" s="3"/>
    </row>
    <row r="164" spans="1:7">
      <c r="B164" s="7" t="s">
        <v>454</v>
      </c>
      <c r="C164" s="3" t="s">
        <v>71</v>
      </c>
      <c r="D164" s="3"/>
      <c r="E164" s="3"/>
      <c r="F164" s="3"/>
    </row>
    <row r="165" spans="1:7">
      <c r="C165" s="765" t="s">
        <v>697</v>
      </c>
      <c r="D165" s="3"/>
      <c r="E165" s="3"/>
      <c r="F165" s="3"/>
      <c r="G165" s="3">
        <v>53</v>
      </c>
    </row>
    <row r="166" spans="1:7" ht="4.5" customHeight="1">
      <c r="C166" s="3"/>
      <c r="D166" s="3"/>
      <c r="E166" s="3"/>
      <c r="F166" s="3"/>
    </row>
    <row r="167" spans="1:7">
      <c r="B167" s="2" t="s">
        <v>556</v>
      </c>
      <c r="C167" s="261" t="s">
        <v>413</v>
      </c>
      <c r="D167" s="3"/>
      <c r="E167" s="3"/>
      <c r="F167" s="3"/>
    </row>
    <row r="168" spans="1:7">
      <c r="C168" s="765" t="s">
        <v>697</v>
      </c>
      <c r="D168" s="3"/>
      <c r="E168" s="3"/>
      <c r="F168" s="3"/>
      <c r="G168" s="3">
        <v>54</v>
      </c>
    </row>
    <row r="169" spans="1:7" ht="4.5" customHeight="1">
      <c r="C169" s="3"/>
      <c r="D169" s="3"/>
      <c r="E169" s="3"/>
      <c r="F169" s="3"/>
    </row>
    <row r="170" spans="1:7">
      <c r="B170" s="7" t="s">
        <v>578</v>
      </c>
      <c r="C170" s="3" t="s">
        <v>72</v>
      </c>
      <c r="D170" s="3"/>
      <c r="E170" s="3"/>
      <c r="F170" s="3"/>
    </row>
    <row r="171" spans="1:7">
      <c r="C171" s="765" t="s">
        <v>697</v>
      </c>
      <c r="D171" s="3"/>
      <c r="E171" s="3"/>
      <c r="F171" s="3"/>
      <c r="G171" s="3">
        <v>55</v>
      </c>
    </row>
    <row r="172" spans="1:7" ht="4.5" customHeight="1">
      <c r="C172" s="3"/>
      <c r="D172" s="3"/>
      <c r="E172" s="3"/>
      <c r="F172" s="3"/>
    </row>
    <row r="173" spans="1:7">
      <c r="B173" s="7" t="s">
        <v>455</v>
      </c>
      <c r="C173" s="3" t="s">
        <v>73</v>
      </c>
      <c r="D173" s="3"/>
      <c r="E173" s="3"/>
      <c r="F173" s="3"/>
    </row>
    <row r="174" spans="1:7">
      <c r="B174" s="7"/>
      <c r="C174" s="765" t="s">
        <v>697</v>
      </c>
      <c r="D174" s="3"/>
      <c r="E174" s="3"/>
      <c r="F174" s="3"/>
      <c r="G174" s="3">
        <v>56</v>
      </c>
    </row>
    <row r="175" spans="1:7" ht="3.75" customHeight="1">
      <c r="B175" s="7"/>
      <c r="C175" s="3"/>
      <c r="D175" s="3"/>
      <c r="E175" s="3"/>
      <c r="F175" s="3"/>
    </row>
    <row r="176" spans="1:7">
      <c r="B176" s="7" t="s">
        <v>526</v>
      </c>
      <c r="C176" s="3" t="s">
        <v>74</v>
      </c>
      <c r="D176" s="3"/>
      <c r="E176" s="3"/>
      <c r="F176" s="3"/>
    </row>
    <row r="177" spans="1:7">
      <c r="C177" s="765" t="s">
        <v>697</v>
      </c>
      <c r="D177" s="3"/>
      <c r="E177" s="3"/>
      <c r="F177" s="3"/>
      <c r="G177" s="3">
        <v>57</v>
      </c>
    </row>
    <row r="178" spans="1:7" ht="3" customHeight="1">
      <c r="A178" s="7"/>
      <c r="B178" s="7"/>
      <c r="C178" s="3"/>
      <c r="D178" s="3"/>
      <c r="E178" s="3"/>
      <c r="F178" s="3"/>
    </row>
    <row r="179" spans="1:7">
      <c r="A179" s="7"/>
      <c r="B179" s="7" t="s">
        <v>527</v>
      </c>
      <c r="C179" s="3" t="s">
        <v>75</v>
      </c>
      <c r="D179" s="3"/>
      <c r="E179" s="3"/>
      <c r="F179" s="3"/>
    </row>
    <row r="180" spans="1:7">
      <c r="A180" s="7"/>
      <c r="C180" s="765" t="s">
        <v>697</v>
      </c>
      <c r="D180" s="3"/>
      <c r="E180" s="3"/>
      <c r="F180" s="3"/>
      <c r="G180" s="3">
        <v>58</v>
      </c>
    </row>
    <row r="181" spans="1:7" ht="3.75" customHeight="1">
      <c r="A181" s="7"/>
    </row>
    <row r="182" spans="1:7">
      <c r="A182" s="7"/>
      <c r="B182" s="7" t="s">
        <v>557</v>
      </c>
      <c r="C182" s="3" t="s">
        <v>46</v>
      </c>
    </row>
    <row r="183" spans="1:7">
      <c r="C183" s="765" t="s">
        <v>697</v>
      </c>
      <c r="G183" s="3">
        <v>59</v>
      </c>
    </row>
    <row r="184" spans="1:7" ht="3.75" customHeight="1">
      <c r="C184" s="546"/>
      <c r="G184" s="546"/>
    </row>
    <row r="185" spans="1:7">
      <c r="B185" s="2" t="s">
        <v>598</v>
      </c>
      <c r="C185" s="546" t="s">
        <v>505</v>
      </c>
      <c r="G185" s="477"/>
    </row>
    <row r="186" spans="1:7">
      <c r="C186" s="765" t="s">
        <v>697</v>
      </c>
      <c r="G186" s="477">
        <v>60</v>
      </c>
    </row>
    <row r="189" spans="1:7">
      <c r="A189" s="960" t="s">
        <v>596</v>
      </c>
      <c r="B189" s="960"/>
      <c r="C189" s="960"/>
      <c r="D189" s="960"/>
      <c r="E189" s="960"/>
      <c r="F189" s="960"/>
      <c r="G189" s="960"/>
    </row>
  </sheetData>
  <mergeCells count="35">
    <mergeCell ref="B28:F28"/>
    <mergeCell ref="C32:F32"/>
    <mergeCell ref="C34:F34"/>
    <mergeCell ref="B26:F26"/>
    <mergeCell ref="C100:F100"/>
    <mergeCell ref="C35:F35"/>
    <mergeCell ref="A51:G51"/>
    <mergeCell ref="A189:G189"/>
    <mergeCell ref="C116:F116"/>
    <mergeCell ref="C129:F129"/>
    <mergeCell ref="C114:F114"/>
    <mergeCell ref="C141:F141"/>
    <mergeCell ref="C132:F132"/>
    <mergeCell ref="C137:F137"/>
    <mergeCell ref="C156:F156"/>
    <mergeCell ref="C159:F159"/>
    <mergeCell ref="C119:F119"/>
    <mergeCell ref="C122:F122"/>
    <mergeCell ref="C144:F144"/>
    <mergeCell ref="A102:G102"/>
    <mergeCell ref="A152:G152"/>
    <mergeCell ref="A1:H1"/>
    <mergeCell ref="B7:F7"/>
    <mergeCell ref="B22:F22"/>
    <mergeCell ref="B24:F24"/>
    <mergeCell ref="A3:F3"/>
    <mergeCell ref="A5:F5"/>
    <mergeCell ref="F2:G2"/>
    <mergeCell ref="C20:F20"/>
    <mergeCell ref="C12:F12"/>
    <mergeCell ref="C13:F13"/>
    <mergeCell ref="C15:F15"/>
    <mergeCell ref="C17:F17"/>
    <mergeCell ref="C105:F105"/>
    <mergeCell ref="C111:F111"/>
  </mergeCells>
  <pageMargins left="0.7" right="0.7" top="0.75" bottom="0.75" header="0.3" footer="0.3"/>
  <pageSetup orientation="landscape" r:id="rId1"/>
  <rowBreaks count="3" manualBreakCount="3">
    <brk id="51" max="6" man="1"/>
    <brk id="102" max="6" man="1"/>
    <brk id="152" max="6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3:H14"/>
  <sheetViews>
    <sheetView workbookViewId="0">
      <selection sqref="A1:XFD1048576"/>
    </sheetView>
  </sheetViews>
  <sheetFormatPr defaultRowHeight="15"/>
  <cols>
    <col min="1" max="1" width="4.140625" customWidth="1"/>
    <col min="2" max="2" width="18" customWidth="1"/>
    <col min="3" max="3" width="10.85546875" customWidth="1"/>
    <col min="4" max="4" width="11.7109375" customWidth="1"/>
    <col min="5" max="5" width="11.5703125" customWidth="1"/>
    <col min="6" max="6" width="11.140625" customWidth="1"/>
    <col min="7" max="7" width="11.5703125" bestFit="1" customWidth="1"/>
  </cols>
  <sheetData>
    <row r="3" spans="1:8" ht="15.75">
      <c r="A3" s="1274" t="s">
        <v>805</v>
      </c>
      <c r="B3" s="1274"/>
      <c r="C3" s="1274"/>
      <c r="D3" s="1274"/>
      <c r="E3" s="1274"/>
      <c r="F3" s="1274"/>
      <c r="G3" s="1274"/>
      <c r="H3" s="1274"/>
    </row>
    <row r="4" spans="1:8" ht="15.75">
      <c r="A4" s="1274" t="s">
        <v>711</v>
      </c>
      <c r="B4" s="1274"/>
      <c r="C4" s="1274"/>
      <c r="D4" s="1274"/>
      <c r="E4" s="1274"/>
      <c r="F4" s="1274"/>
      <c r="G4" s="1274"/>
      <c r="H4" s="1274"/>
    </row>
    <row r="5" spans="1:8" ht="15.75">
      <c r="A5" s="713"/>
      <c r="B5" s="713"/>
      <c r="C5" s="713"/>
      <c r="D5" s="713"/>
      <c r="E5" s="713"/>
      <c r="F5" s="713"/>
      <c r="G5" s="713"/>
      <c r="H5" s="825" t="s">
        <v>226</v>
      </c>
    </row>
    <row r="6" spans="1:8" ht="15.75">
      <c r="A6" s="1222" t="s">
        <v>212</v>
      </c>
      <c r="B6" s="1210" t="s">
        <v>314</v>
      </c>
      <c r="C6" s="1213" t="s">
        <v>214</v>
      </c>
      <c r="D6" s="1214"/>
      <c r="E6" s="1214"/>
      <c r="F6" s="1214"/>
      <c r="G6" s="1219"/>
      <c r="H6" s="1210" t="s">
        <v>126</v>
      </c>
    </row>
    <row r="7" spans="1:8" ht="16.5" thickBot="1">
      <c r="A7" s="1224"/>
      <c r="B7" s="1212"/>
      <c r="C7" s="826">
        <v>2011</v>
      </c>
      <c r="D7" s="826">
        <v>2012</v>
      </c>
      <c r="E7" s="826">
        <v>2013</v>
      </c>
      <c r="F7" s="826">
        <v>2014</v>
      </c>
      <c r="G7" s="826">
        <v>2015</v>
      </c>
      <c r="H7" s="1212"/>
    </row>
    <row r="8" spans="1:8" ht="16.5" thickTop="1">
      <c r="A8" s="714">
        <v>1</v>
      </c>
      <c r="B8" s="715" t="s">
        <v>325</v>
      </c>
      <c r="C8" s="716">
        <v>142132.5</v>
      </c>
      <c r="D8" s="716">
        <v>144569.20000000001</v>
      </c>
      <c r="E8" s="914">
        <v>146192.12</v>
      </c>
      <c r="F8" s="915">
        <f>315.7+156+678.55+83780.8</f>
        <v>84931.05</v>
      </c>
      <c r="G8" s="915">
        <v>107921.49</v>
      </c>
      <c r="H8" s="830">
        <f t="shared" ref="H8:H11" si="0">((D8-C8)/C8*100+(E8-D8)/D8*100+(F8-E8)/E8*100+(G8-F8)/F8*100)/4</f>
        <v>-2.9994959928114326</v>
      </c>
    </row>
    <row r="9" spans="1:8" ht="15.75">
      <c r="A9" s="717">
        <v>2</v>
      </c>
      <c r="B9" s="718" t="s">
        <v>326</v>
      </c>
      <c r="C9" s="719">
        <v>2231.6999999999998</v>
      </c>
      <c r="D9" s="719">
        <v>1899.4</v>
      </c>
      <c r="E9" s="916">
        <v>2398.39</v>
      </c>
      <c r="F9" s="917">
        <v>3554</v>
      </c>
      <c r="G9" s="917">
        <v>3287.52</v>
      </c>
      <c r="H9" s="695">
        <f t="shared" si="0"/>
        <v>13.016410588119328</v>
      </c>
    </row>
    <row r="10" spans="1:8" ht="15.75">
      <c r="A10" s="717">
        <v>3</v>
      </c>
      <c r="B10" s="718" t="s">
        <v>327</v>
      </c>
      <c r="C10" s="719">
        <v>4798.3</v>
      </c>
      <c r="D10" s="719">
        <v>6179.1</v>
      </c>
      <c r="E10" s="916">
        <v>7409.57</v>
      </c>
      <c r="F10" s="917">
        <v>9297.1</v>
      </c>
      <c r="G10" s="917">
        <v>6480.74</v>
      </c>
      <c r="H10" s="695">
        <f t="shared" si="0"/>
        <v>10.967901763796938</v>
      </c>
    </row>
    <row r="11" spans="1:8" ht="15.75">
      <c r="A11" s="717">
        <v>4</v>
      </c>
      <c r="B11" s="718" t="s">
        <v>328</v>
      </c>
      <c r="C11" s="719">
        <v>337.6</v>
      </c>
      <c r="D11" s="719">
        <v>370.4</v>
      </c>
      <c r="E11" s="916">
        <v>280.2</v>
      </c>
      <c r="F11" s="917">
        <v>324.5</v>
      </c>
      <c r="G11" s="917">
        <v>245.03</v>
      </c>
      <c r="H11" s="695">
        <f t="shared" si="0"/>
        <v>-5.8290652499224933</v>
      </c>
    </row>
    <row r="12" spans="1:8" ht="16.5" thickBot="1">
      <c r="A12" s="717">
        <v>5</v>
      </c>
      <c r="B12" s="718" t="s">
        <v>329</v>
      </c>
      <c r="C12" s="719">
        <v>1785.4</v>
      </c>
      <c r="D12" s="719">
        <v>2890.4</v>
      </c>
      <c r="E12" s="916">
        <v>4098.33</v>
      </c>
      <c r="F12" s="917">
        <f>71.4+19.35+4268</f>
        <v>4358.75</v>
      </c>
      <c r="G12" s="917">
        <v>4687</v>
      </c>
      <c r="H12" s="695">
        <f>((D12-C12)/C12*100+(E12-D12)/D12*100+(F12-E12)/E12*100+(G12-F12)/F12*100)/4</f>
        <v>29.391779674389404</v>
      </c>
    </row>
    <row r="13" spans="1:8" ht="17.25" thickTop="1" thickBot="1">
      <c r="A13" s="1225" t="s">
        <v>224</v>
      </c>
      <c r="B13" s="1226"/>
      <c r="C13" s="723">
        <f>SUM(C8:C12)</f>
        <v>151285.5</v>
      </c>
      <c r="D13" s="723">
        <f>SUM(D8:D12)</f>
        <v>155908.5</v>
      </c>
      <c r="E13" s="723">
        <f>SUM(E8:E12)</f>
        <v>160378.61000000002</v>
      </c>
      <c r="F13" s="723">
        <f>SUM(F8:F12)</f>
        <v>102465.40000000001</v>
      </c>
      <c r="G13" s="723">
        <f>SUM(G8:G12)</f>
        <v>122621.78000000001</v>
      </c>
      <c r="H13" s="918">
        <f>((D13-C13)/C13*100+(E13-D13)/D13*100+(F13-E13)/E13*100+(G13-F13)/F13*100)/4</f>
        <v>-2.6289895489587467</v>
      </c>
    </row>
    <row r="14" spans="1:8" ht="15.75" thickTop="1"/>
  </sheetData>
  <mergeCells count="7">
    <mergeCell ref="A13:B13"/>
    <mergeCell ref="A3:H3"/>
    <mergeCell ref="A4:H4"/>
    <mergeCell ref="A6:A7"/>
    <mergeCell ref="B6:B7"/>
    <mergeCell ref="C6:G6"/>
    <mergeCell ref="H6:H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3:E30"/>
  <sheetViews>
    <sheetView topLeftCell="A9" workbookViewId="0">
      <selection activeCell="H24" sqref="H24"/>
    </sheetView>
  </sheetViews>
  <sheetFormatPr defaultRowHeight="15"/>
  <cols>
    <col min="1" max="1" width="4.140625" style="802" customWidth="1"/>
    <col min="2" max="2" width="19.85546875" style="802" customWidth="1"/>
    <col min="3" max="3" width="3.28515625" style="802" customWidth="1"/>
    <col min="4" max="4" width="41.85546875" style="802" customWidth="1"/>
    <col min="5" max="5" width="17.140625" style="802" customWidth="1"/>
    <col min="6" max="16384" width="9.140625" style="802"/>
  </cols>
  <sheetData>
    <row r="3" spans="1:5" ht="15.75">
      <c r="A3" s="1274" t="s">
        <v>806</v>
      </c>
      <c r="B3" s="1274"/>
      <c r="C3" s="1274"/>
      <c r="D3" s="1274"/>
      <c r="E3" s="1274"/>
    </row>
    <row r="4" spans="1:5" ht="15.75">
      <c r="A4" s="1274" t="s">
        <v>807</v>
      </c>
      <c r="B4" s="1274"/>
      <c r="C4" s="1274"/>
      <c r="D4" s="1274"/>
      <c r="E4" s="1274"/>
    </row>
    <row r="5" spans="1:5" ht="15.75">
      <c r="A5" s="713"/>
      <c r="B5" s="713"/>
      <c r="C5" s="713"/>
      <c r="D5" s="713"/>
      <c r="E5" s="713"/>
    </row>
    <row r="6" spans="1:5" ht="15" customHeight="1">
      <c r="A6" s="1222" t="s">
        <v>212</v>
      </c>
      <c r="B6" s="1275" t="s">
        <v>808</v>
      </c>
      <c r="C6" s="1279" t="s">
        <v>809</v>
      </c>
      <c r="D6" s="1221"/>
      <c r="E6" s="1275" t="s">
        <v>824</v>
      </c>
    </row>
    <row r="7" spans="1:5" ht="15.75" customHeight="1" thickBot="1">
      <c r="A7" s="1224"/>
      <c r="B7" s="1276"/>
      <c r="C7" s="1277" t="s">
        <v>810</v>
      </c>
      <c r="D7" s="1278"/>
      <c r="E7" s="1276"/>
    </row>
    <row r="8" spans="1:5" ht="15.75" customHeight="1" thickTop="1">
      <c r="A8" s="928"/>
      <c r="B8" s="929"/>
      <c r="C8" s="930"/>
      <c r="D8" s="931"/>
      <c r="E8" s="933">
        <f>SUM(E9:E13)</f>
        <v>17543.53</v>
      </c>
    </row>
    <row r="9" spans="1:5" ht="15.75">
      <c r="A9" s="717">
        <v>1</v>
      </c>
      <c r="B9" s="718" t="s">
        <v>764</v>
      </c>
      <c r="C9" s="932" t="s">
        <v>88</v>
      </c>
      <c r="D9" s="924" t="s">
        <v>811</v>
      </c>
      <c r="E9" s="695">
        <v>3200.9</v>
      </c>
    </row>
    <row r="10" spans="1:5" ht="15.75">
      <c r="A10" s="919"/>
      <c r="B10" s="920"/>
      <c r="C10" s="927" t="s">
        <v>92</v>
      </c>
      <c r="D10" s="923" t="s">
        <v>812</v>
      </c>
      <c r="E10" s="727">
        <v>301.8</v>
      </c>
    </row>
    <row r="11" spans="1:5" ht="15.75">
      <c r="A11" s="919"/>
      <c r="B11" s="920"/>
      <c r="C11" s="927" t="s">
        <v>100</v>
      </c>
      <c r="D11" s="923" t="s">
        <v>813</v>
      </c>
      <c r="E11" s="727">
        <v>651.24</v>
      </c>
    </row>
    <row r="12" spans="1:5" ht="15.75">
      <c r="A12" s="919"/>
      <c r="B12" s="920"/>
      <c r="C12" s="927" t="s">
        <v>103</v>
      </c>
      <c r="D12" s="923" t="s">
        <v>814</v>
      </c>
      <c r="E12" s="727">
        <v>6727.91</v>
      </c>
    </row>
    <row r="13" spans="1:5" ht="15.75">
      <c r="A13" s="919"/>
      <c r="B13" s="920"/>
      <c r="C13" s="927" t="s">
        <v>113</v>
      </c>
      <c r="D13" s="923" t="s">
        <v>815</v>
      </c>
      <c r="E13" s="727">
        <v>6661.68</v>
      </c>
    </row>
    <row r="14" spans="1:5" ht="15.75">
      <c r="A14" s="919"/>
      <c r="B14" s="920"/>
      <c r="C14" s="921"/>
      <c r="D14" s="923"/>
      <c r="E14" s="730">
        <f>SUM(E15:E18)</f>
        <v>8176.82</v>
      </c>
    </row>
    <row r="15" spans="1:5" ht="15.75">
      <c r="A15" s="919">
        <v>2</v>
      </c>
      <c r="B15" s="920" t="s">
        <v>763</v>
      </c>
      <c r="C15" s="927" t="s">
        <v>816</v>
      </c>
      <c r="D15" s="923" t="s">
        <v>817</v>
      </c>
      <c r="E15" s="727">
        <v>3532.52</v>
      </c>
    </row>
    <row r="16" spans="1:5" ht="15.75">
      <c r="A16" s="717"/>
      <c r="B16" s="718"/>
      <c r="C16" s="927" t="s">
        <v>92</v>
      </c>
      <c r="D16" s="924" t="s">
        <v>818</v>
      </c>
      <c r="E16" s="695"/>
    </row>
    <row r="17" spans="1:5" ht="15.75">
      <c r="A17" s="717"/>
      <c r="B17" s="718"/>
      <c r="C17" s="927" t="s">
        <v>100</v>
      </c>
      <c r="D17" s="924" t="s">
        <v>819</v>
      </c>
      <c r="E17" s="695">
        <v>1229.3</v>
      </c>
    </row>
    <row r="18" spans="1:5" ht="15.75">
      <c r="A18" s="717"/>
      <c r="B18" s="718"/>
      <c r="C18" s="927" t="s">
        <v>103</v>
      </c>
      <c r="D18" s="924" t="s">
        <v>820</v>
      </c>
      <c r="E18" s="695">
        <v>3415</v>
      </c>
    </row>
    <row r="19" spans="1:5" ht="15.75">
      <c r="A19" s="919"/>
      <c r="B19" s="920"/>
      <c r="C19" s="927"/>
      <c r="D19" s="923"/>
      <c r="E19" s="730">
        <f>SUM(E20:E22)</f>
        <v>5856.3099999999995</v>
      </c>
    </row>
    <row r="20" spans="1:5" ht="15.75">
      <c r="A20" s="919">
        <v>3</v>
      </c>
      <c r="B20" s="920" t="s">
        <v>765</v>
      </c>
      <c r="C20" s="927" t="s">
        <v>816</v>
      </c>
      <c r="D20" s="923" t="s">
        <v>821</v>
      </c>
      <c r="E20" s="727">
        <v>1335.57</v>
      </c>
    </row>
    <row r="21" spans="1:5" ht="15.75">
      <c r="A21" s="717"/>
      <c r="B21" s="718"/>
      <c r="C21" s="927" t="s">
        <v>92</v>
      </c>
      <c r="D21" s="924" t="s">
        <v>822</v>
      </c>
      <c r="E21" s="695">
        <v>2293.08</v>
      </c>
    </row>
    <row r="22" spans="1:5" ht="15.75">
      <c r="A22" s="717"/>
      <c r="B22" s="718"/>
      <c r="C22" s="927" t="s">
        <v>100</v>
      </c>
      <c r="D22" s="924" t="s">
        <v>823</v>
      </c>
      <c r="E22" s="695">
        <v>2227.66</v>
      </c>
    </row>
    <row r="23" spans="1:5" ht="15.75">
      <c r="A23" s="717"/>
      <c r="B23" s="718"/>
      <c r="C23" s="927"/>
      <c r="D23" s="924"/>
      <c r="E23" s="695"/>
    </row>
    <row r="24" spans="1:5" ht="15.75">
      <c r="A24" s="919">
        <v>4</v>
      </c>
      <c r="B24" s="920" t="s">
        <v>769</v>
      </c>
      <c r="C24" s="927" t="s">
        <v>816</v>
      </c>
      <c r="D24" s="923" t="s">
        <v>825</v>
      </c>
      <c r="E24" s="727">
        <v>1651</v>
      </c>
    </row>
    <row r="25" spans="1:5" ht="15.75">
      <c r="A25" s="919"/>
      <c r="B25" s="920"/>
      <c r="C25" s="927"/>
      <c r="D25" s="923"/>
      <c r="E25" s="727"/>
    </row>
    <row r="26" spans="1:5" ht="15.75">
      <c r="A26" s="919">
        <v>5</v>
      </c>
      <c r="B26" s="920" t="s">
        <v>761</v>
      </c>
      <c r="C26" s="927" t="s">
        <v>816</v>
      </c>
      <c r="D26" s="923" t="s">
        <v>826</v>
      </c>
      <c r="E26" s="727">
        <v>10555</v>
      </c>
    </row>
    <row r="27" spans="1:5" ht="15.75">
      <c r="A27" s="717"/>
      <c r="B27" s="718"/>
      <c r="C27" s="927" t="s">
        <v>92</v>
      </c>
      <c r="D27" s="924" t="s">
        <v>827</v>
      </c>
      <c r="E27" s="695"/>
    </row>
    <row r="28" spans="1:5" ht="16.5" thickBot="1">
      <c r="A28" s="717"/>
      <c r="B28" s="718"/>
      <c r="C28" s="922"/>
      <c r="D28" s="924"/>
      <c r="E28" s="695"/>
    </row>
    <row r="29" spans="1:5" ht="17.25" thickTop="1" thickBot="1">
      <c r="A29" s="1225" t="s">
        <v>224</v>
      </c>
      <c r="B29" s="1226"/>
      <c r="C29" s="925"/>
      <c r="D29" s="926"/>
      <c r="E29" s="918">
        <f>E8+E14+E19+E24+E26</f>
        <v>43782.659999999996</v>
      </c>
    </row>
    <row r="30" spans="1:5" ht="15.75" thickTop="1"/>
  </sheetData>
  <mergeCells count="8">
    <mergeCell ref="A29:B29"/>
    <mergeCell ref="E6:E7"/>
    <mergeCell ref="C7:D7"/>
    <mergeCell ref="A3:E3"/>
    <mergeCell ref="A4:E4"/>
    <mergeCell ref="A6:A7"/>
    <mergeCell ref="B6:B7"/>
    <mergeCell ref="C6:D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M10" sqref="M10"/>
    </sheetView>
  </sheetViews>
  <sheetFormatPr defaultRowHeight="15"/>
  <cols>
    <col min="1" max="1" width="33.85546875" bestFit="1" customWidth="1"/>
    <col min="2" max="3" width="14" bestFit="1" customWidth="1"/>
  </cols>
  <sheetData>
    <row r="1" spans="1:4" ht="15.75">
      <c r="A1" s="1274" t="s">
        <v>828</v>
      </c>
      <c r="B1" s="1274"/>
      <c r="C1" s="1274"/>
      <c r="D1" s="1274"/>
    </row>
    <row r="2" spans="1:4" ht="15.75">
      <c r="A2" s="1280"/>
      <c r="B2" s="1280"/>
      <c r="C2" s="1280"/>
      <c r="D2" s="1280"/>
    </row>
    <row r="3" spans="1:4" ht="15.75" customHeight="1">
      <c r="A3" s="1281" t="s">
        <v>773</v>
      </c>
      <c r="B3" s="952" t="s">
        <v>791</v>
      </c>
      <c r="C3" s="953" t="s">
        <v>792</v>
      </c>
      <c r="D3" s="954" t="s">
        <v>774</v>
      </c>
    </row>
    <row r="4" spans="1:4" ht="31.5">
      <c r="A4" s="1281"/>
      <c r="B4" s="934" t="s">
        <v>775</v>
      </c>
      <c r="C4" s="955" t="s">
        <v>775</v>
      </c>
      <c r="D4" s="934" t="s">
        <v>775</v>
      </c>
    </row>
    <row r="5" spans="1:4" ht="15.75">
      <c r="A5" s="935" t="s">
        <v>117</v>
      </c>
      <c r="B5" s="936">
        <f>B6+B7</f>
        <v>118241.09999999999</v>
      </c>
      <c r="C5" s="937">
        <f>C6+C7</f>
        <v>106251.7</v>
      </c>
      <c r="D5" s="956">
        <f t="shared" ref="D5:D11" si="0">(C5-B5)/B5*100</f>
        <v>-10.139790648091058</v>
      </c>
    </row>
    <row r="6" spans="1:4" ht="15.75">
      <c r="A6" s="938" t="s">
        <v>778</v>
      </c>
      <c r="B6" s="939">
        <v>116909.2</v>
      </c>
      <c r="C6" s="940">
        <v>104967.5</v>
      </c>
      <c r="D6" s="957">
        <f t="shared" si="0"/>
        <v>-10.214508353491425</v>
      </c>
    </row>
    <row r="7" spans="1:4" ht="15.75">
      <c r="A7" s="941" t="s">
        <v>779</v>
      </c>
      <c r="B7" s="942">
        <f t="shared" ref="B7:C7" si="1">SUM(B8:B11)</f>
        <v>1331.8999999999999</v>
      </c>
      <c r="C7" s="943">
        <f t="shared" si="1"/>
        <v>1284.2</v>
      </c>
      <c r="D7" s="957">
        <f t="shared" si="0"/>
        <v>-3.5813499511975238</v>
      </c>
    </row>
    <row r="8" spans="1:4" ht="15.75">
      <c r="A8" s="944" t="s">
        <v>780</v>
      </c>
      <c r="B8" s="945">
        <v>105.4</v>
      </c>
      <c r="C8" s="946">
        <v>83.6</v>
      </c>
      <c r="D8" s="958">
        <f t="shared" si="0"/>
        <v>-20.683111954459214</v>
      </c>
    </row>
    <row r="9" spans="1:4" ht="15.75">
      <c r="A9" s="948" t="s">
        <v>781</v>
      </c>
      <c r="B9" s="947">
        <v>928.6</v>
      </c>
      <c r="C9" s="946">
        <v>836.9</v>
      </c>
      <c r="D9" s="958">
        <f t="shared" si="0"/>
        <v>-9.8750807667456435</v>
      </c>
    </row>
    <row r="10" spans="1:4" ht="15.75">
      <c r="A10" s="948" t="s">
        <v>782</v>
      </c>
      <c r="B10" s="947">
        <v>280.10000000000002</v>
      </c>
      <c r="C10" s="946">
        <v>356.5</v>
      </c>
      <c r="D10" s="958">
        <f t="shared" si="0"/>
        <v>27.275972866833264</v>
      </c>
    </row>
    <row r="11" spans="1:4" ht="15.75">
      <c r="A11" s="949" t="s">
        <v>783</v>
      </c>
      <c r="B11" s="950">
        <v>17.8</v>
      </c>
      <c r="C11" s="951">
        <v>7.2</v>
      </c>
      <c r="D11" s="959">
        <f t="shared" si="0"/>
        <v>-59.550561797752813</v>
      </c>
    </row>
  </sheetData>
  <mergeCells count="3">
    <mergeCell ref="A2:D2"/>
    <mergeCell ref="A3:A4"/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03"/>
  <sheetViews>
    <sheetView view="pageBreakPreview" topLeftCell="A13" zoomScaleSheetLayoutView="100" workbookViewId="0">
      <selection sqref="A1:H40"/>
    </sheetView>
  </sheetViews>
  <sheetFormatPr defaultRowHeight="11.25"/>
  <cols>
    <col min="1" max="1" width="2.140625" style="15" customWidth="1"/>
    <col min="2" max="2" width="2" style="14" customWidth="1"/>
    <col min="3" max="3" width="14.7109375" style="15" customWidth="1"/>
    <col min="4" max="4" width="1.5703125" style="14" customWidth="1"/>
    <col min="5" max="5" width="4.140625" style="15" customWidth="1"/>
    <col min="6" max="6" width="4.42578125" style="15" customWidth="1"/>
    <col min="7" max="7" width="13.28515625" style="15" customWidth="1"/>
    <col min="8" max="8" width="2" style="15" customWidth="1"/>
    <col min="9" max="9" width="1.85546875" style="15" customWidth="1"/>
    <col min="10" max="10" width="11.140625" style="15" customWidth="1"/>
    <col min="11" max="11" width="1.28515625" style="15" customWidth="1"/>
    <col min="12" max="16384" width="9.140625" style="15"/>
  </cols>
  <sheetData>
    <row r="1" spans="1:8">
      <c r="A1" s="968" t="s">
        <v>87</v>
      </c>
      <c r="B1" s="968"/>
      <c r="C1" s="968"/>
      <c r="D1" s="968"/>
      <c r="E1" s="968"/>
      <c r="F1" s="968"/>
      <c r="G1" s="968"/>
      <c r="H1" s="968"/>
    </row>
    <row r="2" spans="1:8">
      <c r="A2" s="968"/>
      <c r="B2" s="968"/>
      <c r="C2" s="968"/>
      <c r="D2" s="968"/>
      <c r="E2" s="968"/>
      <c r="F2" s="968"/>
      <c r="G2" s="968"/>
      <c r="H2" s="968"/>
    </row>
    <row r="3" spans="1:8">
      <c r="B3" s="16" t="s">
        <v>88</v>
      </c>
      <c r="C3" s="13" t="s">
        <v>89</v>
      </c>
      <c r="D3" s="17"/>
      <c r="E3" s="13"/>
    </row>
    <row r="4" spans="1:8">
      <c r="C4" s="15" t="s">
        <v>90</v>
      </c>
    </row>
    <row r="5" spans="1:8">
      <c r="C5" s="15" t="s">
        <v>91</v>
      </c>
    </row>
    <row r="6" spans="1:8" ht="6" customHeight="1"/>
    <row r="7" spans="1:8">
      <c r="B7" s="16" t="s">
        <v>92</v>
      </c>
      <c r="C7" s="13" t="s">
        <v>93</v>
      </c>
      <c r="D7" s="17"/>
    </row>
    <row r="8" spans="1:8">
      <c r="C8" s="15" t="s">
        <v>94</v>
      </c>
      <c r="D8" s="14" t="s">
        <v>102</v>
      </c>
      <c r="E8" s="15" t="s">
        <v>97</v>
      </c>
    </row>
    <row r="9" spans="1:8">
      <c r="C9" s="15" t="s">
        <v>95</v>
      </c>
      <c r="D9" s="14" t="s">
        <v>102</v>
      </c>
      <c r="E9" s="15" t="s">
        <v>98</v>
      </c>
    </row>
    <row r="10" spans="1:8">
      <c r="C10" s="15" t="s">
        <v>96</v>
      </c>
      <c r="D10" s="14" t="s">
        <v>102</v>
      </c>
      <c r="E10" s="15" t="s">
        <v>99</v>
      </c>
    </row>
    <row r="11" spans="1:8" ht="6.75" customHeight="1"/>
    <row r="12" spans="1:8">
      <c r="B12" s="16" t="s">
        <v>100</v>
      </c>
      <c r="C12" s="13" t="s">
        <v>795</v>
      </c>
    </row>
    <row r="13" spans="1:8">
      <c r="C13" s="15" t="s">
        <v>796</v>
      </c>
      <c r="D13" s="14" t="s">
        <v>102</v>
      </c>
      <c r="E13" s="820">
        <f>1+3+4+1+13+1</f>
        <v>23</v>
      </c>
      <c r="F13" s="15" t="s">
        <v>109</v>
      </c>
    </row>
    <row r="14" spans="1:8">
      <c r="C14" s="15" t="s">
        <v>101</v>
      </c>
      <c r="D14" s="14" t="s">
        <v>102</v>
      </c>
      <c r="E14" s="971">
        <f>172.3+87.17+86.7+30.18+83.79+14.28+113.4+46.16</f>
        <v>633.98</v>
      </c>
      <c r="F14" s="971"/>
      <c r="G14" s="15" t="s">
        <v>110</v>
      </c>
    </row>
    <row r="15" spans="1:8" ht="6.75" customHeight="1"/>
    <row r="16" spans="1:8">
      <c r="B16" s="16" t="s">
        <v>103</v>
      </c>
      <c r="C16" s="13" t="s">
        <v>104</v>
      </c>
    </row>
    <row r="17" spans="2:8">
      <c r="C17" s="15" t="s">
        <v>105</v>
      </c>
      <c r="D17" s="14" t="s">
        <v>102</v>
      </c>
      <c r="E17" s="15">
        <v>9</v>
      </c>
      <c r="F17" s="15" t="s">
        <v>111</v>
      </c>
    </row>
    <row r="18" spans="2:8">
      <c r="C18" s="15" t="s">
        <v>106</v>
      </c>
      <c r="D18" s="14" t="s">
        <v>102</v>
      </c>
      <c r="E18" s="15">
        <v>57</v>
      </c>
      <c r="F18" s="15" t="s">
        <v>106</v>
      </c>
    </row>
    <row r="19" spans="2:8">
      <c r="C19" s="15" t="s">
        <v>107</v>
      </c>
      <c r="D19" s="14" t="s">
        <v>102</v>
      </c>
      <c r="E19" s="15">
        <v>717</v>
      </c>
      <c r="F19" s="15" t="s">
        <v>107</v>
      </c>
    </row>
    <row r="20" spans="2:8">
      <c r="C20" s="15" t="s">
        <v>108</v>
      </c>
      <c r="D20" s="14" t="s">
        <v>102</v>
      </c>
      <c r="E20" s="15">
        <v>171</v>
      </c>
      <c r="F20" s="15" t="s">
        <v>112</v>
      </c>
    </row>
    <row r="21" spans="2:8" ht="6.75" customHeight="1"/>
    <row r="22" spans="2:8">
      <c r="B22" s="16"/>
      <c r="C22" s="13"/>
    </row>
    <row r="23" spans="2:8">
      <c r="C23" s="912" t="s">
        <v>797</v>
      </c>
      <c r="E23" s="969"/>
      <c r="F23" s="969"/>
    </row>
    <row r="24" spans="2:8">
      <c r="C24" s="15" t="s">
        <v>798</v>
      </c>
      <c r="D24" s="14" t="s">
        <v>102</v>
      </c>
      <c r="E24" s="972" t="s">
        <v>799</v>
      </c>
      <c r="F24" s="972"/>
      <c r="G24" s="972"/>
    </row>
    <row r="25" spans="2:8">
      <c r="C25" s="15" t="s">
        <v>800</v>
      </c>
      <c r="D25" s="14" t="s">
        <v>102</v>
      </c>
      <c r="E25" s="972" t="s">
        <v>801</v>
      </c>
      <c r="F25" s="972"/>
      <c r="G25" s="972"/>
      <c r="H25" s="972"/>
    </row>
    <row r="26" spans="2:8" ht="13.5">
      <c r="C26" s="15" t="s">
        <v>802</v>
      </c>
      <c r="D26" s="14" t="s">
        <v>102</v>
      </c>
      <c r="E26" s="972" t="s">
        <v>803</v>
      </c>
      <c r="F26" s="972"/>
      <c r="G26" s="972"/>
      <c r="H26" s="972"/>
    </row>
    <row r="27" spans="2:8">
      <c r="E27" s="913" t="s">
        <v>804</v>
      </c>
      <c r="F27" s="913"/>
    </row>
    <row r="28" spans="2:8">
      <c r="E28" s="969"/>
      <c r="F28" s="969"/>
    </row>
    <row r="29" spans="2:8">
      <c r="E29" s="970"/>
      <c r="F29" s="970"/>
    </row>
    <row r="30" spans="2:8">
      <c r="C30" s="18"/>
    </row>
    <row r="31" spans="2:8">
      <c r="C31" s="18"/>
    </row>
    <row r="32" spans="2:8">
      <c r="C32" s="18"/>
    </row>
    <row r="34" spans="1:8">
      <c r="A34" s="346"/>
      <c r="B34" s="346"/>
      <c r="C34" s="346"/>
      <c r="D34" s="346"/>
      <c r="E34" s="346"/>
      <c r="F34" s="346"/>
      <c r="G34" s="346"/>
    </row>
    <row r="35" spans="1:8">
      <c r="A35" s="960" t="s">
        <v>118</v>
      </c>
      <c r="B35" s="960"/>
      <c r="C35" s="960"/>
      <c r="D35" s="960"/>
      <c r="E35" s="960"/>
      <c r="F35" s="960"/>
      <c r="G35" s="960"/>
    </row>
    <row r="36" spans="1:8">
      <c r="A36" s="545"/>
      <c r="B36" s="545"/>
      <c r="C36" s="545"/>
      <c r="D36" s="545"/>
      <c r="E36" s="545"/>
      <c r="F36" s="545"/>
      <c r="G36" s="545"/>
    </row>
    <row r="37" spans="1:8">
      <c r="A37" s="545"/>
      <c r="B37" s="545"/>
      <c r="C37" s="545"/>
      <c r="D37" s="545"/>
      <c r="E37" s="545"/>
      <c r="F37" s="545"/>
      <c r="G37" s="545"/>
    </row>
    <row r="38" spans="1:8">
      <c r="A38" s="545"/>
      <c r="B38" s="545"/>
      <c r="C38" s="545"/>
      <c r="D38" s="545"/>
      <c r="E38" s="545"/>
      <c r="F38" s="545"/>
      <c r="G38" s="545"/>
    </row>
    <row r="39" spans="1:8">
      <c r="A39" s="422"/>
      <c r="B39" s="422"/>
      <c r="C39" s="422"/>
      <c r="D39" s="422"/>
      <c r="E39" s="422"/>
      <c r="F39" s="422"/>
      <c r="G39" s="422"/>
    </row>
    <row r="40" spans="1:8">
      <c r="A40" s="430"/>
      <c r="B40" s="430"/>
      <c r="C40" s="430"/>
      <c r="D40" s="430"/>
      <c r="E40" s="430"/>
      <c r="F40" s="430"/>
      <c r="G40" s="430"/>
    </row>
    <row r="42" spans="1:8">
      <c r="A42" s="968" t="s">
        <v>480</v>
      </c>
      <c r="B42" s="968"/>
      <c r="C42" s="968"/>
      <c r="D42" s="968"/>
      <c r="E42" s="968"/>
      <c r="F42" s="968"/>
      <c r="G42" s="968"/>
      <c r="H42" s="968"/>
    </row>
    <row r="43" spans="1:8">
      <c r="A43" s="968"/>
      <c r="B43" s="968"/>
      <c r="C43" s="968"/>
      <c r="D43" s="968"/>
      <c r="E43" s="968"/>
      <c r="F43" s="968"/>
      <c r="G43" s="968"/>
      <c r="H43" s="968"/>
    </row>
    <row r="44" spans="1:8">
      <c r="A44" s="13" t="s">
        <v>127</v>
      </c>
    </row>
    <row r="45" spans="1:8">
      <c r="B45" s="19" t="s">
        <v>119</v>
      </c>
      <c r="C45" s="15" t="s">
        <v>128</v>
      </c>
    </row>
    <row r="46" spans="1:8">
      <c r="B46" s="14" t="s">
        <v>119</v>
      </c>
      <c r="C46" s="15" t="s">
        <v>129</v>
      </c>
    </row>
    <row r="47" spans="1:8">
      <c r="B47" s="19" t="s">
        <v>119</v>
      </c>
      <c r="C47" s="15" t="s">
        <v>359</v>
      </c>
    </row>
    <row r="49" spans="1:3">
      <c r="A49" s="13" t="s">
        <v>131</v>
      </c>
    </row>
    <row r="50" spans="1:3">
      <c r="B50" s="19" t="s">
        <v>119</v>
      </c>
      <c r="C50" s="15" t="s">
        <v>132</v>
      </c>
    </row>
    <row r="51" spans="1:3">
      <c r="B51" s="14" t="s">
        <v>119</v>
      </c>
      <c r="C51" s="15" t="s">
        <v>133</v>
      </c>
    </row>
    <row r="52" spans="1:3">
      <c r="B52" s="19" t="s">
        <v>119</v>
      </c>
      <c r="C52" s="15" t="s">
        <v>134</v>
      </c>
    </row>
    <row r="53" spans="1:3">
      <c r="B53" s="19" t="s">
        <v>119</v>
      </c>
      <c r="C53" s="15" t="s">
        <v>135</v>
      </c>
    </row>
    <row r="54" spans="1:3">
      <c r="B54" s="14" t="s">
        <v>119</v>
      </c>
      <c r="C54" s="15" t="s">
        <v>136</v>
      </c>
    </row>
    <row r="55" spans="1:3">
      <c r="B55" s="19" t="s">
        <v>119</v>
      </c>
      <c r="C55" s="15" t="s">
        <v>137</v>
      </c>
    </row>
    <row r="56" spans="1:3">
      <c r="B56" s="14" t="s">
        <v>119</v>
      </c>
      <c r="C56" s="15" t="s">
        <v>139</v>
      </c>
    </row>
    <row r="57" spans="1:3">
      <c r="B57" s="19" t="s">
        <v>119</v>
      </c>
      <c r="C57" s="15" t="s">
        <v>140</v>
      </c>
    </row>
    <row r="58" spans="1:3">
      <c r="C58" s="15" t="s">
        <v>141</v>
      </c>
    </row>
    <row r="60" spans="1:3">
      <c r="A60" s="13" t="s">
        <v>142</v>
      </c>
    </row>
    <row r="61" spans="1:3">
      <c r="B61" s="19" t="s">
        <v>119</v>
      </c>
      <c r="C61" s="15" t="s">
        <v>143</v>
      </c>
    </row>
    <row r="62" spans="1:3">
      <c r="B62" s="19" t="s">
        <v>119</v>
      </c>
      <c r="C62" s="15" t="s">
        <v>144</v>
      </c>
    </row>
    <row r="63" spans="1:3">
      <c r="B63" s="19" t="s">
        <v>119</v>
      </c>
      <c r="C63" s="15" t="s">
        <v>145</v>
      </c>
    </row>
    <row r="64" spans="1:3">
      <c r="B64" s="19" t="s">
        <v>119</v>
      </c>
      <c r="C64" s="15" t="s">
        <v>146</v>
      </c>
    </row>
    <row r="65" spans="1:15">
      <c r="B65" s="19"/>
    </row>
    <row r="66" spans="1:15">
      <c r="B66" s="19"/>
    </row>
    <row r="69" spans="1:15">
      <c r="B69" s="15"/>
      <c r="D69" s="15"/>
    </row>
    <row r="70" spans="1:15">
      <c r="A70" s="960" t="s">
        <v>481</v>
      </c>
      <c r="B70" s="960"/>
      <c r="C70" s="960"/>
      <c r="D70" s="960"/>
      <c r="E70" s="960"/>
      <c r="F70" s="960"/>
      <c r="G70" s="960"/>
    </row>
    <row r="71" spans="1:15">
      <c r="A71" s="545"/>
      <c r="B71" s="545"/>
      <c r="C71" s="545"/>
      <c r="D71" s="545"/>
      <c r="E71" s="545"/>
      <c r="F71" s="545"/>
      <c r="G71" s="545"/>
    </row>
    <row r="72" spans="1:15">
      <c r="A72" s="346"/>
      <c r="B72" s="346"/>
      <c r="C72" s="346"/>
      <c r="D72" s="346"/>
      <c r="E72" s="346"/>
      <c r="F72" s="346"/>
      <c r="G72" s="346"/>
    </row>
    <row r="73" spans="1:15" ht="11.25" customHeight="1">
      <c r="H73" s="968" t="s">
        <v>482</v>
      </c>
      <c r="I73" s="968"/>
      <c r="J73" s="968"/>
      <c r="K73" s="968"/>
      <c r="L73" s="968"/>
      <c r="M73" s="968"/>
      <c r="N73" s="968"/>
      <c r="O73" s="424"/>
    </row>
    <row r="74" spans="1:15" ht="11.25" customHeight="1">
      <c r="H74" s="968"/>
      <c r="I74" s="968"/>
      <c r="J74" s="968"/>
      <c r="K74" s="968"/>
      <c r="L74" s="968"/>
      <c r="M74" s="968"/>
      <c r="N74" s="968"/>
      <c r="O74" s="424"/>
    </row>
    <row r="75" spans="1:15" ht="12.75">
      <c r="H75" s="967" t="s">
        <v>117</v>
      </c>
      <c r="I75" s="967"/>
      <c r="J75" s="967"/>
      <c r="K75" s="967"/>
      <c r="L75" s="967"/>
      <c r="M75" s="967"/>
      <c r="N75" s="967"/>
    </row>
    <row r="76" spans="1:15">
      <c r="I76" s="19" t="s">
        <v>88</v>
      </c>
      <c r="J76" s="15" t="s">
        <v>128</v>
      </c>
      <c r="K76" s="19" t="s">
        <v>119</v>
      </c>
      <c r="L76" s="2" t="s">
        <v>147</v>
      </c>
    </row>
    <row r="77" spans="1:15" ht="3.75" customHeight="1">
      <c r="I77" s="19"/>
      <c r="K77" s="19"/>
      <c r="L77" s="2"/>
    </row>
    <row r="78" spans="1:15">
      <c r="I78" s="19" t="s">
        <v>92</v>
      </c>
      <c r="J78" s="15" t="s">
        <v>141</v>
      </c>
      <c r="K78" s="19" t="s">
        <v>119</v>
      </c>
      <c r="L78" s="2" t="s">
        <v>149</v>
      </c>
    </row>
    <row r="79" spans="1:15" ht="4.5" customHeight="1">
      <c r="I79" s="19"/>
      <c r="K79" s="19"/>
      <c r="L79" s="2"/>
    </row>
    <row r="80" spans="1:15">
      <c r="I80" s="19" t="s">
        <v>100</v>
      </c>
      <c r="J80" s="15" t="s">
        <v>139</v>
      </c>
      <c r="K80" s="19" t="s">
        <v>119</v>
      </c>
      <c r="L80" s="2" t="s">
        <v>150</v>
      </c>
    </row>
    <row r="81" spans="8:14">
      <c r="I81" s="19"/>
      <c r="K81" s="19" t="s">
        <v>119</v>
      </c>
      <c r="L81" s="2" t="s">
        <v>419</v>
      </c>
    </row>
    <row r="82" spans="8:14">
      <c r="I82" s="19"/>
      <c r="K82" s="19" t="s">
        <v>119</v>
      </c>
      <c r="L82" s="2" t="s">
        <v>746</v>
      </c>
    </row>
    <row r="83" spans="8:14" ht="5.25" customHeight="1">
      <c r="I83" s="14"/>
      <c r="K83" s="19"/>
    </row>
    <row r="84" spans="8:14" ht="12.75">
      <c r="H84" s="967" t="s">
        <v>116</v>
      </c>
      <c r="I84" s="967"/>
      <c r="J84" s="967"/>
      <c r="K84" s="967"/>
      <c r="L84" s="967"/>
      <c r="M84" s="967"/>
      <c r="N84" s="967"/>
    </row>
    <row r="85" spans="8:14">
      <c r="I85" s="19" t="s">
        <v>88</v>
      </c>
      <c r="J85" s="15" t="s">
        <v>151</v>
      </c>
      <c r="K85" s="23" t="s">
        <v>119</v>
      </c>
      <c r="L85" s="2" t="s">
        <v>152</v>
      </c>
      <c r="M85" s="2"/>
      <c r="N85" s="2"/>
    </row>
    <row r="86" spans="8:14">
      <c r="I86" s="14"/>
      <c r="K86" s="23" t="s">
        <v>119</v>
      </c>
      <c r="L86" s="2" t="s">
        <v>153</v>
      </c>
      <c r="M86" s="2"/>
      <c r="N86" s="2"/>
    </row>
    <row r="87" spans="8:14">
      <c r="I87" s="14"/>
      <c r="K87" s="23" t="s">
        <v>119</v>
      </c>
      <c r="L87" s="2" t="s">
        <v>158</v>
      </c>
      <c r="M87" s="2"/>
      <c r="N87" s="2"/>
    </row>
    <row r="88" spans="8:14">
      <c r="I88" s="14"/>
      <c r="K88" s="23" t="s">
        <v>119</v>
      </c>
      <c r="L88" s="2" t="s">
        <v>418</v>
      </c>
      <c r="M88" s="2"/>
      <c r="N88" s="2"/>
    </row>
    <row r="89" spans="8:14" ht="5.25" customHeight="1">
      <c r="I89" s="14"/>
      <c r="K89" s="23"/>
      <c r="L89" s="2"/>
      <c r="M89" s="2"/>
      <c r="N89" s="2"/>
    </row>
    <row r="90" spans="8:14">
      <c r="I90" s="19" t="s">
        <v>92</v>
      </c>
      <c r="J90" s="15" t="s">
        <v>130</v>
      </c>
      <c r="K90" s="23" t="s">
        <v>119</v>
      </c>
      <c r="L90" s="2" t="s">
        <v>161</v>
      </c>
      <c r="M90" s="2"/>
      <c r="N90" s="2"/>
    </row>
    <row r="91" spans="8:14">
      <c r="I91" s="19"/>
      <c r="K91" s="23" t="s">
        <v>119</v>
      </c>
      <c r="L91" s="2" t="s">
        <v>162</v>
      </c>
      <c r="M91" s="2"/>
      <c r="N91" s="2"/>
    </row>
    <row r="92" spans="8:14">
      <c r="I92" s="14"/>
      <c r="K92" s="23" t="s">
        <v>119</v>
      </c>
      <c r="L92" s="2" t="s">
        <v>163</v>
      </c>
      <c r="M92" s="2"/>
      <c r="N92" s="2"/>
    </row>
    <row r="93" spans="8:14">
      <c r="I93" s="14"/>
      <c r="K93" s="23" t="s">
        <v>119</v>
      </c>
      <c r="L93" s="2" t="s">
        <v>164</v>
      </c>
      <c r="M93" s="2"/>
      <c r="N93" s="2"/>
    </row>
    <row r="94" spans="8:14" ht="10.5" customHeight="1">
      <c r="I94" s="14"/>
      <c r="K94" s="23" t="s">
        <v>119</v>
      </c>
      <c r="L94" s="2" t="s">
        <v>589</v>
      </c>
      <c r="M94" s="2"/>
      <c r="N94" s="2"/>
    </row>
    <row r="95" spans="8:14" ht="5.25" customHeight="1">
      <c r="I95" s="14"/>
      <c r="K95" s="5"/>
      <c r="L95" s="2"/>
      <c r="M95" s="2"/>
      <c r="N95" s="2"/>
    </row>
    <row r="96" spans="8:14">
      <c r="I96" s="19" t="s">
        <v>100</v>
      </c>
      <c r="J96" s="15" t="s">
        <v>148</v>
      </c>
      <c r="K96" s="23" t="s">
        <v>119</v>
      </c>
      <c r="L96" s="2" t="s">
        <v>165</v>
      </c>
      <c r="M96" s="2"/>
      <c r="N96" s="2"/>
    </row>
    <row r="97" spans="9:14" ht="4.5" customHeight="1">
      <c r="I97" s="19"/>
      <c r="K97" s="23"/>
      <c r="L97" s="2"/>
      <c r="M97" s="2"/>
      <c r="N97" s="2"/>
    </row>
    <row r="98" spans="9:14">
      <c r="I98" s="22" t="s">
        <v>103</v>
      </c>
      <c r="J98" s="15" t="s">
        <v>133</v>
      </c>
      <c r="K98" s="23" t="s">
        <v>119</v>
      </c>
      <c r="L98" s="2" t="s">
        <v>166</v>
      </c>
      <c r="M98" s="2"/>
      <c r="N98" s="2"/>
    </row>
    <row r="99" spans="9:14">
      <c r="I99" s="14"/>
      <c r="K99" s="5"/>
      <c r="L99" s="2" t="s">
        <v>620</v>
      </c>
      <c r="M99" s="2"/>
      <c r="N99" s="2"/>
    </row>
    <row r="100" spans="9:14" ht="4.5" customHeight="1">
      <c r="I100" s="14"/>
      <c r="K100" s="5"/>
      <c r="L100" s="2"/>
      <c r="M100" s="2"/>
      <c r="N100" s="2"/>
    </row>
    <row r="101" spans="9:14">
      <c r="I101" s="19" t="s">
        <v>113</v>
      </c>
      <c r="J101" s="15" t="s">
        <v>154</v>
      </c>
      <c r="K101" s="23" t="s">
        <v>119</v>
      </c>
      <c r="L101" s="2" t="s">
        <v>167</v>
      </c>
      <c r="M101" s="2"/>
      <c r="N101" s="2"/>
    </row>
    <row r="102" spans="9:14">
      <c r="I102" s="19"/>
      <c r="K102" s="23" t="s">
        <v>119</v>
      </c>
      <c r="L102" s="2" t="s">
        <v>168</v>
      </c>
      <c r="M102" s="2"/>
      <c r="N102" s="2"/>
    </row>
    <row r="103" spans="9:14">
      <c r="I103" s="19"/>
      <c r="K103" s="23" t="s">
        <v>119</v>
      </c>
      <c r="L103" s="2" t="s">
        <v>510</v>
      </c>
      <c r="M103" s="2"/>
      <c r="N103" s="2"/>
    </row>
    <row r="104" spans="9:14" ht="4.5" customHeight="1">
      <c r="I104" s="14"/>
      <c r="K104" s="5"/>
      <c r="L104" s="2"/>
      <c r="M104" s="2"/>
      <c r="N104" s="2"/>
    </row>
    <row r="105" spans="9:14">
      <c r="I105" s="19" t="s">
        <v>155</v>
      </c>
      <c r="J105" s="15" t="s">
        <v>156</v>
      </c>
      <c r="K105" s="23" t="s">
        <v>119</v>
      </c>
      <c r="L105" s="2" t="s">
        <v>157</v>
      </c>
      <c r="M105" s="2"/>
      <c r="N105" s="2"/>
    </row>
    <row r="106" spans="9:14">
      <c r="I106" s="19"/>
      <c r="K106" s="23" t="s">
        <v>119</v>
      </c>
      <c r="L106" s="2" t="s">
        <v>621</v>
      </c>
      <c r="M106" s="2"/>
      <c r="N106" s="2"/>
    </row>
    <row r="107" spans="9:14" ht="4.5" customHeight="1">
      <c r="I107" s="14"/>
      <c r="K107" s="14"/>
    </row>
    <row r="108" spans="9:14">
      <c r="I108" s="19" t="s">
        <v>159</v>
      </c>
      <c r="J108" s="15" t="s">
        <v>160</v>
      </c>
      <c r="K108" s="19" t="s">
        <v>119</v>
      </c>
      <c r="L108" s="2" t="s">
        <v>580</v>
      </c>
    </row>
    <row r="109" spans="9:14">
      <c r="I109" s="14"/>
      <c r="K109" s="19" t="s">
        <v>119</v>
      </c>
      <c r="L109" s="2" t="s">
        <v>513</v>
      </c>
    </row>
    <row r="110" spans="9:14">
      <c r="I110" s="14"/>
      <c r="K110" s="19" t="s">
        <v>119</v>
      </c>
      <c r="L110" s="2" t="s">
        <v>511</v>
      </c>
    </row>
    <row r="111" spans="9:14">
      <c r="I111" s="14"/>
      <c r="K111" s="19" t="s">
        <v>119</v>
      </c>
      <c r="L111" s="2" t="s">
        <v>512</v>
      </c>
    </row>
    <row r="112" spans="9:14">
      <c r="I112" s="14"/>
      <c r="K112" s="19" t="s">
        <v>119</v>
      </c>
      <c r="L112" s="2" t="s">
        <v>519</v>
      </c>
    </row>
    <row r="113" spans="8:15">
      <c r="I113" s="14"/>
    </row>
    <row r="114" spans="8:15">
      <c r="I114" s="14"/>
      <c r="K114" s="14"/>
      <c r="L114" s="2"/>
    </row>
    <row r="115" spans="8:15">
      <c r="H115" s="966" t="s">
        <v>179</v>
      </c>
      <c r="I115" s="966"/>
      <c r="J115" s="966"/>
      <c r="K115" s="966"/>
      <c r="L115" s="966"/>
      <c r="M115" s="966"/>
      <c r="N115" s="966"/>
    </row>
    <row r="116" spans="8:15" ht="15" customHeight="1">
      <c r="O116" s="24"/>
    </row>
    <row r="117" spans="8:15" ht="15" customHeight="1">
      <c r="H117" s="547"/>
      <c r="I117" s="547"/>
      <c r="J117" s="547"/>
      <c r="K117" s="547"/>
      <c r="L117" s="547"/>
      <c r="M117" s="547"/>
      <c r="N117" s="547"/>
      <c r="O117" s="24"/>
    </row>
    <row r="118" spans="8:15" ht="15" customHeight="1">
      <c r="H118" s="547"/>
      <c r="I118" s="547"/>
      <c r="J118" s="547"/>
      <c r="K118" s="547"/>
      <c r="L118" s="547"/>
      <c r="M118" s="547"/>
      <c r="N118" s="547"/>
      <c r="O118" s="24"/>
    </row>
    <row r="119" spans="8:15" ht="15" customHeight="1">
      <c r="H119" s="547"/>
      <c r="I119" s="547"/>
      <c r="J119" s="547"/>
      <c r="K119" s="547"/>
      <c r="L119" s="547"/>
      <c r="M119" s="547"/>
      <c r="N119" s="547"/>
      <c r="O119" s="24"/>
    </row>
    <row r="120" spans="8:15" ht="15" customHeight="1">
      <c r="H120" s="547"/>
      <c r="I120" s="547"/>
      <c r="J120" s="547"/>
      <c r="K120" s="547"/>
      <c r="L120" s="547"/>
      <c r="M120" s="547"/>
      <c r="N120" s="547"/>
      <c r="O120" s="24"/>
    </row>
    <row r="121" spans="8:15" ht="11.25" customHeight="1">
      <c r="H121" s="968" t="s">
        <v>483</v>
      </c>
      <c r="I121" s="968"/>
      <c r="J121" s="968"/>
      <c r="K121" s="968"/>
      <c r="L121" s="968"/>
      <c r="M121" s="968"/>
      <c r="N121" s="968"/>
      <c r="O121" s="425"/>
    </row>
    <row r="122" spans="8:15" ht="11.25" customHeight="1">
      <c r="H122" s="968"/>
      <c r="I122" s="968"/>
      <c r="J122" s="968"/>
      <c r="K122" s="968"/>
      <c r="L122" s="968"/>
      <c r="M122" s="968"/>
      <c r="N122" s="968"/>
      <c r="O122" s="425"/>
    </row>
    <row r="123" spans="8:15" ht="12.75">
      <c r="H123" s="967" t="s">
        <v>206</v>
      </c>
      <c r="I123" s="967"/>
      <c r="J123" s="967"/>
      <c r="K123" s="967"/>
      <c r="L123" s="967"/>
      <c r="M123" s="967"/>
      <c r="N123" s="967"/>
      <c r="O123" s="426"/>
    </row>
    <row r="124" spans="8:15" ht="12.75">
      <c r="H124" s="21" t="s">
        <v>207</v>
      </c>
      <c r="I124" s="21"/>
      <c r="J124" s="21"/>
      <c r="K124" s="21"/>
      <c r="L124" s="21"/>
      <c r="M124" s="21"/>
      <c r="N124" s="21"/>
    </row>
    <row r="125" spans="8:15" ht="12.75">
      <c r="H125" s="21"/>
      <c r="I125" s="19" t="s">
        <v>88</v>
      </c>
      <c r="J125" s="15" t="s">
        <v>121</v>
      </c>
      <c r="K125" s="19" t="s">
        <v>119</v>
      </c>
      <c r="L125" s="15" t="s">
        <v>209</v>
      </c>
      <c r="M125" s="21"/>
      <c r="N125" s="21"/>
    </row>
    <row r="126" spans="8:15" ht="12.75">
      <c r="H126" s="562"/>
      <c r="I126" s="19"/>
      <c r="K126" s="19" t="s">
        <v>119</v>
      </c>
      <c r="L126" s="15" t="s">
        <v>514</v>
      </c>
      <c r="M126" s="562"/>
      <c r="N126" s="562"/>
    </row>
    <row r="127" spans="8:15" ht="4.5" customHeight="1">
      <c r="H127" s="21"/>
      <c r="I127" s="19"/>
      <c r="K127" s="19"/>
      <c r="M127" s="21"/>
      <c r="N127" s="21"/>
    </row>
    <row r="128" spans="8:15" ht="12.75">
      <c r="H128" s="21"/>
      <c r="I128" s="19" t="s">
        <v>92</v>
      </c>
      <c r="J128" s="15" t="s">
        <v>122</v>
      </c>
      <c r="K128" s="19" t="s">
        <v>119</v>
      </c>
      <c r="L128" s="15" t="s">
        <v>622</v>
      </c>
      <c r="M128" s="21"/>
      <c r="N128" s="21"/>
    </row>
    <row r="129" spans="8:14" ht="5.25" customHeight="1">
      <c r="H129" s="21"/>
      <c r="I129" s="19"/>
      <c r="K129" s="19"/>
      <c r="M129" s="21"/>
      <c r="N129" s="21"/>
    </row>
    <row r="130" spans="8:14" ht="12.75">
      <c r="H130" s="21"/>
      <c r="I130" s="19" t="s">
        <v>100</v>
      </c>
      <c r="J130" s="15" t="s">
        <v>125</v>
      </c>
      <c r="K130" s="19" t="s">
        <v>119</v>
      </c>
      <c r="L130" s="15" t="s">
        <v>210</v>
      </c>
      <c r="M130" s="21"/>
      <c r="N130" s="21"/>
    </row>
    <row r="131" spans="8:14" ht="5.25" customHeight="1">
      <c r="H131" s="21"/>
      <c r="I131" s="19"/>
      <c r="K131" s="19"/>
      <c r="M131" s="21"/>
      <c r="N131" s="21"/>
    </row>
    <row r="132" spans="8:14" ht="12.75">
      <c r="H132" s="21"/>
      <c r="I132" s="19" t="s">
        <v>103</v>
      </c>
      <c r="J132" s="15" t="s">
        <v>123</v>
      </c>
      <c r="K132" s="19" t="s">
        <v>119</v>
      </c>
      <c r="L132" s="15" t="s">
        <v>515</v>
      </c>
      <c r="M132" s="21"/>
      <c r="N132" s="21"/>
    </row>
    <row r="133" spans="8:14" ht="5.25" customHeight="1">
      <c r="H133" s="21"/>
      <c r="I133" s="21"/>
      <c r="J133" s="21"/>
      <c r="K133" s="21"/>
      <c r="L133" s="21"/>
      <c r="M133" s="21"/>
      <c r="N133" s="21"/>
    </row>
    <row r="134" spans="8:14" ht="12.75">
      <c r="H134" s="967" t="s">
        <v>208</v>
      </c>
      <c r="I134" s="967"/>
      <c r="J134" s="967"/>
      <c r="K134" s="967"/>
      <c r="L134" s="967"/>
      <c r="M134" s="967"/>
      <c r="N134" s="967"/>
    </row>
    <row r="135" spans="8:14">
      <c r="I135" s="19" t="s">
        <v>88</v>
      </c>
      <c r="J135" s="15" t="s">
        <v>121</v>
      </c>
      <c r="K135" s="19" t="s">
        <v>119</v>
      </c>
      <c r="L135" s="15" t="s">
        <v>169</v>
      </c>
    </row>
    <row r="136" spans="8:14">
      <c r="I136" s="19"/>
      <c r="K136" s="19" t="s">
        <v>119</v>
      </c>
      <c r="L136" s="15" t="s">
        <v>170</v>
      </c>
    </row>
    <row r="137" spans="8:14" ht="6" customHeight="1">
      <c r="I137" s="19"/>
      <c r="K137" s="19"/>
    </row>
    <row r="138" spans="8:14">
      <c r="I138" s="19" t="s">
        <v>92</v>
      </c>
      <c r="J138" s="15" t="s">
        <v>122</v>
      </c>
      <c r="K138" s="19" t="s">
        <v>119</v>
      </c>
      <c r="L138" s="15" t="s">
        <v>516</v>
      </c>
    </row>
    <row r="139" spans="8:14">
      <c r="I139" s="19"/>
      <c r="K139" s="19"/>
      <c r="L139" s="15" t="s">
        <v>171</v>
      </c>
    </row>
    <row r="140" spans="8:14" ht="6" customHeight="1">
      <c r="I140" s="19"/>
      <c r="K140" s="19"/>
    </row>
    <row r="141" spans="8:14">
      <c r="I141" s="19" t="s">
        <v>100</v>
      </c>
      <c r="J141" s="15" t="s">
        <v>120</v>
      </c>
      <c r="K141" s="19" t="s">
        <v>119</v>
      </c>
      <c r="L141" s="15" t="s">
        <v>172</v>
      </c>
    </row>
    <row r="142" spans="8:14">
      <c r="I142" s="19"/>
      <c r="K142" s="19" t="s">
        <v>119</v>
      </c>
      <c r="L142" s="15" t="s">
        <v>173</v>
      </c>
    </row>
    <row r="143" spans="8:14">
      <c r="I143" s="19"/>
      <c r="K143" s="19" t="s">
        <v>119</v>
      </c>
      <c r="L143" s="15" t="s">
        <v>174</v>
      </c>
    </row>
    <row r="144" spans="8:14" ht="4.5" customHeight="1">
      <c r="I144" s="19"/>
      <c r="K144" s="19"/>
    </row>
    <row r="145" spans="8:14">
      <c r="I145" s="19" t="s">
        <v>103</v>
      </c>
      <c r="J145" s="15" t="s">
        <v>125</v>
      </c>
      <c r="K145" s="19" t="s">
        <v>119</v>
      </c>
      <c r="L145" s="15" t="s">
        <v>175</v>
      </c>
    </row>
    <row r="146" spans="8:14">
      <c r="I146" s="19"/>
      <c r="K146" s="19" t="s">
        <v>119</v>
      </c>
      <c r="L146" s="15" t="s">
        <v>176</v>
      </c>
    </row>
    <row r="147" spans="8:14" ht="5.25" customHeight="1">
      <c r="I147" s="19"/>
      <c r="K147" s="19"/>
    </row>
    <row r="148" spans="8:14">
      <c r="I148" s="19" t="s">
        <v>113</v>
      </c>
      <c r="J148" s="15" t="s">
        <v>124</v>
      </c>
      <c r="K148" s="19" t="s">
        <v>119</v>
      </c>
      <c r="L148" s="15" t="s">
        <v>177</v>
      </c>
    </row>
    <row r="149" spans="8:14" ht="5.25" customHeight="1">
      <c r="I149" s="19"/>
      <c r="K149" s="19"/>
    </row>
    <row r="150" spans="8:14">
      <c r="I150" s="19" t="s">
        <v>155</v>
      </c>
      <c r="J150" s="15" t="s">
        <v>123</v>
      </c>
      <c r="K150" s="19" t="s">
        <v>119</v>
      </c>
      <c r="L150" s="15" t="s">
        <v>517</v>
      </c>
    </row>
    <row r="151" spans="8:14">
      <c r="I151" s="14"/>
      <c r="K151" s="19" t="s">
        <v>119</v>
      </c>
      <c r="L151" s="15" t="s">
        <v>178</v>
      </c>
    </row>
    <row r="152" spans="8:14">
      <c r="I152" s="14"/>
      <c r="K152" s="19" t="s">
        <v>119</v>
      </c>
      <c r="L152" s="15" t="s">
        <v>704</v>
      </c>
    </row>
    <row r="153" spans="8:14">
      <c r="I153" s="14"/>
      <c r="K153" s="19"/>
    </row>
    <row r="154" spans="8:14">
      <c r="I154" s="14"/>
      <c r="K154" s="19"/>
    </row>
    <row r="155" spans="8:14">
      <c r="I155" s="14"/>
      <c r="K155" s="19"/>
    </row>
    <row r="156" spans="8:14">
      <c r="I156" s="14"/>
      <c r="K156" s="19"/>
    </row>
    <row r="159" spans="8:14">
      <c r="H159" s="346"/>
      <c r="I159" s="346"/>
      <c r="J159" s="346"/>
      <c r="K159" s="346"/>
      <c r="L159" s="346"/>
      <c r="M159" s="346"/>
      <c r="N159" s="346"/>
    </row>
    <row r="160" spans="8:14">
      <c r="H160" s="960" t="s">
        <v>205</v>
      </c>
      <c r="I160" s="960"/>
      <c r="J160" s="960"/>
      <c r="K160" s="960"/>
      <c r="L160" s="960"/>
      <c r="M160" s="960"/>
      <c r="N160" s="960"/>
    </row>
    <row r="161" spans="8:14">
      <c r="H161" s="648"/>
      <c r="I161" s="648"/>
      <c r="J161" s="648"/>
      <c r="K161" s="648"/>
      <c r="L161" s="648"/>
      <c r="M161" s="648"/>
      <c r="N161" s="648"/>
    </row>
    <row r="162" spans="8:14">
      <c r="H162" s="648"/>
      <c r="I162" s="648"/>
      <c r="J162" s="648"/>
      <c r="K162" s="648"/>
      <c r="L162" s="648"/>
      <c r="M162" s="648"/>
      <c r="N162" s="648"/>
    </row>
    <row r="163" spans="8:14">
      <c r="H163" s="648"/>
      <c r="I163" s="648"/>
      <c r="J163" s="648"/>
      <c r="K163" s="648"/>
      <c r="L163" s="648"/>
      <c r="M163" s="648"/>
      <c r="N163" s="648"/>
    </row>
    <row r="164" spans="8:14">
      <c r="H164" s="648"/>
      <c r="I164" s="648"/>
      <c r="J164" s="648"/>
      <c r="K164" s="648"/>
      <c r="L164" s="648"/>
      <c r="M164" s="648"/>
      <c r="N164" s="648"/>
    </row>
    <row r="165" spans="8:14">
      <c r="H165" s="648"/>
      <c r="I165" s="648"/>
      <c r="J165" s="648"/>
      <c r="K165" s="648"/>
      <c r="L165" s="648"/>
      <c r="M165" s="648"/>
      <c r="N165" s="648"/>
    </row>
    <row r="166" spans="8:14">
      <c r="H166" s="648"/>
      <c r="I166" s="648"/>
      <c r="J166" s="648"/>
      <c r="K166" s="648"/>
      <c r="L166" s="648"/>
      <c r="M166" s="648"/>
      <c r="N166" s="648"/>
    </row>
    <row r="167" spans="8:14">
      <c r="H167" s="648"/>
      <c r="I167" s="648"/>
      <c r="J167" s="648"/>
      <c r="K167" s="648"/>
      <c r="L167" s="648"/>
      <c r="M167" s="648"/>
      <c r="N167" s="648"/>
    </row>
    <row r="168" spans="8:14">
      <c r="I168" s="14"/>
      <c r="K168" s="19"/>
    </row>
    <row r="169" spans="8:14" ht="12.75">
      <c r="H169" s="967" t="s">
        <v>204</v>
      </c>
      <c r="I169" s="967"/>
      <c r="J169" s="967"/>
      <c r="K169" s="967"/>
      <c r="L169" s="967"/>
      <c r="M169" s="967"/>
      <c r="N169" s="967"/>
    </row>
    <row r="170" spans="8:14">
      <c r="I170" s="19" t="s">
        <v>88</v>
      </c>
      <c r="J170" s="15" t="s">
        <v>121</v>
      </c>
      <c r="K170" s="19" t="s">
        <v>119</v>
      </c>
      <c r="L170" s="15" t="s">
        <v>180</v>
      </c>
    </row>
    <row r="171" spans="8:14" ht="5.25" customHeight="1">
      <c r="I171" s="14"/>
      <c r="K171" s="19"/>
    </row>
    <row r="172" spans="8:14">
      <c r="I172" s="19" t="s">
        <v>92</v>
      </c>
      <c r="J172" s="15" t="s">
        <v>122</v>
      </c>
      <c r="K172" s="19" t="s">
        <v>119</v>
      </c>
      <c r="L172" s="15" t="s">
        <v>181</v>
      </c>
    </row>
    <row r="173" spans="8:14">
      <c r="I173" s="14"/>
      <c r="K173" s="19"/>
      <c r="L173" s="15" t="s">
        <v>182</v>
      </c>
    </row>
    <row r="174" spans="8:14">
      <c r="I174" s="14"/>
      <c r="K174" s="19"/>
      <c r="L174" s="15" t="s">
        <v>183</v>
      </c>
    </row>
    <row r="175" spans="8:14" ht="4.5" customHeight="1">
      <c r="I175" s="14"/>
      <c r="K175" s="19"/>
    </row>
    <row r="176" spans="8:14">
      <c r="I176" s="19" t="s">
        <v>100</v>
      </c>
      <c r="J176" s="15" t="s">
        <v>184</v>
      </c>
      <c r="K176" s="19" t="s">
        <v>119</v>
      </c>
      <c r="L176" s="15" t="s">
        <v>185</v>
      </c>
    </row>
    <row r="177" spans="9:12">
      <c r="I177" s="19"/>
      <c r="K177" s="19" t="s">
        <v>119</v>
      </c>
      <c r="L177" s="15" t="s">
        <v>186</v>
      </c>
    </row>
    <row r="178" spans="9:12">
      <c r="I178" s="14"/>
      <c r="K178" s="19" t="s">
        <v>119</v>
      </c>
      <c r="L178" s="15" t="s">
        <v>187</v>
      </c>
    </row>
    <row r="179" spans="9:12">
      <c r="I179" s="14"/>
      <c r="K179" s="19" t="s">
        <v>119</v>
      </c>
      <c r="L179" s="15" t="s">
        <v>188</v>
      </c>
    </row>
    <row r="180" spans="9:12" ht="5.25" customHeight="1">
      <c r="I180" s="14"/>
      <c r="K180" s="14"/>
    </row>
    <row r="181" spans="9:12">
      <c r="I181" s="22" t="s">
        <v>103</v>
      </c>
      <c r="J181" s="15" t="s">
        <v>120</v>
      </c>
      <c r="K181" s="19" t="s">
        <v>119</v>
      </c>
      <c r="L181" s="15" t="s">
        <v>189</v>
      </c>
    </row>
    <row r="182" spans="9:12" ht="5.25" customHeight="1">
      <c r="I182" s="19"/>
      <c r="K182" s="19"/>
    </row>
    <row r="183" spans="9:12">
      <c r="I183" s="19" t="s">
        <v>113</v>
      </c>
      <c r="J183" s="15" t="s">
        <v>125</v>
      </c>
      <c r="K183" s="19" t="s">
        <v>119</v>
      </c>
      <c r="L183" s="15" t="s">
        <v>190</v>
      </c>
    </row>
    <row r="184" spans="9:12" ht="5.25" customHeight="1">
      <c r="I184" s="14"/>
      <c r="K184" s="14"/>
    </row>
    <row r="185" spans="9:12">
      <c r="I185" s="19" t="s">
        <v>155</v>
      </c>
      <c r="J185" s="15" t="s">
        <v>124</v>
      </c>
      <c r="K185" s="19" t="s">
        <v>119</v>
      </c>
      <c r="L185" s="15" t="s">
        <v>191</v>
      </c>
    </row>
    <row r="186" spans="9:12">
      <c r="I186" s="19"/>
      <c r="K186" s="19" t="s">
        <v>119</v>
      </c>
      <c r="L186" s="15" t="s">
        <v>192</v>
      </c>
    </row>
    <row r="187" spans="9:12" ht="6" customHeight="1">
      <c r="I187" s="14"/>
      <c r="K187" s="14"/>
    </row>
    <row r="188" spans="9:12">
      <c r="I188" s="19" t="s">
        <v>159</v>
      </c>
      <c r="J188" s="15" t="s">
        <v>123</v>
      </c>
      <c r="K188" s="19" t="s">
        <v>119</v>
      </c>
      <c r="L188" s="15" t="s">
        <v>193</v>
      </c>
    </row>
    <row r="189" spans="9:12">
      <c r="I189" s="14"/>
      <c r="K189" s="14"/>
      <c r="L189" s="15" t="s">
        <v>194</v>
      </c>
    </row>
    <row r="190" spans="9:12" ht="5.25" customHeight="1">
      <c r="I190" s="14"/>
      <c r="K190" s="14"/>
    </row>
    <row r="191" spans="9:12">
      <c r="I191" s="19" t="s">
        <v>197</v>
      </c>
      <c r="J191" s="15" t="s">
        <v>195</v>
      </c>
      <c r="K191" s="19" t="s">
        <v>119</v>
      </c>
      <c r="L191" s="15" t="s">
        <v>196</v>
      </c>
    </row>
    <row r="192" spans="9:12" ht="5.25" customHeight="1">
      <c r="I192" s="14"/>
      <c r="K192" s="14"/>
    </row>
    <row r="193" spans="8:14">
      <c r="I193" s="22" t="s">
        <v>199</v>
      </c>
      <c r="J193" s="15" t="s">
        <v>198</v>
      </c>
      <c r="K193" s="19" t="s">
        <v>119</v>
      </c>
      <c r="L193" s="15" t="s">
        <v>200</v>
      </c>
    </row>
    <row r="194" spans="8:14">
      <c r="I194" s="22"/>
      <c r="K194" s="19" t="s">
        <v>119</v>
      </c>
      <c r="L194" s="15" t="s">
        <v>201</v>
      </c>
    </row>
    <row r="195" spans="8:14">
      <c r="I195" s="22"/>
      <c r="K195" s="19" t="s">
        <v>119</v>
      </c>
      <c r="L195" s="15" t="s">
        <v>202</v>
      </c>
    </row>
    <row r="196" spans="8:14">
      <c r="I196" s="22"/>
      <c r="K196" s="19" t="s">
        <v>119</v>
      </c>
      <c r="L196" s="15" t="s">
        <v>203</v>
      </c>
    </row>
    <row r="197" spans="8:14">
      <c r="I197" s="22"/>
      <c r="K197" s="19"/>
    </row>
    <row r="198" spans="8:14">
      <c r="I198" s="22"/>
      <c r="K198" s="19"/>
    </row>
    <row r="199" spans="8:14">
      <c r="I199" s="22"/>
      <c r="K199" s="19"/>
    </row>
    <row r="200" spans="8:14">
      <c r="I200" s="22"/>
      <c r="K200" s="19"/>
    </row>
    <row r="201" spans="8:14">
      <c r="I201" s="22"/>
      <c r="K201" s="19"/>
    </row>
    <row r="202" spans="8:14">
      <c r="I202" s="22"/>
      <c r="K202" s="19"/>
    </row>
    <row r="203" spans="8:14">
      <c r="H203" s="960" t="s">
        <v>484</v>
      </c>
      <c r="I203" s="960"/>
      <c r="J203" s="960"/>
      <c r="K203" s="960"/>
      <c r="L203" s="960"/>
      <c r="M203" s="960"/>
      <c r="N203" s="960"/>
    </row>
  </sheetData>
  <mergeCells count="21">
    <mergeCell ref="H84:N84"/>
    <mergeCell ref="H75:N75"/>
    <mergeCell ref="H73:N74"/>
    <mergeCell ref="A70:G70"/>
    <mergeCell ref="A1:H2"/>
    <mergeCell ref="E23:F23"/>
    <mergeCell ref="A42:H43"/>
    <mergeCell ref="E28:F28"/>
    <mergeCell ref="E29:F29"/>
    <mergeCell ref="A35:G35"/>
    <mergeCell ref="E14:F14"/>
    <mergeCell ref="E24:G24"/>
    <mergeCell ref="E25:H25"/>
    <mergeCell ref="E26:H26"/>
    <mergeCell ref="H115:N115"/>
    <mergeCell ref="H203:N203"/>
    <mergeCell ref="H134:N134"/>
    <mergeCell ref="H123:N123"/>
    <mergeCell ref="H169:N169"/>
    <mergeCell ref="H160:N160"/>
    <mergeCell ref="H121:N122"/>
  </mergeCells>
  <pageMargins left="0.7" right="0.7" top="0.3" bottom="0.2" header="0.3" footer="0.3"/>
  <pageSetup scale="91" orientation="portrait" r:id="rId1"/>
  <rowBreaks count="2" manualBreakCount="2">
    <brk id="72" max="13" man="1"/>
    <brk id="120" max="1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N30"/>
  <sheetViews>
    <sheetView tabSelected="1" view="pageBreakPreview" topLeftCell="L1" zoomScaleSheetLayoutView="100" workbookViewId="0">
      <selection activeCell="K20" sqref="K20"/>
    </sheetView>
  </sheetViews>
  <sheetFormatPr defaultRowHeight="15"/>
  <cols>
    <col min="1" max="1" width="3.140625" customWidth="1"/>
    <col min="2" max="2" width="9.42578125" customWidth="1"/>
    <col min="3" max="3" width="9.5703125" customWidth="1"/>
    <col min="4" max="4" width="10.5703125" customWidth="1"/>
    <col min="5" max="5" width="8.28515625" customWidth="1"/>
    <col min="6" max="7" width="8.42578125" customWidth="1"/>
    <col min="8" max="8" width="8.28515625" customWidth="1"/>
    <col min="10" max="10" width="3" bestFit="1" customWidth="1"/>
    <col min="11" max="11" width="13" customWidth="1"/>
    <col min="12" max="12" width="15" customWidth="1"/>
    <col min="13" max="13" width="14.28515625" customWidth="1"/>
    <col min="14" max="14" width="13.5703125" customWidth="1"/>
    <col min="15" max="16" width="13.5703125" style="516" customWidth="1"/>
    <col min="17" max="17" width="3.140625" customWidth="1"/>
    <col min="18" max="18" width="9.42578125" customWidth="1"/>
    <col min="19" max="19" width="5.5703125" customWidth="1"/>
    <col min="20" max="21" width="5.7109375" customWidth="1"/>
    <col min="22" max="22" width="6" customWidth="1"/>
    <col min="23" max="23" width="5.5703125" customWidth="1"/>
    <col min="24" max="24" width="5.85546875" customWidth="1"/>
    <col min="25" max="25" width="5.42578125" customWidth="1"/>
    <col min="26" max="26" width="5.85546875" customWidth="1"/>
    <col min="27" max="27" width="6" customWidth="1"/>
    <col min="28" max="28" width="8.28515625" customWidth="1"/>
    <col min="29" max="29" width="7.85546875" customWidth="1"/>
    <col min="30" max="30" width="2.5703125" customWidth="1"/>
    <col min="31" max="31" width="1.42578125" customWidth="1"/>
    <col min="32" max="32" width="17.140625" hidden="1" customWidth="1"/>
    <col min="33" max="33" width="17.140625" customWidth="1"/>
    <col min="34" max="34" width="9.85546875" customWidth="1"/>
    <col min="35" max="35" width="8.7109375" customWidth="1"/>
    <col min="36" max="36" width="4.7109375" customWidth="1"/>
    <col min="37" max="37" width="1.85546875" customWidth="1"/>
    <col min="38" max="38" width="9.42578125" customWidth="1"/>
    <col min="39" max="39" width="5" customWidth="1"/>
    <col min="40" max="40" width="1.7109375" customWidth="1"/>
  </cols>
  <sheetData>
    <row r="1" spans="1:40" s="15" customFormat="1" ht="12" customHeight="1">
      <c r="A1" s="975" t="s">
        <v>430</v>
      </c>
      <c r="B1" s="975"/>
      <c r="C1" s="975"/>
      <c r="D1" s="975"/>
      <c r="E1" s="975"/>
      <c r="F1" s="975"/>
      <c r="G1" s="975"/>
      <c r="H1" s="975"/>
      <c r="J1" s="975" t="s">
        <v>439</v>
      </c>
      <c r="K1" s="975"/>
      <c r="L1" s="975"/>
      <c r="M1" s="975"/>
      <c r="N1" s="975"/>
      <c r="O1" s="511"/>
      <c r="P1" s="511"/>
      <c r="Q1" s="975" t="s">
        <v>456</v>
      </c>
      <c r="R1" s="975"/>
      <c r="S1" s="975"/>
      <c r="T1" s="975"/>
      <c r="U1" s="975"/>
      <c r="V1" s="975"/>
      <c r="W1" s="975"/>
      <c r="X1" s="975"/>
      <c r="Y1" s="975"/>
      <c r="Z1" s="975"/>
      <c r="AA1" s="975"/>
      <c r="AD1" s="975" t="s">
        <v>461</v>
      </c>
      <c r="AE1" s="975"/>
      <c r="AF1" s="975"/>
      <c r="AG1" s="975"/>
      <c r="AH1" s="975"/>
      <c r="AI1" s="975"/>
      <c r="AJ1" s="975"/>
      <c r="AK1" s="975"/>
      <c r="AL1" s="975"/>
      <c r="AM1" s="975"/>
      <c r="AN1" s="975"/>
    </row>
    <row r="2" spans="1:40" s="15" customFormat="1" ht="12" customHeight="1">
      <c r="A2" s="975" t="s">
        <v>702</v>
      </c>
      <c r="B2" s="975"/>
      <c r="C2" s="975"/>
      <c r="D2" s="975"/>
      <c r="E2" s="975"/>
      <c r="F2" s="975"/>
      <c r="G2" s="975"/>
      <c r="H2" s="975"/>
      <c r="J2" s="975" t="s">
        <v>703</v>
      </c>
      <c r="K2" s="975"/>
      <c r="L2" s="975"/>
      <c r="M2" s="975"/>
      <c r="N2" s="975"/>
      <c r="O2" s="511"/>
      <c r="P2" s="511"/>
      <c r="Q2" s="975" t="s">
        <v>743</v>
      </c>
      <c r="R2" s="975"/>
      <c r="S2" s="975"/>
      <c r="T2" s="975"/>
      <c r="U2" s="975"/>
      <c r="V2" s="975"/>
      <c r="W2" s="975"/>
      <c r="X2" s="975"/>
      <c r="Y2" s="975"/>
      <c r="Z2" s="975"/>
      <c r="AA2" s="975"/>
      <c r="AD2" s="975" t="s">
        <v>703</v>
      </c>
      <c r="AE2" s="975"/>
      <c r="AF2" s="975"/>
      <c r="AG2" s="975"/>
      <c r="AH2" s="975"/>
      <c r="AI2" s="975"/>
      <c r="AJ2" s="975"/>
      <c r="AK2" s="975"/>
      <c r="AL2" s="975"/>
      <c r="AM2" s="975"/>
      <c r="AN2" s="975"/>
    </row>
    <row r="3" spans="1:40" s="15" customFormat="1" ht="12" customHeight="1">
      <c r="A3" s="489"/>
      <c r="B3" s="489"/>
      <c r="C3" s="489"/>
      <c r="D3" s="489"/>
      <c r="E3" s="489"/>
      <c r="F3" s="489"/>
      <c r="G3" s="489"/>
      <c r="H3" s="489"/>
      <c r="J3" s="489"/>
      <c r="K3" s="489"/>
      <c r="L3" s="489"/>
      <c r="M3" s="489"/>
      <c r="N3" s="527" t="s">
        <v>222</v>
      </c>
      <c r="O3" s="512"/>
      <c r="P3" s="512"/>
      <c r="Q3" s="489"/>
      <c r="R3" s="489"/>
      <c r="S3" s="489"/>
      <c r="T3" s="489"/>
      <c r="U3" s="489"/>
      <c r="V3" s="489"/>
      <c r="W3" s="489"/>
      <c r="X3" s="489"/>
      <c r="Y3" s="489"/>
      <c r="Z3" s="489"/>
      <c r="AA3" s="15" t="s">
        <v>518</v>
      </c>
      <c r="AD3" s="489"/>
      <c r="AE3" s="489"/>
      <c r="AF3" s="489"/>
      <c r="AG3" s="489"/>
      <c r="AH3" s="489"/>
      <c r="AI3" s="489"/>
      <c r="AJ3" s="489"/>
      <c r="AK3" s="489"/>
      <c r="AL3" s="489"/>
      <c r="AM3" s="489"/>
      <c r="AN3" s="527"/>
    </row>
    <row r="4" spans="1:40" s="15" customFormat="1" ht="12" customHeight="1">
      <c r="A4" s="994" t="s">
        <v>212</v>
      </c>
      <c r="B4" s="1000" t="s">
        <v>422</v>
      </c>
      <c r="C4" s="490" t="s">
        <v>424</v>
      </c>
      <c r="D4" s="1004" t="s">
        <v>508</v>
      </c>
      <c r="E4" s="1006" t="s">
        <v>590</v>
      </c>
      <c r="F4" s="1007"/>
      <c r="G4" s="1008"/>
      <c r="H4" s="498" t="s">
        <v>431</v>
      </c>
      <c r="J4" s="994" t="s">
        <v>212</v>
      </c>
      <c r="K4" s="1000" t="s">
        <v>422</v>
      </c>
      <c r="L4" s="1000" t="s">
        <v>423</v>
      </c>
      <c r="M4" s="1002" t="s">
        <v>106</v>
      </c>
      <c r="N4" s="1002" t="s">
        <v>112</v>
      </c>
      <c r="O4" s="513"/>
      <c r="P4" s="513"/>
      <c r="Q4" s="994" t="s">
        <v>212</v>
      </c>
      <c r="R4" s="1013" t="s">
        <v>422</v>
      </c>
      <c r="S4" s="1009" t="s">
        <v>433</v>
      </c>
      <c r="T4" s="1010"/>
      <c r="U4" s="1009" t="s">
        <v>436</v>
      </c>
      <c r="V4" s="1010"/>
      <c r="W4" s="1009" t="s">
        <v>437</v>
      </c>
      <c r="X4" s="1011"/>
      <c r="Y4" s="1009" t="s">
        <v>520</v>
      </c>
      <c r="Z4" s="1010"/>
      <c r="AA4" s="973" t="s">
        <v>509</v>
      </c>
      <c r="AD4" s="994" t="s">
        <v>212</v>
      </c>
      <c r="AE4" s="988" t="s">
        <v>462</v>
      </c>
      <c r="AF4" s="989"/>
      <c r="AG4" s="990"/>
      <c r="AH4" s="535" t="s">
        <v>466</v>
      </c>
      <c r="AI4" s="982" t="s">
        <v>463</v>
      </c>
      <c r="AJ4" s="983"/>
      <c r="AK4" s="984"/>
      <c r="AL4" s="982" t="s">
        <v>465</v>
      </c>
      <c r="AM4" s="983"/>
      <c r="AN4" s="984"/>
    </row>
    <row r="5" spans="1:40" s="15" customFormat="1" ht="12" customHeight="1" thickBot="1">
      <c r="A5" s="995"/>
      <c r="B5" s="1001"/>
      <c r="C5" s="491" t="s">
        <v>425</v>
      </c>
      <c r="D5" s="1005"/>
      <c r="E5" s="491" t="s">
        <v>114</v>
      </c>
      <c r="F5" s="491" t="s">
        <v>115</v>
      </c>
      <c r="G5" s="510" t="s">
        <v>224</v>
      </c>
      <c r="H5" s="499" t="s">
        <v>432</v>
      </c>
      <c r="J5" s="995"/>
      <c r="K5" s="1001"/>
      <c r="L5" s="1001"/>
      <c r="M5" s="1003"/>
      <c r="N5" s="1003"/>
      <c r="O5" s="513"/>
      <c r="P5" s="513"/>
      <c r="Q5" s="995"/>
      <c r="R5" s="1014"/>
      <c r="S5" s="571" t="s">
        <v>434</v>
      </c>
      <c r="T5" s="572" t="s">
        <v>435</v>
      </c>
      <c r="U5" s="571" t="s">
        <v>434</v>
      </c>
      <c r="V5" s="572" t="s">
        <v>435</v>
      </c>
      <c r="W5" s="573" t="s">
        <v>434</v>
      </c>
      <c r="X5" s="574" t="s">
        <v>435</v>
      </c>
      <c r="Y5" s="571" t="s">
        <v>434</v>
      </c>
      <c r="Z5" s="572" t="s">
        <v>435</v>
      </c>
      <c r="AA5" s="974"/>
      <c r="AD5" s="995"/>
      <c r="AE5" s="991"/>
      <c r="AF5" s="992"/>
      <c r="AG5" s="993"/>
      <c r="AH5" s="563" t="s">
        <v>467</v>
      </c>
      <c r="AI5" s="985" t="s">
        <v>464</v>
      </c>
      <c r="AJ5" s="986"/>
      <c r="AK5" s="987"/>
      <c r="AL5" s="985" t="s">
        <v>464</v>
      </c>
      <c r="AM5" s="986"/>
      <c r="AN5" s="987"/>
    </row>
    <row r="6" spans="1:40" s="15" customFormat="1" ht="12" customHeight="1" thickTop="1">
      <c r="A6" s="492">
        <v>1</v>
      </c>
      <c r="B6" s="493" t="s">
        <v>121</v>
      </c>
      <c r="C6" s="494">
        <v>127.78</v>
      </c>
      <c r="D6" s="500">
        <f>C6/$C$15*100</f>
        <v>2.2669453186816306</v>
      </c>
      <c r="E6" s="636">
        <v>449.7</v>
      </c>
      <c r="F6" s="636">
        <v>430.9</v>
      </c>
      <c r="G6" s="637">
        <f>E6+F6</f>
        <v>880.59999999999991</v>
      </c>
      <c r="H6" s="500">
        <f>G6/C6</f>
        <v>6.8915323211770225</v>
      </c>
      <c r="J6" s="492">
        <v>1</v>
      </c>
      <c r="K6" s="493" t="s">
        <v>121</v>
      </c>
      <c r="L6" s="493" t="s">
        <v>121</v>
      </c>
      <c r="M6" s="492">
        <v>4</v>
      </c>
      <c r="N6" s="492">
        <v>43</v>
      </c>
      <c r="O6" s="514"/>
      <c r="P6" s="514"/>
      <c r="Q6" s="492">
        <v>1</v>
      </c>
      <c r="R6" s="493" t="s">
        <v>121</v>
      </c>
      <c r="S6" s="504">
        <v>30</v>
      </c>
      <c r="T6" s="505">
        <v>1</v>
      </c>
      <c r="U6" s="504">
        <v>75</v>
      </c>
      <c r="V6" s="505">
        <v>8</v>
      </c>
      <c r="W6" s="502">
        <v>82</v>
      </c>
      <c r="X6" s="518">
        <v>8</v>
      </c>
      <c r="Y6" s="504">
        <f>S6+U6+W6</f>
        <v>187</v>
      </c>
      <c r="Z6" s="505">
        <f>T6+V6+X6</f>
        <v>17</v>
      </c>
      <c r="AA6" s="502">
        <f>SUM(S6:X6)</f>
        <v>204</v>
      </c>
      <c r="AB6" s="575"/>
      <c r="AD6" s="526">
        <v>1</v>
      </c>
      <c r="AE6" s="976" t="s">
        <v>117</v>
      </c>
      <c r="AF6" s="977"/>
      <c r="AG6" s="978"/>
      <c r="AH6" s="528"/>
      <c r="AI6" s="530"/>
      <c r="AJ6" s="530"/>
      <c r="AK6" s="531"/>
      <c r="AL6" s="533"/>
      <c r="AM6" s="533"/>
      <c r="AN6" s="531"/>
    </row>
    <row r="7" spans="1:40" s="15" customFormat="1" ht="12" customHeight="1">
      <c r="A7" s="492">
        <v>2</v>
      </c>
      <c r="B7" s="493" t="s">
        <v>122</v>
      </c>
      <c r="C7" s="494">
        <v>418.52</v>
      </c>
      <c r="D7" s="500">
        <f>C7/$C$15*100</f>
        <v>7.4249644292896848</v>
      </c>
      <c r="E7" s="636">
        <v>314.3</v>
      </c>
      <c r="F7" s="636">
        <v>302.10000000000002</v>
      </c>
      <c r="G7" s="637">
        <f t="shared" ref="G7:G14" si="0">E7+F7</f>
        <v>616.40000000000009</v>
      </c>
      <c r="H7" s="500">
        <f t="shared" ref="H7:H14" si="1">G7/C7</f>
        <v>1.4728089458090416</v>
      </c>
      <c r="J7" s="492">
        <v>2</v>
      </c>
      <c r="K7" s="493" t="s">
        <v>122</v>
      </c>
      <c r="L7" s="493" t="s">
        <v>440</v>
      </c>
      <c r="M7" s="492">
        <v>6</v>
      </c>
      <c r="N7" s="492">
        <v>62</v>
      </c>
      <c r="O7" s="514"/>
      <c r="P7" s="514"/>
      <c r="Q7" s="492">
        <v>2</v>
      </c>
      <c r="R7" s="493" t="s">
        <v>122</v>
      </c>
      <c r="S7" s="504">
        <v>19</v>
      </c>
      <c r="T7" s="505">
        <v>8</v>
      </c>
      <c r="U7" s="504">
        <v>29</v>
      </c>
      <c r="V7" s="505">
        <v>21</v>
      </c>
      <c r="W7" s="502">
        <v>12</v>
      </c>
      <c r="X7" s="518">
        <v>13</v>
      </c>
      <c r="Y7" s="504">
        <f t="shared" ref="Y7:Y14" si="2">S7+U7+W7</f>
        <v>60</v>
      </c>
      <c r="Z7" s="505">
        <f t="shared" ref="Z7:Z14" si="3">T7+V7+X7</f>
        <v>42</v>
      </c>
      <c r="AA7" s="502">
        <f t="shared" ref="AA7:AA14" si="4">SUM(S7:X7)</f>
        <v>102</v>
      </c>
      <c r="AB7" s="575"/>
      <c r="AD7" s="492"/>
      <c r="AE7" s="524" t="s">
        <v>119</v>
      </c>
      <c r="AF7" s="519" t="s">
        <v>122</v>
      </c>
      <c r="AG7" s="520" t="s">
        <v>468</v>
      </c>
      <c r="AH7" s="542">
        <v>147278.75</v>
      </c>
      <c r="AI7" s="539">
        <v>104967.5</v>
      </c>
      <c r="AJ7" s="541">
        <f>AI7/AH7*100</f>
        <v>71.271313750286453</v>
      </c>
      <c r="AK7" s="537" t="s">
        <v>126</v>
      </c>
      <c r="AL7" s="544">
        <f>AH7-AI7</f>
        <v>42311.25</v>
      </c>
      <c r="AM7" s="541">
        <f>100-AJ7</f>
        <v>28.728686249713547</v>
      </c>
      <c r="AN7" s="537" t="s">
        <v>126</v>
      </c>
    </row>
    <row r="8" spans="1:40" s="15" customFormat="1" ht="12" customHeight="1">
      <c r="A8" s="492">
        <v>3</v>
      </c>
      <c r="B8" s="493" t="s">
        <v>184</v>
      </c>
      <c r="C8" s="494">
        <v>839.33</v>
      </c>
      <c r="D8" s="500">
        <f t="shared" ref="D8:D14" si="5">C8/$C$15*100</f>
        <v>14.890555754649032</v>
      </c>
      <c r="E8" s="636">
        <v>216.5</v>
      </c>
      <c r="F8" s="636">
        <v>219.4</v>
      </c>
      <c r="G8" s="637">
        <f t="shared" si="0"/>
        <v>435.9</v>
      </c>
      <c r="H8" s="500">
        <f t="shared" si="1"/>
        <v>0.51934280914538977</v>
      </c>
      <c r="J8" s="492">
        <v>3</v>
      </c>
      <c r="K8" s="493" t="s">
        <v>184</v>
      </c>
      <c r="L8" s="493" t="s">
        <v>184</v>
      </c>
      <c r="M8" s="492">
        <v>10</v>
      </c>
      <c r="N8" s="492">
        <v>133</v>
      </c>
      <c r="O8" s="514"/>
      <c r="P8" s="514"/>
      <c r="Q8" s="492">
        <v>3</v>
      </c>
      <c r="R8" s="493" t="s">
        <v>184</v>
      </c>
      <c r="S8" s="504">
        <v>5</v>
      </c>
      <c r="T8" s="505">
        <v>2</v>
      </c>
      <c r="U8" s="504">
        <v>9</v>
      </c>
      <c r="V8" s="505">
        <v>4</v>
      </c>
      <c r="W8" s="502">
        <v>17</v>
      </c>
      <c r="X8" s="518">
        <v>4</v>
      </c>
      <c r="Y8" s="504">
        <f t="shared" si="2"/>
        <v>31</v>
      </c>
      <c r="Z8" s="505">
        <f t="shared" si="3"/>
        <v>10</v>
      </c>
      <c r="AA8" s="502">
        <f t="shared" si="4"/>
        <v>41</v>
      </c>
      <c r="AB8" s="575"/>
      <c r="AD8" s="492"/>
      <c r="AE8" s="524" t="s">
        <v>119</v>
      </c>
      <c r="AF8" s="519" t="s">
        <v>184</v>
      </c>
      <c r="AG8" s="520" t="s">
        <v>469</v>
      </c>
      <c r="AH8" s="542">
        <v>1500</v>
      </c>
      <c r="AI8" s="539">
        <v>1284.2</v>
      </c>
      <c r="AJ8" s="541">
        <f>AI8/AH8*100</f>
        <v>85.613333333333344</v>
      </c>
      <c r="AK8" s="537" t="s">
        <v>126</v>
      </c>
      <c r="AL8" s="544">
        <f t="shared" ref="AL8:AL13" si="6">AH8-AI8</f>
        <v>215.79999999999995</v>
      </c>
      <c r="AM8" s="541">
        <f>100-AJ8</f>
        <v>14.386666666666656</v>
      </c>
      <c r="AN8" s="537" t="s">
        <v>126</v>
      </c>
    </row>
    <row r="9" spans="1:40" s="15" customFormat="1" ht="12" customHeight="1">
      <c r="A9" s="492">
        <v>4</v>
      </c>
      <c r="B9" s="493" t="s">
        <v>120</v>
      </c>
      <c r="C9" s="494">
        <v>841.8</v>
      </c>
      <c r="D9" s="500">
        <f t="shared" si="5"/>
        <v>14.934376031195779</v>
      </c>
      <c r="E9" s="636">
        <v>134.80000000000001</v>
      </c>
      <c r="F9" s="636">
        <v>136.80000000000001</v>
      </c>
      <c r="G9" s="637">
        <f t="shared" si="0"/>
        <v>271.60000000000002</v>
      </c>
      <c r="H9" s="500">
        <f t="shared" si="1"/>
        <v>0.3226419577096698</v>
      </c>
      <c r="J9" s="492">
        <v>4</v>
      </c>
      <c r="K9" s="493" t="s">
        <v>120</v>
      </c>
      <c r="L9" s="493" t="s">
        <v>426</v>
      </c>
      <c r="M9" s="492">
        <v>5</v>
      </c>
      <c r="N9" s="492">
        <v>51</v>
      </c>
      <c r="O9" s="514"/>
      <c r="P9" s="514"/>
      <c r="Q9" s="492">
        <v>4</v>
      </c>
      <c r="R9" s="493" t="s">
        <v>120</v>
      </c>
      <c r="S9" s="504">
        <v>551</v>
      </c>
      <c r="T9" s="505">
        <v>21</v>
      </c>
      <c r="U9" s="504">
        <v>401</v>
      </c>
      <c r="V9" s="505">
        <v>20</v>
      </c>
      <c r="W9" s="502">
        <v>347</v>
      </c>
      <c r="X9" s="518">
        <v>19</v>
      </c>
      <c r="Y9" s="504">
        <f t="shared" si="2"/>
        <v>1299</v>
      </c>
      <c r="Z9" s="505">
        <f t="shared" si="3"/>
        <v>60</v>
      </c>
      <c r="AA9" s="502">
        <f t="shared" si="4"/>
        <v>1359</v>
      </c>
      <c r="AB9" s="575"/>
      <c r="AD9" s="526">
        <v>2</v>
      </c>
      <c r="AE9" s="979" t="s">
        <v>116</v>
      </c>
      <c r="AF9" s="980"/>
      <c r="AG9" s="981"/>
      <c r="AH9" s="543"/>
      <c r="AI9" s="539"/>
      <c r="AJ9" s="541"/>
      <c r="AK9" s="537"/>
      <c r="AL9" s="544">
        <f t="shared" si="6"/>
        <v>0</v>
      </c>
      <c r="AM9" s="541"/>
      <c r="AN9" s="537"/>
    </row>
    <row r="10" spans="1:40" s="15" customFormat="1" ht="12" customHeight="1">
      <c r="A10" s="492">
        <v>5</v>
      </c>
      <c r="B10" s="494" t="s">
        <v>125</v>
      </c>
      <c r="C10" s="494">
        <v>1365.88</v>
      </c>
      <c r="D10" s="500">
        <f t="shared" si="5"/>
        <v>24.23208070027286</v>
      </c>
      <c r="E10" s="636">
        <v>321.89999999999998</v>
      </c>
      <c r="F10" s="636">
        <v>324.3</v>
      </c>
      <c r="G10" s="637">
        <f t="shared" si="0"/>
        <v>646.20000000000005</v>
      </c>
      <c r="H10" s="500">
        <f t="shared" si="1"/>
        <v>0.47310159018361786</v>
      </c>
      <c r="J10" s="492">
        <v>5</v>
      </c>
      <c r="K10" s="494" t="s">
        <v>125</v>
      </c>
      <c r="L10" s="494" t="s">
        <v>427</v>
      </c>
      <c r="M10" s="492">
        <v>9</v>
      </c>
      <c r="N10" s="492">
        <v>148</v>
      </c>
      <c r="O10" s="514"/>
      <c r="P10" s="514"/>
      <c r="Q10" s="492">
        <v>5</v>
      </c>
      <c r="R10" s="494" t="s">
        <v>125</v>
      </c>
      <c r="S10" s="504">
        <v>272</v>
      </c>
      <c r="T10" s="505">
        <v>41</v>
      </c>
      <c r="U10" s="504">
        <v>598</v>
      </c>
      <c r="V10" s="505">
        <v>163</v>
      </c>
      <c r="W10" s="502">
        <v>471</v>
      </c>
      <c r="X10" s="518">
        <v>161</v>
      </c>
      <c r="Y10" s="504">
        <f t="shared" si="2"/>
        <v>1341</v>
      </c>
      <c r="Z10" s="505">
        <f t="shared" si="3"/>
        <v>365</v>
      </c>
      <c r="AA10" s="502">
        <f t="shared" si="4"/>
        <v>1706</v>
      </c>
      <c r="AB10" s="575"/>
      <c r="AD10" s="492"/>
      <c r="AE10" s="524" t="s">
        <v>119</v>
      </c>
      <c r="AF10" s="519" t="s">
        <v>125</v>
      </c>
      <c r="AG10" s="520" t="s">
        <v>470</v>
      </c>
      <c r="AH10" s="542">
        <v>1551.75</v>
      </c>
      <c r="AI10" s="649">
        <v>533.20000000000005</v>
      </c>
      <c r="AJ10" s="541">
        <f>(AI10/AH10*100)</f>
        <v>34.361205091026264</v>
      </c>
      <c r="AK10" s="537" t="s">
        <v>126</v>
      </c>
      <c r="AL10" s="544">
        <f t="shared" si="6"/>
        <v>1018.55</v>
      </c>
      <c r="AM10" s="541">
        <f>100-AJ10</f>
        <v>65.638794908973736</v>
      </c>
      <c r="AN10" s="537" t="s">
        <v>126</v>
      </c>
    </row>
    <row r="11" spans="1:40" s="15" customFormat="1" ht="12" customHeight="1">
      <c r="A11" s="492">
        <f>A10+1</f>
        <v>6</v>
      </c>
      <c r="B11" s="494" t="s">
        <v>124</v>
      </c>
      <c r="C11" s="494">
        <v>839.54</v>
      </c>
      <c r="D11" s="500">
        <f t="shared" si="5"/>
        <v>14.894281365205636</v>
      </c>
      <c r="E11" s="636">
        <v>204.4</v>
      </c>
      <c r="F11" s="636">
        <v>204.3</v>
      </c>
      <c r="G11" s="637">
        <f t="shared" si="0"/>
        <v>408.70000000000005</v>
      </c>
      <c r="H11" s="500">
        <f t="shared" si="1"/>
        <v>0.48681420778045126</v>
      </c>
      <c r="J11" s="492">
        <f>J10+1</f>
        <v>6</v>
      </c>
      <c r="K11" s="494" t="s">
        <v>124</v>
      </c>
      <c r="L11" s="494" t="s">
        <v>429</v>
      </c>
      <c r="M11" s="492">
        <v>8</v>
      </c>
      <c r="N11" s="492">
        <v>79</v>
      </c>
      <c r="O11" s="514"/>
      <c r="P11" s="514"/>
      <c r="Q11" s="492">
        <f>Q10+1</f>
        <v>6</v>
      </c>
      <c r="R11" s="494" t="s">
        <v>124</v>
      </c>
      <c r="S11" s="504">
        <v>452</v>
      </c>
      <c r="T11" s="505">
        <v>6</v>
      </c>
      <c r="U11" s="504">
        <v>599</v>
      </c>
      <c r="V11" s="505">
        <v>9</v>
      </c>
      <c r="W11" s="502">
        <v>307</v>
      </c>
      <c r="X11" s="518">
        <v>3</v>
      </c>
      <c r="Y11" s="504">
        <f t="shared" si="2"/>
        <v>1358</v>
      </c>
      <c r="Z11" s="505">
        <f t="shared" si="3"/>
        <v>18</v>
      </c>
      <c r="AA11" s="502">
        <f t="shared" si="4"/>
        <v>1376</v>
      </c>
      <c r="AB11" s="575"/>
      <c r="AD11" s="492"/>
      <c r="AE11" s="524" t="s">
        <v>119</v>
      </c>
      <c r="AF11" s="519" t="s">
        <v>124</v>
      </c>
      <c r="AG11" s="520" t="s">
        <v>471</v>
      </c>
      <c r="AH11" s="542">
        <v>1667</v>
      </c>
      <c r="AI11" s="649">
        <v>199</v>
      </c>
      <c r="AJ11" s="541">
        <f>AI11/AH11*100</f>
        <v>11.937612477504498</v>
      </c>
      <c r="AK11" s="537" t="s">
        <v>126</v>
      </c>
      <c r="AL11" s="544">
        <f t="shared" si="6"/>
        <v>1468</v>
      </c>
      <c r="AM11" s="541">
        <f>100-AJ11</f>
        <v>88.062387522495499</v>
      </c>
      <c r="AN11" s="537" t="s">
        <v>126</v>
      </c>
    </row>
    <row r="12" spans="1:40" s="15" customFormat="1" ht="12" customHeight="1">
      <c r="A12" s="492">
        <v>7</v>
      </c>
      <c r="B12" s="494" t="s">
        <v>123</v>
      </c>
      <c r="C12" s="494">
        <v>315</v>
      </c>
      <c r="D12" s="500">
        <f t="shared" si="5"/>
        <v>5.588415834909326</v>
      </c>
      <c r="E12" s="636">
        <v>86.9</v>
      </c>
      <c r="F12" s="636">
        <v>88.8</v>
      </c>
      <c r="G12" s="637">
        <f t="shared" si="0"/>
        <v>175.7</v>
      </c>
      <c r="H12" s="500">
        <f t="shared" si="1"/>
        <v>0.55777777777777771</v>
      </c>
      <c r="J12" s="492">
        <v>7</v>
      </c>
      <c r="K12" s="494" t="s">
        <v>123</v>
      </c>
      <c r="L12" s="494" t="s">
        <v>428</v>
      </c>
      <c r="M12" s="492">
        <v>4</v>
      </c>
      <c r="N12" s="492">
        <v>59</v>
      </c>
      <c r="O12" s="514"/>
      <c r="P12" s="514"/>
      <c r="Q12" s="492">
        <v>7</v>
      </c>
      <c r="R12" s="494" t="s">
        <v>123</v>
      </c>
      <c r="S12" s="504">
        <v>96</v>
      </c>
      <c r="T12" s="505">
        <v>89</v>
      </c>
      <c r="U12" s="504">
        <v>112</v>
      </c>
      <c r="V12" s="505">
        <v>158</v>
      </c>
      <c r="W12" s="502">
        <v>127</v>
      </c>
      <c r="X12" s="518">
        <v>115</v>
      </c>
      <c r="Y12" s="504">
        <f t="shared" si="2"/>
        <v>335</v>
      </c>
      <c r="Z12" s="505">
        <f t="shared" si="3"/>
        <v>362</v>
      </c>
      <c r="AA12" s="502">
        <f t="shared" si="4"/>
        <v>697</v>
      </c>
      <c r="AB12" s="575"/>
      <c r="AD12" s="492"/>
      <c r="AE12" s="524" t="s">
        <v>119</v>
      </c>
      <c r="AF12" s="519" t="s">
        <v>123</v>
      </c>
      <c r="AG12" s="520" t="s">
        <v>472</v>
      </c>
      <c r="AH12" s="542">
        <v>1700.41</v>
      </c>
      <c r="AI12" s="649">
        <v>997</v>
      </c>
      <c r="AJ12" s="541">
        <f>AI12/AH12*100</f>
        <v>58.632917943319555</v>
      </c>
      <c r="AK12" s="537" t="s">
        <v>126</v>
      </c>
      <c r="AL12" s="544">
        <f t="shared" si="6"/>
        <v>703.41000000000008</v>
      </c>
      <c r="AM12" s="541">
        <f>100-AJ12</f>
        <v>41.367082056680445</v>
      </c>
      <c r="AN12" s="537" t="s">
        <v>126</v>
      </c>
    </row>
    <row r="13" spans="1:40" s="15" customFormat="1" ht="12" customHeight="1">
      <c r="A13" s="492">
        <v>8</v>
      </c>
      <c r="B13" s="494" t="s">
        <v>195</v>
      </c>
      <c r="C13" s="494">
        <v>368</v>
      </c>
      <c r="D13" s="500">
        <f t="shared" si="5"/>
        <v>6.5286889753861335</v>
      </c>
      <c r="E13" s="636">
        <v>249.9</v>
      </c>
      <c r="F13" s="636">
        <v>245.2</v>
      </c>
      <c r="G13" s="637">
        <f t="shared" si="0"/>
        <v>495.1</v>
      </c>
      <c r="H13" s="500">
        <f t="shared" si="1"/>
        <v>1.3453804347826088</v>
      </c>
      <c r="J13" s="492">
        <v>8</v>
      </c>
      <c r="K13" s="494" t="s">
        <v>195</v>
      </c>
      <c r="L13" s="494" t="s">
        <v>195</v>
      </c>
      <c r="M13" s="492">
        <v>7</v>
      </c>
      <c r="N13" s="492">
        <v>70</v>
      </c>
      <c r="O13" s="514"/>
      <c r="P13" s="514"/>
      <c r="Q13" s="492">
        <v>8</v>
      </c>
      <c r="R13" s="494" t="s">
        <v>195</v>
      </c>
      <c r="S13" s="504">
        <v>4</v>
      </c>
      <c r="T13" s="505">
        <v>2</v>
      </c>
      <c r="U13" s="504">
        <v>15</v>
      </c>
      <c r="V13" s="505">
        <v>3</v>
      </c>
      <c r="W13" s="502">
        <v>16</v>
      </c>
      <c r="X13" s="518">
        <v>3</v>
      </c>
      <c r="Y13" s="504">
        <f t="shared" si="2"/>
        <v>35</v>
      </c>
      <c r="Z13" s="505">
        <f t="shared" si="3"/>
        <v>8</v>
      </c>
      <c r="AA13" s="502">
        <f t="shared" si="4"/>
        <v>43</v>
      </c>
      <c r="AB13" s="575"/>
      <c r="AD13" s="492"/>
      <c r="AE13" s="524" t="s">
        <v>119</v>
      </c>
      <c r="AF13" s="519" t="s">
        <v>195</v>
      </c>
      <c r="AG13" s="520" t="s">
        <v>473</v>
      </c>
      <c r="AH13" s="542">
        <v>25242.06</v>
      </c>
      <c r="AI13" s="649">
        <v>246.9</v>
      </c>
      <c r="AJ13" s="541">
        <f>AI13/AH13*100</f>
        <v>0.97812936028200537</v>
      </c>
      <c r="AK13" s="537" t="s">
        <v>126</v>
      </c>
      <c r="AL13" s="544">
        <f t="shared" si="6"/>
        <v>24995.16</v>
      </c>
      <c r="AM13" s="541">
        <f>100-AJ13</f>
        <v>99.021870639717989</v>
      </c>
      <c r="AN13" s="537" t="s">
        <v>126</v>
      </c>
    </row>
    <row r="14" spans="1:40" s="15" customFormat="1" ht="12" customHeight="1" thickBot="1">
      <c r="A14" s="492">
        <v>9</v>
      </c>
      <c r="B14" s="494" t="s">
        <v>198</v>
      </c>
      <c r="C14" s="494">
        <v>520.80999999999995</v>
      </c>
      <c r="D14" s="500">
        <f t="shared" si="5"/>
        <v>9.2396915904099224</v>
      </c>
      <c r="E14" s="636">
        <v>112.6</v>
      </c>
      <c r="F14" s="636">
        <v>110</v>
      </c>
      <c r="G14" s="637">
        <f t="shared" si="0"/>
        <v>222.6</v>
      </c>
      <c r="H14" s="500">
        <f t="shared" si="1"/>
        <v>0.42741114801943131</v>
      </c>
      <c r="J14" s="492">
        <v>9</v>
      </c>
      <c r="K14" s="494" t="s">
        <v>198</v>
      </c>
      <c r="L14" s="494" t="s">
        <v>198</v>
      </c>
      <c r="M14" s="492">
        <v>4</v>
      </c>
      <c r="N14" s="492">
        <v>72</v>
      </c>
      <c r="O14" s="514"/>
      <c r="P14" s="514"/>
      <c r="Q14" s="492">
        <v>9</v>
      </c>
      <c r="R14" s="494" t="s">
        <v>198</v>
      </c>
      <c r="S14" s="504">
        <v>17</v>
      </c>
      <c r="T14" s="505">
        <v>4</v>
      </c>
      <c r="U14" s="504">
        <v>15</v>
      </c>
      <c r="V14" s="505">
        <v>3</v>
      </c>
      <c r="W14" s="502">
        <v>17</v>
      </c>
      <c r="X14" s="518">
        <v>2</v>
      </c>
      <c r="Y14" s="504">
        <f t="shared" si="2"/>
        <v>49</v>
      </c>
      <c r="Z14" s="505">
        <f t="shared" si="3"/>
        <v>9</v>
      </c>
      <c r="AA14" s="502">
        <f t="shared" si="4"/>
        <v>58</v>
      </c>
      <c r="AB14" s="575"/>
      <c r="AD14" s="492"/>
      <c r="AE14" s="525"/>
      <c r="AF14" s="522" t="s">
        <v>198</v>
      </c>
      <c r="AG14" s="523"/>
      <c r="AH14" s="529"/>
      <c r="AI14" s="529"/>
      <c r="AJ14" s="540"/>
      <c r="AK14" s="502"/>
      <c r="AL14" s="518"/>
      <c r="AM14" s="521"/>
      <c r="AN14" s="502"/>
    </row>
    <row r="15" spans="1:40" s="15" customFormat="1" ht="12" customHeight="1" thickTop="1" thickBot="1">
      <c r="A15" s="996" t="s">
        <v>224</v>
      </c>
      <c r="B15" s="998"/>
      <c r="C15" s="495">
        <f>SUM(C6:C14)</f>
        <v>5636.66</v>
      </c>
      <c r="D15" s="496">
        <f>SUM(D6:D14)</f>
        <v>100</v>
      </c>
      <c r="E15" s="638">
        <f>SUM(E6:E14)</f>
        <v>2091</v>
      </c>
      <c r="F15" s="638">
        <f>SUM(F6:F14)</f>
        <v>2061.8000000000002</v>
      </c>
      <c r="G15" s="639">
        <f>SUM(G6:G14)</f>
        <v>4152.7999999999993</v>
      </c>
      <c r="H15" s="495"/>
      <c r="J15" s="996" t="s">
        <v>224</v>
      </c>
      <c r="K15" s="998"/>
      <c r="L15" s="501"/>
      <c r="M15" s="497">
        <f>SUM(M6:M14)</f>
        <v>57</v>
      </c>
      <c r="N15" s="497">
        <f>SUM(N6:N14)</f>
        <v>717</v>
      </c>
      <c r="O15" s="515"/>
      <c r="P15" s="515"/>
      <c r="Q15" s="996" t="s">
        <v>224</v>
      </c>
      <c r="R15" s="1012"/>
      <c r="S15" s="506">
        <f t="shared" ref="S15:X15" si="7">SUM(S6:S14)</f>
        <v>1446</v>
      </c>
      <c r="T15" s="507">
        <f t="shared" si="7"/>
        <v>174</v>
      </c>
      <c r="U15" s="506">
        <f t="shared" si="7"/>
        <v>1853</v>
      </c>
      <c r="V15" s="507">
        <f t="shared" si="7"/>
        <v>389</v>
      </c>
      <c r="W15" s="503">
        <f t="shared" si="7"/>
        <v>1396</v>
      </c>
      <c r="X15" s="534">
        <f t="shared" si="7"/>
        <v>328</v>
      </c>
      <c r="Y15" s="506">
        <f>SUM(Y6:Y14)</f>
        <v>4695</v>
      </c>
      <c r="Z15" s="507">
        <f>SUM(Z6:Z14)</f>
        <v>891</v>
      </c>
      <c r="AA15" s="503">
        <f>SUM(AA6:AA14)</f>
        <v>5586</v>
      </c>
      <c r="AD15" s="996"/>
      <c r="AE15" s="997"/>
      <c r="AF15" s="998"/>
      <c r="AG15" s="509"/>
      <c r="AH15" s="508"/>
      <c r="AI15" s="508"/>
      <c r="AJ15" s="536"/>
      <c r="AK15" s="503"/>
      <c r="AL15" s="534"/>
      <c r="AM15" s="538"/>
      <c r="AN15" s="503"/>
    </row>
    <row r="16" spans="1:40" ht="12" customHeight="1" thickTop="1">
      <c r="A16" s="999" t="s">
        <v>591</v>
      </c>
      <c r="B16" s="999"/>
      <c r="C16" s="999"/>
      <c r="D16" s="999"/>
      <c r="E16" s="234"/>
      <c r="F16" s="234"/>
      <c r="G16" s="234"/>
      <c r="H16" s="234"/>
      <c r="J16" s="999" t="s">
        <v>705</v>
      </c>
      <c r="K16" s="999"/>
      <c r="L16" s="999"/>
      <c r="M16" s="999"/>
      <c r="Q16" s="420" t="s">
        <v>460</v>
      </c>
      <c r="R16" s="420"/>
      <c r="S16" s="420"/>
      <c r="T16" s="420"/>
      <c r="AD16" s="999"/>
      <c r="AE16" s="999"/>
      <c r="AF16" s="999"/>
      <c r="AG16" s="999"/>
      <c r="AH16" s="999"/>
      <c r="AI16" s="999"/>
      <c r="AJ16" s="999"/>
      <c r="AK16" s="999"/>
      <c r="AL16" s="532"/>
      <c r="AM16" s="532"/>
    </row>
    <row r="17" spans="1:40" ht="12" customHeight="1">
      <c r="A17" s="106"/>
      <c r="B17" s="106"/>
      <c r="C17" s="288"/>
      <c r="D17" s="288"/>
      <c r="E17" s="288"/>
      <c r="F17" s="288"/>
      <c r="G17" s="288"/>
      <c r="H17" s="288"/>
    </row>
    <row r="18" spans="1:40" ht="12" customHeight="1">
      <c r="A18" s="40"/>
      <c r="B18" s="966" t="s">
        <v>457</v>
      </c>
      <c r="C18" s="966"/>
      <c r="D18" s="966"/>
      <c r="E18" s="966"/>
      <c r="F18" s="966"/>
      <c r="G18" s="966"/>
      <c r="H18" s="966"/>
      <c r="K18" s="966" t="s">
        <v>458</v>
      </c>
      <c r="L18" s="966"/>
      <c r="M18" s="966"/>
      <c r="N18" s="966"/>
      <c r="O18" s="517"/>
      <c r="P18" s="517"/>
      <c r="R18" s="966" t="s">
        <v>459</v>
      </c>
      <c r="S18" s="966"/>
      <c r="T18" s="966"/>
      <c r="U18" s="966"/>
      <c r="V18" s="966"/>
      <c r="W18" s="966"/>
      <c r="X18" s="966"/>
      <c r="Y18" s="966"/>
      <c r="Z18" s="966"/>
      <c r="AA18" s="966"/>
      <c r="AF18" s="966" t="s">
        <v>474</v>
      </c>
      <c r="AG18" s="966"/>
      <c r="AH18" s="966"/>
      <c r="AI18" s="966"/>
      <c r="AJ18" s="966"/>
      <c r="AK18" s="966"/>
      <c r="AL18" s="966"/>
      <c r="AM18" s="966"/>
      <c r="AN18" s="966"/>
    </row>
    <row r="19" spans="1:40" ht="9.9499999999999993" customHeight="1"/>
    <row r="21" spans="1:40">
      <c r="A21" s="106"/>
      <c r="B21" s="106"/>
      <c r="C21" s="288"/>
      <c r="D21" s="288"/>
      <c r="E21" s="288"/>
      <c r="F21" s="288"/>
      <c r="G21" s="288"/>
      <c r="H21" s="643"/>
    </row>
    <row r="22" spans="1:40">
      <c r="A22" s="40"/>
      <c r="B22" s="24"/>
      <c r="C22" s="288"/>
      <c r="D22" s="24"/>
      <c r="E22" s="288"/>
      <c r="F22" s="288"/>
      <c r="G22" s="288"/>
      <c r="H22" s="644"/>
    </row>
    <row r="23" spans="1:40">
      <c r="E23" s="288"/>
      <c r="F23" s="288"/>
      <c r="G23" s="288"/>
    </row>
    <row r="24" spans="1:40">
      <c r="E24" s="288"/>
      <c r="F24" s="288"/>
      <c r="G24" s="288"/>
    </row>
    <row r="25" spans="1:40">
      <c r="E25" s="288"/>
      <c r="F25" s="288"/>
      <c r="G25" s="288"/>
    </row>
    <row r="26" spans="1:40">
      <c r="E26" s="288"/>
      <c r="F26" s="288"/>
      <c r="G26" s="288"/>
    </row>
    <row r="27" spans="1:40">
      <c r="E27" s="288"/>
      <c r="F27" s="288"/>
      <c r="G27" s="288"/>
    </row>
    <row r="28" spans="1:40">
      <c r="E28" s="288"/>
      <c r="F28" s="288"/>
      <c r="G28" s="288"/>
    </row>
    <row r="29" spans="1:40">
      <c r="E29" s="288"/>
      <c r="F29" s="288"/>
      <c r="G29" s="288"/>
    </row>
    <row r="30" spans="1:40">
      <c r="E30" s="642"/>
      <c r="F30" s="642"/>
      <c r="G30" s="288"/>
    </row>
  </sheetData>
  <mergeCells count="43">
    <mergeCell ref="Y4:Z4"/>
    <mergeCell ref="R18:AA18"/>
    <mergeCell ref="A1:H1"/>
    <mergeCell ref="A2:H2"/>
    <mergeCell ref="A4:A5"/>
    <mergeCell ref="B4:B5"/>
    <mergeCell ref="A16:D16"/>
    <mergeCell ref="K18:N18"/>
    <mergeCell ref="J16:M16"/>
    <mergeCell ref="W4:X4"/>
    <mergeCell ref="J15:K15"/>
    <mergeCell ref="Q15:R15"/>
    <mergeCell ref="U4:V4"/>
    <mergeCell ref="S4:T4"/>
    <mergeCell ref="R4:R5"/>
    <mergeCell ref="Q4:Q5"/>
    <mergeCell ref="D4:D5"/>
    <mergeCell ref="E4:G4"/>
    <mergeCell ref="A15:B15"/>
    <mergeCell ref="B18:H18"/>
    <mergeCell ref="J2:N2"/>
    <mergeCell ref="J1:N1"/>
    <mergeCell ref="J4:J5"/>
    <mergeCell ref="K4:K5"/>
    <mergeCell ref="M4:M5"/>
    <mergeCell ref="N4:N5"/>
    <mergeCell ref="L4:L5"/>
    <mergeCell ref="AA4:AA5"/>
    <mergeCell ref="Q1:AA1"/>
    <mergeCell ref="Q2:AA2"/>
    <mergeCell ref="AF18:AN18"/>
    <mergeCell ref="AE6:AG6"/>
    <mergeCell ref="AE9:AG9"/>
    <mergeCell ref="AL4:AN4"/>
    <mergeCell ref="AL5:AN5"/>
    <mergeCell ref="AE4:AG5"/>
    <mergeCell ref="AI4:AK4"/>
    <mergeCell ref="AI5:AK5"/>
    <mergeCell ref="AD1:AN1"/>
    <mergeCell ref="AD2:AN2"/>
    <mergeCell ref="AD4:AD5"/>
    <mergeCell ref="AD15:AF15"/>
    <mergeCell ref="AD16:AK16"/>
  </mergeCells>
  <pageMargins left="0.7" right="0.7" top="0.75" bottom="0.75" header="0.3" footer="0.3"/>
  <pageSetup paperSize="5" orientation="portrait" r:id="rId1"/>
  <colBreaks count="3" manualBreakCount="3">
    <brk id="9" max="1048575" man="1"/>
    <brk id="16" max="1048575" man="1"/>
    <brk id="2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76"/>
  <sheetViews>
    <sheetView view="pageBreakPreview" topLeftCell="A766" zoomScale="150" zoomScaleSheetLayoutView="150" workbookViewId="0">
      <selection activeCell="A618" sqref="A618:H629"/>
    </sheetView>
  </sheetViews>
  <sheetFormatPr defaultRowHeight="15"/>
  <cols>
    <col min="1" max="1" width="2.28515625" style="44" customWidth="1"/>
    <col min="2" max="2" width="14.85546875" style="44" customWidth="1"/>
    <col min="3" max="3" width="7.5703125" style="44" customWidth="1"/>
    <col min="4" max="4" width="7.85546875" style="44" customWidth="1"/>
    <col min="5" max="5" width="7.7109375" style="44" customWidth="1"/>
    <col min="6" max="6" width="7.5703125" style="44" customWidth="1"/>
    <col min="7" max="7" width="7.7109375" style="44" customWidth="1"/>
    <col min="8" max="8" width="5.85546875" style="44" customWidth="1"/>
    <col min="9" max="9" width="9.140625" style="44"/>
    <col min="10" max="10" width="9.28515625" style="44" bestFit="1" customWidth="1"/>
    <col min="11" max="11" width="9.140625" style="44"/>
    <col min="12" max="12" width="1.5703125" style="44" customWidth="1"/>
    <col min="13" max="13" width="2.7109375" style="44" customWidth="1"/>
    <col min="14" max="14" width="9.7109375" style="44" customWidth="1"/>
    <col min="15" max="15" width="10.5703125" style="44" customWidth="1"/>
    <col min="16" max="16" width="10.42578125" style="44" customWidth="1"/>
    <col min="17" max="17" width="10.7109375" style="44" customWidth="1"/>
    <col min="18" max="18" width="10" style="44" customWidth="1"/>
    <col min="19" max="19" width="10.5703125" style="44" customWidth="1"/>
    <col min="20" max="20" width="7.42578125" style="44" customWidth="1"/>
    <col min="21" max="21" width="7" style="44" customWidth="1"/>
    <col min="22" max="22" width="2.28515625" style="44" customWidth="1"/>
    <col min="23" max="23" width="14.85546875" style="44" customWidth="1"/>
    <col min="24" max="24" width="12.85546875" style="44" customWidth="1"/>
    <col min="25" max="25" width="14" style="44" customWidth="1"/>
    <col min="26" max="26" width="14.5703125" style="44" customWidth="1"/>
    <col min="27" max="27" width="1.85546875" style="44" customWidth="1"/>
    <col min="28" max="28" width="2.42578125" style="44" customWidth="1"/>
    <col min="29" max="29" width="7.85546875" style="44" customWidth="1"/>
    <col min="30" max="30" width="6.28515625" style="44" customWidth="1"/>
    <col min="31" max="31" width="6" style="44" customWidth="1"/>
    <col min="32" max="32" width="6.140625" style="44" customWidth="1"/>
    <col min="33" max="33" width="6.42578125" style="44" customWidth="1"/>
    <col min="34" max="34" width="6" style="44" customWidth="1"/>
    <col min="35" max="35" width="6.42578125" style="44" customWidth="1"/>
    <col min="36" max="36" width="6.28515625" style="44" customWidth="1"/>
    <col min="37" max="16384" width="9.140625" style="44"/>
  </cols>
  <sheetData>
    <row r="1" spans="1:36" ht="11.1" customHeight="1">
      <c r="A1" s="968" t="s">
        <v>706</v>
      </c>
      <c r="B1" s="968"/>
      <c r="C1" s="968"/>
      <c r="D1" s="968"/>
      <c r="E1" s="968"/>
      <c r="F1" s="968"/>
      <c r="G1" s="968"/>
      <c r="H1" s="968"/>
      <c r="M1" s="1075" t="s">
        <v>488</v>
      </c>
      <c r="N1" s="1075"/>
      <c r="O1" s="1075"/>
      <c r="P1" s="1075"/>
      <c r="Q1" s="1075"/>
      <c r="R1" s="1075"/>
      <c r="S1" s="1075"/>
      <c r="T1" s="1075"/>
      <c r="V1" s="968" t="s">
        <v>709</v>
      </c>
      <c r="W1" s="968"/>
      <c r="X1" s="968"/>
      <c r="Y1" s="968"/>
      <c r="Z1" s="968"/>
      <c r="AA1" s="681"/>
      <c r="AB1" s="1023" t="s">
        <v>576</v>
      </c>
      <c r="AC1" s="1023"/>
      <c r="AD1" s="1023"/>
      <c r="AE1" s="1023"/>
      <c r="AF1" s="1023"/>
      <c r="AG1" s="1023"/>
      <c r="AH1" s="1023"/>
      <c r="AI1" s="1023"/>
      <c r="AJ1" s="1023"/>
    </row>
    <row r="2" spans="1:36" ht="11.1" customHeight="1">
      <c r="A2" s="968"/>
      <c r="B2" s="968"/>
      <c r="C2" s="968"/>
      <c r="D2" s="968"/>
      <c r="E2" s="968"/>
      <c r="F2" s="968"/>
      <c r="G2" s="968"/>
      <c r="H2" s="968"/>
      <c r="M2" s="1075" t="s">
        <v>710</v>
      </c>
      <c r="N2" s="1075"/>
      <c r="O2" s="1075"/>
      <c r="P2" s="1075"/>
      <c r="Q2" s="1075"/>
      <c r="R2" s="1075"/>
      <c r="S2" s="1075"/>
      <c r="T2" s="1075"/>
      <c r="V2" s="968"/>
      <c r="W2" s="968"/>
      <c r="X2" s="968"/>
      <c r="Y2" s="968"/>
      <c r="Z2" s="968"/>
      <c r="AA2" s="681"/>
      <c r="AB2" s="1024" t="s">
        <v>736</v>
      </c>
      <c r="AC2" s="1024"/>
      <c r="AD2" s="1024"/>
      <c r="AE2" s="1024"/>
      <c r="AF2" s="1024"/>
      <c r="AG2" s="1024"/>
      <c r="AH2" s="1024"/>
      <c r="AI2" s="1024"/>
      <c r="AJ2" s="1024"/>
    </row>
    <row r="3" spans="1:36" ht="8.25" customHeight="1">
      <c r="A3" s="26"/>
      <c r="B3" s="26"/>
      <c r="C3" s="26"/>
      <c r="D3" s="26"/>
      <c r="E3" s="26"/>
      <c r="F3" s="26"/>
      <c r="G3" s="26"/>
      <c r="H3" s="26"/>
      <c r="M3" s="45"/>
      <c r="N3" s="45"/>
      <c r="O3" s="45"/>
      <c r="P3" s="45"/>
      <c r="Q3" s="45"/>
      <c r="S3" s="1177" t="s">
        <v>583</v>
      </c>
      <c r="T3" s="1177"/>
      <c r="AA3" s="576"/>
      <c r="AB3" s="276"/>
      <c r="AC3" s="276"/>
      <c r="AD3" s="276"/>
      <c r="AE3" s="276"/>
      <c r="AF3" s="276"/>
      <c r="AG3" s="276"/>
      <c r="AH3" s="276"/>
      <c r="AJ3" s="280" t="s">
        <v>575</v>
      </c>
    </row>
    <row r="4" spans="1:36" ht="11.1" customHeight="1">
      <c r="A4" s="1024" t="s">
        <v>485</v>
      </c>
      <c r="B4" s="1024"/>
      <c r="C4" s="1024"/>
      <c r="D4" s="1024"/>
      <c r="E4" s="1024"/>
      <c r="F4" s="1024"/>
      <c r="G4" s="1024"/>
      <c r="H4" s="1024"/>
      <c r="M4" s="1076" t="s">
        <v>212</v>
      </c>
      <c r="N4" s="1076" t="s">
        <v>223</v>
      </c>
      <c r="O4" s="1076" t="s">
        <v>214</v>
      </c>
      <c r="P4" s="1076"/>
      <c r="Q4" s="1076"/>
      <c r="R4" s="1076"/>
      <c r="S4" s="1076"/>
      <c r="T4" s="1076" t="s">
        <v>126</v>
      </c>
      <c r="V4" s="1025" t="s">
        <v>609</v>
      </c>
      <c r="W4" s="1025"/>
      <c r="X4" s="1025"/>
      <c r="Y4" s="1025"/>
      <c r="Z4" s="1025"/>
      <c r="AA4" s="682"/>
      <c r="AB4" s="1054" t="s">
        <v>212</v>
      </c>
      <c r="AC4" s="596" t="s">
        <v>567</v>
      </c>
      <c r="AD4" s="1020" t="s">
        <v>569</v>
      </c>
      <c r="AE4" s="1021"/>
      <c r="AF4" s="1021"/>
      <c r="AG4" s="1021"/>
      <c r="AH4" s="1021"/>
      <c r="AI4" s="1022"/>
      <c r="AJ4" s="666" t="s">
        <v>224</v>
      </c>
    </row>
    <row r="5" spans="1:36" ht="11.1" customHeight="1" thickBot="1">
      <c r="A5" s="1024" t="s">
        <v>707</v>
      </c>
      <c r="B5" s="1024"/>
      <c r="C5" s="1024"/>
      <c r="D5" s="1024"/>
      <c r="E5" s="1024"/>
      <c r="F5" s="1024"/>
      <c r="G5" s="1024"/>
      <c r="H5" s="1024"/>
      <c r="M5" s="1077"/>
      <c r="N5" s="1077"/>
      <c r="O5" s="441">
        <v>2011</v>
      </c>
      <c r="P5" s="441">
        <v>2012</v>
      </c>
      <c r="Q5" s="441">
        <v>2013</v>
      </c>
      <c r="R5" s="441">
        <v>2014</v>
      </c>
      <c r="S5" s="64">
        <v>2015</v>
      </c>
      <c r="T5" s="1077"/>
      <c r="V5" s="1046" t="s">
        <v>703</v>
      </c>
      <c r="W5" s="1046"/>
      <c r="X5" s="1046"/>
      <c r="Y5" s="1046"/>
      <c r="Z5" s="1046"/>
      <c r="AA5" s="683"/>
      <c r="AB5" s="1055"/>
      <c r="AC5" s="597" t="s">
        <v>568</v>
      </c>
      <c r="AD5" s="588" t="s">
        <v>570</v>
      </c>
      <c r="AE5" s="588" t="s">
        <v>571</v>
      </c>
      <c r="AF5" s="588" t="s">
        <v>572</v>
      </c>
      <c r="AG5" s="774" t="s">
        <v>354</v>
      </c>
      <c r="AH5" s="588" t="s">
        <v>573</v>
      </c>
      <c r="AI5" s="598" t="s">
        <v>549</v>
      </c>
      <c r="AJ5" s="667"/>
    </row>
    <row r="6" spans="1:36" ht="11.1" customHeight="1" thickTop="1">
      <c r="A6" s="40"/>
      <c r="B6" s="40"/>
      <c r="C6" s="40"/>
      <c r="D6" s="40"/>
      <c r="E6" s="40"/>
      <c r="F6" s="1089" t="s">
        <v>211</v>
      </c>
      <c r="G6" s="1089"/>
      <c r="H6" s="1089"/>
      <c r="M6" s="56">
        <v>1</v>
      </c>
      <c r="N6" s="46" t="s">
        <v>121</v>
      </c>
      <c r="O6" s="47">
        <v>898019859.70000005</v>
      </c>
      <c r="P6" s="47">
        <v>640312860</v>
      </c>
      <c r="Q6" s="47">
        <v>986773650</v>
      </c>
      <c r="R6" s="661">
        <v>1182635730</v>
      </c>
      <c r="S6" s="661">
        <f>S37+S66</f>
        <v>792448578.10000002</v>
      </c>
      <c r="T6" s="67">
        <v>11.652198067192639</v>
      </c>
      <c r="V6" s="86"/>
      <c r="W6" s="86"/>
      <c r="X6" s="86"/>
      <c r="Y6" s="86"/>
      <c r="Z6" s="553" t="s">
        <v>497</v>
      </c>
      <c r="AA6" s="684"/>
      <c r="AB6" s="277">
        <v>1</v>
      </c>
      <c r="AC6" s="282" t="s">
        <v>121</v>
      </c>
      <c r="AD6" s="622">
        <v>1.5</v>
      </c>
      <c r="AE6" s="622">
        <v>0</v>
      </c>
      <c r="AF6" s="622">
        <v>0.45</v>
      </c>
      <c r="AG6" s="623">
        <v>0</v>
      </c>
      <c r="AH6" s="622">
        <v>0</v>
      </c>
      <c r="AI6" s="624">
        <v>0.15</v>
      </c>
      <c r="AJ6" s="35">
        <f>SUM(AD6:AI6)</f>
        <v>2.1</v>
      </c>
    </row>
    <row r="7" spans="1:36" ht="11.1" customHeight="1">
      <c r="A7" s="1054" t="s">
        <v>212</v>
      </c>
      <c r="B7" s="1043" t="s">
        <v>213</v>
      </c>
      <c r="C7" s="1083" t="s">
        <v>214</v>
      </c>
      <c r="D7" s="1084"/>
      <c r="E7" s="1084"/>
      <c r="F7" s="1084"/>
      <c r="G7" s="1085"/>
      <c r="H7" s="1043" t="s">
        <v>126</v>
      </c>
      <c r="M7" s="57">
        <v>2</v>
      </c>
      <c r="N7" s="49" t="s">
        <v>122</v>
      </c>
      <c r="O7" s="50">
        <v>91012480</v>
      </c>
      <c r="P7" s="50">
        <v>116132820</v>
      </c>
      <c r="Q7" s="50">
        <v>128953515</v>
      </c>
      <c r="R7" s="662">
        <v>120962927.5</v>
      </c>
      <c r="S7" s="662">
        <f>S38+S67</f>
        <v>110468396.3</v>
      </c>
      <c r="T7" s="68">
        <v>22.361919681098055</v>
      </c>
      <c r="V7" s="1026" t="s">
        <v>212</v>
      </c>
      <c r="W7" s="1028" t="s">
        <v>223</v>
      </c>
      <c r="X7" s="1178" t="s">
        <v>494</v>
      </c>
      <c r="Y7" s="1043" t="s">
        <v>495</v>
      </c>
      <c r="Z7" s="1043" t="s">
        <v>496</v>
      </c>
      <c r="AA7" s="602"/>
      <c r="AB7" s="278">
        <v>2</v>
      </c>
      <c r="AC7" s="283" t="s">
        <v>122</v>
      </c>
      <c r="AD7" s="624">
        <v>0.6</v>
      </c>
      <c r="AE7" s="624">
        <v>2.65</v>
      </c>
      <c r="AF7" s="624">
        <v>0</v>
      </c>
      <c r="AG7" s="625">
        <v>0</v>
      </c>
      <c r="AH7" s="624">
        <v>0</v>
      </c>
      <c r="AI7" s="624">
        <v>3.7</v>
      </c>
      <c r="AJ7" s="35">
        <f>SUM(AD7:AI7)</f>
        <v>6.95</v>
      </c>
    </row>
    <row r="8" spans="1:36" ht="11.1" customHeight="1" thickBot="1">
      <c r="A8" s="1055"/>
      <c r="B8" s="1044"/>
      <c r="C8" s="62">
        <v>2011</v>
      </c>
      <c r="D8" s="62">
        <v>2012</v>
      </c>
      <c r="E8" s="62">
        <v>2013</v>
      </c>
      <c r="F8" s="62">
        <v>2014</v>
      </c>
      <c r="G8" s="62">
        <v>2015</v>
      </c>
      <c r="H8" s="1044"/>
      <c r="M8" s="57">
        <v>3</v>
      </c>
      <c r="N8" s="49" t="s">
        <v>184</v>
      </c>
      <c r="O8" s="50">
        <v>64361100</v>
      </c>
      <c r="P8" s="50">
        <v>77656500</v>
      </c>
      <c r="Q8" s="50">
        <v>83606750</v>
      </c>
      <c r="R8" s="662">
        <v>100746600</v>
      </c>
      <c r="S8" s="662">
        <f>S39+S68</f>
        <v>76160987</v>
      </c>
      <c r="T8" s="68">
        <v>27.816450440767802</v>
      </c>
      <c r="V8" s="1027"/>
      <c r="W8" s="1029"/>
      <c r="X8" s="1179"/>
      <c r="Y8" s="1044"/>
      <c r="Z8" s="1044"/>
      <c r="AA8" s="602"/>
      <c r="AB8" s="278">
        <v>3</v>
      </c>
      <c r="AC8" s="283" t="s">
        <v>184</v>
      </c>
      <c r="AD8" s="624">
        <v>11.4</v>
      </c>
      <c r="AE8" s="624">
        <v>0.6</v>
      </c>
      <c r="AF8" s="624">
        <v>0</v>
      </c>
      <c r="AG8" s="625">
        <v>0</v>
      </c>
      <c r="AH8" s="624">
        <v>0.5</v>
      </c>
      <c r="AI8" s="624">
        <v>1.1000000000000001</v>
      </c>
      <c r="AJ8" s="35">
        <f>SUM(AD8:AI8)</f>
        <v>13.6</v>
      </c>
    </row>
    <row r="9" spans="1:36" ht="11.1" customHeight="1" thickTop="1">
      <c r="A9" s="676">
        <v>1</v>
      </c>
      <c r="B9" s="677" t="s">
        <v>594</v>
      </c>
      <c r="C9" s="437">
        <f>SUM(C10:C11)</f>
        <v>3957.6</v>
      </c>
      <c r="D9" s="437">
        <f>SUM(D10:D11)</f>
        <v>4007.2</v>
      </c>
      <c r="E9" s="437">
        <f>SUM(E10:E11)</f>
        <v>4056.3</v>
      </c>
      <c r="F9" s="437">
        <f>SUM(F10:F11)</f>
        <v>4104.8999999999996</v>
      </c>
      <c r="G9" s="437">
        <f>SUM(G10:G11)</f>
        <v>4152.8</v>
      </c>
      <c r="H9" s="37">
        <f t="shared" ref="H9:H17" si="0">((D9-C9)/C9*100+(E9-D9)/D9*100+(F9-E9)/E9*100+(G9-F9)/F9*100)/4</f>
        <v>1.2109034047398342</v>
      </c>
      <c r="M9" s="57">
        <v>4</v>
      </c>
      <c r="N9" s="49" t="s">
        <v>120</v>
      </c>
      <c r="O9" s="50">
        <v>152441974</v>
      </c>
      <c r="P9" s="50">
        <v>110718040</v>
      </c>
      <c r="Q9" s="50">
        <v>151960769</v>
      </c>
      <c r="R9" s="662">
        <v>294952616.89999998</v>
      </c>
      <c r="S9" s="662">
        <f t="shared" ref="S9:S14" si="1">S40+S69</f>
        <v>186035956.69999999</v>
      </c>
      <c r="T9" s="68">
        <v>3.36</v>
      </c>
      <c r="V9" s="57">
        <v>1</v>
      </c>
      <c r="W9" s="49" t="s">
        <v>121</v>
      </c>
      <c r="X9" s="551">
        <v>641</v>
      </c>
      <c r="Y9" s="552">
        <f>43.02+68.83</f>
        <v>111.85</v>
      </c>
      <c r="Z9" s="627">
        <v>452</v>
      </c>
      <c r="AA9" s="817"/>
      <c r="AB9" s="816">
        <v>4</v>
      </c>
      <c r="AC9" s="283" t="s">
        <v>125</v>
      </c>
      <c r="AD9" s="624">
        <v>10.98</v>
      </c>
      <c r="AE9" s="624">
        <v>0</v>
      </c>
      <c r="AF9" s="624">
        <v>0</v>
      </c>
      <c r="AG9" s="625">
        <v>5.08</v>
      </c>
      <c r="AH9" s="624">
        <v>0</v>
      </c>
      <c r="AI9" s="624">
        <v>2.3199999999999998</v>
      </c>
      <c r="AJ9" s="35">
        <f>SUM(AD9:AI9)</f>
        <v>18.380000000000003</v>
      </c>
    </row>
    <row r="10" spans="1:36" ht="11.1" customHeight="1" thickBot="1">
      <c r="A10" s="326" t="s">
        <v>623</v>
      </c>
      <c r="B10" s="586" t="s">
        <v>592</v>
      </c>
      <c r="C10" s="674">
        <v>1991.8</v>
      </c>
      <c r="D10" s="114">
        <v>2017</v>
      </c>
      <c r="E10" s="675">
        <v>2042</v>
      </c>
      <c r="F10" s="675">
        <v>2066.6999999999998</v>
      </c>
      <c r="G10" s="675">
        <v>2091</v>
      </c>
      <c r="H10" s="144">
        <f>(((D10-C10)/C10*100)+((E10-D10)/D10*100)+((F10-E10)/E10*100)+((G10-F10)/F10*100))/4</f>
        <v>1.2225094348298278</v>
      </c>
      <c r="M10" s="57">
        <v>5</v>
      </c>
      <c r="N10" s="49" t="s">
        <v>125</v>
      </c>
      <c r="O10" s="50">
        <v>277883836</v>
      </c>
      <c r="P10" s="50">
        <v>289828400</v>
      </c>
      <c r="Q10" s="50">
        <v>366806190</v>
      </c>
      <c r="R10" s="662">
        <v>487345440</v>
      </c>
      <c r="S10" s="662">
        <f t="shared" si="1"/>
        <v>434133653.60000002</v>
      </c>
      <c r="T10" s="68">
        <v>21.15</v>
      </c>
      <c r="V10" s="57">
        <v>2</v>
      </c>
      <c r="W10" s="49" t="s">
        <v>122</v>
      </c>
      <c r="X10" s="551">
        <v>753.5</v>
      </c>
      <c r="Y10" s="552">
        <f>109.8+219.6+164.7</f>
        <v>494.09999999999997</v>
      </c>
      <c r="Z10" s="627">
        <v>500.8</v>
      </c>
      <c r="AA10" s="817"/>
      <c r="AB10" s="816">
        <v>5</v>
      </c>
      <c r="AC10" s="283" t="s">
        <v>124</v>
      </c>
      <c r="AD10" s="624">
        <v>14</v>
      </c>
      <c r="AE10" s="624">
        <v>0</v>
      </c>
      <c r="AF10" s="624">
        <v>0</v>
      </c>
      <c r="AG10" s="625">
        <v>0</v>
      </c>
      <c r="AH10" s="624">
        <v>0</v>
      </c>
      <c r="AI10" s="624">
        <v>6</v>
      </c>
      <c r="AJ10" s="35">
        <f>SUM(AD10:AI10)</f>
        <v>20</v>
      </c>
    </row>
    <row r="11" spans="1:36" ht="11.1" customHeight="1" thickTop="1" thickBot="1">
      <c r="A11" s="31" t="s">
        <v>624</v>
      </c>
      <c r="B11" s="32" t="s">
        <v>593</v>
      </c>
      <c r="C11" s="640">
        <v>1965.8</v>
      </c>
      <c r="D11" s="102">
        <v>1990.2</v>
      </c>
      <c r="E11" s="641">
        <v>2014.3</v>
      </c>
      <c r="F11" s="641">
        <v>2038.2</v>
      </c>
      <c r="G11" s="641">
        <v>2061.8000000000002</v>
      </c>
      <c r="H11" s="35">
        <f>(((D11-C11)/C11*100)+((E11-D11)/D11*100)+((F11-E11)/E11*100)+((G11-F11)/F11*100))/4</f>
        <v>1.1991398341494079</v>
      </c>
      <c r="M11" s="57">
        <v>6</v>
      </c>
      <c r="N11" s="49" t="s">
        <v>124</v>
      </c>
      <c r="O11" s="50">
        <v>177972590</v>
      </c>
      <c r="P11" s="50">
        <v>208705275</v>
      </c>
      <c r="Q11" s="50">
        <v>274133220</v>
      </c>
      <c r="R11" s="662">
        <v>318965720</v>
      </c>
      <c r="S11" s="662">
        <f t="shared" si="1"/>
        <v>312713682.69999999</v>
      </c>
      <c r="T11" s="68">
        <v>19.579999999999998</v>
      </c>
      <c r="V11" s="57">
        <v>3</v>
      </c>
      <c r="W11" s="49" t="s">
        <v>184</v>
      </c>
      <c r="X11" s="551">
        <v>9.75</v>
      </c>
      <c r="Y11" s="552">
        <v>0</v>
      </c>
      <c r="Z11" s="627">
        <v>0</v>
      </c>
      <c r="AA11" s="817"/>
      <c r="AB11" s="1168" t="s">
        <v>355</v>
      </c>
      <c r="AC11" s="1125"/>
      <c r="AD11" s="626">
        <f t="shared" ref="AD11:AJ11" si="2">SUM(AD6:AD10)</f>
        <v>38.480000000000004</v>
      </c>
      <c r="AE11" s="626">
        <f t="shared" si="2"/>
        <v>3.25</v>
      </c>
      <c r="AF11" s="626">
        <f t="shared" si="2"/>
        <v>0.45</v>
      </c>
      <c r="AG11" s="626">
        <f t="shared" si="2"/>
        <v>5.08</v>
      </c>
      <c r="AH11" s="626">
        <f t="shared" si="2"/>
        <v>0.5</v>
      </c>
      <c r="AI11" s="626">
        <f t="shared" si="2"/>
        <v>13.27</v>
      </c>
      <c r="AJ11" s="626">
        <f t="shared" si="2"/>
        <v>61.03</v>
      </c>
    </row>
    <row r="12" spans="1:36" ht="11.1" customHeight="1" thickTop="1">
      <c r="A12" s="676">
        <v>2</v>
      </c>
      <c r="B12" s="677" t="s">
        <v>217</v>
      </c>
      <c r="C12" s="36">
        <f>SUM(C13:C14)</f>
        <v>34844</v>
      </c>
      <c r="D12" s="36">
        <f>SUM(D13:D14)</f>
        <v>33559</v>
      </c>
      <c r="E12" s="36">
        <f>SUM(E13:E14)</f>
        <v>31948</v>
      </c>
      <c r="F12" s="36">
        <f>SUM(F13:F14)</f>
        <v>30330</v>
      </c>
      <c r="G12" s="36">
        <f>SUM(G13:G14)</f>
        <v>30235</v>
      </c>
      <c r="H12" s="37">
        <f t="shared" si="0"/>
        <v>-3.4665168850665009</v>
      </c>
      <c r="M12" s="57">
        <v>7</v>
      </c>
      <c r="N12" s="49" t="s">
        <v>123</v>
      </c>
      <c r="O12" s="50">
        <v>236938005</v>
      </c>
      <c r="P12" s="50">
        <v>105981350</v>
      </c>
      <c r="Q12" s="50">
        <v>136705825</v>
      </c>
      <c r="R12" s="662">
        <v>159257915</v>
      </c>
      <c r="S12" s="662">
        <f t="shared" si="1"/>
        <v>151019824.09999999</v>
      </c>
      <c r="T12" s="68">
        <v>14.43</v>
      </c>
      <c r="V12" s="57">
        <v>4</v>
      </c>
      <c r="W12" s="49" t="s">
        <v>120</v>
      </c>
      <c r="X12" s="551">
        <v>968.5</v>
      </c>
      <c r="Y12" s="552">
        <f>66.78+66.78+89.04+22.26</f>
        <v>244.86</v>
      </c>
      <c r="Z12" s="627">
        <v>127</v>
      </c>
      <c r="AA12" s="680"/>
      <c r="AB12" s="276"/>
      <c r="AC12" s="276"/>
      <c r="AD12" s="276"/>
      <c r="AE12" s="276"/>
      <c r="AF12" s="276"/>
      <c r="AG12" s="592"/>
      <c r="AH12" s="276"/>
      <c r="AI12" s="281"/>
    </row>
    <row r="13" spans="1:36" ht="11.1" customHeight="1">
      <c r="A13" s="31" t="s">
        <v>623</v>
      </c>
      <c r="B13" s="32" t="s">
        <v>215</v>
      </c>
      <c r="C13" s="33">
        <v>20964</v>
      </c>
      <c r="D13" s="33">
        <v>19452</v>
      </c>
      <c r="E13" s="33">
        <f>E192</f>
        <v>19421</v>
      </c>
      <c r="F13" s="38">
        <f>F192</f>
        <v>19451</v>
      </c>
      <c r="G13" s="38">
        <f>G192</f>
        <v>20491</v>
      </c>
      <c r="H13" s="35">
        <f>((D13-C13)/C13*100+(E13-D13)/D13*100+(F13-E13)/E13*100+(G13-F13)/F13*100)/4</f>
        <v>-0.46762248294144992</v>
      </c>
      <c r="M13" s="57">
        <v>8</v>
      </c>
      <c r="N13" s="49" t="s">
        <v>195</v>
      </c>
      <c r="O13" s="50">
        <v>82772600</v>
      </c>
      <c r="P13" s="50">
        <v>99485700</v>
      </c>
      <c r="Q13" s="50">
        <v>79058000</v>
      </c>
      <c r="R13" s="662">
        <v>82070840</v>
      </c>
      <c r="S13" s="662">
        <f t="shared" si="1"/>
        <v>41261662.899999999</v>
      </c>
      <c r="T13" s="68">
        <v>46.68</v>
      </c>
      <c r="V13" s="57">
        <v>5</v>
      </c>
      <c r="W13" s="49" t="s">
        <v>125</v>
      </c>
      <c r="X13" s="551">
        <v>1291.4000000000001</v>
      </c>
      <c r="Y13" s="552">
        <f>56.4+225.52+394.64+169.12</f>
        <v>845.68</v>
      </c>
      <c r="Z13" s="627">
        <v>51.7</v>
      </c>
      <c r="AA13" s="680"/>
      <c r="AB13" s="40"/>
    </row>
    <row r="14" spans="1:36" ht="11.1" customHeight="1" thickBot="1">
      <c r="A14" s="31" t="s">
        <v>624</v>
      </c>
      <c r="B14" s="32" t="s">
        <v>216</v>
      </c>
      <c r="C14" s="33">
        <v>13880</v>
      </c>
      <c r="D14" s="33">
        <v>14107</v>
      </c>
      <c r="E14" s="38">
        <v>12527</v>
      </c>
      <c r="F14" s="38">
        <v>10879</v>
      </c>
      <c r="G14" s="38">
        <v>9744</v>
      </c>
      <c r="H14" s="35">
        <f>((D14-C14)/C14*100+(E14-D14)/D14*100+(F14-E14)/E14*100+(G14-F14)/F14*100)/4</f>
        <v>-8.2882987190285196</v>
      </c>
      <c r="M14" s="57">
        <v>9</v>
      </c>
      <c r="N14" s="49" t="s">
        <v>198</v>
      </c>
      <c r="O14" s="50">
        <v>36574894</v>
      </c>
      <c r="P14" s="50">
        <v>84430800</v>
      </c>
      <c r="Q14" s="50">
        <v>117133800</v>
      </c>
      <c r="R14" s="662">
        <v>155833600</v>
      </c>
      <c r="S14" s="662">
        <f t="shared" si="1"/>
        <v>163722179.59999999</v>
      </c>
      <c r="T14" s="68">
        <v>96.51</v>
      </c>
      <c r="V14" s="57">
        <v>6</v>
      </c>
      <c r="W14" s="49" t="s">
        <v>124</v>
      </c>
      <c r="X14" s="551">
        <v>0.5</v>
      </c>
      <c r="Y14" s="552">
        <f>71.49+101.32+144.77+14.48</f>
        <v>332.06000000000006</v>
      </c>
      <c r="Z14" s="627">
        <v>27</v>
      </c>
      <c r="AA14" s="680"/>
    </row>
    <row r="15" spans="1:36" ht="11.1" customHeight="1" thickTop="1" thickBot="1">
      <c r="A15" s="676">
        <v>3</v>
      </c>
      <c r="B15" s="677" t="s">
        <v>220</v>
      </c>
      <c r="C15" s="36">
        <f>SUM(C16:C17)</f>
        <v>55726</v>
      </c>
      <c r="D15" s="36">
        <f>SUM(D16:D17)</f>
        <v>55695</v>
      </c>
      <c r="E15" s="36">
        <f>SUM(E16:E17)</f>
        <v>59947</v>
      </c>
      <c r="F15" s="36">
        <f>SUM(F16:F17)</f>
        <v>60711</v>
      </c>
      <c r="G15" s="36">
        <f>SUM(G16:G17)</f>
        <v>57701</v>
      </c>
      <c r="H15" s="37">
        <f t="shared" si="0"/>
        <v>0.97383799212692668</v>
      </c>
      <c r="M15" s="1095" t="s">
        <v>224</v>
      </c>
      <c r="N15" s="1095"/>
      <c r="O15" s="70">
        <f>SUM(O6:O14)</f>
        <v>2017977338.7</v>
      </c>
      <c r="P15" s="70">
        <f>SUM(P6:P14)</f>
        <v>1733251745</v>
      </c>
      <c r="Q15" s="70">
        <f>SUM(Q6:Q14)</f>
        <v>2325131719</v>
      </c>
      <c r="R15" s="70">
        <f>SUM(R6:R14)</f>
        <v>2902771389.4000001</v>
      </c>
      <c r="S15" s="70">
        <f>SUM(S6:S14)</f>
        <v>2267964921</v>
      </c>
      <c r="T15" s="69">
        <v>12.953350596853896</v>
      </c>
      <c r="V15" s="57">
        <v>7</v>
      </c>
      <c r="W15" s="49" t="s">
        <v>123</v>
      </c>
      <c r="X15" s="551">
        <v>212</v>
      </c>
      <c r="Y15" s="552">
        <f>124.24+279.53+124.24</f>
        <v>528.01</v>
      </c>
      <c r="Z15" s="627">
        <v>157.5</v>
      </c>
      <c r="AA15" s="680"/>
    </row>
    <row r="16" spans="1:36" ht="11.1" customHeight="1" thickTop="1">
      <c r="A16" s="31" t="s">
        <v>623</v>
      </c>
      <c r="B16" s="32" t="s">
        <v>218</v>
      </c>
      <c r="C16" s="33">
        <v>40524</v>
      </c>
      <c r="D16" s="33">
        <v>40527</v>
      </c>
      <c r="E16" s="33">
        <f>E220</f>
        <v>39691</v>
      </c>
      <c r="F16" s="38">
        <f>F220</f>
        <v>40373</v>
      </c>
      <c r="G16" s="38">
        <f>G220</f>
        <v>39182</v>
      </c>
      <c r="H16" s="35">
        <f t="shared" si="0"/>
        <v>-0.82178424058490762</v>
      </c>
      <c r="M16" s="45"/>
      <c r="N16" s="45"/>
      <c r="O16" s="45"/>
      <c r="P16" s="45"/>
      <c r="Q16" s="45"/>
      <c r="R16" s="45"/>
      <c r="S16" s="45"/>
      <c r="T16" s="45"/>
      <c r="V16" s="57">
        <v>8</v>
      </c>
      <c r="W16" s="49" t="s">
        <v>195</v>
      </c>
      <c r="X16" s="685">
        <v>0</v>
      </c>
      <c r="Y16" s="686">
        <v>75</v>
      </c>
      <c r="Z16" s="627">
        <v>0</v>
      </c>
      <c r="AA16" s="680"/>
      <c r="AC16" s="966" t="s">
        <v>383</v>
      </c>
      <c r="AD16" s="966"/>
      <c r="AE16" s="966"/>
      <c r="AF16" s="966"/>
      <c r="AG16" s="966"/>
      <c r="AH16" s="966"/>
      <c r="AI16" s="966"/>
      <c r="AJ16" s="966"/>
    </row>
    <row r="17" spans="1:27" ht="11.1" customHeight="1" thickBot="1">
      <c r="A17" s="31" t="s">
        <v>624</v>
      </c>
      <c r="B17" s="32" t="s">
        <v>219</v>
      </c>
      <c r="C17" s="33">
        <v>15202</v>
      </c>
      <c r="D17" s="33">
        <v>15168</v>
      </c>
      <c r="E17" s="38">
        <v>20256</v>
      </c>
      <c r="F17" s="38">
        <v>20338</v>
      </c>
      <c r="G17" s="38">
        <v>18519</v>
      </c>
      <c r="H17" s="35">
        <f t="shared" si="0"/>
        <v>6.1954045969844822</v>
      </c>
      <c r="M17" s="966" t="s">
        <v>625</v>
      </c>
      <c r="N17" s="966"/>
      <c r="O17" s="966"/>
      <c r="P17" s="966"/>
      <c r="Q17" s="966"/>
      <c r="R17" s="966"/>
      <c r="S17" s="966"/>
      <c r="T17" s="966"/>
      <c r="V17" s="57">
        <v>9</v>
      </c>
      <c r="W17" s="49" t="s">
        <v>198</v>
      </c>
      <c r="X17" s="551">
        <v>0</v>
      </c>
      <c r="Y17" s="552">
        <v>0</v>
      </c>
      <c r="Z17" s="627">
        <v>0</v>
      </c>
      <c r="AA17" s="680"/>
    </row>
    <row r="18" spans="1:27" ht="13.5" customHeight="1" thickTop="1" thickBot="1">
      <c r="A18" s="645">
        <v>4</v>
      </c>
      <c r="B18" s="678" t="s">
        <v>221</v>
      </c>
      <c r="C18" s="646">
        <v>28.7</v>
      </c>
      <c r="D18" s="646">
        <v>29.71</v>
      </c>
      <c r="E18" s="646">
        <v>30.58</v>
      </c>
      <c r="F18" s="647">
        <v>31.17</v>
      </c>
      <c r="G18" s="647">
        <v>32.200000000000003</v>
      </c>
      <c r="H18" s="646">
        <f>((D18-C18)/C18*100+(E18-D18)/D18*100+(F18-E18)/E18*100+(G18-F18)/F18*100)/4</f>
        <v>2.9203239362382125</v>
      </c>
      <c r="M18" s="45"/>
      <c r="N18" s="427"/>
      <c r="O18" s="427"/>
      <c r="P18" s="427"/>
      <c r="Q18" s="427"/>
      <c r="R18" s="427"/>
      <c r="S18" s="427"/>
      <c r="T18" s="427"/>
      <c r="V18" s="1030" t="s">
        <v>224</v>
      </c>
      <c r="W18" s="1031"/>
      <c r="X18" s="548">
        <f>SUM(X9:X17)</f>
        <v>3876.65</v>
      </c>
      <c r="Y18" s="97">
        <f>SUM(Y9:Y17)</f>
        <v>2631.5599999999995</v>
      </c>
      <c r="Z18" s="549">
        <f>SUM(Z9:Z17)</f>
        <v>1316</v>
      </c>
      <c r="AA18" s="604"/>
    </row>
    <row r="19" spans="1:27" ht="11.1" customHeight="1" thickTop="1">
      <c r="A19" s="41" t="s">
        <v>708</v>
      </c>
      <c r="B19" s="39"/>
      <c r="C19" s="39"/>
      <c r="D19" s="39"/>
      <c r="E19" s="39"/>
      <c r="F19" s="39"/>
      <c r="G19" s="39" t="s">
        <v>588</v>
      </c>
      <c r="H19" s="39"/>
      <c r="M19" s="45"/>
      <c r="N19" s="427"/>
      <c r="O19" s="427"/>
      <c r="P19" s="427"/>
      <c r="Q19" s="427"/>
      <c r="R19" s="427"/>
      <c r="S19" s="427"/>
      <c r="T19" s="427"/>
      <c r="V19" s="86"/>
      <c r="W19" s="819" t="s">
        <v>747</v>
      </c>
      <c r="X19" s="86"/>
      <c r="Y19" s="86"/>
      <c r="Z19" s="86"/>
      <c r="AA19" s="86"/>
    </row>
    <row r="20" spans="1:27" ht="11.1" customHeight="1">
      <c r="A20" s="45"/>
      <c r="B20" s="966" t="s">
        <v>225</v>
      </c>
      <c r="C20" s="966"/>
      <c r="D20" s="966"/>
      <c r="E20" s="966"/>
      <c r="F20" s="966"/>
      <c r="G20" s="966"/>
      <c r="H20" s="966"/>
      <c r="M20" s="45"/>
      <c r="N20" s="427"/>
      <c r="O20" s="427"/>
      <c r="P20" s="427"/>
      <c r="Q20" s="427"/>
      <c r="R20" s="427"/>
      <c r="S20" s="427"/>
      <c r="T20" s="427"/>
      <c r="V20" s="40"/>
      <c r="W20" s="966" t="s">
        <v>412</v>
      </c>
      <c r="X20" s="966"/>
      <c r="Y20" s="966"/>
      <c r="Z20" s="966"/>
      <c r="AA20" s="665"/>
    </row>
    <row r="21" spans="1:27" ht="11.1" customHeight="1">
      <c r="A21" s="45"/>
      <c r="B21" s="423"/>
      <c r="C21" s="423"/>
      <c r="D21" s="423"/>
      <c r="E21" s="423"/>
      <c r="F21" s="423"/>
      <c r="G21" s="423"/>
      <c r="H21" s="423"/>
      <c r="M21" s="45"/>
      <c r="N21" s="427"/>
      <c r="O21" s="427"/>
      <c r="P21" s="427"/>
      <c r="Q21" s="427"/>
      <c r="R21" s="427"/>
      <c r="S21" s="427"/>
      <c r="T21" s="427"/>
    </row>
    <row r="22" spans="1:27" ht="11.1" customHeight="1">
      <c r="A22" s="45"/>
      <c r="B22" s="423"/>
      <c r="C22" s="423"/>
      <c r="D22" s="423"/>
      <c r="E22" s="423"/>
      <c r="F22" s="423"/>
      <c r="G22" s="423"/>
      <c r="H22" s="423"/>
      <c r="M22" s="45"/>
      <c r="N22" s="427"/>
      <c r="O22" s="427"/>
      <c r="P22" s="427"/>
      <c r="Q22" s="427"/>
      <c r="R22" s="427"/>
      <c r="S22" s="427"/>
      <c r="T22" s="427"/>
    </row>
    <row r="23" spans="1:27" ht="11.1" customHeight="1">
      <c r="A23" s="45"/>
      <c r="B23" s="423"/>
      <c r="C23" s="423"/>
      <c r="D23" s="423"/>
      <c r="E23" s="423"/>
      <c r="F23" s="423"/>
      <c r="G23" s="423"/>
      <c r="H23" s="423"/>
      <c r="M23" s="45"/>
      <c r="N23" s="427"/>
      <c r="O23" s="427"/>
      <c r="P23" s="427"/>
      <c r="Q23" s="427"/>
      <c r="R23" s="427"/>
      <c r="S23" s="427"/>
      <c r="T23" s="427"/>
    </row>
    <row r="24" spans="1:27" ht="11.1" customHeight="1">
      <c r="A24" s="45"/>
      <c r="B24" s="423"/>
      <c r="C24" s="423"/>
      <c r="D24" s="423"/>
      <c r="E24" s="423"/>
      <c r="F24" s="423"/>
      <c r="G24" s="423"/>
      <c r="H24" s="423"/>
      <c r="M24" s="45"/>
      <c r="N24" s="427"/>
      <c r="O24" s="427"/>
      <c r="P24" s="427"/>
      <c r="Q24" s="427"/>
      <c r="R24" s="427"/>
      <c r="S24" s="427"/>
      <c r="T24" s="427"/>
    </row>
    <row r="25" spans="1:27" ht="11.1" customHeight="1">
      <c r="A25" s="45"/>
      <c r="B25" s="423"/>
      <c r="C25" s="423"/>
      <c r="D25" s="423"/>
      <c r="E25" s="423"/>
      <c r="F25" s="423"/>
      <c r="G25" s="423"/>
      <c r="H25" s="423"/>
      <c r="M25" s="45"/>
      <c r="N25" s="427"/>
      <c r="O25" s="427"/>
      <c r="P25" s="427"/>
      <c r="Q25" s="427"/>
      <c r="R25" s="427"/>
      <c r="S25" s="427"/>
      <c r="T25" s="427"/>
    </row>
    <row r="26" spans="1:27" ht="11.1" customHeight="1">
      <c r="A26" s="45"/>
      <c r="B26" s="423"/>
      <c r="C26" s="423"/>
      <c r="D26" s="423"/>
      <c r="E26" s="423"/>
      <c r="F26" s="423"/>
      <c r="G26" s="423"/>
      <c r="H26" s="423"/>
      <c r="M26" s="45"/>
      <c r="N26" s="427"/>
      <c r="O26" s="427"/>
      <c r="P26" s="427"/>
      <c r="Q26" s="427"/>
      <c r="R26" s="427"/>
      <c r="S26" s="427"/>
      <c r="T26" s="427"/>
    </row>
    <row r="27" spans="1:27" ht="11.1" customHeight="1">
      <c r="A27" s="45"/>
      <c r="B27" s="423"/>
      <c r="C27" s="423"/>
      <c r="D27" s="423"/>
      <c r="E27" s="423"/>
      <c r="F27" s="423"/>
      <c r="G27" s="423"/>
      <c r="H27" s="423"/>
      <c r="M27" s="45"/>
      <c r="N27" s="427"/>
      <c r="O27" s="427"/>
      <c r="P27" s="427"/>
      <c r="Q27" s="427"/>
      <c r="R27" s="427"/>
      <c r="S27" s="427"/>
      <c r="T27" s="427"/>
    </row>
    <row r="28" spans="1:27" ht="11.1" customHeight="1">
      <c r="A28" s="45"/>
      <c r="B28" s="423"/>
      <c r="C28" s="423"/>
      <c r="D28" s="423"/>
      <c r="E28" s="423"/>
      <c r="F28" s="423"/>
      <c r="G28" s="423"/>
      <c r="H28" s="423"/>
      <c r="M28" s="45"/>
      <c r="N28" s="427"/>
      <c r="O28" s="427"/>
      <c r="P28" s="427"/>
      <c r="Q28" s="427"/>
      <c r="R28" s="427"/>
      <c r="S28" s="427"/>
      <c r="T28" s="427"/>
      <c r="V28" s="1025" t="s">
        <v>579</v>
      </c>
      <c r="W28" s="1025"/>
      <c r="X28" s="1025"/>
      <c r="Y28" s="1025"/>
      <c r="Z28" s="1025"/>
    </row>
    <row r="29" spans="1:27" ht="11.1" customHeight="1">
      <c r="A29" s="45"/>
      <c r="B29" s="423"/>
      <c r="C29" s="423"/>
      <c r="D29" s="423"/>
      <c r="E29" s="423"/>
      <c r="F29" s="423"/>
      <c r="G29" s="423"/>
      <c r="H29" s="423"/>
      <c r="V29" s="1046" t="s">
        <v>587</v>
      </c>
      <c r="W29" s="1046"/>
      <c r="X29" s="1046"/>
      <c r="Y29" s="1046"/>
      <c r="Z29" s="1046"/>
      <c r="AA29" s="668"/>
    </row>
    <row r="30" spans="1:27" ht="11.1" customHeight="1">
      <c r="A30" s="45"/>
      <c r="B30" s="423"/>
      <c r="C30" s="423"/>
      <c r="D30" s="423"/>
      <c r="E30" s="423"/>
      <c r="F30" s="423"/>
      <c r="G30" s="423"/>
      <c r="H30" s="423"/>
      <c r="V30" s="86"/>
      <c r="W30" s="86"/>
      <c r="X30" s="558"/>
      <c r="Y30" s="558" t="s">
        <v>577</v>
      </c>
      <c r="Z30" s="558"/>
      <c r="AA30" s="669"/>
    </row>
    <row r="31" spans="1:27" ht="11.1" customHeight="1">
      <c r="A31" s="45"/>
      <c r="B31" s="25"/>
      <c r="C31" s="25"/>
      <c r="D31" s="25"/>
      <c r="E31" s="25"/>
      <c r="F31" s="25"/>
      <c r="G31" s="25"/>
      <c r="H31" s="25"/>
      <c r="V31" s="1026" t="s">
        <v>212</v>
      </c>
      <c r="W31" s="1028" t="s">
        <v>223</v>
      </c>
      <c r="X31" s="1020" t="s">
        <v>214</v>
      </c>
      <c r="Y31" s="1022"/>
      <c r="Z31" s="601"/>
      <c r="AA31" s="558"/>
    </row>
    <row r="32" spans="1:27" ht="11.1" customHeight="1" thickBot="1">
      <c r="A32" s="45"/>
      <c r="B32" s="25"/>
      <c r="C32" s="25"/>
      <c r="D32" s="25"/>
      <c r="E32" s="25"/>
      <c r="F32" s="25"/>
      <c r="G32" s="25"/>
      <c r="H32" s="25"/>
      <c r="M32" s="1173" t="s">
        <v>539</v>
      </c>
      <c r="N32" s="1173"/>
      <c r="O32" s="1173"/>
      <c r="P32" s="1173"/>
      <c r="Q32" s="1173"/>
      <c r="R32" s="1173"/>
      <c r="S32" s="1173"/>
      <c r="T32" s="1173"/>
      <c r="V32" s="1027"/>
      <c r="W32" s="1029"/>
      <c r="X32" s="789">
        <v>2014</v>
      </c>
      <c r="Y32" s="62">
        <v>2015</v>
      </c>
      <c r="Z32" s="602"/>
      <c r="AA32" s="602"/>
    </row>
    <row r="33" spans="1:27" ht="11.1" customHeight="1" thickTop="1">
      <c r="M33" s="1024" t="s">
        <v>710</v>
      </c>
      <c r="N33" s="1024"/>
      <c r="O33" s="1024"/>
      <c r="P33" s="1024"/>
      <c r="Q33" s="1024"/>
      <c r="R33" s="1024"/>
      <c r="S33" s="1024"/>
      <c r="T33" s="1024"/>
      <c r="V33" s="56">
        <v>1</v>
      </c>
      <c r="W33" s="46" t="s">
        <v>121</v>
      </c>
      <c r="X33" s="785">
        <v>1.2</v>
      </c>
      <c r="Y33" s="622"/>
      <c r="Z33" s="603"/>
      <c r="AA33" s="602"/>
    </row>
    <row r="34" spans="1:27" ht="11.1" customHeight="1">
      <c r="M34" s="188"/>
      <c r="N34" s="188"/>
      <c r="O34" s="188"/>
      <c r="P34" s="188"/>
      <c r="Q34" s="188"/>
      <c r="R34" s="1174" t="s">
        <v>228</v>
      </c>
      <c r="S34" s="1174"/>
      <c r="T34" s="1174"/>
      <c r="V34" s="57">
        <v>2</v>
      </c>
      <c r="W34" s="49" t="s">
        <v>122</v>
      </c>
      <c r="X34" s="786">
        <v>0</v>
      </c>
      <c r="Y34" s="624"/>
      <c r="Z34" s="603"/>
      <c r="AA34" s="603"/>
    </row>
    <row r="35" spans="1:27" ht="11.1" customHeight="1">
      <c r="A35" s="1075" t="s">
        <v>486</v>
      </c>
      <c r="B35" s="1075"/>
      <c r="C35" s="1075"/>
      <c r="D35" s="1075"/>
      <c r="E35" s="1075"/>
      <c r="F35" s="1075"/>
      <c r="G35" s="1075"/>
      <c r="H35" s="1075"/>
      <c r="M35" s="1175" t="s">
        <v>212</v>
      </c>
      <c r="N35" s="1157" t="s">
        <v>223</v>
      </c>
      <c r="O35" s="1020" t="s">
        <v>214</v>
      </c>
      <c r="P35" s="1021"/>
      <c r="Q35" s="1021"/>
      <c r="R35" s="1021"/>
      <c r="S35" s="1022"/>
      <c r="T35" s="1157" t="s">
        <v>126</v>
      </c>
      <c r="V35" s="57">
        <v>3</v>
      </c>
      <c r="W35" s="49" t="s">
        <v>184</v>
      </c>
      <c r="X35" s="786">
        <v>1</v>
      </c>
      <c r="Y35" s="624"/>
      <c r="Z35" s="603"/>
      <c r="AA35" s="603"/>
    </row>
    <row r="36" spans="1:27" ht="11.1" customHeight="1" thickBot="1">
      <c r="A36" s="1075" t="s">
        <v>710</v>
      </c>
      <c r="B36" s="1075"/>
      <c r="C36" s="1075"/>
      <c r="D36" s="1075"/>
      <c r="E36" s="1075"/>
      <c r="F36" s="1075"/>
      <c r="G36" s="1075"/>
      <c r="H36" s="1075"/>
      <c r="M36" s="1176"/>
      <c r="N36" s="1158"/>
      <c r="O36" s="62">
        <v>2011</v>
      </c>
      <c r="P36" s="62">
        <v>2012</v>
      </c>
      <c r="Q36" s="62">
        <v>2013</v>
      </c>
      <c r="R36" s="62">
        <v>2014</v>
      </c>
      <c r="S36" s="62">
        <v>2015</v>
      </c>
      <c r="T36" s="1158"/>
      <c r="V36" s="57">
        <v>4</v>
      </c>
      <c r="W36" s="49" t="s">
        <v>120</v>
      </c>
      <c r="X36" s="786">
        <v>4</v>
      </c>
      <c r="Y36" s="624"/>
      <c r="Z36" s="603"/>
      <c r="AA36" s="603"/>
    </row>
    <row r="37" spans="1:27" ht="11.1" customHeight="1" thickTop="1">
      <c r="A37" s="45"/>
      <c r="B37" s="45"/>
      <c r="C37" s="45"/>
      <c r="D37" s="45"/>
      <c r="E37" s="45"/>
      <c r="F37" s="45"/>
      <c r="G37" s="1096" t="s">
        <v>222</v>
      </c>
      <c r="H37" s="1096"/>
      <c r="M37" s="189">
        <v>1</v>
      </c>
      <c r="N37" s="190" t="s">
        <v>121</v>
      </c>
      <c r="O37" s="191">
        <v>895454449.70000005</v>
      </c>
      <c r="P37" s="191">
        <v>638112700</v>
      </c>
      <c r="Q37" s="192">
        <v>984110450</v>
      </c>
      <c r="R37" s="192">
        <f>1178706950+551700</f>
        <v>1179258650</v>
      </c>
      <c r="S37" s="811">
        <v>789370528.10000002</v>
      </c>
      <c r="T37" s="30">
        <f>((P37-O37)/O37*100+(Q37-P37)/P37*100+(R37-Q37)/Q37*100+(S37-R37)/R37*100)/4</f>
        <v>3.0627847206287093</v>
      </c>
      <c r="V37" s="57">
        <v>5</v>
      </c>
      <c r="W37" s="49" t="s">
        <v>125</v>
      </c>
      <c r="X37" s="786">
        <v>100</v>
      </c>
      <c r="Y37" s="624"/>
      <c r="Z37" s="603"/>
      <c r="AA37" s="603"/>
    </row>
    <row r="38" spans="1:27" ht="11.1" customHeight="1">
      <c r="A38" s="1077" t="s">
        <v>212</v>
      </c>
      <c r="B38" s="1077" t="s">
        <v>223</v>
      </c>
      <c r="C38" s="1112" t="s">
        <v>214</v>
      </c>
      <c r="D38" s="1113"/>
      <c r="E38" s="1113"/>
      <c r="F38" s="1113"/>
      <c r="G38" s="1114"/>
      <c r="H38" s="1077" t="s">
        <v>126</v>
      </c>
      <c r="J38" s="450"/>
      <c r="K38" s="450"/>
      <c r="M38" s="193">
        <v>2</v>
      </c>
      <c r="N38" s="194" t="s">
        <v>122</v>
      </c>
      <c r="O38" s="195">
        <v>46580450</v>
      </c>
      <c r="P38" s="195">
        <v>65748200</v>
      </c>
      <c r="Q38" s="195">
        <v>68313030</v>
      </c>
      <c r="R38" s="195">
        <f>115291227.5+196500</f>
        <v>115487727.5</v>
      </c>
      <c r="S38" s="812">
        <v>105194979.3</v>
      </c>
      <c r="T38" s="35">
        <f>((P38-O38)/O38*100+(Q38-P38)/P38*100+(R38-Q38)/Q38*100+(S38-R38)/R38*100)/4</f>
        <v>26.298751692358294</v>
      </c>
      <c r="V38" s="57">
        <v>6</v>
      </c>
      <c r="W38" s="49" t="s">
        <v>124</v>
      </c>
      <c r="X38" s="786">
        <v>10.42</v>
      </c>
      <c r="Y38" s="624"/>
      <c r="Z38" s="603"/>
      <c r="AA38" s="603"/>
    </row>
    <row r="39" spans="1:27" ht="11.1" customHeight="1" thickBot="1">
      <c r="A39" s="1099"/>
      <c r="B39" s="1099"/>
      <c r="C39" s="63">
        <v>2011</v>
      </c>
      <c r="D39" s="63">
        <v>2012</v>
      </c>
      <c r="E39" s="63">
        <v>2013</v>
      </c>
      <c r="F39" s="63">
        <v>2014</v>
      </c>
      <c r="G39" s="63">
        <v>2015</v>
      </c>
      <c r="H39" s="1099"/>
      <c r="J39" s="450"/>
      <c r="K39" s="450"/>
      <c r="M39" s="193">
        <v>3</v>
      </c>
      <c r="N39" s="194" t="s">
        <v>184</v>
      </c>
      <c r="O39" s="195">
        <v>23704800</v>
      </c>
      <c r="P39" s="195">
        <v>23946700</v>
      </c>
      <c r="Q39" s="195">
        <v>23962550</v>
      </c>
      <c r="R39" s="195">
        <f>26162100+2125300</f>
        <v>28287400</v>
      </c>
      <c r="S39" s="812">
        <v>19081787</v>
      </c>
      <c r="T39" s="35">
        <f t="shared" ref="T39:T45" si="3">((P39-O39)/O39*100+(Q39-P39)/P39*100+(R39-Q39)/Q39*100+(S39-R39)/R39*100)/4</f>
        <v>-3.3520321555634274</v>
      </c>
      <c r="V39" s="57">
        <v>7</v>
      </c>
      <c r="W39" s="49" t="s">
        <v>123</v>
      </c>
      <c r="X39" s="786">
        <v>0</v>
      </c>
      <c r="Y39" s="624"/>
      <c r="Z39" s="603"/>
      <c r="AA39" s="603"/>
    </row>
    <row r="40" spans="1:27" ht="11.1" customHeight="1" thickTop="1">
      <c r="A40" s="56">
        <v>1</v>
      </c>
      <c r="B40" s="46" t="s">
        <v>121</v>
      </c>
      <c r="C40" s="47">
        <v>852</v>
      </c>
      <c r="D40" s="47">
        <v>787</v>
      </c>
      <c r="E40" s="47">
        <v>762</v>
      </c>
      <c r="F40" s="47">
        <v>952</v>
      </c>
      <c r="G40" s="650">
        <f>G183+G507</f>
        <v>1330</v>
      </c>
      <c r="H40" s="30">
        <f>(((D40-C40)/C40*100)+((E40-D40)/D40*100)+((F40-E40)/E40*100)+((G40-F40)/F40*100))/4</f>
        <v>13.458634374395343</v>
      </c>
      <c r="J40" s="813"/>
      <c r="K40" s="450"/>
      <c r="M40" s="193">
        <v>4</v>
      </c>
      <c r="N40" s="194" t="s">
        <v>120</v>
      </c>
      <c r="O40" s="195">
        <v>117299630.09999999</v>
      </c>
      <c r="P40" s="195">
        <v>68754300</v>
      </c>
      <c r="Q40" s="195">
        <v>82561398.599999994</v>
      </c>
      <c r="R40" s="195">
        <f>131651116.9+123000</f>
        <v>131774116.90000001</v>
      </c>
      <c r="S40" s="812">
        <v>111957696.7</v>
      </c>
      <c r="T40" s="35">
        <f t="shared" si="3"/>
        <v>5.8163232034311267</v>
      </c>
      <c r="V40" s="57">
        <v>8</v>
      </c>
      <c r="W40" s="49" t="s">
        <v>195</v>
      </c>
      <c r="X40" s="786">
        <v>0.02</v>
      </c>
      <c r="Y40" s="624"/>
      <c r="Z40" s="603"/>
      <c r="AA40" s="603"/>
    </row>
    <row r="41" spans="1:27" ht="11.1" customHeight="1" thickBot="1">
      <c r="A41" s="57">
        <v>2</v>
      </c>
      <c r="B41" s="49" t="s">
        <v>122</v>
      </c>
      <c r="C41" s="50">
        <v>3710</v>
      </c>
      <c r="D41" s="50">
        <v>3273</v>
      </c>
      <c r="E41" s="50">
        <v>3378</v>
      </c>
      <c r="F41" s="50">
        <v>1602</v>
      </c>
      <c r="G41" s="651">
        <f>G184+G508</f>
        <v>1232</v>
      </c>
      <c r="H41" s="35">
        <f>((D41-C41)/C41*100+(E41-D41)/D41*100+(F41-E41)/E41*100+(G41-F41)/F41*100)/4</f>
        <v>-21.060632009787309</v>
      </c>
      <c r="J41" s="814"/>
      <c r="K41" s="450"/>
      <c r="M41" s="193">
        <v>5</v>
      </c>
      <c r="N41" s="194" t="s">
        <v>125</v>
      </c>
      <c r="O41" s="195">
        <v>208553440</v>
      </c>
      <c r="P41" s="195">
        <v>242904200</v>
      </c>
      <c r="Q41" s="195">
        <v>280908000</v>
      </c>
      <c r="R41" s="195">
        <f>392628800+1506700</f>
        <v>394135500</v>
      </c>
      <c r="S41" s="812">
        <v>313459823.60000002</v>
      </c>
      <c r="T41" s="35">
        <f t="shared" si="3"/>
        <v>12.988803818779102</v>
      </c>
      <c r="V41" s="58">
        <v>9</v>
      </c>
      <c r="W41" s="52" t="s">
        <v>198</v>
      </c>
      <c r="X41" s="787">
        <v>0</v>
      </c>
      <c r="Y41" s="790"/>
      <c r="Z41" s="604"/>
      <c r="AA41" s="603"/>
    </row>
    <row r="42" spans="1:27" ht="11.1" customHeight="1" thickTop="1" thickBot="1">
      <c r="A42" s="57">
        <v>3</v>
      </c>
      <c r="B42" s="49" t="s">
        <v>184</v>
      </c>
      <c r="C42" s="50">
        <v>5411</v>
      </c>
      <c r="D42" s="50">
        <v>5542</v>
      </c>
      <c r="E42" s="50">
        <v>3506</v>
      </c>
      <c r="F42" s="50">
        <v>3656</v>
      </c>
      <c r="G42" s="651">
        <f t="shared" ref="G42:G48" si="4">G185+G509</f>
        <v>3489</v>
      </c>
      <c r="H42" s="35">
        <f t="shared" ref="H42:H48" si="5">((D42-C42)/C42*100+(E42-D42)/D42*100+(F42-E42)/E42*100+(G42-F42)/F42*100)/4</f>
        <v>-8.6515248370441746</v>
      </c>
      <c r="J42" s="814"/>
      <c r="K42" s="450"/>
      <c r="M42" s="193">
        <v>6</v>
      </c>
      <c r="N42" s="194" t="s">
        <v>124</v>
      </c>
      <c r="O42" s="195">
        <v>168063464.5</v>
      </c>
      <c r="P42" s="195">
        <v>197962225</v>
      </c>
      <c r="Q42" s="195">
        <v>245365800</v>
      </c>
      <c r="R42" s="195">
        <f>297680150+28320</f>
        <v>297708470</v>
      </c>
      <c r="S42" s="812">
        <v>290105682.69999999</v>
      </c>
      <c r="T42" s="35">
        <f t="shared" si="3"/>
        <v>15.128665956483013</v>
      </c>
      <c r="V42" s="1030" t="s">
        <v>224</v>
      </c>
      <c r="W42" s="1031"/>
      <c r="X42" s="788">
        <f>SUM(X33:X41)</f>
        <v>116.64</v>
      </c>
      <c r="Y42" s="791"/>
      <c r="Z42" s="604"/>
      <c r="AA42" s="603"/>
    </row>
    <row r="43" spans="1:27" ht="11.1" customHeight="1" thickTop="1">
      <c r="A43" s="57">
        <v>4</v>
      </c>
      <c r="B43" s="49" t="s">
        <v>120</v>
      </c>
      <c r="C43" s="50">
        <v>2679</v>
      </c>
      <c r="D43" s="50">
        <v>2942</v>
      </c>
      <c r="E43" s="50">
        <v>3070</v>
      </c>
      <c r="F43" s="50">
        <v>3515</v>
      </c>
      <c r="G43" s="651">
        <f t="shared" si="4"/>
        <v>3144</v>
      </c>
      <c r="H43" s="35">
        <f t="shared" si="5"/>
        <v>4.5270566068315521</v>
      </c>
      <c r="J43" s="814"/>
      <c r="K43" s="450"/>
      <c r="M43" s="193">
        <v>7</v>
      </c>
      <c r="N43" s="194" t="s">
        <v>123</v>
      </c>
      <c r="O43" s="195">
        <v>12497281.4</v>
      </c>
      <c r="P43" s="195">
        <v>21609400</v>
      </c>
      <c r="Q43" s="195">
        <v>17661400</v>
      </c>
      <c r="R43" s="195">
        <v>20636600</v>
      </c>
      <c r="S43" s="812">
        <v>21741275.399999999</v>
      </c>
      <c r="T43" s="35">
        <f t="shared" si="3"/>
        <v>19.210436848387381</v>
      </c>
      <c r="V43" s="86"/>
      <c r="W43" s="86"/>
      <c r="X43" s="86"/>
      <c r="Y43" s="86"/>
      <c r="Z43" s="86"/>
      <c r="AA43" s="604"/>
    </row>
    <row r="44" spans="1:27" ht="11.1" customHeight="1">
      <c r="A44" s="57">
        <v>5</v>
      </c>
      <c r="B44" s="49" t="s">
        <v>125</v>
      </c>
      <c r="C44" s="50">
        <v>4741</v>
      </c>
      <c r="D44" s="50">
        <v>3594</v>
      </c>
      <c r="E44" s="50">
        <v>3943</v>
      </c>
      <c r="F44" s="50">
        <v>3936</v>
      </c>
      <c r="G44" s="651">
        <f t="shared" si="4"/>
        <v>5264</v>
      </c>
      <c r="H44" s="35">
        <f t="shared" si="5"/>
        <v>4.7699320601556039</v>
      </c>
      <c r="J44" s="814"/>
      <c r="K44" s="450"/>
      <c r="M44" s="193">
        <v>8</v>
      </c>
      <c r="N44" s="194" t="s">
        <v>195</v>
      </c>
      <c r="O44" s="195">
        <v>18775400</v>
      </c>
      <c r="P44" s="195">
        <v>21847900</v>
      </c>
      <c r="Q44" s="195">
        <v>26473300</v>
      </c>
      <c r="R44" s="195">
        <f>24176100+1617200</f>
        <v>25793300</v>
      </c>
      <c r="S44" s="812">
        <v>13056022.9</v>
      </c>
      <c r="T44" s="35">
        <f t="shared" si="3"/>
        <v>-3.6038322980830024</v>
      </c>
      <c r="V44" s="40"/>
      <c r="W44" s="966"/>
      <c r="X44" s="966"/>
      <c r="Y44" s="966"/>
      <c r="Z44" s="966"/>
      <c r="AA44" s="779"/>
    </row>
    <row r="45" spans="1:27" ht="11.1" customHeight="1" thickBot="1">
      <c r="A45" s="57">
        <v>6</v>
      </c>
      <c r="B45" s="49" t="s">
        <v>124</v>
      </c>
      <c r="C45" s="50">
        <v>6909</v>
      </c>
      <c r="D45" s="50">
        <v>6370</v>
      </c>
      <c r="E45" s="50">
        <v>6597</v>
      </c>
      <c r="F45" s="50">
        <v>6650</v>
      </c>
      <c r="G45" s="651">
        <f t="shared" si="4"/>
        <v>6954</v>
      </c>
      <c r="H45" s="35">
        <f t="shared" si="5"/>
        <v>0.28424622309311531</v>
      </c>
      <c r="J45" s="814"/>
      <c r="K45" s="450"/>
      <c r="M45" s="196">
        <v>9</v>
      </c>
      <c r="N45" s="197" t="s">
        <v>198</v>
      </c>
      <c r="O45" s="198">
        <v>6969700</v>
      </c>
      <c r="P45" s="198">
        <v>15022800</v>
      </c>
      <c r="Q45" s="199">
        <v>17019800</v>
      </c>
      <c r="R45" s="199">
        <v>18939100</v>
      </c>
      <c r="S45" s="815">
        <v>17978179.600000001</v>
      </c>
      <c r="T45" s="35">
        <f t="shared" si="3"/>
        <v>33.760170778738839</v>
      </c>
      <c r="V45" s="482"/>
      <c r="W45" s="1159"/>
      <c r="X45" s="1159"/>
      <c r="Y45" s="1159"/>
      <c r="Z45" s="1159"/>
      <c r="AA45" s="780"/>
    </row>
    <row r="46" spans="1:27" ht="11.1" customHeight="1" thickTop="1" thickBot="1">
      <c r="A46" s="57">
        <v>7</v>
      </c>
      <c r="B46" s="49" t="s">
        <v>123</v>
      </c>
      <c r="C46" s="50">
        <v>4138</v>
      </c>
      <c r="D46" s="50">
        <v>4173</v>
      </c>
      <c r="E46" s="50">
        <v>4183</v>
      </c>
      <c r="F46" s="50">
        <v>3760</v>
      </c>
      <c r="G46" s="651">
        <f t="shared" si="4"/>
        <v>3798</v>
      </c>
      <c r="H46" s="35">
        <f t="shared" si="5"/>
        <v>-2.0040665656722374</v>
      </c>
      <c r="J46" s="814"/>
      <c r="K46" s="450"/>
      <c r="M46" s="1171" t="s">
        <v>224</v>
      </c>
      <c r="N46" s="1172"/>
      <c r="O46" s="187">
        <f>SUM(O37:O45)</f>
        <v>1497898615.7</v>
      </c>
      <c r="P46" s="187">
        <f>SUM(P37:P45)</f>
        <v>1295908425</v>
      </c>
      <c r="Q46" s="187">
        <f>SUM(Q37:Q45)</f>
        <v>1746375728.5999999</v>
      </c>
      <c r="R46" s="187">
        <f>SUM(R37:R45)</f>
        <v>2212020864.4000001</v>
      </c>
      <c r="S46" s="187">
        <f>SUM(S37:S45)</f>
        <v>1681945975.3000002</v>
      </c>
      <c r="T46" s="55">
        <f>((P46-O46)/O46*100+(Q46-P46)/P46*100+(R46-Q46)/Q46*100+(S46-R46)/R46*100)/4</f>
        <v>5.9939922866764501</v>
      </c>
      <c r="V46" s="781"/>
      <c r="W46" s="781"/>
      <c r="X46" s="781"/>
      <c r="Y46" s="781"/>
      <c r="Z46" s="781"/>
      <c r="AA46" s="781"/>
    </row>
    <row r="47" spans="1:27" ht="11.1" customHeight="1" thickTop="1">
      <c r="A47" s="57">
        <v>8</v>
      </c>
      <c r="B47" s="49" t="s">
        <v>195</v>
      </c>
      <c r="C47" s="50">
        <v>2964</v>
      </c>
      <c r="D47" s="50">
        <v>3302</v>
      </c>
      <c r="E47" s="50">
        <v>2973</v>
      </c>
      <c r="F47" s="50">
        <v>2866</v>
      </c>
      <c r="G47" s="651">
        <f t="shared" si="4"/>
        <v>1625</v>
      </c>
      <c r="H47" s="35">
        <f t="shared" si="5"/>
        <v>-11.364993856920584</v>
      </c>
      <c r="J47" s="814"/>
      <c r="M47" s="188"/>
      <c r="N47" s="188"/>
      <c r="O47" s="188"/>
      <c r="P47" s="188"/>
      <c r="Q47" s="188"/>
      <c r="R47" s="200"/>
      <c r="S47" s="200"/>
      <c r="T47" s="188"/>
      <c r="V47" s="781"/>
      <c r="W47" s="781"/>
      <c r="X47" s="781"/>
      <c r="Y47" s="781"/>
      <c r="Z47" s="781"/>
      <c r="AA47" s="781"/>
    </row>
    <row r="48" spans="1:27" ht="11.1" customHeight="1" thickBot="1">
      <c r="A48" s="58">
        <v>9</v>
      </c>
      <c r="B48" s="52" t="s">
        <v>198</v>
      </c>
      <c r="C48" s="53">
        <v>3440</v>
      </c>
      <c r="D48" s="53">
        <v>3516</v>
      </c>
      <c r="E48" s="53">
        <v>3536</v>
      </c>
      <c r="F48" s="53">
        <v>3393</v>
      </c>
      <c r="G48" s="656">
        <f t="shared" si="4"/>
        <v>3399</v>
      </c>
      <c r="H48" s="35">
        <f t="shared" si="5"/>
        <v>-0.27228811200118486</v>
      </c>
      <c r="J48" s="814"/>
      <c r="M48" s="188"/>
      <c r="N48" s="966" t="s">
        <v>324</v>
      </c>
      <c r="O48" s="966"/>
      <c r="P48" s="966"/>
      <c r="Q48" s="966"/>
      <c r="R48" s="966"/>
      <c r="S48" s="966"/>
      <c r="T48" s="966"/>
      <c r="V48" s="781"/>
      <c r="W48" s="781"/>
      <c r="X48" s="781"/>
      <c r="Y48" s="781"/>
      <c r="Z48" s="781"/>
      <c r="AA48" s="781"/>
    </row>
    <row r="49" spans="1:28" ht="11.1" customHeight="1" thickTop="1" thickBot="1">
      <c r="A49" s="1097" t="s">
        <v>224</v>
      </c>
      <c r="B49" s="1098"/>
      <c r="C49" s="65">
        <f>SUM(C40:C48)</f>
        <v>34844</v>
      </c>
      <c r="D49" s="65">
        <f>SUM(D40:D48)</f>
        <v>33499</v>
      </c>
      <c r="E49" s="65">
        <f>SUM(E40:E48)</f>
        <v>31948</v>
      </c>
      <c r="F49" s="65">
        <f>SUM(F40:F48)</f>
        <v>30330</v>
      </c>
      <c r="G49" s="65">
        <f>SUM(G40:G48)</f>
        <v>30235</v>
      </c>
      <c r="H49" s="84">
        <f>((D49-C49)/C49*100+(E49-D49)/D49*100+(F49-E49)/E49*100+(G49-F49)/F49*100)/4</f>
        <v>-3.4669379895563117</v>
      </c>
      <c r="J49" s="450"/>
      <c r="K49" s="450"/>
      <c r="M49" s="188"/>
      <c r="N49" s="427"/>
      <c r="O49" s="427"/>
      <c r="P49" s="427"/>
      <c r="Q49" s="427"/>
      <c r="R49" s="427"/>
      <c r="S49" s="427"/>
      <c r="T49" s="427"/>
      <c r="V49" s="781"/>
      <c r="W49" s="781"/>
      <c r="X49" s="781"/>
      <c r="Y49" s="781"/>
      <c r="Z49" s="781"/>
      <c r="AA49" s="781"/>
    </row>
    <row r="50" spans="1:28" ht="11.1" customHeight="1" thickTop="1">
      <c r="J50" s="450"/>
      <c r="K50" s="450"/>
      <c r="M50" s="188"/>
      <c r="N50" s="427"/>
      <c r="O50" s="427"/>
      <c r="P50" s="427"/>
      <c r="Q50" s="427"/>
      <c r="R50" s="614"/>
      <c r="S50" s="615"/>
      <c r="T50" s="427"/>
      <c r="V50" s="781"/>
      <c r="W50" s="781"/>
      <c r="X50" s="781"/>
      <c r="Y50" s="781"/>
      <c r="Z50" s="781"/>
      <c r="AA50" s="781"/>
    </row>
    <row r="51" spans="1:28" ht="11.1" customHeight="1">
      <c r="B51" s="966" t="s">
        <v>227</v>
      </c>
      <c r="C51" s="966"/>
      <c r="D51" s="966"/>
      <c r="E51" s="966"/>
      <c r="F51" s="966"/>
      <c r="G51" s="966"/>
      <c r="H51" s="966"/>
      <c r="J51" s="450"/>
      <c r="K51" s="450"/>
      <c r="M51" s="188"/>
      <c r="N51" s="427"/>
      <c r="O51" s="427"/>
      <c r="P51" s="427"/>
      <c r="Q51" s="427"/>
      <c r="R51" s="614"/>
      <c r="S51" s="614"/>
      <c r="T51" s="427"/>
      <c r="V51" s="781"/>
      <c r="W51" s="781"/>
      <c r="X51" s="781"/>
      <c r="Y51" s="781"/>
      <c r="Z51" s="781"/>
      <c r="AA51" s="781"/>
    </row>
    <row r="52" spans="1:28" ht="11.1" customHeight="1">
      <c r="B52" s="423"/>
      <c r="C52" s="423"/>
      <c r="D52" s="423"/>
      <c r="E52" s="423"/>
      <c r="F52" s="423"/>
      <c r="G52" s="423"/>
      <c r="H52" s="423"/>
      <c r="J52" s="450"/>
      <c r="K52" s="450"/>
      <c r="M52" s="188"/>
      <c r="N52" s="427"/>
      <c r="O52" s="427"/>
      <c r="P52" s="427"/>
      <c r="Q52" s="427"/>
      <c r="R52" s="614"/>
      <c r="S52" s="614"/>
      <c r="T52" s="427"/>
      <c r="V52" s="781"/>
      <c r="W52" s="781"/>
      <c r="X52" s="781"/>
      <c r="Y52" s="781"/>
      <c r="Z52" s="781"/>
      <c r="AA52" s="781"/>
    </row>
    <row r="53" spans="1:28" ht="11.1" customHeight="1">
      <c r="B53" s="423"/>
      <c r="C53" s="423"/>
      <c r="D53" s="423"/>
      <c r="E53" s="423"/>
      <c r="F53" s="423"/>
      <c r="G53" s="423"/>
      <c r="H53" s="423"/>
      <c r="J53" s="450"/>
      <c r="K53" s="450"/>
      <c r="M53" s="188"/>
      <c r="N53" s="427"/>
      <c r="O53" s="427"/>
      <c r="P53" s="427"/>
      <c r="Q53" s="427"/>
      <c r="R53" s="614"/>
      <c r="S53" s="614"/>
      <c r="T53" s="427"/>
      <c r="V53" s="781"/>
      <c r="W53" s="781"/>
      <c r="X53" s="781"/>
      <c r="Y53" s="781"/>
      <c r="Z53" s="781"/>
      <c r="AA53" s="781"/>
    </row>
    <row r="54" spans="1:28" ht="11.1" customHeight="1">
      <c r="B54" s="423"/>
      <c r="C54" s="423"/>
      <c r="D54" s="423"/>
      <c r="E54" s="423"/>
      <c r="F54" s="423"/>
      <c r="G54" s="423"/>
      <c r="H54" s="423"/>
      <c r="J54" s="450"/>
      <c r="K54" s="450"/>
      <c r="M54" s="188"/>
      <c r="N54" s="427"/>
      <c r="O54" s="427"/>
      <c r="P54" s="427"/>
      <c r="Q54" s="427"/>
      <c r="R54" s="614"/>
      <c r="S54" s="614"/>
      <c r="T54" s="427"/>
      <c r="V54" s="781"/>
      <c r="W54" s="781"/>
      <c r="X54" s="781"/>
      <c r="Y54" s="781"/>
      <c r="Z54" s="781"/>
      <c r="AA54" s="781"/>
    </row>
    <row r="55" spans="1:28" ht="11.1" customHeight="1">
      <c r="B55" s="423"/>
      <c r="C55" s="423"/>
      <c r="D55" s="423"/>
      <c r="E55" s="423"/>
      <c r="F55" s="423"/>
      <c r="G55" s="423"/>
      <c r="H55" s="423"/>
      <c r="J55" s="450"/>
      <c r="K55" s="450"/>
      <c r="M55" s="188"/>
      <c r="N55" s="427"/>
      <c r="O55" s="427"/>
      <c r="P55" s="427"/>
      <c r="Q55" s="427"/>
      <c r="R55" s="614"/>
      <c r="S55" s="614"/>
      <c r="T55" s="427"/>
      <c r="V55" s="781"/>
      <c r="W55" s="781"/>
      <c r="X55" s="781"/>
      <c r="Y55" s="781"/>
      <c r="Z55" s="781"/>
      <c r="AA55" s="781"/>
    </row>
    <row r="56" spans="1:28" ht="11.1" customHeight="1">
      <c r="B56" s="423"/>
      <c r="C56" s="423"/>
      <c r="D56" s="423"/>
      <c r="E56" s="423"/>
      <c r="F56" s="423"/>
      <c r="G56" s="423"/>
      <c r="H56" s="423"/>
      <c r="J56" s="450"/>
      <c r="K56" s="450"/>
      <c r="M56" s="188"/>
      <c r="N56" s="427"/>
      <c r="O56" s="427"/>
      <c r="P56" s="427"/>
      <c r="Q56" s="427"/>
      <c r="R56" s="614"/>
      <c r="S56" s="614"/>
      <c r="T56" s="427"/>
      <c r="V56" s="781"/>
      <c r="W56" s="781"/>
      <c r="X56" s="781"/>
      <c r="Y56" s="781"/>
      <c r="Z56" s="781"/>
      <c r="AA56" s="781"/>
    </row>
    <row r="57" spans="1:28" ht="11.1" customHeight="1">
      <c r="B57" s="25"/>
      <c r="C57" s="25"/>
      <c r="D57" s="25"/>
      <c r="E57" s="25"/>
      <c r="F57" s="25"/>
      <c r="G57" s="25"/>
      <c r="H57" s="25"/>
      <c r="J57" s="450"/>
      <c r="K57" s="450"/>
      <c r="R57" s="616"/>
      <c r="S57" s="616"/>
      <c r="V57" s="781"/>
      <c r="W57" s="781"/>
      <c r="X57" s="781"/>
      <c r="Y57" s="781"/>
      <c r="Z57" s="781"/>
      <c r="AA57" s="781"/>
    </row>
    <row r="58" spans="1:28" ht="11.1" customHeight="1">
      <c r="B58" s="25"/>
      <c r="C58" s="25"/>
      <c r="D58" s="25"/>
      <c r="E58" s="25"/>
      <c r="F58" s="25"/>
      <c r="G58" s="25"/>
      <c r="H58" s="25"/>
      <c r="R58" s="616"/>
      <c r="S58" s="616"/>
      <c r="V58" s="781"/>
      <c r="W58" s="781"/>
      <c r="X58" s="781"/>
      <c r="Y58" s="781"/>
      <c r="Z58" s="781"/>
      <c r="AA58" s="781"/>
    </row>
    <row r="59" spans="1:28" ht="11.1" customHeight="1">
      <c r="V59" s="1169"/>
      <c r="W59" s="1169"/>
      <c r="X59" s="1169"/>
      <c r="Y59" s="1169"/>
      <c r="Z59" s="1169"/>
      <c r="AA59" s="782"/>
    </row>
    <row r="60" spans="1:28" ht="11.1" customHeight="1">
      <c r="V60" s="1170"/>
      <c r="W60" s="1170"/>
      <c r="X60" s="1170"/>
      <c r="Y60" s="1170"/>
      <c r="Z60" s="1170"/>
      <c r="AA60" s="783"/>
    </row>
    <row r="61" spans="1:28" ht="11.1" customHeight="1">
      <c r="A61" s="1075" t="s">
        <v>487</v>
      </c>
      <c r="B61" s="1075"/>
      <c r="C61" s="1075"/>
      <c r="D61" s="1075"/>
      <c r="E61" s="1075"/>
      <c r="F61" s="1075"/>
      <c r="G61" s="1075"/>
      <c r="H61" s="1075"/>
      <c r="M61" s="1024" t="s">
        <v>493</v>
      </c>
      <c r="N61" s="1024"/>
      <c r="O61" s="1024"/>
      <c r="P61" s="1024"/>
      <c r="Q61" s="1024"/>
      <c r="R61" s="1024"/>
      <c r="S61" s="1024"/>
      <c r="T61" s="1024"/>
      <c r="V61" s="779"/>
      <c r="W61" s="779"/>
      <c r="X61" s="779"/>
      <c r="Y61" s="779"/>
      <c r="Z61" s="784"/>
      <c r="AA61" s="784"/>
    </row>
    <row r="62" spans="1:28" ht="11.1" customHeight="1">
      <c r="A62" s="1075" t="s">
        <v>710</v>
      </c>
      <c r="B62" s="1075"/>
      <c r="C62" s="1075"/>
      <c r="D62" s="1075"/>
      <c r="E62" s="1075"/>
      <c r="F62" s="1075"/>
      <c r="G62" s="1075"/>
      <c r="H62" s="1075"/>
      <c r="M62" s="1024" t="s">
        <v>710</v>
      </c>
      <c r="N62" s="1024"/>
      <c r="O62" s="1024"/>
      <c r="P62" s="1024"/>
      <c r="Q62" s="1024"/>
      <c r="R62" s="1024"/>
      <c r="S62" s="1024"/>
      <c r="T62" s="1024"/>
      <c r="V62" s="1033"/>
      <c r="W62" s="1162"/>
      <c r="X62" s="1164"/>
      <c r="Y62" s="1164"/>
      <c r="Z62" s="1164"/>
      <c r="AA62" s="602"/>
    </row>
    <row r="63" spans="1:28" ht="11.1" customHeight="1">
      <c r="A63" s="45"/>
      <c r="B63" s="45"/>
      <c r="C63" s="45"/>
      <c r="D63" s="45"/>
      <c r="E63" s="45"/>
      <c r="F63" s="45"/>
      <c r="G63" s="45"/>
      <c r="H63" s="61" t="s">
        <v>226</v>
      </c>
      <c r="M63" s="40"/>
      <c r="N63" s="40"/>
      <c r="O63" s="40"/>
      <c r="P63" s="40"/>
      <c r="Q63" s="40"/>
      <c r="R63" s="1089" t="s">
        <v>228</v>
      </c>
      <c r="S63" s="1089"/>
      <c r="T63" s="1089"/>
      <c r="V63" s="1033"/>
      <c r="W63" s="1162"/>
      <c r="X63" s="602"/>
      <c r="Y63" s="602"/>
      <c r="Z63" s="602"/>
      <c r="AA63" s="602"/>
    </row>
    <row r="64" spans="1:28" ht="11.1" customHeight="1">
      <c r="A64" s="1076" t="s">
        <v>212</v>
      </c>
      <c r="B64" s="1076" t="s">
        <v>223</v>
      </c>
      <c r="C64" s="1076" t="s">
        <v>214</v>
      </c>
      <c r="D64" s="1076"/>
      <c r="E64" s="1076"/>
      <c r="F64" s="1076"/>
      <c r="G64" s="1076"/>
      <c r="H64" s="1076" t="s">
        <v>126</v>
      </c>
      <c r="M64" s="1054" t="s">
        <v>212</v>
      </c>
      <c r="N64" s="1043" t="s">
        <v>223</v>
      </c>
      <c r="O64" s="1020" t="s">
        <v>214</v>
      </c>
      <c r="P64" s="1021"/>
      <c r="Q64" s="1021"/>
      <c r="R64" s="1021"/>
      <c r="S64" s="1022"/>
      <c r="T64" s="1043" t="s">
        <v>126</v>
      </c>
      <c r="V64" s="777"/>
      <c r="W64" s="778"/>
      <c r="X64" s="775"/>
      <c r="Y64" s="775"/>
      <c r="Z64" s="775"/>
      <c r="AA64" s="775"/>
      <c r="AB64" s="628"/>
    </row>
    <row r="65" spans="1:28" ht="11.1" customHeight="1" thickBot="1">
      <c r="A65" s="1077"/>
      <c r="B65" s="1077"/>
      <c r="C65" s="442">
        <v>2011</v>
      </c>
      <c r="D65" s="442">
        <v>2012</v>
      </c>
      <c r="E65" s="442">
        <v>2013</v>
      </c>
      <c r="F65" s="442">
        <v>2014</v>
      </c>
      <c r="G65" s="64">
        <v>2015</v>
      </c>
      <c r="H65" s="1077"/>
      <c r="M65" s="1055"/>
      <c r="N65" s="1044"/>
      <c r="O65" s="160">
        <v>2011</v>
      </c>
      <c r="P65" s="160">
        <v>2012</v>
      </c>
      <c r="Q65" s="160">
        <v>2013</v>
      </c>
      <c r="R65" s="160">
        <v>2014</v>
      </c>
      <c r="S65" s="160">
        <v>2015</v>
      </c>
      <c r="T65" s="1044"/>
      <c r="V65" s="777"/>
      <c r="W65" s="778"/>
      <c r="X65" s="775"/>
      <c r="Y65" s="775"/>
      <c r="Z65" s="775"/>
      <c r="AA65" s="775"/>
      <c r="AB65" s="628"/>
    </row>
    <row r="66" spans="1:28" ht="11.1" customHeight="1" thickTop="1">
      <c r="A66" s="56">
        <v>1</v>
      </c>
      <c r="B66" s="46" t="s">
        <v>121</v>
      </c>
      <c r="C66" s="59">
        <v>44645.5</v>
      </c>
      <c r="D66" s="59">
        <v>31077.599999999999</v>
      </c>
      <c r="E66" s="59">
        <v>45943</v>
      </c>
      <c r="F66" s="59">
        <v>46193.599999999999</v>
      </c>
      <c r="G66" s="654">
        <f>G388+G593</f>
        <v>34615.200000000004</v>
      </c>
      <c r="H66" s="30">
        <f>(((D66-C66)/C66*100)+((E66-D66)/D66*100)+((F66-E66)/E66*100)+((G66-F66)/F66*100))/4</f>
        <v>-1.7691541106914972</v>
      </c>
      <c r="M66" s="27">
        <v>1</v>
      </c>
      <c r="N66" s="28" t="s">
        <v>121</v>
      </c>
      <c r="O66" s="100">
        <v>2565410</v>
      </c>
      <c r="P66" s="100">
        <v>2200160</v>
      </c>
      <c r="Q66" s="201">
        <v>2663200</v>
      </c>
      <c r="R66" s="612">
        <v>3377080</v>
      </c>
      <c r="S66" s="612">
        <v>3078050</v>
      </c>
      <c r="T66" s="30">
        <f t="shared" ref="T66:T75" si="6">((P66-O66)/O66*100+(Q66-P66)/P66*100+(R66-Q66)/Q66*100+(S66-R66)/R66*100)/4</f>
        <v>6.1897269350822306</v>
      </c>
      <c r="V66" s="777"/>
      <c r="W66" s="778"/>
      <c r="X66" s="775"/>
      <c r="Y66" s="775"/>
      <c r="Z66" s="775"/>
      <c r="AA66" s="775"/>
      <c r="AB66" s="628"/>
    </row>
    <row r="67" spans="1:28" ht="11.1" customHeight="1">
      <c r="A67" s="57">
        <v>2</v>
      </c>
      <c r="B67" s="49" t="s">
        <v>122</v>
      </c>
      <c r="C67" s="60">
        <v>38388.5</v>
      </c>
      <c r="D67" s="60">
        <v>48564.700000000004</v>
      </c>
      <c r="E67" s="60">
        <v>49094.9</v>
      </c>
      <c r="F67" s="60">
        <v>6620.5</v>
      </c>
      <c r="G67" s="655">
        <f>G389+G594</f>
        <v>7059.53</v>
      </c>
      <c r="H67" s="35">
        <f>((D67-C67)/C67*100+(E67-D67)/D67*100+(F67-E67)/E67*100+(G67-F67)/F67*100)/4</f>
        <v>-13.070830323674675</v>
      </c>
      <c r="M67" s="31">
        <v>2</v>
      </c>
      <c r="N67" s="32" t="s">
        <v>122</v>
      </c>
      <c r="O67" s="102">
        <v>44432030</v>
      </c>
      <c r="P67" s="102">
        <v>50384620</v>
      </c>
      <c r="Q67" s="202">
        <v>60640485</v>
      </c>
      <c r="R67" s="613">
        <v>5475200</v>
      </c>
      <c r="S67" s="613">
        <v>5273417</v>
      </c>
      <c r="T67" s="35">
        <f t="shared" si="6"/>
        <v>-15.226057101717261</v>
      </c>
      <c r="V67" s="777"/>
      <c r="W67" s="778"/>
      <c r="X67" s="775"/>
      <c r="Y67" s="775"/>
      <c r="Z67" s="775"/>
      <c r="AA67" s="775"/>
      <c r="AB67" s="628"/>
    </row>
    <row r="68" spans="1:28" ht="11.1" customHeight="1">
      <c r="A68" s="57">
        <v>3</v>
      </c>
      <c r="B68" s="49" t="s">
        <v>184</v>
      </c>
      <c r="C68" s="60">
        <v>2941.9</v>
      </c>
      <c r="D68" s="60">
        <v>3434.1000000000004</v>
      </c>
      <c r="E68" s="60">
        <v>4183.5</v>
      </c>
      <c r="F68" s="60">
        <v>4784.1000000000004</v>
      </c>
      <c r="G68" s="655">
        <f t="shared" ref="G68:G74" si="7">G390+G595</f>
        <v>3760</v>
      </c>
      <c r="H68" s="35">
        <f t="shared" ref="H68:H74" si="8">((D68-C68)/C68*100+(E68-D68)/D68*100+(F68-E68)/E68*100+(G68-F68)/F68*100)/4</f>
        <v>7.8757676997855661</v>
      </c>
      <c r="M68" s="31">
        <v>3</v>
      </c>
      <c r="N68" s="32" t="s">
        <v>184</v>
      </c>
      <c r="O68" s="102">
        <v>40656300</v>
      </c>
      <c r="P68" s="102">
        <v>53709800</v>
      </c>
      <c r="Q68" s="202">
        <v>59644200</v>
      </c>
      <c r="R68" s="613">
        <v>72459200</v>
      </c>
      <c r="S68" s="613">
        <v>57079200</v>
      </c>
      <c r="T68" s="35">
        <f t="shared" si="6"/>
        <v>10.853992168306739</v>
      </c>
      <c r="V68" s="777"/>
      <c r="W68" s="778"/>
      <c r="X68" s="775"/>
      <c r="Y68" s="775"/>
      <c r="Z68" s="775"/>
      <c r="AA68" s="775"/>
      <c r="AB68" s="628"/>
    </row>
    <row r="69" spans="1:28" ht="11.1" customHeight="1">
      <c r="A69" s="57">
        <v>4</v>
      </c>
      <c r="B69" s="49" t="s">
        <v>120</v>
      </c>
      <c r="C69" s="60">
        <v>19338.5</v>
      </c>
      <c r="D69" s="60">
        <v>11873.8</v>
      </c>
      <c r="E69" s="60">
        <v>15293</v>
      </c>
      <c r="F69" s="60">
        <v>25365.599999999999</v>
      </c>
      <c r="G69" s="655">
        <f t="shared" si="7"/>
        <v>22051.95</v>
      </c>
      <c r="H69" s="35">
        <f t="shared" si="8"/>
        <v>10.749133434030126</v>
      </c>
      <c r="M69" s="31">
        <v>4</v>
      </c>
      <c r="N69" s="32" t="s">
        <v>120</v>
      </c>
      <c r="O69" s="102">
        <v>35142344</v>
      </c>
      <c r="P69" s="102">
        <v>41963740</v>
      </c>
      <c r="Q69" s="202">
        <v>69399370</v>
      </c>
      <c r="R69" s="613">
        <v>163178500</v>
      </c>
      <c r="S69" s="613">
        <v>74078260</v>
      </c>
      <c r="T69" s="35">
        <f t="shared" si="6"/>
        <v>41.329214999036523</v>
      </c>
      <c r="V69" s="777"/>
      <c r="W69" s="778"/>
      <c r="X69" s="775"/>
      <c r="Y69" s="775"/>
      <c r="Z69" s="775"/>
      <c r="AA69" s="775"/>
      <c r="AB69" s="628"/>
    </row>
    <row r="70" spans="1:28" ht="11.1" customHeight="1">
      <c r="A70" s="57">
        <v>5</v>
      </c>
      <c r="B70" s="49" t="s">
        <v>125</v>
      </c>
      <c r="C70" s="60">
        <v>15005.599999999999</v>
      </c>
      <c r="D70" s="60">
        <v>14456.4</v>
      </c>
      <c r="E70" s="60">
        <v>16304.4</v>
      </c>
      <c r="F70" s="60">
        <v>19863.400000000001</v>
      </c>
      <c r="G70" s="655">
        <f t="shared" si="7"/>
        <v>19148.5</v>
      </c>
      <c r="H70" s="35">
        <f t="shared" si="8"/>
        <v>6.8381700879154339</v>
      </c>
      <c r="M70" s="31">
        <v>5</v>
      </c>
      <c r="N70" s="32" t="s">
        <v>125</v>
      </c>
      <c r="O70" s="102">
        <v>69330396</v>
      </c>
      <c r="P70" s="102">
        <v>46924200</v>
      </c>
      <c r="Q70" s="202">
        <v>85898190</v>
      </c>
      <c r="R70" s="613">
        <v>93209940</v>
      </c>
      <c r="S70" s="613">
        <v>120673830</v>
      </c>
      <c r="T70" s="35">
        <f t="shared" si="6"/>
        <v>22.178999879551018</v>
      </c>
      <c r="V70" s="777"/>
      <c r="W70" s="778"/>
      <c r="X70" s="775"/>
      <c r="Y70" s="775"/>
      <c r="Z70" s="775"/>
      <c r="AA70" s="775"/>
      <c r="AB70" s="628"/>
    </row>
    <row r="71" spans="1:28" ht="11.1" customHeight="1">
      <c r="A71" s="57">
        <v>6</v>
      </c>
      <c r="B71" s="49" t="s">
        <v>124</v>
      </c>
      <c r="C71" s="60">
        <v>18814.899999999998</v>
      </c>
      <c r="D71" s="60">
        <v>18446.099999999999</v>
      </c>
      <c r="E71" s="60">
        <v>21394.44</v>
      </c>
      <c r="F71" s="60">
        <v>22122.1</v>
      </c>
      <c r="G71" s="655">
        <f t="shared" si="7"/>
        <v>25371.34</v>
      </c>
      <c r="H71" s="35">
        <f t="shared" si="8"/>
        <v>8.0280780886785248</v>
      </c>
      <c r="M71" s="31">
        <v>6</v>
      </c>
      <c r="N71" s="32" t="s">
        <v>124</v>
      </c>
      <c r="O71" s="102">
        <v>9909125</v>
      </c>
      <c r="P71" s="102">
        <v>10743050</v>
      </c>
      <c r="Q71" s="202">
        <v>28767420</v>
      </c>
      <c r="R71" s="613">
        <v>21257250</v>
      </c>
      <c r="S71" s="613">
        <v>22608000</v>
      </c>
      <c r="T71" s="35">
        <f t="shared" si="6"/>
        <v>39.110136589418211</v>
      </c>
      <c r="V71" s="777"/>
      <c r="W71" s="778"/>
      <c r="X71" s="775"/>
      <c r="Y71" s="775"/>
      <c r="Z71" s="775"/>
      <c r="AA71" s="775"/>
      <c r="AB71" s="628"/>
    </row>
    <row r="72" spans="1:28" ht="11.1" customHeight="1">
      <c r="A72" s="57">
        <v>7</v>
      </c>
      <c r="B72" s="49" t="s">
        <v>123</v>
      </c>
      <c r="C72" s="60">
        <v>108715.55</v>
      </c>
      <c r="D72" s="60">
        <v>102312.5</v>
      </c>
      <c r="E72" s="60">
        <v>103002.81999999999</v>
      </c>
      <c r="F72" s="60">
        <v>85791.5</v>
      </c>
      <c r="G72" s="655">
        <f t="shared" si="7"/>
        <v>108216.77</v>
      </c>
      <c r="H72" s="35">
        <f t="shared" si="8"/>
        <v>1.0536738207321976</v>
      </c>
      <c r="M72" s="31">
        <v>7</v>
      </c>
      <c r="N72" s="32" t="s">
        <v>123</v>
      </c>
      <c r="O72" s="102">
        <v>224440724</v>
      </c>
      <c r="P72" s="102">
        <v>84371950</v>
      </c>
      <c r="Q72" s="202">
        <v>119044425</v>
      </c>
      <c r="R72" s="613">
        <v>138621315</v>
      </c>
      <c r="S72" s="613">
        <v>129278548.7</v>
      </c>
      <c r="T72" s="35">
        <f t="shared" si="6"/>
        <v>-2.9019680248488147</v>
      </c>
      <c r="V72" s="777"/>
      <c r="W72" s="778"/>
      <c r="X72" s="775"/>
      <c r="Y72" s="775"/>
      <c r="Z72" s="775"/>
      <c r="AA72" s="775"/>
      <c r="AB72" s="628"/>
    </row>
    <row r="73" spans="1:28" ht="11.1" customHeight="1">
      <c r="A73" s="57">
        <v>8</v>
      </c>
      <c r="B73" s="49" t="s">
        <v>195</v>
      </c>
      <c r="C73" s="60">
        <v>2341.8500000000004</v>
      </c>
      <c r="D73" s="60">
        <v>2772.5</v>
      </c>
      <c r="E73" s="60">
        <v>2605.9</v>
      </c>
      <c r="F73" s="60">
        <v>2638.8</v>
      </c>
      <c r="G73" s="655">
        <f t="shared" si="7"/>
        <v>1383.29</v>
      </c>
      <c r="H73" s="35">
        <f t="shared" si="8"/>
        <v>-8.4840033936736905</v>
      </c>
      <c r="M73" s="31">
        <v>8</v>
      </c>
      <c r="N73" s="32" t="s">
        <v>195</v>
      </c>
      <c r="O73" s="102">
        <v>63997200</v>
      </c>
      <c r="P73" s="102">
        <v>77637800</v>
      </c>
      <c r="Q73" s="202">
        <v>52584700</v>
      </c>
      <c r="R73" s="613">
        <v>56277540</v>
      </c>
      <c r="S73" s="613">
        <v>28205640</v>
      </c>
      <c r="T73" s="35">
        <f t="shared" si="6"/>
        <v>-13.453340253718675</v>
      </c>
      <c r="V73" s="1163"/>
      <c r="W73" s="1163"/>
      <c r="X73" s="776"/>
      <c r="Y73" s="776"/>
      <c r="Z73" s="776"/>
      <c r="AA73" s="776"/>
    </row>
    <row r="74" spans="1:28" ht="11.1" customHeight="1" thickBot="1">
      <c r="A74" s="58">
        <v>9</v>
      </c>
      <c r="B74" s="52" t="s">
        <v>198</v>
      </c>
      <c r="C74" s="60">
        <v>2464.8000000000002</v>
      </c>
      <c r="D74" s="60">
        <v>4705.5</v>
      </c>
      <c r="E74" s="60">
        <v>6148.5</v>
      </c>
      <c r="F74" s="60">
        <v>7326.9</v>
      </c>
      <c r="G74" s="655">
        <f t="shared" si="7"/>
        <v>7266.9</v>
      </c>
      <c r="H74" s="35">
        <f t="shared" si="8"/>
        <v>34.980243998585486</v>
      </c>
      <c r="M74" s="186">
        <v>9</v>
      </c>
      <c r="N74" s="103" t="s">
        <v>198</v>
      </c>
      <c r="O74" s="102">
        <v>29605194</v>
      </c>
      <c r="P74" s="102">
        <v>69408000</v>
      </c>
      <c r="Q74" s="202">
        <v>100114000</v>
      </c>
      <c r="R74" s="613">
        <v>136894500</v>
      </c>
      <c r="S74" s="613">
        <v>145744000</v>
      </c>
      <c r="T74" s="35">
        <f t="shared" si="6"/>
        <v>55.472072469875783</v>
      </c>
      <c r="V74" s="779"/>
      <c r="W74" s="779"/>
      <c r="X74" s="779"/>
      <c r="Y74" s="779"/>
      <c r="Z74" s="779"/>
      <c r="AA74" s="779"/>
    </row>
    <row r="75" spans="1:28" ht="11.1" customHeight="1" thickTop="1" thickBot="1">
      <c r="A75" s="1095" t="s">
        <v>224</v>
      </c>
      <c r="B75" s="1095"/>
      <c r="C75" s="66">
        <f>SUM(C66:C74)</f>
        <v>252657.1</v>
      </c>
      <c r="D75" s="66">
        <f>SUM(D66:D74)</f>
        <v>237643.2</v>
      </c>
      <c r="E75" s="66">
        <f>SUM(E66:E74)</f>
        <v>263970.45999999996</v>
      </c>
      <c r="F75" s="66">
        <f>SUM(F66:F74)</f>
        <v>220706.49999999997</v>
      </c>
      <c r="G75" s="66">
        <f>SUM(G66:G74)</f>
        <v>228873.48</v>
      </c>
      <c r="H75" s="84">
        <f>((D75-C75)/C75*100+(E75-D75)/D75*100+(F75-E75)/E75*100+(G75-F75)/F75*100)/4</f>
        <v>-1.8883091470651336</v>
      </c>
      <c r="M75" s="1102" t="s">
        <v>224</v>
      </c>
      <c r="N75" s="1103"/>
      <c r="O75" s="115">
        <f>SUM(O66:O74)</f>
        <v>520078723</v>
      </c>
      <c r="P75" s="115">
        <f>SUM(P66:P74)</f>
        <v>437343320</v>
      </c>
      <c r="Q75" s="115">
        <f>SUM(Q66:Q74)</f>
        <v>578755990</v>
      </c>
      <c r="R75" s="115">
        <f>SUM(R66:R74)</f>
        <v>690750525</v>
      </c>
      <c r="S75" s="115">
        <f>SUM(S66:S74)</f>
        <v>586018945.70000005</v>
      </c>
      <c r="T75" s="55">
        <f t="shared" si="6"/>
        <v>5.1537848085768463</v>
      </c>
      <c r="V75" s="482"/>
      <c r="W75" s="1159"/>
      <c r="X75" s="1159"/>
      <c r="Y75" s="1159"/>
      <c r="Z75" s="1159"/>
      <c r="AA75" s="780"/>
    </row>
    <row r="76" spans="1:28" ht="11.1" customHeight="1" thickTop="1">
      <c r="A76" s="45"/>
      <c r="B76" s="45"/>
      <c r="C76" s="45"/>
      <c r="D76" s="45"/>
      <c r="E76" s="45"/>
      <c r="F76" s="45"/>
      <c r="G76" s="45"/>
      <c r="H76" s="45"/>
      <c r="M76" s="40"/>
      <c r="N76" s="40"/>
      <c r="O76" s="185"/>
      <c r="P76" s="40"/>
      <c r="Q76" s="40"/>
      <c r="R76" s="40"/>
      <c r="S76" s="40"/>
      <c r="T76" s="40"/>
    </row>
    <row r="77" spans="1:28" ht="11.1" customHeight="1">
      <c r="A77" s="45"/>
      <c r="B77" s="966" t="s">
        <v>229</v>
      </c>
      <c r="C77" s="966"/>
      <c r="D77" s="966"/>
      <c r="E77" s="966"/>
      <c r="F77" s="966"/>
      <c r="G77" s="966"/>
      <c r="H77" s="966"/>
      <c r="M77" s="40"/>
      <c r="N77" s="966" t="s">
        <v>356</v>
      </c>
      <c r="O77" s="966"/>
      <c r="P77" s="966"/>
      <c r="Q77" s="966"/>
      <c r="R77" s="966"/>
      <c r="S77" s="966"/>
      <c r="T77" s="966"/>
    </row>
    <row r="78" spans="1:28" ht="11.1" customHeight="1">
      <c r="A78" s="45"/>
      <c r="B78" s="423"/>
      <c r="C78" s="423"/>
      <c r="D78" s="423"/>
      <c r="E78" s="423"/>
      <c r="F78" s="423"/>
      <c r="G78" s="423"/>
      <c r="H78" s="423"/>
    </row>
    <row r="79" spans="1:28" ht="11.1" customHeight="1">
      <c r="A79" s="45"/>
      <c r="B79" s="423"/>
      <c r="C79" s="423"/>
      <c r="D79" s="423"/>
      <c r="E79" s="423"/>
      <c r="F79" s="423"/>
      <c r="G79" s="423"/>
      <c r="H79" s="423"/>
    </row>
    <row r="80" spans="1:28" ht="11.1" customHeight="1">
      <c r="A80" s="45"/>
      <c r="B80" s="423"/>
      <c r="C80" s="423"/>
      <c r="D80" s="423"/>
      <c r="E80" s="423"/>
      <c r="F80" s="423"/>
      <c r="G80" s="423"/>
      <c r="H80" s="423"/>
    </row>
    <row r="81" spans="1:27" ht="11.1" customHeight="1">
      <c r="A81" s="45"/>
      <c r="B81" s="423"/>
      <c r="C81" s="423"/>
      <c r="D81" s="423"/>
      <c r="E81" s="423"/>
      <c r="F81" s="423"/>
      <c r="G81" s="423"/>
      <c r="H81" s="423"/>
      <c r="S81" s="450"/>
    </row>
    <row r="82" spans="1:27" ht="11.1" customHeight="1">
      <c r="A82" s="45"/>
      <c r="B82" s="423"/>
      <c r="C82" s="423"/>
      <c r="D82" s="423"/>
      <c r="E82" s="423"/>
      <c r="F82" s="423"/>
      <c r="G82" s="423"/>
      <c r="H82" s="423"/>
      <c r="S82" s="450"/>
    </row>
    <row r="83" spans="1:27" ht="11.1" customHeight="1">
      <c r="A83" s="45"/>
      <c r="B83" s="423"/>
      <c r="C83" s="423"/>
      <c r="D83" s="423"/>
      <c r="E83" s="423"/>
      <c r="F83" s="423"/>
      <c r="G83" s="423"/>
      <c r="H83" s="423"/>
      <c r="S83" s="450"/>
    </row>
    <row r="84" spans="1:27" ht="11.1" customHeight="1">
      <c r="A84" s="45"/>
      <c r="B84" s="423"/>
      <c r="C84" s="423"/>
      <c r="D84" s="423"/>
      <c r="E84" s="423"/>
      <c r="F84" s="423"/>
      <c r="G84" s="423"/>
      <c r="H84" s="423"/>
      <c r="S84" s="450"/>
    </row>
    <row r="85" spans="1:27" ht="11.1" customHeight="1">
      <c r="A85" s="45"/>
      <c r="B85" s="423"/>
      <c r="C85" s="423"/>
      <c r="D85" s="423"/>
      <c r="E85" s="423"/>
      <c r="F85" s="423"/>
      <c r="G85" s="423"/>
      <c r="H85" s="423"/>
      <c r="S85" s="450"/>
    </row>
    <row r="86" spans="1:27" ht="11.1" customHeight="1">
      <c r="A86" s="45"/>
      <c r="B86" s="423"/>
      <c r="C86" s="423"/>
      <c r="D86" s="423"/>
      <c r="E86" s="423"/>
      <c r="F86" s="423"/>
      <c r="G86" s="423"/>
      <c r="H86" s="423"/>
    </row>
    <row r="87" spans="1:27" ht="11.1" customHeight="1">
      <c r="A87" s="45"/>
      <c r="B87" s="423"/>
      <c r="C87" s="423"/>
      <c r="D87" s="423"/>
      <c r="E87" s="423"/>
      <c r="F87" s="423"/>
      <c r="G87" s="423"/>
      <c r="H87" s="423"/>
    </row>
    <row r="88" spans="1:27" ht="11.1" customHeight="1"/>
    <row r="89" spans="1:27" ht="11.1" customHeight="1">
      <c r="M89" s="1104" t="s">
        <v>545</v>
      </c>
      <c r="N89" s="1104"/>
      <c r="O89" s="1104"/>
      <c r="P89" s="1104"/>
      <c r="Q89" s="1104"/>
      <c r="R89" s="1104"/>
      <c r="S89" s="1104"/>
      <c r="T89" s="1104"/>
    </row>
    <row r="90" spans="1:27" ht="11.1" customHeight="1">
      <c r="A90" s="1075" t="s">
        <v>489</v>
      </c>
      <c r="B90" s="1075"/>
      <c r="C90" s="1075"/>
      <c r="D90" s="1075"/>
      <c r="E90" s="1075"/>
      <c r="F90" s="1075"/>
      <c r="G90" s="1075"/>
      <c r="H90" s="1075"/>
      <c r="M90" s="1104" t="s">
        <v>711</v>
      </c>
      <c r="N90" s="1104"/>
      <c r="O90" s="1104"/>
      <c r="P90" s="1104"/>
      <c r="Q90" s="1104"/>
      <c r="R90" s="1104"/>
      <c r="S90" s="1104"/>
      <c r="T90" s="1104"/>
      <c r="V90" s="1025"/>
      <c r="W90" s="1025"/>
      <c r="X90" s="1025"/>
      <c r="Y90" s="1025"/>
      <c r="Z90" s="1025"/>
      <c r="AA90" s="668"/>
    </row>
    <row r="91" spans="1:27" ht="11.1" customHeight="1">
      <c r="A91" s="1075" t="s">
        <v>710</v>
      </c>
      <c r="B91" s="1075"/>
      <c r="C91" s="1075"/>
      <c r="D91" s="1075"/>
      <c r="E91" s="1075"/>
      <c r="F91" s="1075"/>
      <c r="G91" s="1075"/>
      <c r="H91" s="1075"/>
      <c r="M91" s="250"/>
      <c r="N91" s="250"/>
      <c r="O91" s="250"/>
      <c r="P91" s="250"/>
      <c r="Q91" s="250"/>
      <c r="R91" s="1105" t="s">
        <v>334</v>
      </c>
      <c r="S91" s="1105"/>
      <c r="T91" s="1105"/>
      <c r="V91" s="1046"/>
      <c r="W91" s="1046"/>
      <c r="X91" s="1046"/>
      <c r="Y91" s="1046"/>
      <c r="Z91" s="1046"/>
      <c r="AA91" s="669"/>
    </row>
    <row r="92" spans="1:27" ht="11.1" customHeight="1">
      <c r="A92" s="45"/>
      <c r="B92" s="45"/>
      <c r="C92" s="45"/>
      <c r="D92" s="45"/>
      <c r="E92" s="45"/>
      <c r="F92" s="45"/>
      <c r="G92" s="1094" t="s">
        <v>230</v>
      </c>
      <c r="H92" s="1094"/>
      <c r="M92" s="1106" t="s">
        <v>212</v>
      </c>
      <c r="N92" s="1108" t="s">
        <v>314</v>
      </c>
      <c r="O92" s="1020" t="s">
        <v>214</v>
      </c>
      <c r="P92" s="1021"/>
      <c r="Q92" s="1021"/>
      <c r="R92" s="1021"/>
      <c r="S92" s="1022"/>
      <c r="T92" s="1110" t="s">
        <v>126</v>
      </c>
      <c r="V92" s="86"/>
      <c r="W92" s="86"/>
      <c r="X92" s="558"/>
      <c r="Y92" s="558"/>
      <c r="Z92" s="558"/>
      <c r="AA92" s="558"/>
    </row>
    <row r="93" spans="1:27" ht="11.1" customHeight="1" thickBot="1">
      <c r="A93" s="1076" t="s">
        <v>212</v>
      </c>
      <c r="B93" s="1076" t="s">
        <v>223</v>
      </c>
      <c r="C93" s="1076" t="s">
        <v>214</v>
      </c>
      <c r="D93" s="1076"/>
      <c r="E93" s="1076"/>
      <c r="F93" s="1076"/>
      <c r="G93" s="1076"/>
      <c r="H93" s="1076" t="s">
        <v>126</v>
      </c>
      <c r="M93" s="1107"/>
      <c r="N93" s="1109"/>
      <c r="O93" s="160">
        <v>2011</v>
      </c>
      <c r="P93" s="160">
        <v>2012</v>
      </c>
      <c r="Q93" s="160">
        <v>2013</v>
      </c>
      <c r="R93" s="160">
        <v>2014</v>
      </c>
      <c r="S93" s="160">
        <v>2015</v>
      </c>
      <c r="T93" s="1111"/>
      <c r="V93" s="1033"/>
      <c r="W93" s="1162"/>
      <c r="X93" s="1164"/>
      <c r="Y93" s="1164"/>
      <c r="Z93" s="601"/>
      <c r="AA93" s="601"/>
    </row>
    <row r="94" spans="1:27" ht="11.1" customHeight="1" thickTop="1" thickBot="1">
      <c r="A94" s="1077"/>
      <c r="B94" s="1077"/>
      <c r="C94" s="442">
        <v>2011</v>
      </c>
      <c r="D94" s="442">
        <v>2012</v>
      </c>
      <c r="E94" s="442">
        <v>2013</v>
      </c>
      <c r="F94" s="442">
        <v>2014</v>
      </c>
      <c r="G94" s="64">
        <v>2015</v>
      </c>
      <c r="H94" s="1077"/>
      <c r="M94" s="252">
        <v>1</v>
      </c>
      <c r="N94" s="253" t="s">
        <v>325</v>
      </c>
      <c r="O94" s="254">
        <v>277014560</v>
      </c>
      <c r="P94" s="254">
        <v>150525180</v>
      </c>
      <c r="Q94" s="255">
        <v>206475120</v>
      </c>
      <c r="R94" s="617">
        <v>173333490.80000001</v>
      </c>
      <c r="S94" s="617">
        <v>168524637.69999999</v>
      </c>
      <c r="T94" s="35">
        <f t="shared" ref="T94:T99" si="9">((P94-O94)/O94*100+(Q94-P94)/P94*100+(R94-Q94)/Q94*100+(S94-R94)/R94*100)/4</f>
        <v>-6.8293249460346406</v>
      </c>
      <c r="V94" s="1033"/>
      <c r="W94" s="1162"/>
      <c r="X94" s="1164"/>
      <c r="Y94" s="1164"/>
      <c r="Z94" s="602"/>
      <c r="AA94" s="602"/>
    </row>
    <row r="95" spans="1:27" ht="11.1" customHeight="1" thickTop="1">
      <c r="A95" s="46">
        <v>1</v>
      </c>
      <c r="B95" s="46" t="s">
        <v>121</v>
      </c>
      <c r="C95" s="47">
        <v>9394</v>
      </c>
      <c r="D95" s="47">
        <v>9389</v>
      </c>
      <c r="E95" s="47">
        <v>9191</v>
      </c>
      <c r="F95" s="47">
        <v>9483</v>
      </c>
      <c r="G95" s="650">
        <f>G211+G535</f>
        <v>9711</v>
      </c>
      <c r="H95" s="30">
        <f>(((D95-C95)/C95*100)+((E95-D95)/D95*100)+((F95-E95)/E95*100)+((G95-F95)/F95*100))/4</f>
        <v>0.85481179721216749</v>
      </c>
      <c r="M95" s="256">
        <v>2</v>
      </c>
      <c r="N95" s="257" t="s">
        <v>326</v>
      </c>
      <c r="O95" s="258">
        <v>93901800</v>
      </c>
      <c r="P95" s="258">
        <v>74011040</v>
      </c>
      <c r="Q95" s="259">
        <v>130563660</v>
      </c>
      <c r="R95" s="618">
        <v>215008250</v>
      </c>
      <c r="S95" s="618">
        <v>158480930</v>
      </c>
      <c r="T95" s="35">
        <f t="shared" si="9"/>
        <v>23.403681882036732</v>
      </c>
      <c r="V95" s="777"/>
      <c r="W95" s="778"/>
      <c r="X95" s="1165"/>
      <c r="Y95" s="1165"/>
      <c r="Z95" s="603"/>
      <c r="AA95" s="603"/>
    </row>
    <row r="96" spans="1:27" ht="11.1" customHeight="1">
      <c r="A96" s="49">
        <v>2</v>
      </c>
      <c r="B96" s="49" t="s">
        <v>122</v>
      </c>
      <c r="C96" s="50">
        <v>3727</v>
      </c>
      <c r="D96" s="50">
        <v>3273</v>
      </c>
      <c r="E96" s="50">
        <v>3012</v>
      </c>
      <c r="F96" s="50">
        <v>1912</v>
      </c>
      <c r="G96" s="651">
        <f>G212+G536</f>
        <v>1950</v>
      </c>
      <c r="H96" s="35">
        <f>((D96-C96)/C96*100+(E96-D96)/D96*100+(F96-E96)/E96*100+(G96-F96)/F96*100)/4</f>
        <v>-13.672212806987588</v>
      </c>
      <c r="M96" s="256">
        <v>3</v>
      </c>
      <c r="N96" s="257" t="s">
        <v>327</v>
      </c>
      <c r="O96" s="258">
        <v>115640770</v>
      </c>
      <c r="P96" s="258">
        <v>150901000</v>
      </c>
      <c r="Q96" s="259">
        <v>154050010</v>
      </c>
      <c r="R96" s="618">
        <v>198033964.19999999</v>
      </c>
      <c r="S96" s="618">
        <v>143381778</v>
      </c>
      <c r="T96" s="35">
        <f t="shared" si="9"/>
        <v>8.3830844194533523</v>
      </c>
      <c r="V96" s="777"/>
      <c r="W96" s="778"/>
      <c r="X96" s="1165"/>
      <c r="Y96" s="1165"/>
      <c r="Z96" s="603"/>
      <c r="AA96" s="603"/>
    </row>
    <row r="97" spans="1:27" ht="11.1" customHeight="1">
      <c r="A97" s="49">
        <v>3</v>
      </c>
      <c r="B97" s="49" t="s">
        <v>184</v>
      </c>
      <c r="C97" s="50">
        <v>8469</v>
      </c>
      <c r="D97" s="50">
        <v>5413</v>
      </c>
      <c r="E97" s="50">
        <v>7953</v>
      </c>
      <c r="F97" s="50">
        <v>9892</v>
      </c>
      <c r="G97" s="652">
        <f t="shared" ref="G97:G103" si="10">G213+G537</f>
        <v>9222</v>
      </c>
      <c r="H97" s="35">
        <f t="shared" ref="H97:H103" si="11">((D97-C97)/C97*100+(E97-D97)/D97*100+(F97-E97)/E97*100+(G97-F97)/F97*100)/4</f>
        <v>7.1117787145583744</v>
      </c>
      <c r="M97" s="256">
        <v>4</v>
      </c>
      <c r="N97" s="257" t="s">
        <v>328</v>
      </c>
      <c r="O97" s="258">
        <v>7032078</v>
      </c>
      <c r="P97" s="258">
        <v>8109300</v>
      </c>
      <c r="Q97" s="259">
        <v>6742550</v>
      </c>
      <c r="R97" s="618">
        <v>8114400</v>
      </c>
      <c r="S97" s="618">
        <v>6822600</v>
      </c>
      <c r="T97" s="35">
        <f t="shared" si="9"/>
        <v>0.72272364866346361</v>
      </c>
      <c r="V97" s="777"/>
      <c r="W97" s="778"/>
      <c r="X97" s="1165"/>
      <c r="Y97" s="1165"/>
      <c r="Z97" s="603"/>
      <c r="AA97" s="603"/>
    </row>
    <row r="98" spans="1:27" ht="11.1" customHeight="1">
      <c r="A98" s="49">
        <v>4</v>
      </c>
      <c r="B98" s="49" t="s">
        <v>120</v>
      </c>
      <c r="C98" s="50">
        <v>10945</v>
      </c>
      <c r="D98" s="50">
        <v>11514</v>
      </c>
      <c r="E98" s="50">
        <v>11447</v>
      </c>
      <c r="F98" s="50">
        <v>11809</v>
      </c>
      <c r="G98" s="652">
        <f t="shared" si="10"/>
        <v>11911</v>
      </c>
      <c r="H98" s="35">
        <f t="shared" si="11"/>
        <v>2.1607422999069992</v>
      </c>
      <c r="M98" s="256">
        <v>5</v>
      </c>
      <c r="N98" s="257" t="s">
        <v>329</v>
      </c>
      <c r="O98" s="258">
        <v>26489515</v>
      </c>
      <c r="P98" s="258">
        <v>53796800</v>
      </c>
      <c r="Q98" s="259">
        <v>80924650</v>
      </c>
      <c r="R98" s="618">
        <v>96260420</v>
      </c>
      <c r="S98" s="618">
        <v>108809000</v>
      </c>
      <c r="T98" s="35">
        <f t="shared" si="9"/>
        <v>46.375102743032535</v>
      </c>
      <c r="V98" s="777"/>
      <c r="W98" s="778"/>
      <c r="X98" s="1165"/>
      <c r="Y98" s="1165"/>
      <c r="Z98" s="603"/>
      <c r="AA98" s="603"/>
    </row>
    <row r="99" spans="1:27" ht="11.1" customHeight="1" thickBot="1">
      <c r="A99" s="49">
        <v>5</v>
      </c>
      <c r="B99" s="49" t="s">
        <v>125</v>
      </c>
      <c r="C99" s="50">
        <v>7819</v>
      </c>
      <c r="D99" s="50">
        <v>7805</v>
      </c>
      <c r="E99" s="50">
        <v>10271</v>
      </c>
      <c r="F99" s="50">
        <v>9849</v>
      </c>
      <c r="G99" s="652">
        <f>G215+G539</f>
        <v>8374</v>
      </c>
      <c r="H99" s="35">
        <f t="shared" si="11"/>
        <v>3.0828212873186156</v>
      </c>
      <c r="M99" s="256">
        <v>6</v>
      </c>
      <c r="N99" s="257" t="s">
        <v>335</v>
      </c>
      <c r="O99" s="258">
        <v>0</v>
      </c>
      <c r="P99" s="258">
        <v>0</v>
      </c>
      <c r="Q99" s="259">
        <v>0</v>
      </c>
      <c r="R99" s="259">
        <v>0</v>
      </c>
      <c r="S99" s="259">
        <v>0</v>
      </c>
      <c r="T99" s="35" t="e">
        <f t="shared" si="9"/>
        <v>#DIV/0!</v>
      </c>
      <c r="V99" s="777"/>
      <c r="W99" s="778"/>
      <c r="X99" s="1165"/>
      <c r="Y99" s="1165"/>
      <c r="Z99" s="603"/>
      <c r="AA99" s="603"/>
    </row>
    <row r="100" spans="1:27" ht="11.1" customHeight="1" thickTop="1" thickBot="1">
      <c r="A100" s="49">
        <v>6</v>
      </c>
      <c r="B100" s="49" t="s">
        <v>124</v>
      </c>
      <c r="C100" s="50">
        <v>7316</v>
      </c>
      <c r="D100" s="50">
        <v>7091</v>
      </c>
      <c r="E100" s="50">
        <v>7322</v>
      </c>
      <c r="F100" s="50">
        <v>7340</v>
      </c>
      <c r="G100" s="652">
        <f t="shared" si="10"/>
        <v>7346</v>
      </c>
      <c r="H100" s="35">
        <f t="shared" si="11"/>
        <v>0.12744445436277077</v>
      </c>
      <c r="M100" s="1160" t="s">
        <v>224</v>
      </c>
      <c r="N100" s="1161"/>
      <c r="O100" s="249">
        <f>SUM(O94:O99)</f>
        <v>520078723</v>
      </c>
      <c r="P100" s="249">
        <f>SUM(P94:P99)</f>
        <v>437343320</v>
      </c>
      <c r="Q100" s="249">
        <f>SUM(Q94:Q99)</f>
        <v>578755990</v>
      </c>
      <c r="R100" s="249">
        <f>SUM(R94:R99)</f>
        <v>690750525</v>
      </c>
      <c r="S100" s="249">
        <f>SUM(S94:S99)</f>
        <v>586018945.70000005</v>
      </c>
      <c r="T100" s="55">
        <f>((P100-O100)/O100*100+(Q100-P100)/P100*100+(R100-Q100)/Q100*100+(S100-R100)/R100*100)/4</f>
        <v>5.1537848085768463</v>
      </c>
      <c r="V100" s="777"/>
      <c r="W100" s="778"/>
      <c r="X100" s="1165"/>
      <c r="Y100" s="1165"/>
      <c r="Z100" s="603"/>
      <c r="AA100" s="603"/>
    </row>
    <row r="101" spans="1:27" ht="11.1" customHeight="1" thickTop="1">
      <c r="A101" s="49">
        <v>7</v>
      </c>
      <c r="B101" s="49" t="s">
        <v>123</v>
      </c>
      <c r="C101" s="50">
        <v>4148</v>
      </c>
      <c r="D101" s="50">
        <v>4167</v>
      </c>
      <c r="E101" s="50">
        <v>4220</v>
      </c>
      <c r="F101" s="50">
        <v>3970</v>
      </c>
      <c r="G101" s="652">
        <f t="shared" si="10"/>
        <v>3873</v>
      </c>
      <c r="H101" s="35">
        <f t="shared" si="11"/>
        <v>-1.6593863079282427</v>
      </c>
      <c r="M101" s="250"/>
      <c r="N101" s="250"/>
      <c r="O101" s="250"/>
      <c r="P101" s="250"/>
      <c r="Q101" s="250"/>
      <c r="R101" s="250"/>
      <c r="S101" s="250"/>
      <c r="T101" s="251"/>
      <c r="V101" s="777"/>
      <c r="W101" s="778"/>
      <c r="X101" s="1165"/>
      <c r="Y101" s="1165"/>
      <c r="Z101" s="603"/>
      <c r="AA101" s="603"/>
    </row>
    <row r="102" spans="1:27" ht="11.1" customHeight="1">
      <c r="A102" s="49">
        <v>8</v>
      </c>
      <c r="B102" s="49" t="s">
        <v>195</v>
      </c>
      <c r="C102" s="50">
        <v>3209</v>
      </c>
      <c r="D102" s="50">
        <v>3561</v>
      </c>
      <c r="E102" s="50">
        <v>3051</v>
      </c>
      <c r="F102" s="50">
        <v>2871</v>
      </c>
      <c r="G102" s="652">
        <f t="shared" si="10"/>
        <v>1702</v>
      </c>
      <c r="H102" s="35">
        <f t="shared" si="11"/>
        <v>-12.492473872123272</v>
      </c>
      <c r="M102" s="250"/>
      <c r="N102" s="966" t="s">
        <v>358</v>
      </c>
      <c r="O102" s="966"/>
      <c r="P102" s="966"/>
      <c r="Q102" s="966"/>
      <c r="R102" s="966"/>
      <c r="S102" s="966"/>
      <c r="T102" s="966"/>
      <c r="V102" s="777"/>
      <c r="W102" s="778"/>
      <c r="X102" s="1165"/>
      <c r="Y102" s="1165"/>
      <c r="Z102" s="603"/>
      <c r="AA102" s="603"/>
    </row>
    <row r="103" spans="1:27" ht="11.1" customHeight="1" thickBot="1">
      <c r="A103" s="52">
        <v>9</v>
      </c>
      <c r="B103" s="52" t="s">
        <v>198</v>
      </c>
      <c r="C103" s="53">
        <v>3412</v>
      </c>
      <c r="D103" s="53">
        <v>3482</v>
      </c>
      <c r="E103" s="53">
        <v>3480</v>
      </c>
      <c r="F103" s="53">
        <v>3585</v>
      </c>
      <c r="G103" s="653">
        <f t="shared" si="10"/>
        <v>3612</v>
      </c>
      <c r="H103" s="35">
        <f t="shared" si="11"/>
        <v>1.44113096255488</v>
      </c>
      <c r="M103" s="40"/>
      <c r="N103" s="1066" t="s">
        <v>322</v>
      </c>
      <c r="O103" s="1066"/>
      <c r="P103" s="1066"/>
      <c r="Q103" s="1066"/>
      <c r="R103" s="1066"/>
      <c r="S103" s="185"/>
      <c r="T103" s="40"/>
      <c r="V103" s="777"/>
      <c r="W103" s="778"/>
      <c r="X103" s="1182"/>
      <c r="Y103" s="1182"/>
      <c r="Z103" s="604"/>
      <c r="AA103" s="604"/>
    </row>
    <row r="104" spans="1:27" ht="11.1" customHeight="1" thickTop="1">
      <c r="A104" s="1100" t="s">
        <v>224</v>
      </c>
      <c r="B104" s="1100"/>
      <c r="C104" s="71">
        <f>SUM(C95:C103)</f>
        <v>58439</v>
      </c>
      <c r="D104" s="71">
        <f>SUM(D95:D103)</f>
        <v>55695</v>
      </c>
      <c r="E104" s="71">
        <f>SUM(E95:E103)</f>
        <v>59947</v>
      </c>
      <c r="F104" s="71">
        <f>SUM(F95:F103)</f>
        <v>60711</v>
      </c>
      <c r="G104" s="71">
        <f>SUM(G95:G103)</f>
        <v>57701</v>
      </c>
      <c r="H104" s="339">
        <f>((D104-C104)/C104*100+(E104-D104)/D104*100+(F104-E104)/E104*100+(G104-F104)/F104*100)/4</f>
        <v>-0.18612828736892228</v>
      </c>
      <c r="M104" s="40"/>
      <c r="N104" s="1066"/>
      <c r="O104" s="1066"/>
      <c r="P104" s="1066"/>
      <c r="Q104" s="1066"/>
      <c r="R104" s="1066"/>
      <c r="S104" s="109"/>
      <c r="T104" s="113"/>
      <c r="V104" s="1163"/>
      <c r="W104" s="1163"/>
      <c r="X104" s="1032"/>
      <c r="Y104" s="1032"/>
      <c r="Z104" s="604"/>
      <c r="AA104" s="604"/>
    </row>
    <row r="105" spans="1:27" ht="11.1" customHeight="1">
      <c r="A105" s="45"/>
      <c r="B105" s="45"/>
      <c r="C105" s="45"/>
      <c r="D105" s="45"/>
      <c r="E105" s="45"/>
      <c r="F105" s="45"/>
      <c r="G105" s="45"/>
      <c r="H105" s="45"/>
      <c r="M105" s="40"/>
      <c r="N105" s="1066"/>
      <c r="O105" s="1066"/>
      <c r="P105" s="1066"/>
      <c r="Q105" s="1066"/>
      <c r="R105" s="1066"/>
      <c r="S105" s="109"/>
      <c r="T105" s="113"/>
      <c r="V105" s="779"/>
      <c r="W105" s="779"/>
      <c r="X105" s="779"/>
      <c r="Y105" s="779"/>
      <c r="Z105" s="86"/>
      <c r="AA105" s="86"/>
    </row>
    <row r="106" spans="1:27" ht="11.1" customHeight="1">
      <c r="A106" s="45"/>
      <c r="B106" s="966" t="s">
        <v>231</v>
      </c>
      <c r="C106" s="966"/>
      <c r="D106" s="966"/>
      <c r="E106" s="966"/>
      <c r="F106" s="966"/>
      <c r="G106" s="966"/>
      <c r="H106" s="966"/>
      <c r="M106" s="40"/>
      <c r="N106" s="428"/>
      <c r="O106" s="428"/>
      <c r="P106" s="428"/>
      <c r="Q106" s="428"/>
      <c r="R106" s="428"/>
      <c r="S106" s="429"/>
      <c r="T106" s="113"/>
      <c r="V106" s="40"/>
      <c r="W106" s="966"/>
      <c r="X106" s="966"/>
      <c r="Y106" s="966"/>
      <c r="Z106" s="966"/>
      <c r="AA106" s="665"/>
    </row>
    <row r="107" spans="1:27" ht="11.1" customHeight="1">
      <c r="M107" s="40"/>
      <c r="N107" s="428"/>
      <c r="O107" s="428"/>
      <c r="P107" s="428"/>
      <c r="Q107" s="428"/>
      <c r="R107" s="428"/>
      <c r="S107" s="429"/>
      <c r="T107" s="113"/>
    </row>
    <row r="108" spans="1:27" ht="11.1" customHeight="1">
      <c r="M108" s="40"/>
      <c r="N108" s="428"/>
      <c r="O108" s="428"/>
      <c r="P108" s="428"/>
      <c r="Q108" s="428"/>
      <c r="R108" s="428"/>
      <c r="S108" s="429"/>
      <c r="T108" s="113"/>
    </row>
    <row r="109" spans="1:27" ht="11.1" customHeight="1">
      <c r="M109" s="40"/>
      <c r="N109" s="428"/>
      <c r="O109" s="428"/>
      <c r="P109" s="428"/>
      <c r="Q109" s="428"/>
      <c r="R109" s="428"/>
      <c r="S109" s="429"/>
      <c r="T109" s="113"/>
    </row>
    <row r="110" spans="1:27" ht="11.1" customHeight="1">
      <c r="M110" s="40"/>
      <c r="N110" s="428"/>
      <c r="O110" s="428"/>
      <c r="P110" s="428"/>
      <c r="Q110" s="428"/>
      <c r="R110" s="428"/>
      <c r="S110" s="429"/>
      <c r="T110" s="113"/>
    </row>
    <row r="111" spans="1:27" ht="11.1" customHeight="1">
      <c r="M111" s="40"/>
      <c r="N111" s="428"/>
      <c r="O111" s="428"/>
      <c r="P111" s="428"/>
      <c r="Q111" s="428"/>
      <c r="R111" s="428"/>
      <c r="S111" s="429"/>
      <c r="T111" s="113"/>
    </row>
    <row r="112" spans="1:27" ht="11.1" customHeight="1">
      <c r="M112" s="40"/>
      <c r="N112" s="428"/>
      <c r="O112" s="428"/>
      <c r="P112" s="428"/>
      <c r="Q112" s="428"/>
      <c r="R112" s="428"/>
      <c r="S112" s="429"/>
      <c r="T112" s="113"/>
    </row>
    <row r="113" spans="1:20" ht="11.1" customHeight="1">
      <c r="M113" s="40"/>
      <c r="N113" s="428"/>
      <c r="O113" s="428"/>
      <c r="P113" s="428"/>
      <c r="Q113" s="428"/>
      <c r="R113" s="428"/>
      <c r="S113" s="429"/>
      <c r="T113" s="113"/>
    </row>
    <row r="114" spans="1:20" ht="11.1" customHeight="1">
      <c r="M114" s="40"/>
      <c r="N114" s="428"/>
      <c r="O114" s="428"/>
      <c r="P114" s="428"/>
      <c r="Q114" s="428"/>
      <c r="R114" s="428"/>
      <c r="S114" s="429"/>
      <c r="T114" s="113"/>
    </row>
    <row r="115" spans="1:20" ht="11.1" customHeight="1">
      <c r="M115" s="40"/>
      <c r="N115" s="428"/>
      <c r="O115" s="428"/>
      <c r="P115" s="428"/>
      <c r="Q115" s="428"/>
      <c r="R115" s="428"/>
      <c r="S115" s="429"/>
      <c r="T115" s="113"/>
    </row>
    <row r="116" spans="1:20" ht="11.1" customHeight="1">
      <c r="M116" s="40"/>
      <c r="N116" s="428"/>
      <c r="O116" s="428"/>
      <c r="P116" s="428"/>
      <c r="Q116" s="428"/>
      <c r="R116" s="428"/>
      <c r="S116" s="429"/>
      <c r="T116" s="113"/>
    </row>
    <row r="117" spans="1:20" ht="11.1" customHeight="1">
      <c r="A117" s="1101" t="s">
        <v>490</v>
      </c>
      <c r="B117" s="1101"/>
      <c r="C117" s="1101"/>
      <c r="D117" s="1101"/>
      <c r="E117" s="1101"/>
      <c r="F117" s="1101"/>
      <c r="G117" s="1101"/>
      <c r="H117" s="1101"/>
      <c r="M117" s="40"/>
      <c r="N117" s="428"/>
      <c r="O117" s="428"/>
      <c r="P117" s="428"/>
      <c r="Q117" s="428"/>
      <c r="R117" s="428"/>
      <c r="S117" s="429"/>
      <c r="T117" s="113"/>
    </row>
    <row r="118" spans="1:20" ht="11.1" customHeight="1">
      <c r="A118" s="1101" t="s">
        <v>712</v>
      </c>
      <c r="B118" s="1101"/>
      <c r="C118" s="1101"/>
      <c r="D118" s="1101"/>
      <c r="E118" s="1101"/>
      <c r="F118" s="1101"/>
      <c r="G118" s="1101"/>
      <c r="H118" s="1101"/>
      <c r="M118" s="40"/>
      <c r="N118" s="260"/>
      <c r="O118" s="260"/>
      <c r="P118" s="260"/>
      <c r="Q118" s="260"/>
      <c r="R118" s="109"/>
      <c r="S118" s="109"/>
      <c r="T118" s="113"/>
    </row>
    <row r="119" spans="1:20" ht="11.1" customHeight="1">
      <c r="A119" s="73"/>
      <c r="B119" s="73"/>
      <c r="C119" s="73"/>
      <c r="D119" s="73"/>
      <c r="E119" s="73"/>
      <c r="F119" s="73"/>
      <c r="G119" s="73"/>
      <c r="H119" s="72" t="s">
        <v>257</v>
      </c>
    </row>
    <row r="120" spans="1:20" ht="11.1" customHeight="1">
      <c r="A120" s="1090" t="s">
        <v>212</v>
      </c>
      <c r="B120" s="1092" t="s">
        <v>223</v>
      </c>
      <c r="C120" s="1020" t="s">
        <v>214</v>
      </c>
      <c r="D120" s="1021"/>
      <c r="E120" s="1021"/>
      <c r="F120" s="1021"/>
      <c r="G120" s="1022"/>
      <c r="H120" s="1092" t="s">
        <v>126</v>
      </c>
    </row>
    <row r="121" spans="1:20" ht="11.1" customHeight="1" thickBot="1">
      <c r="A121" s="1091"/>
      <c r="B121" s="1093"/>
      <c r="C121" s="62">
        <v>2011</v>
      </c>
      <c r="D121" s="62">
        <v>2012</v>
      </c>
      <c r="E121" s="62">
        <v>2013</v>
      </c>
      <c r="F121" s="62">
        <v>2014</v>
      </c>
      <c r="G121" s="62">
        <v>2015</v>
      </c>
      <c r="H121" s="1093"/>
      <c r="M121" s="1036" t="s">
        <v>546</v>
      </c>
      <c r="N121" s="1036"/>
      <c r="O121" s="1036"/>
      <c r="P121" s="1036"/>
      <c r="Q121" s="1036"/>
      <c r="R121" s="1036"/>
      <c r="S121" s="1036"/>
      <c r="T121" s="1036"/>
    </row>
    <row r="122" spans="1:20" ht="11.1" customHeight="1" thickTop="1">
      <c r="A122" s="74">
        <v>1</v>
      </c>
      <c r="B122" s="75" t="s">
        <v>121</v>
      </c>
      <c r="C122" s="76">
        <v>62</v>
      </c>
      <c r="D122" s="76">
        <v>39</v>
      </c>
      <c r="E122" s="76">
        <v>41</v>
      </c>
      <c r="F122" s="76">
        <v>44</v>
      </c>
      <c r="G122" s="76">
        <v>45</v>
      </c>
      <c r="H122" s="30">
        <f>(((D122-C122)/C122*100)+((E122-D122)/D122*100)+((F122-E122)/E122*100)+((G122-F122)/F122*100))/4</f>
        <v>-5.5946921554710691</v>
      </c>
      <c r="M122" s="1024" t="s">
        <v>713</v>
      </c>
      <c r="N122" s="1024"/>
      <c r="O122" s="1024"/>
      <c r="P122" s="1024"/>
      <c r="Q122" s="1024"/>
      <c r="R122" s="1024"/>
      <c r="S122" s="1024"/>
      <c r="T122" s="1024"/>
    </row>
    <row r="123" spans="1:20" ht="11.1" customHeight="1">
      <c r="A123" s="77">
        <v>2</v>
      </c>
      <c r="B123" s="78" t="s">
        <v>122</v>
      </c>
      <c r="C123" s="79">
        <v>59</v>
      </c>
      <c r="D123" s="79">
        <v>56</v>
      </c>
      <c r="E123" s="79">
        <v>57</v>
      </c>
      <c r="F123" s="79">
        <v>54</v>
      </c>
      <c r="G123" s="79">
        <v>53</v>
      </c>
      <c r="H123" s="35">
        <f>((D123-C123)/C123*100+(E123-D123)/D123*100+(F123-E123)/E123*100+(G123-F123)/F123*100)/4</f>
        <v>-2.6035103058965681</v>
      </c>
      <c r="M123" s="263"/>
      <c r="N123" s="263"/>
      <c r="O123" s="263"/>
      <c r="P123" s="263"/>
      <c r="Q123" s="263"/>
      <c r="R123" s="1037" t="s">
        <v>338</v>
      </c>
      <c r="S123" s="1037"/>
      <c r="T123" s="1037"/>
    </row>
    <row r="124" spans="1:20" ht="11.1" customHeight="1">
      <c r="A124" s="77">
        <v>3</v>
      </c>
      <c r="B124" s="78" t="s">
        <v>184</v>
      </c>
      <c r="C124" s="79">
        <v>228</v>
      </c>
      <c r="D124" s="79">
        <v>197</v>
      </c>
      <c r="E124" s="79">
        <v>128</v>
      </c>
      <c r="F124" s="79">
        <v>190</v>
      </c>
      <c r="G124" s="79">
        <v>190</v>
      </c>
      <c r="H124" s="35">
        <f t="shared" ref="H124:H130" si="12">((D124-C124)/C124*100+(E124-D124)/D124*100+(F124-E124)/E124*100+(G124-F124)/F124*100)/4</f>
        <v>-4.6092984682518434E-2</v>
      </c>
      <c r="M124" s="1038" t="s">
        <v>212</v>
      </c>
      <c r="N124" s="1040" t="s">
        <v>223</v>
      </c>
      <c r="O124" s="1020" t="s">
        <v>214</v>
      </c>
      <c r="P124" s="1021"/>
      <c r="Q124" s="1021"/>
      <c r="R124" s="1021"/>
      <c r="S124" s="1022"/>
      <c r="T124" s="1040" t="s">
        <v>126</v>
      </c>
    </row>
    <row r="125" spans="1:20" ht="11.1" customHeight="1" thickBot="1">
      <c r="A125" s="77">
        <v>4</v>
      </c>
      <c r="B125" s="78" t="s">
        <v>120</v>
      </c>
      <c r="C125" s="79">
        <v>182</v>
      </c>
      <c r="D125" s="79">
        <v>174</v>
      </c>
      <c r="E125" s="79">
        <v>165</v>
      </c>
      <c r="F125" s="79">
        <f>166+6</f>
        <v>172</v>
      </c>
      <c r="G125" s="79">
        <v>164</v>
      </c>
      <c r="H125" s="35">
        <f t="shared" si="12"/>
        <v>-2.494189184245319</v>
      </c>
      <c r="M125" s="1039"/>
      <c r="N125" s="1041"/>
      <c r="O125" s="160">
        <v>2011</v>
      </c>
      <c r="P125" s="160">
        <v>2012</v>
      </c>
      <c r="Q125" s="160">
        <v>2013</v>
      </c>
      <c r="R125" s="160">
        <v>2014</v>
      </c>
      <c r="S125" s="160">
        <v>2015</v>
      </c>
      <c r="T125" s="1041"/>
    </row>
    <row r="126" spans="1:20" ht="11.1" customHeight="1" thickTop="1">
      <c r="A126" s="77">
        <v>5</v>
      </c>
      <c r="B126" s="78" t="s">
        <v>125</v>
      </c>
      <c r="C126" s="79">
        <v>152</v>
      </c>
      <c r="D126" s="79">
        <v>157</v>
      </c>
      <c r="E126" s="79">
        <v>135</v>
      </c>
      <c r="F126" s="79">
        <v>131</v>
      </c>
      <c r="G126" s="79">
        <v>38</v>
      </c>
      <c r="H126" s="35">
        <f t="shared" si="12"/>
        <v>-21.169648636117341</v>
      </c>
      <c r="M126" s="264">
        <v>1</v>
      </c>
      <c r="N126" s="265" t="s">
        <v>339</v>
      </c>
      <c r="O126" s="554">
        <v>15451977</v>
      </c>
      <c r="P126" s="554">
        <v>25481400</v>
      </c>
      <c r="Q126" s="630">
        <f>33803200+5153500</f>
        <v>38956700</v>
      </c>
      <c r="R126" s="630">
        <f>27980900+5859000</f>
        <v>33839900</v>
      </c>
      <c r="S126" s="630">
        <f>27941500+5364500</f>
        <v>33306000</v>
      </c>
      <c r="T126" s="555">
        <f t="shared" ref="T126:T131" si="13">((P126-O126)/O126*100+(Q126-P126)/P126*100+(R126-Q126)/Q126*100+(S126-R126)/R126*100)/4</f>
        <v>25.76940866837074</v>
      </c>
    </row>
    <row r="127" spans="1:20" ht="11.1" customHeight="1">
      <c r="A127" s="77">
        <v>6</v>
      </c>
      <c r="B127" s="78" t="s">
        <v>124</v>
      </c>
      <c r="C127" s="79">
        <v>53</v>
      </c>
      <c r="D127" s="79">
        <v>45</v>
      </c>
      <c r="E127" s="79">
        <v>52</v>
      </c>
      <c r="F127" s="79">
        <v>55</v>
      </c>
      <c r="G127" s="79">
        <v>55</v>
      </c>
      <c r="H127" s="35">
        <f t="shared" si="12"/>
        <v>1.5576116755362037</v>
      </c>
      <c r="M127" s="266">
        <v>2</v>
      </c>
      <c r="N127" s="267" t="s">
        <v>340</v>
      </c>
      <c r="O127" s="555">
        <v>839000</v>
      </c>
      <c r="P127" s="555">
        <v>1064000</v>
      </c>
      <c r="Q127" s="631">
        <v>1133000</v>
      </c>
      <c r="R127" s="631">
        <v>1220000</v>
      </c>
      <c r="S127" s="631">
        <v>1161900</v>
      </c>
      <c r="T127" s="555">
        <f t="shared" si="13"/>
        <v>9.0547591024189913</v>
      </c>
    </row>
    <row r="128" spans="1:20" ht="11.1" customHeight="1">
      <c r="A128" s="77">
        <v>7</v>
      </c>
      <c r="B128" s="78" t="s">
        <v>123</v>
      </c>
      <c r="C128" s="79">
        <v>178</v>
      </c>
      <c r="D128" s="79">
        <v>83</v>
      </c>
      <c r="E128" s="79">
        <v>173</v>
      </c>
      <c r="F128" s="79">
        <v>173</v>
      </c>
      <c r="G128" s="79">
        <v>173</v>
      </c>
      <c r="H128" s="35">
        <f t="shared" si="12"/>
        <v>13.765737105726275</v>
      </c>
      <c r="M128" s="268">
        <v>3</v>
      </c>
      <c r="N128" s="267" t="s">
        <v>341</v>
      </c>
      <c r="O128" s="555">
        <v>2416886262</v>
      </c>
      <c r="P128" s="555">
        <v>2597281200</v>
      </c>
      <c r="Q128" s="631">
        <v>2883818300</v>
      </c>
      <c r="R128" s="631">
        <v>336415300</v>
      </c>
      <c r="S128" s="631">
        <v>1410694200</v>
      </c>
      <c r="T128" s="555">
        <f t="shared" si="13"/>
        <v>62.373230096328371</v>
      </c>
    </row>
    <row r="129" spans="1:20" ht="11.1" customHeight="1">
      <c r="A129" s="77">
        <v>8</v>
      </c>
      <c r="B129" s="78" t="s">
        <v>195</v>
      </c>
      <c r="C129" s="79">
        <v>68</v>
      </c>
      <c r="D129" s="79">
        <v>66</v>
      </c>
      <c r="E129" s="79">
        <v>49</v>
      </c>
      <c r="F129" s="79">
        <v>48</v>
      </c>
      <c r="G129" s="79">
        <v>48</v>
      </c>
      <c r="H129" s="35">
        <f t="shared" si="12"/>
        <v>-7.6848921386736517</v>
      </c>
      <c r="M129" s="268">
        <v>4</v>
      </c>
      <c r="N129" s="267" t="s">
        <v>342</v>
      </c>
      <c r="O129" s="555">
        <v>26452263</v>
      </c>
      <c r="P129" s="555">
        <v>37593500</v>
      </c>
      <c r="Q129" s="631">
        <v>29634100</v>
      </c>
      <c r="R129" s="631">
        <v>53898000</v>
      </c>
      <c r="S129" s="631">
        <v>33955600</v>
      </c>
      <c r="T129" s="555">
        <f t="shared" si="13"/>
        <v>16.456011928482702</v>
      </c>
    </row>
    <row r="130" spans="1:20" ht="11.1" customHeight="1" thickBot="1">
      <c r="A130" s="80">
        <v>9</v>
      </c>
      <c r="B130" s="81" t="s">
        <v>198</v>
      </c>
      <c r="C130" s="82">
        <v>9</v>
      </c>
      <c r="D130" s="82">
        <v>15</v>
      </c>
      <c r="E130" s="82">
        <v>15</v>
      </c>
      <c r="F130" s="82">
        <v>15</v>
      </c>
      <c r="G130" s="82">
        <v>13</v>
      </c>
      <c r="H130" s="35">
        <f t="shared" si="12"/>
        <v>13.33333333333333</v>
      </c>
      <c r="M130" s="269">
        <v>5</v>
      </c>
      <c r="N130" s="270" t="s">
        <v>343</v>
      </c>
      <c r="O130" s="632">
        <v>6000000</v>
      </c>
      <c r="P130" s="632">
        <v>78112000</v>
      </c>
      <c r="Q130" s="633">
        <v>4830900</v>
      </c>
      <c r="R130" s="633">
        <v>3060651800</v>
      </c>
      <c r="S130" s="633">
        <v>4537495000</v>
      </c>
      <c r="T130" s="555">
        <f t="shared" si="13"/>
        <v>16103.007623882437</v>
      </c>
    </row>
    <row r="131" spans="1:20" ht="11.1" customHeight="1" thickTop="1" thickBot="1">
      <c r="A131" s="1115" t="s">
        <v>224</v>
      </c>
      <c r="B131" s="1116"/>
      <c r="C131" s="83">
        <f>SUM(C122:C130)</f>
        <v>991</v>
      </c>
      <c r="D131" s="83">
        <f>SUM(D122:D130)</f>
        <v>832</v>
      </c>
      <c r="E131" s="83">
        <f>SUM(E122:E130)</f>
        <v>815</v>
      </c>
      <c r="F131" s="83">
        <f>SUM(F122:F130)</f>
        <v>882</v>
      </c>
      <c r="G131" s="83">
        <f>SUM(G122:G130)</f>
        <v>779</v>
      </c>
      <c r="H131" s="84">
        <f>((D131-C131)/C131*100+(E131-D131)/D131*100+(F131-E131)/E131*100+(G131-F131)/F131*100)/4</f>
        <v>-5.3862036166446021</v>
      </c>
      <c r="M131" s="1166" t="s">
        <v>224</v>
      </c>
      <c r="N131" s="1167"/>
      <c r="O131" s="634">
        <f>SUM(O126:O129)</f>
        <v>2459629502</v>
      </c>
      <c r="P131" s="634">
        <f>SUM(P126:P130)</f>
        <v>2739532100</v>
      </c>
      <c r="Q131" s="634">
        <f>SUM(Q126:Q130)</f>
        <v>2958373000</v>
      </c>
      <c r="R131" s="634">
        <f>SUM(R126:R130)</f>
        <v>3486025000</v>
      </c>
      <c r="S131" s="634">
        <f>SUM(S126:S130)</f>
        <v>6016612700</v>
      </c>
      <c r="T131" s="634">
        <f t="shared" si="13"/>
        <v>27.449092000772499</v>
      </c>
    </row>
    <row r="132" spans="1:20" ht="11.1" customHeight="1" thickTop="1">
      <c r="A132" s="73"/>
      <c r="B132" s="73"/>
      <c r="C132" s="73"/>
      <c r="D132" s="73"/>
      <c r="E132" s="73"/>
      <c r="F132" s="73"/>
      <c r="G132" s="73"/>
      <c r="H132" s="73"/>
    </row>
    <row r="133" spans="1:20" ht="11.1" customHeight="1">
      <c r="A133" s="73"/>
      <c r="B133" s="966" t="s">
        <v>241</v>
      </c>
      <c r="C133" s="966"/>
      <c r="D133" s="966"/>
      <c r="E133" s="966"/>
      <c r="F133" s="966"/>
      <c r="G133" s="966"/>
      <c r="H133" s="966"/>
      <c r="N133" s="966" t="s">
        <v>368</v>
      </c>
      <c r="O133" s="966"/>
      <c r="P133" s="966"/>
      <c r="Q133" s="966"/>
      <c r="R133" s="966"/>
      <c r="S133" s="966"/>
      <c r="T133" s="966"/>
    </row>
    <row r="134" spans="1:20" ht="11.1" customHeight="1">
      <c r="A134" s="73"/>
      <c r="B134" s="423"/>
      <c r="C134" s="423"/>
      <c r="D134" s="423"/>
      <c r="E134" s="423"/>
      <c r="F134" s="423"/>
      <c r="G134" s="423"/>
      <c r="H134" s="423"/>
      <c r="N134" s="112"/>
      <c r="O134" s="112"/>
      <c r="P134" s="112"/>
      <c r="Q134" s="112"/>
      <c r="R134" s="112"/>
      <c r="S134" s="112"/>
      <c r="T134" s="112"/>
    </row>
    <row r="135" spans="1:20" ht="11.1" customHeight="1">
      <c r="A135" s="73"/>
      <c r="B135" s="423"/>
      <c r="C135" s="423"/>
      <c r="D135" s="423"/>
      <c r="E135" s="423"/>
      <c r="F135" s="423"/>
      <c r="G135" s="423"/>
      <c r="H135" s="423"/>
      <c r="N135" s="427"/>
      <c r="O135" s="427"/>
      <c r="P135" s="427"/>
      <c r="Q135" s="427"/>
      <c r="R135" s="427"/>
      <c r="S135" s="427"/>
      <c r="T135" s="427"/>
    </row>
    <row r="136" spans="1:20" ht="11.1" customHeight="1">
      <c r="A136" s="73"/>
      <c r="B136" s="423"/>
      <c r="C136" s="423"/>
      <c r="D136" s="423"/>
      <c r="E136" s="423"/>
      <c r="F136" s="423"/>
      <c r="G136" s="423"/>
      <c r="H136" s="423"/>
      <c r="N136" s="427"/>
      <c r="O136" s="427"/>
      <c r="P136" s="427"/>
      <c r="Q136" s="427"/>
      <c r="R136" s="427"/>
      <c r="S136" s="427"/>
      <c r="T136" s="427"/>
    </row>
    <row r="137" spans="1:20" ht="11.1" customHeight="1">
      <c r="A137" s="73"/>
      <c r="B137" s="423"/>
      <c r="C137" s="423"/>
      <c r="D137" s="423"/>
      <c r="E137" s="423"/>
      <c r="F137" s="423"/>
      <c r="G137" s="423"/>
      <c r="H137" s="423"/>
      <c r="N137" s="427"/>
      <c r="O137" s="427"/>
      <c r="P137" s="427"/>
      <c r="Q137" s="427"/>
      <c r="R137" s="427"/>
      <c r="S137" s="427"/>
      <c r="T137" s="427"/>
    </row>
    <row r="138" spans="1:20" ht="11.1" customHeight="1">
      <c r="A138" s="73"/>
      <c r="B138" s="423"/>
      <c r="C138" s="423"/>
      <c r="D138" s="423"/>
      <c r="E138" s="423"/>
      <c r="F138" s="423"/>
      <c r="G138" s="423"/>
      <c r="H138" s="423"/>
      <c r="N138" s="427"/>
      <c r="O138" s="427"/>
      <c r="P138" s="427"/>
      <c r="Q138" s="427"/>
      <c r="R138" s="427"/>
      <c r="S138" s="427"/>
      <c r="T138" s="427"/>
    </row>
    <row r="139" spans="1:20" ht="11.1" customHeight="1">
      <c r="A139" s="73"/>
      <c r="B139" s="423"/>
      <c r="C139" s="423"/>
      <c r="D139" s="423"/>
      <c r="E139" s="423"/>
      <c r="F139" s="423"/>
      <c r="G139" s="423"/>
      <c r="H139" s="423"/>
      <c r="N139" s="427"/>
      <c r="O139" s="427"/>
      <c r="P139" s="427"/>
      <c r="Q139" s="427"/>
      <c r="R139" s="427"/>
      <c r="S139" s="427"/>
      <c r="T139" s="427"/>
    </row>
    <row r="140" spans="1:20" ht="11.1" customHeight="1">
      <c r="A140" s="73"/>
      <c r="B140" s="423"/>
      <c r="C140" s="423"/>
      <c r="D140" s="423"/>
      <c r="E140" s="423"/>
      <c r="F140" s="423"/>
      <c r="G140" s="423"/>
      <c r="H140" s="423"/>
      <c r="N140" s="427"/>
      <c r="O140" s="427"/>
      <c r="P140" s="427"/>
      <c r="Q140" s="427"/>
      <c r="R140" s="427"/>
      <c r="S140" s="427"/>
      <c r="T140" s="427"/>
    </row>
    <row r="141" spans="1:20" ht="11.1" customHeight="1">
      <c r="A141" s="73"/>
      <c r="B141" s="423"/>
      <c r="C141" s="423"/>
      <c r="D141" s="423"/>
      <c r="E141" s="423"/>
      <c r="F141" s="423"/>
      <c r="G141" s="423"/>
      <c r="H141" s="423"/>
      <c r="N141" s="427"/>
      <c r="O141" s="427"/>
      <c r="P141" s="427"/>
      <c r="Q141" s="427"/>
      <c r="R141" s="427"/>
      <c r="S141" s="427"/>
      <c r="T141" s="427"/>
    </row>
    <row r="142" spans="1:20" ht="11.1" customHeight="1">
      <c r="A142" s="73"/>
      <c r="B142" s="423"/>
      <c r="C142" s="423"/>
      <c r="D142" s="423"/>
      <c r="E142" s="423"/>
      <c r="F142" s="423"/>
      <c r="G142" s="423"/>
      <c r="H142" s="423"/>
      <c r="N142" s="427"/>
      <c r="O142" s="427"/>
      <c r="P142" s="427"/>
      <c r="Q142" s="427"/>
      <c r="R142" s="427"/>
      <c r="S142" s="427"/>
      <c r="T142" s="427"/>
    </row>
    <row r="143" spans="1:20" ht="11.1" customHeight="1">
      <c r="N143" s="427"/>
      <c r="O143" s="427"/>
      <c r="P143" s="427"/>
      <c r="Q143" s="427"/>
      <c r="R143" s="427"/>
      <c r="S143" s="427"/>
      <c r="T143" s="427"/>
    </row>
    <row r="144" spans="1:20" ht="11.1" customHeight="1">
      <c r="N144" s="427"/>
      <c r="O144" s="427"/>
      <c r="P144" s="427"/>
      <c r="Q144" s="427"/>
      <c r="R144" s="427"/>
      <c r="S144" s="427"/>
      <c r="T144" s="427"/>
    </row>
    <row r="145" spans="1:20" ht="11.1" customHeight="1">
      <c r="N145" s="112"/>
      <c r="O145" s="112"/>
      <c r="P145" s="112"/>
      <c r="Q145" s="112"/>
      <c r="R145" s="112"/>
      <c r="S145" s="112"/>
      <c r="T145" s="112"/>
    </row>
    <row r="146" spans="1:20" ht="11.1" customHeight="1">
      <c r="A146" s="968" t="s">
        <v>714</v>
      </c>
      <c r="B146" s="968"/>
      <c r="C146" s="968"/>
      <c r="D146" s="968"/>
      <c r="E146" s="968"/>
      <c r="F146" s="968"/>
      <c r="G146" s="968"/>
      <c r="H146" s="968"/>
    </row>
    <row r="147" spans="1:20" ht="11.1" customHeight="1">
      <c r="A147" s="968"/>
      <c r="B147" s="968"/>
      <c r="C147" s="968"/>
      <c r="D147" s="968"/>
      <c r="E147" s="968"/>
      <c r="F147" s="968"/>
      <c r="G147" s="968"/>
      <c r="H147" s="968"/>
    </row>
    <row r="148" spans="1:20" ht="11.1" customHeight="1"/>
    <row r="149" spans="1:20" ht="11.1" customHeight="1">
      <c r="A149" s="1025" t="s">
        <v>528</v>
      </c>
      <c r="B149" s="1025"/>
      <c r="C149" s="1025"/>
      <c r="D149" s="1025"/>
      <c r="E149" s="1025"/>
      <c r="F149" s="1025"/>
      <c r="G149" s="1025"/>
      <c r="H149" s="1025"/>
      <c r="M149" s="1023" t="s">
        <v>560</v>
      </c>
      <c r="N149" s="1023"/>
      <c r="O149" s="1023"/>
      <c r="P149" s="1023"/>
      <c r="Q149" s="1023"/>
      <c r="R149" s="1023"/>
      <c r="S149" s="1023"/>
      <c r="T149" s="1023"/>
    </row>
    <row r="150" spans="1:20" ht="11.1" customHeight="1">
      <c r="A150" s="1046" t="s">
        <v>715</v>
      </c>
      <c r="B150" s="1046"/>
      <c r="C150" s="1046"/>
      <c r="D150" s="1046"/>
      <c r="E150" s="1046"/>
      <c r="F150" s="1046"/>
      <c r="G150" s="1046"/>
      <c r="H150" s="1046"/>
      <c r="M150" s="1024" t="s">
        <v>716</v>
      </c>
      <c r="N150" s="1024"/>
      <c r="O150" s="1024"/>
      <c r="P150" s="1024"/>
      <c r="Q150" s="1024"/>
      <c r="R150" s="1024"/>
      <c r="S150" s="1024"/>
      <c r="T150" s="1024"/>
    </row>
    <row r="151" spans="1:20" ht="11.1" customHeight="1">
      <c r="A151" s="86"/>
      <c r="B151" s="86"/>
      <c r="C151" s="86"/>
      <c r="D151" s="86"/>
      <c r="E151" s="86"/>
      <c r="F151" s="86"/>
      <c r="G151" s="86"/>
      <c r="H151" s="85" t="s">
        <v>226</v>
      </c>
      <c r="M151" s="276"/>
      <c r="N151" s="276"/>
      <c r="O151" s="276"/>
      <c r="P151" s="276"/>
      <c r="Q151" s="276"/>
      <c r="R151" s="276"/>
      <c r="S151" s="276"/>
      <c r="T151" s="280" t="s">
        <v>357</v>
      </c>
    </row>
    <row r="152" spans="1:20" ht="11.1" customHeight="1">
      <c r="A152" s="1026" t="s">
        <v>212</v>
      </c>
      <c r="B152" s="1028" t="s">
        <v>223</v>
      </c>
      <c r="C152" s="1020" t="s">
        <v>214</v>
      </c>
      <c r="D152" s="1021"/>
      <c r="E152" s="1021"/>
      <c r="F152" s="1021"/>
      <c r="G152" s="1022"/>
      <c r="H152" s="1028" t="s">
        <v>126</v>
      </c>
      <c r="M152" s="1054" t="s">
        <v>212</v>
      </c>
      <c r="N152" s="1043" t="s">
        <v>345</v>
      </c>
      <c r="O152" s="1020" t="s">
        <v>214</v>
      </c>
      <c r="P152" s="1021"/>
      <c r="Q152" s="1021"/>
      <c r="R152" s="1021"/>
      <c r="S152" s="1022"/>
      <c r="T152" s="1043" t="s">
        <v>126</v>
      </c>
    </row>
    <row r="153" spans="1:20" ht="11.1" customHeight="1" thickBot="1">
      <c r="A153" s="1027"/>
      <c r="B153" s="1029"/>
      <c r="C153" s="62">
        <v>2011</v>
      </c>
      <c r="D153" s="62">
        <v>2012</v>
      </c>
      <c r="E153" s="62">
        <v>2013</v>
      </c>
      <c r="F153" s="62">
        <v>2014</v>
      </c>
      <c r="G153" s="62">
        <v>2015</v>
      </c>
      <c r="H153" s="1029"/>
      <c r="M153" s="1055"/>
      <c r="N153" s="1044"/>
      <c r="O153" s="160">
        <v>2011</v>
      </c>
      <c r="P153" s="160">
        <v>2012</v>
      </c>
      <c r="Q153" s="160">
        <v>2013</v>
      </c>
      <c r="R153" s="160">
        <v>2014</v>
      </c>
      <c r="S153" s="160">
        <v>2015</v>
      </c>
      <c r="T153" s="1044"/>
    </row>
    <row r="154" spans="1:20" ht="11.1" customHeight="1" thickTop="1">
      <c r="A154" s="87">
        <v>1</v>
      </c>
      <c r="B154" s="88" t="s">
        <v>232</v>
      </c>
      <c r="C154" s="98">
        <v>69088.7</v>
      </c>
      <c r="D154" s="98">
        <v>42964.75</v>
      </c>
      <c r="E154" s="98">
        <f>57943.9+1340.8</f>
        <v>59284.700000000004</v>
      </c>
      <c r="F154" s="98">
        <f>61256.4+1331.9</f>
        <v>62588.3</v>
      </c>
      <c r="G154" s="98">
        <v>53294.34</v>
      </c>
      <c r="H154" s="30">
        <f>((D154-C154)/C154*100+(E154-D154)/D154*100+(F154-E154)/E154*100+(G154-F154)/F154*100)/4</f>
        <v>-2.2761507109405761</v>
      </c>
      <c r="M154" s="277">
        <v>1</v>
      </c>
      <c r="N154" s="282" t="s">
        <v>346</v>
      </c>
      <c r="O154" s="30">
        <v>58752207.579999998</v>
      </c>
      <c r="P154" s="30">
        <v>43654046.219999999</v>
      </c>
      <c r="Q154" s="30">
        <f>34353996</f>
        <v>34353996</v>
      </c>
      <c r="R154" s="30">
        <v>32160288.219999999</v>
      </c>
      <c r="S154" s="30">
        <v>20549534.440000001</v>
      </c>
      <c r="T154" s="35">
        <f>((P154-O154)/O154*100+(Q154-P154)/P154*100+(R154-Q154)/Q154*100+(S154-R154)/R154*100)/4</f>
        <v>-22.372594569091156</v>
      </c>
    </row>
    <row r="155" spans="1:20" ht="11.1" customHeight="1">
      <c r="A155" s="89">
        <v>2</v>
      </c>
      <c r="B155" s="90" t="s">
        <v>233</v>
      </c>
      <c r="C155" s="99">
        <v>452.6</v>
      </c>
      <c r="D155" s="99">
        <v>439.9</v>
      </c>
      <c r="E155" s="99">
        <v>460.5</v>
      </c>
      <c r="F155" s="99">
        <v>497.9</v>
      </c>
      <c r="G155" s="99">
        <v>765.34</v>
      </c>
      <c r="H155" s="35">
        <f>((D155-C155)/C155*100+(E155-D155)/D155*100+(F155-E155)/E155*100+(G155-F155)/F155*100)/4</f>
        <v>15.928019202125601</v>
      </c>
      <c r="M155" s="278">
        <v>2</v>
      </c>
      <c r="N155" s="283" t="s">
        <v>347</v>
      </c>
      <c r="O155" s="35">
        <v>2505539.0499999998</v>
      </c>
      <c r="P155" s="35">
        <v>7250227.4400000004</v>
      </c>
      <c r="Q155" s="35">
        <v>1465648.44</v>
      </c>
      <c r="R155" s="35">
        <v>2115528.44</v>
      </c>
      <c r="S155" s="35">
        <v>1500917</v>
      </c>
      <c r="T155" s="35">
        <f>((P155-O155)/O155*100+(Q155-P155)/P155*100+(R155-Q155)/Q155*100+(S155-R155)/R155*100)/4</f>
        <v>31.217893548499511</v>
      </c>
    </row>
    <row r="156" spans="1:20" ht="11.1" customHeight="1">
      <c r="A156" s="89">
        <v>3</v>
      </c>
      <c r="B156" s="90" t="s">
        <v>234</v>
      </c>
      <c r="C156" s="99">
        <v>478.9</v>
      </c>
      <c r="D156" s="99">
        <v>2144.6999999999998</v>
      </c>
      <c r="E156" s="99">
        <v>1772</v>
      </c>
      <c r="F156" s="99">
        <v>2281.9</v>
      </c>
      <c r="G156" s="99">
        <v>2515.1</v>
      </c>
      <c r="H156" s="35">
        <f t="shared" ref="H156:H161" si="14">((D156-C156)/C156*100+(E156-D156)/D156*100+(F156-E156)/E156*100+(G156-F156)/F156*100)/4</f>
        <v>92.364006083046277</v>
      </c>
      <c r="M156" s="278">
        <v>3</v>
      </c>
      <c r="N156" s="283" t="s">
        <v>348</v>
      </c>
      <c r="O156" s="35">
        <v>22493453.760000002</v>
      </c>
      <c r="P156" s="35">
        <v>32797621.849999998</v>
      </c>
      <c r="Q156" s="35">
        <f>3647579.44+27169363.85+2086986.49+1441876.26+5987404.27+30920.45</f>
        <v>40364130.760000005</v>
      </c>
      <c r="R156" s="35">
        <v>42064115.609999999</v>
      </c>
      <c r="S156" s="35">
        <v>48249267.100000001</v>
      </c>
      <c r="T156" s="35">
        <f>((P156-O156)/O156*100+(Q156-P156)/P156*100+(R156-Q156)/Q156*100+(S156-R156)/R156*100)/4</f>
        <v>21.948913779048056</v>
      </c>
    </row>
    <row r="157" spans="1:20" ht="11.1" customHeight="1">
      <c r="A157" s="89">
        <v>4</v>
      </c>
      <c r="B157" s="90" t="s">
        <v>235</v>
      </c>
      <c r="C157" s="99">
        <v>17367.900000000001</v>
      </c>
      <c r="D157" s="99">
        <v>17745</v>
      </c>
      <c r="E157" s="99">
        <v>13576.7</v>
      </c>
      <c r="F157" s="99">
        <v>17565.8</v>
      </c>
      <c r="G157" s="99">
        <v>22837</v>
      </c>
      <c r="H157" s="35">
        <f t="shared" si="14"/>
        <v>9.5178793074061083</v>
      </c>
      <c r="M157" s="278">
        <v>4</v>
      </c>
      <c r="N157" s="283" t="s">
        <v>349</v>
      </c>
      <c r="O157" s="35">
        <v>428218.25</v>
      </c>
      <c r="P157" s="35">
        <v>523768.06</v>
      </c>
      <c r="Q157" s="35">
        <f>258.3+194994.1+162190.5+104356.41+223907.1</f>
        <v>685706.41</v>
      </c>
      <c r="R157" s="35">
        <f>350293.73+107348+50448.3+85200.9</f>
        <v>593290.92999999993</v>
      </c>
      <c r="S157" s="35">
        <v>593026.26</v>
      </c>
      <c r="T157" s="35">
        <f>((P157-O157)/O157*100+(Q157-P157)/P157*100+(R157-Q157)/Q157*100+(S157-R157)/R157*100)/4</f>
        <v>9.9273178816744654</v>
      </c>
    </row>
    <row r="158" spans="1:20" ht="11.1" customHeight="1">
      <c r="A158" s="89">
        <v>5</v>
      </c>
      <c r="B158" s="90" t="s">
        <v>236</v>
      </c>
      <c r="C158" s="99">
        <v>9315.1</v>
      </c>
      <c r="D158" s="99">
        <v>14639.4</v>
      </c>
      <c r="E158" s="99">
        <v>19852.8</v>
      </c>
      <c r="F158" s="99">
        <v>25523.5</v>
      </c>
      <c r="G158" s="99">
        <v>17457.8</v>
      </c>
      <c r="H158" s="35">
        <f t="shared" si="14"/>
        <v>22.433125979720561</v>
      </c>
      <c r="M158" s="278">
        <v>5</v>
      </c>
      <c r="N158" s="283" t="s">
        <v>350</v>
      </c>
      <c r="O158" s="35">
        <v>1980124.6300000001</v>
      </c>
      <c r="P158" s="35">
        <v>4243116.41</v>
      </c>
      <c r="Q158" s="35">
        <f>1436.5+458412.93+184662.8+430341.72+2189947.23</f>
        <v>3264801.1799999997</v>
      </c>
      <c r="R158" s="35">
        <f>3904.5+145314.13+1045289.95+217023.71+886684.43+2162928.37</f>
        <v>4461145.09</v>
      </c>
      <c r="S158" s="35">
        <v>6563699.21</v>
      </c>
      <c r="T158" s="35">
        <f t="shared" ref="T158:T163" si="15">((P158-O158)/O158*100+(Q158-P158)/P158*100+(R158-Q158)/Q158*100+(S158-R158)/R158*100)/4</f>
        <v>43.750715495057378</v>
      </c>
    </row>
    <row r="159" spans="1:20" ht="11.1" customHeight="1">
      <c r="A159" s="89">
        <v>6</v>
      </c>
      <c r="B159" s="91" t="s">
        <v>237</v>
      </c>
      <c r="C159" s="99">
        <v>2748.1</v>
      </c>
      <c r="D159" s="99">
        <v>2375.6999999999998</v>
      </c>
      <c r="E159" s="99">
        <v>6813</v>
      </c>
      <c r="F159" s="99">
        <v>7733</v>
      </c>
      <c r="G159" s="99">
        <v>7113.8</v>
      </c>
      <c r="H159" s="35">
        <f t="shared" si="14"/>
        <v>44.680951806230517</v>
      </c>
      <c r="M159" s="278">
        <v>6</v>
      </c>
      <c r="N159" s="283" t="s">
        <v>132</v>
      </c>
      <c r="O159" s="35">
        <v>10949618.66</v>
      </c>
      <c r="P159" s="35">
        <v>10676403.59</v>
      </c>
      <c r="Q159" s="35">
        <f>1731015.31+8490596.8</f>
        <v>10221612.110000001</v>
      </c>
      <c r="R159" s="35">
        <f>2159395.99+8229927.68</f>
        <v>10389323.67</v>
      </c>
      <c r="S159" s="35">
        <v>13409464.33</v>
      </c>
      <c r="T159" s="35">
        <f t="shared" si="15"/>
        <v>5.9888568106129849</v>
      </c>
    </row>
    <row r="160" spans="1:20" ht="11.1" customHeight="1">
      <c r="A160" s="89">
        <v>7</v>
      </c>
      <c r="B160" s="91" t="s">
        <v>238</v>
      </c>
      <c r="C160" s="99">
        <v>1911.4</v>
      </c>
      <c r="D160" s="99">
        <v>1370.6</v>
      </c>
      <c r="E160" s="99">
        <v>1816.8</v>
      </c>
      <c r="F160" s="99">
        <v>1933.3</v>
      </c>
      <c r="G160" s="99">
        <v>834.1</v>
      </c>
      <c r="H160" s="35">
        <f t="shared" si="14"/>
        <v>-11.54552285852639</v>
      </c>
      <c r="M160" s="278">
        <v>7</v>
      </c>
      <c r="N160" s="283" t="s">
        <v>351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 t="e">
        <f t="shared" si="15"/>
        <v>#DIV/0!</v>
      </c>
    </row>
    <row r="161" spans="1:20" ht="11.1" customHeight="1">
      <c r="A161" s="89">
        <v>8</v>
      </c>
      <c r="B161" s="91" t="s">
        <v>239</v>
      </c>
      <c r="C161" s="99">
        <v>8.9</v>
      </c>
      <c r="D161" s="99">
        <v>54.6</v>
      </c>
      <c r="E161" s="99">
        <v>15.4</v>
      </c>
      <c r="F161" s="99">
        <v>117.4</v>
      </c>
      <c r="G161" s="99">
        <v>150</v>
      </c>
      <c r="H161" s="35">
        <f t="shared" si="14"/>
        <v>282.94856251711718</v>
      </c>
      <c r="M161" s="278">
        <v>8</v>
      </c>
      <c r="N161" s="283" t="s">
        <v>352</v>
      </c>
      <c r="O161" s="35">
        <v>1949010.5999999999</v>
      </c>
      <c r="P161" s="35">
        <v>5850386.5200000005</v>
      </c>
      <c r="Q161" s="35">
        <f>6695060.66+93382.39</f>
        <v>6788443.0499999998</v>
      </c>
      <c r="R161" s="35">
        <v>4441958.5</v>
      </c>
      <c r="S161" s="35">
        <v>5797486.6600000001</v>
      </c>
      <c r="T161" s="35">
        <f t="shared" si="15"/>
        <v>53.039199898968491</v>
      </c>
    </row>
    <row r="162" spans="1:20" ht="11.1" customHeight="1" thickBot="1">
      <c r="A162" s="92"/>
      <c r="B162" s="93"/>
      <c r="C162" s="94"/>
      <c r="D162" s="94" t="s">
        <v>240</v>
      </c>
      <c r="E162" s="94" t="s">
        <v>240</v>
      </c>
      <c r="F162" s="95" t="s">
        <v>240</v>
      </c>
      <c r="G162" s="95" t="s">
        <v>240</v>
      </c>
      <c r="H162" s="96"/>
      <c r="M162" s="278">
        <v>9</v>
      </c>
      <c r="N162" s="283" t="s">
        <v>353</v>
      </c>
      <c r="O162" s="35">
        <v>23055.5</v>
      </c>
      <c r="P162" s="35">
        <v>175510.92</v>
      </c>
      <c r="Q162" s="35">
        <v>101631</v>
      </c>
      <c r="R162" s="35">
        <v>93624.35</v>
      </c>
      <c r="S162" s="35">
        <v>4094.25</v>
      </c>
      <c r="T162" s="35">
        <f t="shared" si="15"/>
        <v>128.91367999357524</v>
      </c>
    </row>
    <row r="163" spans="1:20" ht="11.1" customHeight="1" thickTop="1" thickBot="1">
      <c r="A163" s="1030" t="s">
        <v>224</v>
      </c>
      <c r="B163" s="1031"/>
      <c r="C163" s="663">
        <f>SUM(C154:C162)</f>
        <v>101371.6</v>
      </c>
      <c r="D163" s="663">
        <f>SUM(D154:D162)</f>
        <v>81734.650000000009</v>
      </c>
      <c r="E163" s="663">
        <f>SUM(E154:E162)</f>
        <v>103591.90000000001</v>
      </c>
      <c r="F163" s="663">
        <f>SUM(F154:F162)</f>
        <v>118241.1</v>
      </c>
      <c r="G163" s="663">
        <f>SUM(G154:G162)</f>
        <v>104967.48000000001</v>
      </c>
      <c r="H163" s="55">
        <f>((D163-C163)/C163*100+(E163-D163)/D163*100+(F163-E163)/E163*100+(G163-F163)/F163*100)/4</f>
        <v>2.5714577846386049</v>
      </c>
      <c r="M163" s="279">
        <v>10</v>
      </c>
      <c r="N163" s="284" t="s">
        <v>354</v>
      </c>
      <c r="O163" s="274">
        <v>573165.22</v>
      </c>
      <c r="P163" s="274">
        <v>836097.96</v>
      </c>
      <c r="Q163" s="274">
        <v>1485864.9</v>
      </c>
      <c r="R163" s="274">
        <v>2490371.88</v>
      </c>
      <c r="S163" s="274">
        <f>2157682.43+254648.69</f>
        <v>2412331.12</v>
      </c>
      <c r="T163" s="35">
        <f t="shared" si="15"/>
        <v>47.014629738609756</v>
      </c>
    </row>
    <row r="164" spans="1:20" ht="11.1" customHeight="1" thickTop="1" thickBot="1">
      <c r="A164" s="86"/>
      <c r="B164" s="86"/>
      <c r="C164" s="86"/>
      <c r="D164" s="86"/>
      <c r="E164" s="86"/>
      <c r="F164" s="86"/>
      <c r="G164" s="86"/>
      <c r="H164" s="86"/>
      <c r="M164" s="1034" t="s">
        <v>355</v>
      </c>
      <c r="N164" s="1035"/>
      <c r="O164" s="84">
        <f>SUM(O154:O163)</f>
        <v>99654393.249999985</v>
      </c>
      <c r="P164" s="84">
        <f>SUM(P154:P163)</f>
        <v>106007178.96999998</v>
      </c>
      <c r="Q164" s="84">
        <f>SUM(Q154:Q163)</f>
        <v>98731833.849999994</v>
      </c>
      <c r="R164" s="84">
        <f>SUM(R154:R163)</f>
        <v>98809646.689999998</v>
      </c>
      <c r="S164" s="84">
        <f>SUM(S154:S163)</f>
        <v>99079820.370000005</v>
      </c>
      <c r="T164" s="55">
        <f>((P164-O164)/O164*100+(Q164-P164)/P164*100+(R164-Q164)/Q164*100+(S164-R164)/R164*100)/4</f>
        <v>-3.4002511941209138E-2</v>
      </c>
    </row>
    <row r="165" spans="1:20" ht="11.1" customHeight="1" thickTop="1">
      <c r="A165" s="40"/>
      <c r="B165" s="966" t="s">
        <v>243</v>
      </c>
      <c r="C165" s="966"/>
      <c r="D165" s="966"/>
      <c r="E165" s="966"/>
      <c r="F165" s="966"/>
      <c r="G165" s="966"/>
      <c r="H165" s="966"/>
      <c r="M165" s="276"/>
      <c r="N165" s="276"/>
      <c r="O165" s="276"/>
      <c r="P165" s="276"/>
      <c r="Q165" s="276"/>
      <c r="R165" s="276"/>
      <c r="S165" s="276"/>
      <c r="T165" s="281"/>
    </row>
    <row r="166" spans="1:20" ht="11.1" customHeight="1">
      <c r="A166" s="40"/>
      <c r="B166" s="423"/>
      <c r="C166" s="423"/>
      <c r="D166" s="423"/>
      <c r="E166" s="423"/>
      <c r="F166" s="423"/>
      <c r="G166" s="423"/>
      <c r="H166" s="423"/>
      <c r="M166" s="40"/>
      <c r="N166" s="966" t="s">
        <v>392</v>
      </c>
      <c r="O166" s="966"/>
      <c r="P166" s="966"/>
      <c r="Q166" s="966"/>
      <c r="R166" s="966"/>
      <c r="S166" s="966"/>
      <c r="T166" s="966"/>
    </row>
    <row r="167" spans="1:20" ht="11.1" customHeight="1">
      <c r="A167" s="40"/>
      <c r="B167" s="423"/>
      <c r="C167" s="423"/>
      <c r="D167" s="423"/>
      <c r="E167" s="423"/>
      <c r="F167" s="423"/>
      <c r="G167" s="423"/>
      <c r="H167" s="423"/>
    </row>
    <row r="168" spans="1:20" ht="11.1" customHeight="1">
      <c r="A168" s="40"/>
      <c r="B168" s="423"/>
      <c r="C168" s="423"/>
      <c r="D168" s="423"/>
      <c r="E168" s="423"/>
      <c r="F168" s="423"/>
      <c r="G168" s="423"/>
      <c r="H168" s="423"/>
    </row>
    <row r="169" spans="1:20" ht="11.1" customHeight="1">
      <c r="A169" s="40"/>
      <c r="B169" s="423"/>
      <c r="C169" s="423"/>
      <c r="D169" s="423"/>
      <c r="E169" s="423"/>
      <c r="F169" s="423"/>
      <c r="G169" s="423"/>
      <c r="H169" s="423"/>
    </row>
    <row r="170" spans="1:20" ht="11.1" customHeight="1">
      <c r="A170" s="40"/>
      <c r="B170" s="423"/>
      <c r="C170" s="423"/>
      <c r="D170" s="423"/>
      <c r="E170" s="423"/>
      <c r="F170" s="423"/>
      <c r="G170" s="423"/>
      <c r="H170" s="423"/>
    </row>
    <row r="171" spans="1:20" ht="11.1" customHeight="1">
      <c r="A171" s="40"/>
      <c r="B171" s="423"/>
      <c r="C171" s="423"/>
      <c r="D171" s="423"/>
      <c r="E171" s="423"/>
      <c r="F171" s="423"/>
      <c r="G171" s="423"/>
      <c r="H171" s="423"/>
    </row>
    <row r="172" spans="1:20" ht="11.1" customHeight="1">
      <c r="A172" s="40"/>
      <c r="B172" s="423"/>
      <c r="C172" s="423"/>
      <c r="D172" s="423"/>
      <c r="E172" s="423"/>
      <c r="F172" s="423"/>
      <c r="G172" s="423"/>
      <c r="H172" s="423"/>
    </row>
    <row r="173" spans="1:20" ht="11.1" customHeight="1">
      <c r="A173" s="40"/>
      <c r="B173" s="423"/>
      <c r="C173" s="423"/>
      <c r="D173" s="423"/>
      <c r="E173" s="423"/>
      <c r="F173" s="423"/>
      <c r="G173" s="423"/>
      <c r="H173" s="423"/>
    </row>
    <row r="174" spans="1:20" ht="11.1" customHeight="1">
      <c r="A174" s="40"/>
      <c r="B174" s="423"/>
      <c r="C174" s="423"/>
      <c r="D174" s="423"/>
      <c r="E174" s="423"/>
      <c r="F174" s="423"/>
      <c r="G174" s="423"/>
      <c r="H174" s="423"/>
    </row>
    <row r="175" spans="1:20" ht="11.1" customHeight="1">
      <c r="A175" s="40"/>
      <c r="B175" s="423"/>
      <c r="C175" s="423"/>
      <c r="D175" s="423"/>
      <c r="E175" s="423"/>
      <c r="F175" s="423"/>
      <c r="G175" s="423"/>
      <c r="H175" s="423"/>
    </row>
    <row r="176" spans="1:20" ht="11.1" customHeight="1"/>
    <row r="177" spans="1:23" ht="11.1" customHeight="1">
      <c r="M177" s="1023" t="s">
        <v>560</v>
      </c>
      <c r="N177" s="1023"/>
      <c r="O177" s="1023"/>
      <c r="P177" s="1023"/>
      <c r="Q177" s="1023"/>
      <c r="R177" s="1023"/>
      <c r="S177" s="1023"/>
      <c r="T177" s="1023"/>
    </row>
    <row r="178" spans="1:23" ht="11.1" customHeight="1">
      <c r="A178" s="1024" t="s">
        <v>529</v>
      </c>
      <c r="B178" s="1024"/>
      <c r="C178" s="1024"/>
      <c r="D178" s="1024"/>
      <c r="E178" s="1024"/>
      <c r="F178" s="1024"/>
      <c r="G178" s="1024"/>
      <c r="H178" s="1024"/>
      <c r="M178" s="1023" t="s">
        <v>717</v>
      </c>
      <c r="N178" s="1023"/>
      <c r="O178" s="1023"/>
      <c r="P178" s="1023"/>
      <c r="Q178" s="1023"/>
      <c r="R178" s="1023"/>
      <c r="S178" s="1023"/>
      <c r="T178" s="1023"/>
    </row>
    <row r="179" spans="1:23" ht="11.1" customHeight="1">
      <c r="A179" s="1024" t="s">
        <v>718</v>
      </c>
      <c r="B179" s="1024"/>
      <c r="C179" s="1024"/>
      <c r="D179" s="1024"/>
      <c r="E179" s="1024"/>
      <c r="F179" s="1024"/>
      <c r="G179" s="1024"/>
      <c r="H179" s="1024"/>
      <c r="M179" s="276"/>
      <c r="N179" s="276"/>
      <c r="O179" s="276"/>
      <c r="P179" s="276"/>
      <c r="Q179" s="276"/>
      <c r="R179" s="276"/>
      <c r="S179" s="276"/>
      <c r="T179" s="280" t="s">
        <v>357</v>
      </c>
    </row>
    <row r="180" spans="1:23" ht="11.1" customHeight="1">
      <c r="A180" s="40"/>
      <c r="B180" s="40"/>
      <c r="C180" s="40"/>
      <c r="D180" s="40"/>
      <c r="E180" s="40"/>
      <c r="F180" s="1089" t="s">
        <v>222</v>
      </c>
      <c r="G180" s="1089"/>
      <c r="H180" s="1089"/>
      <c r="M180" s="1144" t="s">
        <v>212</v>
      </c>
      <c r="N180" s="1146" t="s">
        <v>345</v>
      </c>
      <c r="O180" s="1020" t="s">
        <v>214</v>
      </c>
      <c r="P180" s="1021"/>
      <c r="Q180" s="1021"/>
      <c r="R180" s="1021"/>
      <c r="S180" s="1022"/>
      <c r="T180" s="1043" t="s">
        <v>126</v>
      </c>
    </row>
    <row r="181" spans="1:23" ht="11.1" customHeight="1" thickBot="1">
      <c r="A181" s="1054" t="s">
        <v>212</v>
      </c>
      <c r="B181" s="1043" t="s">
        <v>223</v>
      </c>
      <c r="C181" s="1020" t="s">
        <v>214</v>
      </c>
      <c r="D181" s="1021"/>
      <c r="E181" s="1021"/>
      <c r="F181" s="1021"/>
      <c r="G181" s="1022"/>
      <c r="H181" s="1043" t="s">
        <v>126</v>
      </c>
      <c r="M181" s="1145"/>
      <c r="N181" s="1147"/>
      <c r="O181" s="160">
        <v>2011</v>
      </c>
      <c r="P181" s="160">
        <v>2012</v>
      </c>
      <c r="Q181" s="160">
        <v>2013</v>
      </c>
      <c r="R181" s="160">
        <v>2014</v>
      </c>
      <c r="S181" s="160">
        <v>2015</v>
      </c>
      <c r="T181" s="1044"/>
    </row>
    <row r="182" spans="1:23" ht="11.1" customHeight="1" thickTop="1" thickBot="1">
      <c r="A182" s="1055"/>
      <c r="B182" s="1044"/>
      <c r="C182" s="62">
        <v>2011</v>
      </c>
      <c r="D182" s="62">
        <v>2012</v>
      </c>
      <c r="E182" s="62">
        <v>2013</v>
      </c>
      <c r="F182" s="62">
        <v>2014</v>
      </c>
      <c r="G182" s="62">
        <v>2015</v>
      </c>
      <c r="H182" s="1044"/>
      <c r="J182" s="450"/>
      <c r="M182" s="278">
        <v>11</v>
      </c>
      <c r="N182" s="144" t="s">
        <v>359</v>
      </c>
      <c r="O182" s="35">
        <v>0</v>
      </c>
      <c r="P182" s="35">
        <v>0</v>
      </c>
      <c r="Q182" s="35">
        <v>0</v>
      </c>
      <c r="R182" s="35">
        <f>50+293201.24</f>
        <v>293251.24</v>
      </c>
      <c r="S182" s="35">
        <f>16389.6+27</f>
        <v>16416.599999999999</v>
      </c>
      <c r="T182" s="35" t="e">
        <f>((P182-O182)/O182*100+(Q182-P182)/P182*100+(R182-Q182)/Q182*100+(S182-R182)/R182*100)/4</f>
        <v>#DIV/0!</v>
      </c>
    </row>
    <row r="183" spans="1:23" ht="11.1" customHeight="1" thickTop="1">
      <c r="A183" s="28">
        <v>1</v>
      </c>
      <c r="B183" s="28" t="s">
        <v>121</v>
      </c>
      <c r="C183" s="100">
        <v>558</v>
      </c>
      <c r="D183" s="100">
        <v>636</v>
      </c>
      <c r="E183" s="100">
        <v>613</v>
      </c>
      <c r="F183" s="101">
        <f>723+83</f>
        <v>806</v>
      </c>
      <c r="G183" s="797">
        <v>1181</v>
      </c>
      <c r="H183" s="30">
        <f>((D183-C183)/C183*100+(E183-D183)/D183*100+(F183-E183)/E183*100+(G183-F183)/F183*100)/4</f>
        <v>22.093174864987709</v>
      </c>
      <c r="J183" s="450"/>
      <c r="K183" s="450"/>
      <c r="M183" s="278">
        <f>M182+1</f>
        <v>12</v>
      </c>
      <c r="N183" s="35" t="s">
        <v>360</v>
      </c>
      <c r="O183" s="35">
        <v>37372.589999999997</v>
      </c>
      <c r="P183" s="35">
        <v>603950.44999999995</v>
      </c>
      <c r="Q183" s="35">
        <f>30667.8+143666.6+7240.2</f>
        <v>181574.6</v>
      </c>
      <c r="R183" s="35">
        <f>99627.85+29739.88</f>
        <v>129367.73000000001</v>
      </c>
      <c r="S183" s="35">
        <f>99627.85+29739.88</f>
        <v>129367.73000000001</v>
      </c>
      <c r="T183" s="35">
        <f>((P183-O183)/O183*100+(Q183-P183)/P183*100+(R183-Q183)/Q183*100+(S183-R183)/R183*100)/4</f>
        <v>354.33433216177627</v>
      </c>
    </row>
    <row r="184" spans="1:23" ht="11.1" customHeight="1">
      <c r="A184" s="32">
        <v>2</v>
      </c>
      <c r="B184" s="32" t="s">
        <v>122</v>
      </c>
      <c r="C184" s="102">
        <v>1717</v>
      </c>
      <c r="D184" s="102">
        <v>1274</v>
      </c>
      <c r="E184" s="102">
        <v>1406</v>
      </c>
      <c r="F184" s="102">
        <f>1364+30</f>
        <v>1394</v>
      </c>
      <c r="G184" s="552">
        <v>1024</v>
      </c>
      <c r="H184" s="35">
        <f>((D184-C184)/C184*100+(E184-D184)/D184*100+(F184-E184)/E184*100+(G184-F184)/F184*100)/4</f>
        <v>-10.708889295628456</v>
      </c>
      <c r="J184" s="796"/>
      <c r="K184" s="450"/>
      <c r="M184" s="278">
        <f>M183+1</f>
        <v>13</v>
      </c>
      <c r="N184" s="35" t="s">
        <v>129</v>
      </c>
      <c r="O184" s="35">
        <v>1600</v>
      </c>
      <c r="P184" s="35">
        <v>0</v>
      </c>
      <c r="Q184" s="35">
        <v>0</v>
      </c>
      <c r="R184" s="35">
        <v>0</v>
      </c>
      <c r="S184" s="35">
        <v>0</v>
      </c>
      <c r="T184" s="35" t="e">
        <f>((P184-O184)/O184*100+(Q184-P184)/P184*100+(R184-Q184)/Q184*100+(S184-R184)/R184*100)/4</f>
        <v>#DIV/0!</v>
      </c>
    </row>
    <row r="185" spans="1:23" ht="11.1" customHeight="1">
      <c r="A185" s="32">
        <v>3</v>
      </c>
      <c r="B185" s="32" t="s">
        <v>184</v>
      </c>
      <c r="C185" s="102">
        <v>2339</v>
      </c>
      <c r="D185" s="102">
        <v>2470</v>
      </c>
      <c r="E185" s="102">
        <v>2004</v>
      </c>
      <c r="F185" s="102">
        <f>1134+1020</f>
        <v>2154</v>
      </c>
      <c r="G185" s="552">
        <v>2016</v>
      </c>
      <c r="H185" s="35">
        <f t="shared" ref="H185:H191" si="16">((D185-C185)/C185*100+(E185-D185)/D185*100+(F185-E185)/E185*100+(G185-F185)/F185*100)/4</f>
        <v>-3.0468420011921342</v>
      </c>
      <c r="J185" s="796"/>
      <c r="K185" s="450"/>
      <c r="M185" s="278">
        <v>14</v>
      </c>
      <c r="N185" s="35" t="s">
        <v>361</v>
      </c>
      <c r="O185" s="35">
        <v>22371868.34</v>
      </c>
      <c r="P185" s="35">
        <v>25933109.449999999</v>
      </c>
      <c r="Q185" s="35">
        <v>19731859.699999999</v>
      </c>
      <c r="R185" s="35">
        <v>22057001.030000001</v>
      </c>
      <c r="S185" s="35">
        <v>17937024.350000001</v>
      </c>
      <c r="T185" s="35">
        <f>((P185-O185)/O185*100+(Q185-P185)/P185*100+(R185-Q185)/Q185*100+(S185-R185)/R185*100)/4</f>
        <v>-3.7222928154444292</v>
      </c>
    </row>
    <row r="186" spans="1:23" ht="11.1" customHeight="1">
      <c r="A186" s="32">
        <v>4</v>
      </c>
      <c r="B186" s="32" t="s">
        <v>120</v>
      </c>
      <c r="C186" s="102">
        <v>1870</v>
      </c>
      <c r="D186" s="102">
        <v>2014</v>
      </c>
      <c r="E186" s="102">
        <v>2025</v>
      </c>
      <c r="F186" s="102">
        <f>1881+144</f>
        <v>2025</v>
      </c>
      <c r="G186" s="552">
        <v>1559</v>
      </c>
      <c r="H186" s="35">
        <f t="shared" si="16"/>
        <v>-3.6914085392481724</v>
      </c>
      <c r="J186" s="796"/>
      <c r="K186" s="450"/>
      <c r="M186" s="278">
        <f>M185+1</f>
        <v>15</v>
      </c>
      <c r="N186" s="35" t="s">
        <v>239</v>
      </c>
      <c r="O186" s="35">
        <v>2001333.1400000001</v>
      </c>
      <c r="P186" s="35">
        <v>4630568.2699999809</v>
      </c>
      <c r="Q186" s="35">
        <v>12015545.829999998</v>
      </c>
      <c r="R186" s="35">
        <v>14462289.49</v>
      </c>
      <c r="S186" s="35">
        <v>17670784.739999998</v>
      </c>
      <c r="T186" s="35">
        <f t="shared" ref="T186:T192" si="17">((P186-O186)/O186*100+(Q186-P186)/P186*100+(R186-Q186)/Q186*100+(S186-R186)/R186*100)/4</f>
        <v>83.351442146410776</v>
      </c>
    </row>
    <row r="187" spans="1:23" ht="11.1" customHeight="1">
      <c r="A187" s="32">
        <v>5</v>
      </c>
      <c r="B187" s="32" t="s">
        <v>125</v>
      </c>
      <c r="C187" s="102">
        <v>3964</v>
      </c>
      <c r="D187" s="102">
        <v>2992</v>
      </c>
      <c r="E187" s="102">
        <v>3358</v>
      </c>
      <c r="F187" s="102">
        <f>3221+163</f>
        <v>3384</v>
      </c>
      <c r="G187" s="552">
        <v>4732</v>
      </c>
      <c r="H187" s="35">
        <f t="shared" si="16"/>
        <v>7.080179977688176</v>
      </c>
      <c r="J187" s="796"/>
      <c r="K187" s="450"/>
      <c r="M187" s="278">
        <f>M186+1</f>
        <v>16</v>
      </c>
      <c r="N187" s="35" t="s">
        <v>362</v>
      </c>
      <c r="O187" s="35">
        <v>698796</v>
      </c>
      <c r="P187" s="35">
        <v>603368.52</v>
      </c>
      <c r="Q187" s="35">
        <v>495145</v>
      </c>
      <c r="R187" s="35">
        <v>415298.75</v>
      </c>
      <c r="S187" s="35">
        <v>46487</v>
      </c>
      <c r="T187" s="35">
        <f t="shared" si="17"/>
        <v>-34.131185628532869</v>
      </c>
    </row>
    <row r="188" spans="1:23" ht="11.1" customHeight="1">
      <c r="A188" s="32">
        <v>6</v>
      </c>
      <c r="B188" s="32" t="s">
        <v>124</v>
      </c>
      <c r="C188" s="102">
        <v>6579</v>
      </c>
      <c r="D188" s="102">
        <v>6040</v>
      </c>
      <c r="E188" s="102">
        <v>6040</v>
      </c>
      <c r="F188" s="102">
        <f>5994+46</f>
        <v>6040</v>
      </c>
      <c r="G188" s="552">
        <v>6344</v>
      </c>
      <c r="H188" s="35">
        <f t="shared" si="16"/>
        <v>-0.78990546883571944</v>
      </c>
      <c r="J188" s="796"/>
      <c r="K188" s="450"/>
      <c r="M188" s="278">
        <f>M187+1</f>
        <v>17</v>
      </c>
      <c r="N188" s="35" t="s">
        <v>363</v>
      </c>
      <c r="O188" s="286">
        <v>0</v>
      </c>
      <c r="P188" s="286">
        <v>0</v>
      </c>
      <c r="Q188" s="286">
        <v>0</v>
      </c>
      <c r="R188" s="35">
        <v>0</v>
      </c>
      <c r="S188" s="35">
        <v>0</v>
      </c>
      <c r="T188" s="35" t="e">
        <f t="shared" si="17"/>
        <v>#DIV/0!</v>
      </c>
      <c r="W188" s="608"/>
    </row>
    <row r="189" spans="1:23" ht="11.1" customHeight="1" thickBot="1">
      <c r="A189" s="32">
        <v>7</v>
      </c>
      <c r="B189" s="32" t="s">
        <v>123</v>
      </c>
      <c r="C189" s="102">
        <v>1070</v>
      </c>
      <c r="D189" s="102">
        <v>1086</v>
      </c>
      <c r="E189" s="102">
        <v>1096</v>
      </c>
      <c r="F189" s="102">
        <f>1086+0</f>
        <v>1086</v>
      </c>
      <c r="G189" s="552">
        <v>1139</v>
      </c>
      <c r="H189" s="35">
        <f t="shared" si="16"/>
        <v>1.5960058290138355</v>
      </c>
      <c r="J189" s="796"/>
      <c r="K189" s="450"/>
      <c r="M189" s="278">
        <f>M188+1</f>
        <v>18</v>
      </c>
      <c r="N189" s="35" t="s">
        <v>364</v>
      </c>
      <c r="O189" s="286">
        <v>0</v>
      </c>
      <c r="P189" s="286">
        <v>0</v>
      </c>
      <c r="Q189" s="286">
        <v>0</v>
      </c>
      <c r="R189" s="35">
        <v>0</v>
      </c>
      <c r="S189" s="35">
        <v>0</v>
      </c>
      <c r="T189" s="35" t="e">
        <f t="shared" si="17"/>
        <v>#DIV/0!</v>
      </c>
    </row>
    <row r="190" spans="1:23" ht="11.1" customHeight="1" thickTop="1" thickBot="1">
      <c r="A190" s="32">
        <v>8</v>
      </c>
      <c r="B190" s="32" t="s">
        <v>195</v>
      </c>
      <c r="C190" s="102">
        <v>1034</v>
      </c>
      <c r="D190" s="102">
        <v>1041</v>
      </c>
      <c r="E190" s="102">
        <v>1046</v>
      </c>
      <c r="F190" s="102">
        <f>724+215</f>
        <v>939</v>
      </c>
      <c r="G190" s="552">
        <v>877</v>
      </c>
      <c r="H190" s="35">
        <f t="shared" si="16"/>
        <v>-3.9187311052926086</v>
      </c>
      <c r="J190" s="796"/>
      <c r="K190" s="450"/>
      <c r="M190" s="1148" t="s">
        <v>365</v>
      </c>
      <c r="N190" s="1149"/>
      <c r="O190" s="55">
        <f>SUM(O182:O186)+O164</f>
        <v>124066567.31999999</v>
      </c>
      <c r="P190" s="55">
        <f>SUM(P182:P186)+P164</f>
        <v>137174807.13999996</v>
      </c>
      <c r="Q190" s="55">
        <f>SUM(Q182:Q186)+Q164</f>
        <v>130660813.97999999</v>
      </c>
      <c r="R190" s="55">
        <f>SUM(R182:R186)+R164</f>
        <v>135751556.18000001</v>
      </c>
      <c r="S190" s="55">
        <f>SUM(S182:S186)+S164</f>
        <v>134833413.79000002</v>
      </c>
      <c r="T190" s="55">
        <f t="shared" si="17"/>
        <v>2.2591548270506068</v>
      </c>
    </row>
    <row r="191" spans="1:23" ht="11.1" customHeight="1" thickTop="1" thickBot="1">
      <c r="A191" s="103">
        <v>9</v>
      </c>
      <c r="B191" s="103" t="s">
        <v>585</v>
      </c>
      <c r="C191" s="104">
        <v>1833</v>
      </c>
      <c r="D191" s="104">
        <v>1839</v>
      </c>
      <c r="E191" s="104">
        <v>1833</v>
      </c>
      <c r="F191" s="105">
        <v>1623</v>
      </c>
      <c r="G191" s="798">
        <v>1619</v>
      </c>
      <c r="H191" s="35">
        <f t="shared" si="16"/>
        <v>-2.9255044219516289</v>
      </c>
      <c r="J191" s="796"/>
      <c r="K191" s="450"/>
      <c r="M191" s="1148" t="s">
        <v>366</v>
      </c>
      <c r="N191" s="1149"/>
      <c r="O191" s="55">
        <f>SUM(O187:O189)</f>
        <v>698796</v>
      </c>
      <c r="P191" s="55">
        <f>SUM(P187:P189)</f>
        <v>603368.52</v>
      </c>
      <c r="Q191" s="55">
        <f>SUM(Q187:Q189)</f>
        <v>495145</v>
      </c>
      <c r="R191" s="55">
        <f>SUM(R187:R189)</f>
        <v>415298.75</v>
      </c>
      <c r="S191" s="55">
        <f>SUM(S187:S189)</f>
        <v>46487</v>
      </c>
      <c r="T191" s="55">
        <f t="shared" si="17"/>
        <v>-34.131185628532869</v>
      </c>
    </row>
    <row r="192" spans="1:23" ht="11.1" customHeight="1" thickTop="1" thickBot="1">
      <c r="A192" s="1056" t="s">
        <v>224</v>
      </c>
      <c r="B192" s="1057"/>
      <c r="C192" s="107">
        <f>SUM(C183:C191)</f>
        <v>20964</v>
      </c>
      <c r="D192" s="107">
        <f>SUM(D183:D191)</f>
        <v>19392</v>
      </c>
      <c r="E192" s="107">
        <f>SUM(E183:E191)</f>
        <v>19421</v>
      </c>
      <c r="F192" s="107">
        <f>SUM(F183:F191)</f>
        <v>19451</v>
      </c>
      <c r="G192" s="107">
        <f>SUM(G183:G191)</f>
        <v>20491</v>
      </c>
      <c r="H192" s="84">
        <f>((D192-C192)/C192*100+(E192-D192)/D192*100+(F192-E192)/E192*100+(G192-F192)/F192*100)/4</f>
        <v>-0.46194550094169506</v>
      </c>
      <c r="J192" s="796"/>
      <c r="M192" s="1034" t="s">
        <v>367</v>
      </c>
      <c r="N192" s="1035"/>
      <c r="O192" s="84">
        <f>O191+O190</f>
        <v>124765363.31999999</v>
      </c>
      <c r="P192" s="84">
        <f>P191+P190</f>
        <v>137778175.65999997</v>
      </c>
      <c r="Q192" s="84">
        <f>Q191+Q190</f>
        <v>131155958.97999999</v>
      </c>
      <c r="R192" s="84">
        <f>R191+R190</f>
        <v>136166854.93000001</v>
      </c>
      <c r="S192" s="84">
        <f>S191+S190</f>
        <v>134879900.79000002</v>
      </c>
      <c r="T192" s="84">
        <f t="shared" si="17"/>
        <v>2.1247066502278456</v>
      </c>
    </row>
    <row r="193" spans="1:20" ht="11.1" customHeight="1" thickTop="1">
      <c r="A193" s="40"/>
      <c r="B193" s="40"/>
      <c r="C193" s="40"/>
      <c r="D193" s="40"/>
      <c r="E193" s="40"/>
      <c r="F193" s="40"/>
      <c r="G193" s="40"/>
      <c r="H193" s="40"/>
      <c r="J193" s="450"/>
      <c r="K193" s="450"/>
      <c r="M193" s="289"/>
      <c r="N193" s="289"/>
      <c r="O193" s="285"/>
      <c r="P193" s="285"/>
      <c r="Q193" s="290"/>
      <c r="R193" s="290"/>
      <c r="S193" s="290"/>
      <c r="T193" s="285"/>
    </row>
    <row r="194" spans="1:20" ht="11.1" customHeight="1">
      <c r="A194" s="40"/>
      <c r="B194" s="966" t="s">
        <v>256</v>
      </c>
      <c r="C194" s="966"/>
      <c r="D194" s="966"/>
      <c r="E194" s="966"/>
      <c r="F194" s="966"/>
      <c r="G194" s="966"/>
      <c r="H194" s="966"/>
      <c r="J194" s="450"/>
      <c r="K194" s="450"/>
      <c r="M194" s="271"/>
      <c r="N194" s="966" t="s">
        <v>395</v>
      </c>
      <c r="O194" s="966"/>
      <c r="P194" s="966"/>
      <c r="Q194" s="966"/>
      <c r="R194" s="966"/>
      <c r="S194" s="966"/>
      <c r="T194" s="966"/>
    </row>
    <row r="195" spans="1:20" ht="11.1" customHeight="1">
      <c r="B195" s="607" t="s">
        <v>586</v>
      </c>
      <c r="J195" s="450"/>
      <c r="K195" s="450"/>
      <c r="M195" s="271"/>
      <c r="N195" s="427"/>
      <c r="O195" s="427"/>
      <c r="P195" s="427"/>
      <c r="Q195" s="427"/>
      <c r="R195" s="427"/>
      <c r="S195" s="427"/>
      <c r="T195" s="427"/>
    </row>
    <row r="196" spans="1:20" ht="11.1" customHeight="1">
      <c r="J196" s="450"/>
      <c r="K196" s="450"/>
      <c r="M196" s="271"/>
      <c r="N196" s="427"/>
      <c r="O196" s="427"/>
      <c r="P196" s="427"/>
      <c r="Q196" s="427"/>
      <c r="R196" s="427"/>
      <c r="S196" s="427"/>
      <c r="T196" s="427"/>
    </row>
    <row r="197" spans="1:20" ht="11.1" customHeight="1">
      <c r="J197" s="450"/>
      <c r="K197" s="450"/>
      <c r="M197" s="271"/>
      <c r="N197" s="427"/>
      <c r="O197" s="427"/>
      <c r="P197" s="427"/>
      <c r="Q197" s="427"/>
      <c r="R197" s="427"/>
      <c r="S197" s="427"/>
      <c r="T197" s="427"/>
    </row>
    <row r="198" spans="1:20" ht="11.1" customHeight="1">
      <c r="J198" s="450"/>
      <c r="K198" s="450"/>
      <c r="M198" s="271"/>
      <c r="N198" s="427"/>
      <c r="O198" s="427"/>
      <c r="P198" s="427"/>
      <c r="Q198" s="427"/>
      <c r="R198" s="427"/>
      <c r="S198" s="427"/>
      <c r="T198" s="427"/>
    </row>
    <row r="199" spans="1:20" ht="11.1" customHeight="1">
      <c r="J199" s="450"/>
      <c r="K199" s="450"/>
      <c r="M199" s="271"/>
      <c r="N199" s="427"/>
      <c r="O199" s="427"/>
      <c r="P199" s="427"/>
      <c r="Q199" s="427"/>
      <c r="R199" s="427"/>
      <c r="S199" s="427"/>
      <c r="T199" s="427"/>
    </row>
    <row r="200" spans="1:20" ht="11.1" customHeight="1">
      <c r="J200" s="450"/>
      <c r="K200" s="450"/>
      <c r="M200" s="271"/>
      <c r="N200" s="427"/>
      <c r="O200" s="427"/>
      <c r="P200" s="427"/>
      <c r="Q200" s="427"/>
      <c r="R200" s="427"/>
      <c r="S200" s="427"/>
      <c r="T200" s="427"/>
    </row>
    <row r="201" spans="1:20" ht="11.1" customHeight="1">
      <c r="J201" s="450"/>
      <c r="K201" s="450"/>
      <c r="M201" s="271"/>
      <c r="N201" s="427"/>
      <c r="O201" s="427"/>
      <c r="P201" s="427"/>
      <c r="Q201" s="427"/>
      <c r="R201" s="427"/>
      <c r="S201" s="427"/>
      <c r="T201" s="427"/>
    </row>
    <row r="202" spans="1:20" ht="11.1" customHeight="1">
      <c r="M202" s="271"/>
      <c r="N202" s="427"/>
      <c r="O202" s="427"/>
      <c r="P202" s="427"/>
      <c r="Q202" s="427"/>
      <c r="R202" s="427"/>
      <c r="S202" s="427"/>
      <c r="T202" s="427"/>
    </row>
    <row r="203" spans="1:20" ht="11.1" customHeight="1">
      <c r="M203" s="271"/>
      <c r="N203" s="272"/>
      <c r="O203" s="272"/>
      <c r="P203" s="272"/>
      <c r="Q203" s="272"/>
      <c r="R203" s="272"/>
      <c r="S203" s="272"/>
      <c r="T203" s="273"/>
    </row>
    <row r="204" spans="1:20" ht="11.1" customHeight="1"/>
    <row r="205" spans="1:20" ht="11.1" customHeight="1">
      <c r="M205" s="1024" t="s">
        <v>561</v>
      </c>
      <c r="N205" s="1024"/>
      <c r="O205" s="1024"/>
      <c r="P205" s="1024"/>
      <c r="Q205" s="1024"/>
      <c r="R205" s="1024"/>
      <c r="S205" s="1024"/>
      <c r="T205" s="1024"/>
    </row>
    <row r="206" spans="1:20" ht="11.1" customHeight="1">
      <c r="A206" s="1024" t="s">
        <v>530</v>
      </c>
      <c r="B206" s="1024"/>
      <c r="C206" s="1024"/>
      <c r="D206" s="1024"/>
      <c r="E206" s="1024"/>
      <c r="F206" s="1024"/>
      <c r="G206" s="1024"/>
      <c r="H206" s="1024"/>
      <c r="M206" s="1024" t="s">
        <v>719</v>
      </c>
      <c r="N206" s="1024"/>
      <c r="O206" s="1024"/>
      <c r="P206" s="1024"/>
      <c r="Q206" s="1024"/>
      <c r="R206" s="1024"/>
      <c r="S206" s="1024"/>
      <c r="T206" s="1024"/>
    </row>
    <row r="207" spans="1:20" ht="11.1" customHeight="1">
      <c r="A207" s="1024" t="s">
        <v>710</v>
      </c>
      <c r="B207" s="1024"/>
      <c r="C207" s="1024"/>
      <c r="D207" s="1024"/>
      <c r="E207" s="1024"/>
      <c r="F207" s="1024"/>
      <c r="G207" s="1024"/>
      <c r="H207" s="1024"/>
      <c r="M207" s="40"/>
      <c r="N207" s="40"/>
      <c r="O207" s="40"/>
      <c r="P207" s="40"/>
      <c r="Q207" s="40"/>
      <c r="R207" s="40"/>
      <c r="S207" s="40"/>
      <c r="T207" s="113" t="s">
        <v>226</v>
      </c>
    </row>
    <row r="208" spans="1:20" ht="11.1" customHeight="1">
      <c r="A208" s="40"/>
      <c r="B208" s="40"/>
      <c r="C208" s="40"/>
      <c r="D208" s="40"/>
      <c r="E208" s="40"/>
      <c r="F208" s="40"/>
      <c r="G208" s="40"/>
      <c r="H208" s="113" t="s">
        <v>230</v>
      </c>
      <c r="M208" s="1054" t="s">
        <v>212</v>
      </c>
      <c r="N208" s="1043" t="s">
        <v>370</v>
      </c>
      <c r="O208" s="1020" t="s">
        <v>214</v>
      </c>
      <c r="P208" s="1021"/>
      <c r="Q208" s="1021"/>
      <c r="R208" s="1021"/>
      <c r="S208" s="1022"/>
      <c r="T208" s="1043" t="s">
        <v>126</v>
      </c>
    </row>
    <row r="209" spans="1:20" ht="11.1" customHeight="1" thickBot="1">
      <c r="A209" s="1054" t="s">
        <v>212</v>
      </c>
      <c r="B209" s="1043" t="s">
        <v>223</v>
      </c>
      <c r="C209" s="1020" t="s">
        <v>214</v>
      </c>
      <c r="D209" s="1021"/>
      <c r="E209" s="1021"/>
      <c r="F209" s="1021"/>
      <c r="G209" s="1022"/>
      <c r="H209" s="1043" t="s">
        <v>126</v>
      </c>
      <c r="J209" s="450"/>
      <c r="K209" s="450"/>
      <c r="M209" s="1055"/>
      <c r="N209" s="1044"/>
      <c r="O209" s="62">
        <v>2011</v>
      </c>
      <c r="P209" s="62">
        <v>2012</v>
      </c>
      <c r="Q209" s="62">
        <v>2013</v>
      </c>
      <c r="R209" s="62">
        <v>2014</v>
      </c>
      <c r="S209" s="62">
        <v>2015</v>
      </c>
      <c r="T209" s="1044"/>
    </row>
    <row r="210" spans="1:20" ht="11.1" customHeight="1" thickTop="1" thickBot="1">
      <c r="A210" s="1055"/>
      <c r="B210" s="1044"/>
      <c r="C210" s="62">
        <v>2011</v>
      </c>
      <c r="D210" s="62">
        <v>2012</v>
      </c>
      <c r="E210" s="62">
        <v>2013</v>
      </c>
      <c r="F210" s="62">
        <v>2014</v>
      </c>
      <c r="G210" s="62">
        <v>2015</v>
      </c>
      <c r="H210" s="1044"/>
      <c r="J210" s="450"/>
      <c r="K210" s="450"/>
      <c r="M210" s="27">
        <v>1</v>
      </c>
      <c r="N210" s="28" t="s">
        <v>371</v>
      </c>
      <c r="O210" s="30">
        <v>2756.4</v>
      </c>
      <c r="P210" s="445">
        <v>2806.2627699999998</v>
      </c>
      <c r="Q210" s="300">
        <v>2462.0481</v>
      </c>
      <c r="R210" s="300">
        <v>2804.4</v>
      </c>
      <c r="S210" s="300">
        <v>3028.7828</v>
      </c>
      <c r="T210" s="30">
        <f>((P210-O210)/O210*100+(Q210-P210)/P210*100+(R210-Q210)/Q210*100+(S210-R210)/R210*100)/4</f>
        <v>2.8623252833038575</v>
      </c>
    </row>
    <row r="211" spans="1:20" ht="11.1" customHeight="1" thickTop="1">
      <c r="A211" s="28">
        <v>1</v>
      </c>
      <c r="B211" s="28" t="s">
        <v>121</v>
      </c>
      <c r="C211" s="100">
        <v>8903</v>
      </c>
      <c r="D211" s="100">
        <v>8935</v>
      </c>
      <c r="E211" s="100">
        <v>8924</v>
      </c>
      <c r="F211" s="101">
        <f>9018+83</f>
        <v>9101</v>
      </c>
      <c r="G211" s="800">
        <v>9145</v>
      </c>
      <c r="H211" s="30">
        <f>((D211-C211)/C211*100+(E211-D211)/D211*100+(F211-E211)/E211*100+(G211-F211)/F211*100)/4</f>
        <v>0.67579922760325251</v>
      </c>
      <c r="J211" s="799"/>
      <c r="K211" s="450"/>
      <c r="M211" s="31">
        <v>2</v>
      </c>
      <c r="N211" s="32" t="s">
        <v>372</v>
      </c>
      <c r="O211" s="35">
        <v>1865.38</v>
      </c>
      <c r="P211" s="293">
        <v>2505.2991700000007</v>
      </c>
      <c r="Q211" s="35">
        <v>2368.2143599999999</v>
      </c>
      <c r="R211" s="35">
        <v>3176.1</v>
      </c>
      <c r="S211" s="35">
        <v>2596.9367000000002</v>
      </c>
      <c r="T211" s="35">
        <f>((P211-O211)/O211*100+(Q211-P211)/P211*100+(R211-Q211)/Q211*100+(S211-R211)/R211*100)/4</f>
        <v>11.177973516996216</v>
      </c>
    </row>
    <row r="212" spans="1:20" ht="11.1" customHeight="1">
      <c r="A212" s="32">
        <v>2</v>
      </c>
      <c r="B212" s="32" t="s">
        <v>122</v>
      </c>
      <c r="C212" s="102">
        <v>1734</v>
      </c>
      <c r="D212" s="102">
        <v>1274</v>
      </c>
      <c r="E212" s="102">
        <v>1040</v>
      </c>
      <c r="F212" s="102">
        <f>1362+30</f>
        <v>1392</v>
      </c>
      <c r="G212" s="620">
        <v>1430</v>
      </c>
      <c r="H212" s="35">
        <f>((D212-C212)/C212*100+(E212-D212)/D212*100+(F212-E212)/E212*100+(G212-F212)/F212*100)/4</f>
        <v>-2.0798915993296987</v>
      </c>
      <c r="J212" s="799"/>
      <c r="K212" s="450"/>
      <c r="M212" s="31">
        <v>3</v>
      </c>
      <c r="N212" s="32" t="s">
        <v>373</v>
      </c>
      <c r="O212" s="35">
        <v>1871.77</v>
      </c>
      <c r="P212" s="293">
        <v>2407.1495799999998</v>
      </c>
      <c r="Q212" s="35">
        <v>1872.9179000000001</v>
      </c>
      <c r="R212" s="35">
        <v>2969.96</v>
      </c>
      <c r="S212" s="35">
        <v>2809.4625999999998</v>
      </c>
      <c r="T212" s="35">
        <f t="shared" ref="T212:T221" si="18">((P212-O212)/O212*100+(Q212-P212)/P212*100+(R212-Q212)/Q212*100+(S212-R212)/R212*100)/4</f>
        <v>14.894810453188564</v>
      </c>
    </row>
    <row r="213" spans="1:20" ht="11.1" customHeight="1">
      <c r="A213" s="32">
        <v>3</v>
      </c>
      <c r="B213" s="32" t="s">
        <v>184</v>
      </c>
      <c r="C213" s="102">
        <v>2337</v>
      </c>
      <c r="D213" s="102">
        <v>2166</v>
      </c>
      <c r="E213" s="102">
        <v>1806</v>
      </c>
      <c r="F213" s="102">
        <f>936+1020</f>
        <v>1956</v>
      </c>
      <c r="G213" s="620">
        <v>2213</v>
      </c>
      <c r="H213" s="35">
        <f t="shared" ref="H213:H218" si="19">((D213-C213)/C213*100+(E213-D213)/D213*100+(F213-E213)/E213*100+(G213-F213)/F213*100)/4</f>
        <v>-0.62321616011377978</v>
      </c>
      <c r="J213" s="799"/>
      <c r="K213" s="450"/>
      <c r="M213" s="31">
        <v>4</v>
      </c>
      <c r="N213" s="32" t="s">
        <v>374</v>
      </c>
      <c r="O213" s="35">
        <v>2467.89</v>
      </c>
      <c r="P213" s="293">
        <v>1916.3267099999998</v>
      </c>
      <c r="Q213" s="35">
        <v>2988.0156200000001</v>
      </c>
      <c r="R213" s="35">
        <v>3097.58</v>
      </c>
      <c r="S213" s="35">
        <v>2803.4841999999999</v>
      </c>
      <c r="T213" s="35">
        <f t="shared" si="18"/>
        <v>6.9367386290413382</v>
      </c>
    </row>
    <row r="214" spans="1:20" ht="11.1" customHeight="1">
      <c r="A214" s="32">
        <v>4</v>
      </c>
      <c r="B214" s="32" t="s">
        <v>120</v>
      </c>
      <c r="C214" s="102">
        <v>10029</v>
      </c>
      <c r="D214" s="102">
        <v>10173</v>
      </c>
      <c r="E214" s="102">
        <v>10173</v>
      </c>
      <c r="F214" s="102">
        <f>10029+144</f>
        <v>10173</v>
      </c>
      <c r="G214" s="620">
        <v>10173</v>
      </c>
      <c r="H214" s="35">
        <f t="shared" si="19"/>
        <v>0.35895901884534848</v>
      </c>
      <c r="J214" s="799"/>
      <c r="K214" s="450"/>
      <c r="M214" s="31">
        <v>5</v>
      </c>
      <c r="N214" s="32" t="s">
        <v>375</v>
      </c>
      <c r="O214" s="35">
        <v>2676.03</v>
      </c>
      <c r="P214" s="293">
        <v>2225.4019699999999</v>
      </c>
      <c r="Q214" s="35">
        <v>2731.1246499999993</v>
      </c>
      <c r="R214" s="35">
        <v>2424</v>
      </c>
      <c r="S214" s="35">
        <v>3125.4364</v>
      </c>
      <c r="T214" s="35">
        <f t="shared" si="18"/>
        <v>5.8943426671135146</v>
      </c>
    </row>
    <row r="215" spans="1:20" ht="11.1" customHeight="1">
      <c r="A215" s="32">
        <v>5</v>
      </c>
      <c r="B215" s="32" t="s">
        <v>125</v>
      </c>
      <c r="C215" s="102">
        <v>6813</v>
      </c>
      <c r="D215" s="102">
        <v>7180</v>
      </c>
      <c r="E215" s="102">
        <v>7150</v>
      </c>
      <c r="F215" s="102">
        <f>6816+242</f>
        <v>7058</v>
      </c>
      <c r="G215" s="620">
        <v>5583</v>
      </c>
      <c r="H215" s="35">
        <f t="shared" si="19"/>
        <v>-4.3040128612603539</v>
      </c>
      <c r="J215" s="799"/>
      <c r="K215" s="450"/>
      <c r="M215" s="31">
        <v>6</v>
      </c>
      <c r="N215" s="32" t="s">
        <v>376</v>
      </c>
      <c r="O215" s="35">
        <v>2932.65</v>
      </c>
      <c r="P215" s="293">
        <v>2395.3497600000005</v>
      </c>
      <c r="Q215" s="35">
        <v>3466.6532700000002</v>
      </c>
      <c r="R215" s="35">
        <v>3436.56</v>
      </c>
      <c r="S215" s="35">
        <v>2537.6046000000001</v>
      </c>
      <c r="T215" s="35">
        <f t="shared" si="18"/>
        <v>-0.15591976558965115</v>
      </c>
    </row>
    <row r="216" spans="1:20" ht="11.1" customHeight="1">
      <c r="A216" s="32">
        <v>6</v>
      </c>
      <c r="B216" s="32" t="s">
        <v>124</v>
      </c>
      <c r="C216" s="102">
        <v>6579</v>
      </c>
      <c r="D216" s="102">
        <v>6643</v>
      </c>
      <c r="E216" s="102">
        <v>6643</v>
      </c>
      <c r="F216" s="102">
        <f>6348+295</f>
        <v>6643</v>
      </c>
      <c r="G216" s="620">
        <v>6649</v>
      </c>
      <c r="H216" s="35">
        <f t="shared" si="19"/>
        <v>0.26577821398202561</v>
      </c>
      <c r="J216" s="799"/>
      <c r="K216" s="450"/>
      <c r="M216" s="31">
        <v>7</v>
      </c>
      <c r="N216" s="32" t="s">
        <v>377</v>
      </c>
      <c r="O216" s="35">
        <v>2403.7399999999998</v>
      </c>
      <c r="P216" s="293">
        <v>2179.6759199999997</v>
      </c>
      <c r="Q216" s="35">
        <v>2864.7733899999994</v>
      </c>
      <c r="R216" s="35">
        <v>3501.54</v>
      </c>
      <c r="S216" s="35">
        <v>2182.6741999999999</v>
      </c>
      <c r="T216" s="35">
        <f t="shared" si="18"/>
        <v>1.6679615358568682</v>
      </c>
    </row>
    <row r="217" spans="1:20" ht="11.1" customHeight="1">
      <c r="A217" s="32">
        <v>7</v>
      </c>
      <c r="B217" s="32" t="s">
        <v>123</v>
      </c>
      <c r="C217" s="102">
        <v>1080</v>
      </c>
      <c r="D217" s="102">
        <v>1080</v>
      </c>
      <c r="E217" s="102">
        <v>1132</v>
      </c>
      <c r="F217" s="102">
        <f>1296</f>
        <v>1296</v>
      </c>
      <c r="G217" s="620">
        <v>1212</v>
      </c>
      <c r="H217" s="35">
        <f t="shared" si="19"/>
        <v>3.2052414605418136</v>
      </c>
      <c r="J217" s="799"/>
      <c r="K217" s="450"/>
      <c r="M217" s="31">
        <v>8</v>
      </c>
      <c r="N217" s="32" t="s">
        <v>378</v>
      </c>
      <c r="O217" s="35">
        <v>2438.36</v>
      </c>
      <c r="P217" s="293">
        <v>2663.5891900000006</v>
      </c>
      <c r="Q217" s="462">
        <v>3563.7929399999994</v>
      </c>
      <c r="R217" s="462">
        <v>3033.89</v>
      </c>
      <c r="S217" s="462">
        <v>1974.5219</v>
      </c>
      <c r="T217" s="35">
        <f t="shared" si="18"/>
        <v>-1.6883326099526617</v>
      </c>
    </row>
    <row r="218" spans="1:20" ht="11.1" customHeight="1">
      <c r="A218" s="32">
        <v>8</v>
      </c>
      <c r="B218" s="32" t="s">
        <v>195</v>
      </c>
      <c r="C218" s="102">
        <v>1264</v>
      </c>
      <c r="D218" s="102">
        <v>1271</v>
      </c>
      <c r="E218" s="102">
        <v>1046</v>
      </c>
      <c r="F218" s="102">
        <f>724+215</f>
        <v>939</v>
      </c>
      <c r="G218" s="620">
        <v>954</v>
      </c>
      <c r="H218" s="35">
        <f t="shared" si="19"/>
        <v>-6.4452000824208442</v>
      </c>
      <c r="J218" s="799"/>
      <c r="M218" s="186">
        <v>9</v>
      </c>
      <c r="N218" s="103" t="s">
        <v>379</v>
      </c>
      <c r="O218" s="286">
        <v>2313.5</v>
      </c>
      <c r="P218" s="294">
        <v>1609.6734599999995</v>
      </c>
      <c r="Q218" s="463">
        <v>2538.7141799999995</v>
      </c>
      <c r="R218" s="463">
        <v>3616.37</v>
      </c>
      <c r="S218" s="463">
        <v>2652.8723</v>
      </c>
      <c r="T218" s="35">
        <f t="shared" si="18"/>
        <v>10.774930110157049</v>
      </c>
    </row>
    <row r="219" spans="1:20" ht="11.1" customHeight="1" thickBot="1">
      <c r="A219" s="103">
        <v>9</v>
      </c>
      <c r="B219" s="103" t="s">
        <v>585</v>
      </c>
      <c r="C219" s="104">
        <v>1805</v>
      </c>
      <c r="D219" s="104">
        <v>1805</v>
      </c>
      <c r="E219" s="104">
        <v>1777</v>
      </c>
      <c r="F219" s="114">
        <v>1815</v>
      </c>
      <c r="G219" s="801">
        <v>1823</v>
      </c>
      <c r="H219" s="35">
        <f>((D219-C219)/C219*100+(E219-D219)/D219*100+(F219-E219)/E219*100+(G219-F219)/F219*100)/4</f>
        <v>0.25699009450651739</v>
      </c>
      <c r="J219" s="799"/>
      <c r="K219" s="450"/>
      <c r="M219" s="186">
        <v>10</v>
      </c>
      <c r="N219" s="103" t="s">
        <v>380</v>
      </c>
      <c r="O219" s="286">
        <v>2318.94</v>
      </c>
      <c r="P219" s="294">
        <v>2245.6</v>
      </c>
      <c r="Q219" s="463">
        <v>2843.6692899999998</v>
      </c>
      <c r="R219" s="463">
        <v>3944.18</v>
      </c>
      <c r="S219" s="463">
        <v>2656.9072000000001</v>
      </c>
      <c r="T219" s="35">
        <f t="shared" si="18"/>
        <v>7.3833476421549822</v>
      </c>
    </row>
    <row r="220" spans="1:20" ht="11.1" customHeight="1" thickTop="1" thickBot="1">
      <c r="A220" s="1056" t="s">
        <v>224</v>
      </c>
      <c r="B220" s="1057"/>
      <c r="C220" s="107">
        <f>SUM(C211:C219)</f>
        <v>40544</v>
      </c>
      <c r="D220" s="107">
        <f>SUM(D211:D219)</f>
        <v>40527</v>
      </c>
      <c r="E220" s="107">
        <f>SUM(E211:E219)</f>
        <v>39691</v>
      </c>
      <c r="F220" s="107">
        <f>SUM(F211:F219)</f>
        <v>40373</v>
      </c>
      <c r="G220" s="107">
        <f>SUM(G211:G219)</f>
        <v>39182</v>
      </c>
      <c r="H220" s="84">
        <f>((D220-C220)/C220*100+(E220-D220)/D220*100+(F220-E220)/E220*100+(G220-F220)/F220*100)/4</f>
        <v>-0.83411743452487808</v>
      </c>
      <c r="J220" s="450"/>
      <c r="K220" s="450"/>
      <c r="M220" s="186">
        <v>11</v>
      </c>
      <c r="N220" s="103" t="s">
        <v>381</v>
      </c>
      <c r="O220" s="286">
        <v>2308.4299999999998</v>
      </c>
      <c r="P220" s="294">
        <v>3730.0650000000001</v>
      </c>
      <c r="Q220" s="463">
        <v>3713.1011800000001</v>
      </c>
      <c r="R220" s="463">
        <v>3722.37</v>
      </c>
      <c r="S220" s="463">
        <v>3673.5140999999999</v>
      </c>
      <c r="T220" s="35">
        <f t="shared" si="18"/>
        <v>15.01671023728484</v>
      </c>
    </row>
    <row r="221" spans="1:20" ht="11.1" customHeight="1" thickTop="1" thickBot="1">
      <c r="A221" s="106"/>
      <c r="B221" s="106"/>
      <c r="C221" s="106"/>
      <c r="D221" s="106"/>
      <c r="E221" s="106"/>
      <c r="F221" s="106"/>
      <c r="G221" s="106"/>
      <c r="H221" s="106"/>
      <c r="J221" s="450"/>
      <c r="K221" s="450"/>
      <c r="M221" s="186">
        <v>12</v>
      </c>
      <c r="N221" s="103" t="s">
        <v>382</v>
      </c>
      <c r="O221" s="286">
        <v>2195.1799999999998</v>
      </c>
      <c r="P221" s="294">
        <v>2693.98</v>
      </c>
      <c r="Q221" s="463">
        <v>2851.8896599999998</v>
      </c>
      <c r="R221" s="463">
        <v>3471.69</v>
      </c>
      <c r="S221" s="463">
        <v>3194.0744</v>
      </c>
      <c r="T221" s="35">
        <f t="shared" si="18"/>
        <v>10.580125213739871</v>
      </c>
    </row>
    <row r="222" spans="1:20" ht="11.1" customHeight="1" thickTop="1" thickBot="1">
      <c r="A222" s="106"/>
      <c r="B222" s="966" t="s">
        <v>258</v>
      </c>
      <c r="C222" s="966"/>
      <c r="D222" s="966"/>
      <c r="E222" s="966"/>
      <c r="F222" s="966"/>
      <c r="G222" s="966"/>
      <c r="H222" s="966"/>
      <c r="J222" s="450"/>
      <c r="K222" s="450"/>
      <c r="M222" s="1056" t="s">
        <v>224</v>
      </c>
      <c r="N222" s="1057"/>
      <c r="O222" s="84">
        <f>SUM(O210:O221)</f>
        <v>28548.27</v>
      </c>
      <c r="P222" s="84">
        <f>SUM(P210:P221)</f>
        <v>29378.373529999997</v>
      </c>
      <c r="Q222" s="84">
        <f>SUM(Q210:Q221)</f>
        <v>34264.914539999998</v>
      </c>
      <c r="R222" s="84">
        <f>SUM(R210:R221)</f>
        <v>39198.639999999999</v>
      </c>
      <c r="S222" s="84">
        <f>SUM(S210:S221)</f>
        <v>33236.271400000005</v>
      </c>
      <c r="T222" s="84">
        <f>((P222-O222)/O222*100+(Q222-P222)/P222*100+(R222-Q222)/Q222*100+(S222-R222)/R222*100)/4</f>
        <v>4.6822395665642169</v>
      </c>
    </row>
    <row r="223" spans="1:20" ht="11.1" customHeight="1" thickTop="1">
      <c r="A223" s="106"/>
      <c r="B223" s="607" t="s">
        <v>586</v>
      </c>
      <c r="C223" s="423"/>
      <c r="D223" s="423"/>
      <c r="E223" s="423"/>
      <c r="F223" s="423"/>
      <c r="G223" s="423"/>
      <c r="H223" s="423"/>
      <c r="J223" s="450"/>
      <c r="K223" s="450"/>
      <c r="M223" s="40"/>
      <c r="N223" s="40"/>
      <c r="O223" s="291"/>
      <c r="P223" s="276"/>
      <c r="Q223" s="40"/>
      <c r="R223" s="40"/>
      <c r="S223" s="40"/>
      <c r="T223" s="40"/>
    </row>
    <row r="224" spans="1:20" ht="11.1" customHeight="1">
      <c r="A224" s="106"/>
      <c r="B224" s="423"/>
      <c r="C224" s="423"/>
      <c r="D224" s="423"/>
      <c r="E224" s="423"/>
      <c r="F224" s="423"/>
      <c r="G224" s="423"/>
      <c r="H224" s="423"/>
      <c r="J224" s="450"/>
      <c r="K224" s="450"/>
      <c r="M224" s="40"/>
      <c r="N224" s="966" t="s">
        <v>396</v>
      </c>
      <c r="O224" s="966"/>
      <c r="P224" s="966"/>
      <c r="Q224" s="966"/>
      <c r="R224" s="966"/>
      <c r="S224" s="966"/>
      <c r="T224" s="966"/>
    </row>
    <row r="225" spans="1:20" ht="11.1" customHeight="1">
      <c r="A225" s="106"/>
      <c r="B225" s="423"/>
      <c r="C225" s="423"/>
      <c r="D225" s="423"/>
      <c r="E225" s="423"/>
      <c r="F225" s="423"/>
      <c r="G225" s="423"/>
      <c r="H225" s="423"/>
      <c r="J225" s="450"/>
      <c r="K225" s="450"/>
      <c r="M225" s="40"/>
      <c r="N225" s="427"/>
      <c r="O225" s="427"/>
      <c r="P225" s="427"/>
      <c r="Q225" s="427"/>
      <c r="R225" s="427"/>
      <c r="S225" s="427"/>
      <c r="T225" s="427"/>
    </row>
    <row r="226" spans="1:20" ht="11.1" customHeight="1">
      <c r="A226" s="106"/>
      <c r="B226" s="423"/>
      <c r="C226" s="423"/>
      <c r="D226" s="423"/>
      <c r="E226" s="423"/>
      <c r="F226" s="423"/>
      <c r="G226" s="423"/>
      <c r="H226" s="423"/>
      <c r="J226" s="450"/>
      <c r="K226" s="450"/>
      <c r="M226" s="40"/>
      <c r="N226" s="427"/>
      <c r="O226" s="427"/>
      <c r="P226" s="427"/>
      <c r="Q226" s="427"/>
      <c r="R226" s="427"/>
      <c r="S226" s="461"/>
      <c r="T226" s="427"/>
    </row>
    <row r="227" spans="1:20" ht="11.1" customHeight="1">
      <c r="A227" s="106"/>
      <c r="B227" s="423"/>
      <c r="C227" s="423"/>
      <c r="D227" s="423"/>
      <c r="E227" s="423"/>
      <c r="F227" s="423"/>
      <c r="G227" s="423"/>
      <c r="H227" s="423"/>
      <c r="J227" s="450"/>
      <c r="K227" s="450"/>
      <c r="M227" s="40"/>
      <c r="N227" s="427"/>
      <c r="O227" s="427"/>
      <c r="P227" s="427"/>
      <c r="Q227" s="427"/>
      <c r="R227" s="427"/>
      <c r="S227" s="427"/>
      <c r="T227" s="427"/>
    </row>
    <row r="228" spans="1:20" ht="11.1" customHeight="1">
      <c r="A228" s="106"/>
      <c r="B228" s="423"/>
      <c r="C228" s="423"/>
      <c r="D228" s="423"/>
      <c r="E228" s="423"/>
      <c r="F228" s="423"/>
      <c r="G228" s="423"/>
      <c r="H228" s="423"/>
      <c r="M228" s="40"/>
      <c r="N228" s="427"/>
      <c r="O228" s="427"/>
      <c r="P228" s="427"/>
      <c r="Q228" s="427"/>
      <c r="R228" s="427"/>
      <c r="S228" s="427"/>
      <c r="T228" s="427"/>
    </row>
    <row r="229" spans="1:20" ht="11.1" customHeight="1">
      <c r="A229" s="106"/>
      <c r="B229" s="423"/>
      <c r="C229" s="423"/>
      <c r="D229" s="423"/>
      <c r="E229" s="423"/>
      <c r="F229" s="423"/>
      <c r="G229" s="423"/>
      <c r="H229" s="423"/>
      <c r="M229" s="40"/>
      <c r="N229" s="427"/>
      <c r="O229" s="427"/>
      <c r="P229" s="427"/>
      <c r="Q229" s="427"/>
      <c r="R229" s="427"/>
      <c r="S229" s="427"/>
      <c r="T229" s="427"/>
    </row>
    <row r="230" spans="1:20" ht="11.1" customHeight="1">
      <c r="A230" s="106"/>
      <c r="B230" s="423"/>
      <c r="C230" s="423"/>
      <c r="D230" s="423"/>
      <c r="E230" s="423"/>
      <c r="F230" s="423"/>
      <c r="G230" s="423"/>
      <c r="H230" s="423"/>
      <c r="M230" s="40"/>
      <c r="N230" s="427"/>
      <c r="O230" s="427"/>
      <c r="P230" s="427"/>
      <c r="Q230" s="427"/>
      <c r="R230" s="427"/>
      <c r="S230" s="427"/>
      <c r="T230" s="427"/>
    </row>
    <row r="231" spans="1:20" ht="11.1" customHeight="1">
      <c r="A231" s="106"/>
      <c r="B231" s="423"/>
      <c r="C231" s="423"/>
      <c r="D231" s="423"/>
      <c r="E231" s="423"/>
      <c r="F231" s="423"/>
      <c r="G231" s="423"/>
      <c r="H231" s="423"/>
      <c r="M231" s="40"/>
      <c r="N231" s="427"/>
      <c r="O231" s="427"/>
      <c r="P231" s="427"/>
      <c r="Q231" s="427"/>
      <c r="R231" s="427"/>
      <c r="S231" s="427"/>
      <c r="T231" s="427"/>
    </row>
    <row r="232" spans="1:20" ht="11.1" customHeight="1">
      <c r="M232" s="40"/>
      <c r="N232" s="427"/>
      <c r="O232" s="427"/>
      <c r="P232" s="427"/>
      <c r="Q232" s="427"/>
      <c r="R232" s="427"/>
      <c r="S232" s="427"/>
      <c r="T232" s="427"/>
    </row>
    <row r="233" spans="1:20" ht="11.1" customHeight="1"/>
    <row r="234" spans="1:20" ht="11.1" customHeight="1"/>
    <row r="235" spans="1:20" ht="11.1" customHeight="1">
      <c r="A235" s="1024" t="s">
        <v>531</v>
      </c>
      <c r="B235" s="1024"/>
      <c r="C235" s="1024"/>
      <c r="D235" s="1024"/>
      <c r="E235" s="1024"/>
      <c r="F235" s="1024"/>
      <c r="G235" s="1024"/>
      <c r="H235" s="1024"/>
      <c r="M235" s="1150" t="s">
        <v>562</v>
      </c>
      <c r="N235" s="1150"/>
      <c r="O235" s="1150"/>
      <c r="P235" s="1150"/>
      <c r="Q235" s="1150"/>
      <c r="R235" s="1150"/>
      <c r="S235" s="1150"/>
      <c r="T235" s="1150"/>
    </row>
    <row r="236" spans="1:20" ht="11.1" customHeight="1">
      <c r="A236" s="1024" t="s">
        <v>720</v>
      </c>
      <c r="B236" s="1024"/>
      <c r="C236" s="1024"/>
      <c r="D236" s="1024"/>
      <c r="E236" s="1024"/>
      <c r="F236" s="1024"/>
      <c r="G236" s="1024"/>
      <c r="H236" s="1024"/>
      <c r="M236" s="1150" t="s">
        <v>721</v>
      </c>
      <c r="N236" s="1150"/>
      <c r="O236" s="1150"/>
      <c r="P236" s="1150"/>
      <c r="Q236" s="1150"/>
      <c r="R236" s="1150"/>
      <c r="S236" s="1150"/>
      <c r="T236" s="1150"/>
    </row>
    <row r="237" spans="1:20" ht="11.1" customHeight="1">
      <c r="A237" s="40"/>
      <c r="B237" s="40"/>
      <c r="C237" s="40"/>
      <c r="D237" s="40"/>
      <c r="E237" s="40"/>
      <c r="F237" s="1089" t="s">
        <v>222</v>
      </c>
      <c r="G237" s="1089"/>
      <c r="H237" s="1089"/>
      <c r="M237" s="298"/>
      <c r="N237" s="298"/>
      <c r="O237" s="298"/>
      <c r="P237" s="298"/>
      <c r="Q237" s="298"/>
      <c r="R237" s="298"/>
      <c r="S237" s="298"/>
      <c r="T237" s="297" t="s">
        <v>338</v>
      </c>
    </row>
    <row r="238" spans="1:20" ht="11.1" customHeight="1">
      <c r="A238" s="1054" t="s">
        <v>212</v>
      </c>
      <c r="B238" s="1043" t="s">
        <v>244</v>
      </c>
      <c r="C238" s="1020" t="s">
        <v>214</v>
      </c>
      <c r="D238" s="1021"/>
      <c r="E238" s="1021"/>
      <c r="F238" s="1021"/>
      <c r="G238" s="1022"/>
      <c r="H238" s="1087" t="s">
        <v>126</v>
      </c>
      <c r="M238" s="1151" t="s">
        <v>212</v>
      </c>
      <c r="N238" s="1153" t="s">
        <v>370</v>
      </c>
      <c r="O238" s="1020" t="s">
        <v>214</v>
      </c>
      <c r="P238" s="1021"/>
      <c r="Q238" s="1021"/>
      <c r="R238" s="1021"/>
      <c r="S238" s="1022"/>
      <c r="T238" s="1153" t="s">
        <v>126</v>
      </c>
    </row>
    <row r="239" spans="1:20" ht="11.1" customHeight="1" thickBot="1">
      <c r="A239" s="1055"/>
      <c r="B239" s="1044"/>
      <c r="C239" s="62">
        <v>2011</v>
      </c>
      <c r="D239" s="62">
        <v>2012</v>
      </c>
      <c r="E239" s="62">
        <v>2013</v>
      </c>
      <c r="F239" s="62">
        <v>2014</v>
      </c>
      <c r="G239" s="62">
        <v>2015</v>
      </c>
      <c r="H239" s="1088"/>
      <c r="J239" s="450"/>
      <c r="M239" s="1152"/>
      <c r="N239" s="1154"/>
      <c r="O239" s="62">
        <v>2011</v>
      </c>
      <c r="P239" s="62">
        <v>2012</v>
      </c>
      <c r="Q239" s="62">
        <v>2013</v>
      </c>
      <c r="R239" s="62">
        <v>2014</v>
      </c>
      <c r="S239" s="62">
        <v>2015</v>
      </c>
      <c r="T239" s="1154"/>
    </row>
    <row r="240" spans="1:20" ht="11.1" customHeight="1" thickTop="1">
      <c r="A240" s="28">
        <v>1</v>
      </c>
      <c r="B240" s="28" t="s">
        <v>245</v>
      </c>
      <c r="C240" s="100">
        <v>2449</v>
      </c>
      <c r="D240" s="100">
        <v>2465</v>
      </c>
      <c r="E240" s="100">
        <v>2604</v>
      </c>
      <c r="F240" s="101">
        <f>2276+376</f>
        <v>2652</v>
      </c>
      <c r="G240" s="101">
        <v>3258</v>
      </c>
      <c r="H240" s="30">
        <f>((D240-C240)/C240*100+(E240-D240)/D240*100+(F240-E240)/E240*100+(G240-F240)/F240*100)/4</f>
        <v>7.7465674568954714</v>
      </c>
      <c r="J240" s="450"/>
      <c r="M240" s="299">
        <v>1</v>
      </c>
      <c r="N240" s="300" t="s">
        <v>371</v>
      </c>
      <c r="O240" s="300">
        <v>232030</v>
      </c>
      <c r="P240" s="292">
        <v>162900</v>
      </c>
      <c r="Q240" s="300">
        <v>70700</v>
      </c>
      <c r="R240" s="300">
        <v>21200</v>
      </c>
      <c r="S240" s="300">
        <v>33400</v>
      </c>
      <c r="T240" s="301">
        <v>-29.182949347671318</v>
      </c>
    </row>
    <row r="241" spans="1:20" ht="11.1" customHeight="1">
      <c r="A241" s="32">
        <v>2</v>
      </c>
      <c r="B241" s="32" t="s">
        <v>246</v>
      </c>
      <c r="C241" s="102">
        <v>12440</v>
      </c>
      <c r="D241" s="102">
        <v>12357</v>
      </c>
      <c r="E241" s="102">
        <v>12721</v>
      </c>
      <c r="F241" s="102">
        <v>12880</v>
      </c>
      <c r="G241" s="102">
        <v>13180</v>
      </c>
      <c r="H241" s="35">
        <f>((D241-C241)/C241*100+(E241-D241)/D241*100+(F241-E241)/E241*100+(G241-F241)/F241*100)/4</f>
        <v>1.4643976264317755</v>
      </c>
      <c r="J241" s="450"/>
      <c r="M241" s="302">
        <v>2</v>
      </c>
      <c r="N241" s="303" t="s">
        <v>372</v>
      </c>
      <c r="O241" s="303">
        <v>218874</v>
      </c>
      <c r="P241" s="304">
        <v>191740</v>
      </c>
      <c r="Q241" s="304">
        <v>80900</v>
      </c>
      <c r="R241" s="304">
        <v>82600</v>
      </c>
      <c r="S241" s="304">
        <v>49100</v>
      </c>
      <c r="T241" s="303">
        <v>-35.813694003557849</v>
      </c>
    </row>
    <row r="242" spans="1:20" ht="11.1" customHeight="1">
      <c r="A242" s="32">
        <v>3</v>
      </c>
      <c r="B242" s="32" t="s">
        <v>247</v>
      </c>
      <c r="C242" s="102">
        <v>710</v>
      </c>
      <c r="D242" s="102">
        <v>660</v>
      </c>
      <c r="E242" s="102">
        <v>720</v>
      </c>
      <c r="F242" s="102">
        <f>SUM(F243:F250)</f>
        <v>1052</v>
      </c>
      <c r="G242" s="102">
        <f>SUM(G243:G250)</f>
        <v>1019</v>
      </c>
      <c r="H242" s="35">
        <f t="shared" ref="H242:H250" si="20">((D242-C242)/C242*100+(E242-D242)/D242*100+(F242-E242)/E242*100+(G242-F242)/F242*100)/4</f>
        <v>11.25572113790397</v>
      </c>
      <c r="J242" s="450"/>
      <c r="M242" s="302">
        <v>3</v>
      </c>
      <c r="N242" s="303" t="s">
        <v>373</v>
      </c>
      <c r="O242" s="303">
        <v>297850</v>
      </c>
      <c r="P242" s="304">
        <v>135789</v>
      </c>
      <c r="Q242" s="304">
        <v>124500</v>
      </c>
      <c r="R242" s="304">
        <v>63200</v>
      </c>
      <c r="S242" s="304">
        <v>29300</v>
      </c>
      <c r="T242" s="303">
        <v>-40.158065214052442</v>
      </c>
    </row>
    <row r="243" spans="1:20" ht="11.1" customHeight="1">
      <c r="A243" s="32"/>
      <c r="B243" s="32" t="s">
        <v>248</v>
      </c>
      <c r="C243" s="102">
        <v>52</v>
      </c>
      <c r="D243" s="102">
        <v>15</v>
      </c>
      <c r="E243" s="102">
        <v>68</v>
      </c>
      <c r="F243" s="102">
        <v>71</v>
      </c>
      <c r="G243" s="102">
        <v>83</v>
      </c>
      <c r="H243" s="35">
        <f t="shared" si="20"/>
        <v>75.873165084018439</v>
      </c>
      <c r="J243" s="450"/>
      <c r="M243" s="302">
        <v>4</v>
      </c>
      <c r="N243" s="303" t="s">
        <v>374</v>
      </c>
      <c r="O243" s="303">
        <v>319913</v>
      </c>
      <c r="P243" s="304">
        <v>187798</v>
      </c>
      <c r="Q243" s="304">
        <v>118550</v>
      </c>
      <c r="R243" s="304">
        <v>3000</v>
      </c>
      <c r="S243" s="304">
        <v>12400</v>
      </c>
      <c r="T243" s="303">
        <v>-34.379376785039618</v>
      </c>
    </row>
    <row r="244" spans="1:20" ht="11.1" customHeight="1">
      <c r="A244" s="32"/>
      <c r="B244" s="32" t="s">
        <v>249</v>
      </c>
      <c r="C244" s="102">
        <v>31</v>
      </c>
      <c r="D244" s="102">
        <v>17</v>
      </c>
      <c r="E244" s="102">
        <v>9</v>
      </c>
      <c r="F244" s="102">
        <v>38</v>
      </c>
      <c r="G244" s="102">
        <v>96</v>
      </c>
      <c r="H244" s="35">
        <f t="shared" si="20"/>
        <v>95.658421829399572</v>
      </c>
      <c r="J244" s="450"/>
      <c r="M244" s="302">
        <v>5</v>
      </c>
      <c r="N244" s="303" t="s">
        <v>375</v>
      </c>
      <c r="O244" s="303">
        <v>262730</v>
      </c>
      <c r="P244" s="304">
        <v>171000</v>
      </c>
      <c r="Q244" s="304">
        <v>129960</v>
      </c>
      <c r="R244" s="304">
        <v>40700</v>
      </c>
      <c r="S244" s="304">
        <v>3600</v>
      </c>
      <c r="T244" s="303">
        <v>-39.691636288010606</v>
      </c>
    </row>
    <row r="245" spans="1:20" ht="11.1" customHeight="1">
      <c r="A245" s="32"/>
      <c r="B245" s="32" t="s">
        <v>250</v>
      </c>
      <c r="C245" s="102">
        <v>44</v>
      </c>
      <c r="D245" s="102">
        <v>44</v>
      </c>
      <c r="E245" s="102">
        <v>45</v>
      </c>
      <c r="F245" s="102">
        <v>42</v>
      </c>
      <c r="G245" s="102">
        <v>38</v>
      </c>
      <c r="H245" s="35">
        <f t="shared" si="20"/>
        <v>-3.4794372294372296</v>
      </c>
      <c r="J245" s="450"/>
      <c r="M245" s="302">
        <v>6</v>
      </c>
      <c r="N245" s="303" t="s">
        <v>376</v>
      </c>
      <c r="O245" s="303">
        <v>186925</v>
      </c>
      <c r="P245" s="304">
        <v>177122</v>
      </c>
      <c r="Q245" s="304">
        <v>182500</v>
      </c>
      <c r="R245" s="304">
        <v>61500</v>
      </c>
      <c r="S245" s="304">
        <v>0</v>
      </c>
      <c r="T245" s="303">
        <v>-40.582888446164915</v>
      </c>
    </row>
    <row r="246" spans="1:20" ht="11.1" customHeight="1">
      <c r="A246" s="32"/>
      <c r="B246" s="32" t="s">
        <v>251</v>
      </c>
      <c r="C246" s="102">
        <v>134</v>
      </c>
      <c r="D246" s="102">
        <v>134</v>
      </c>
      <c r="E246" s="102">
        <v>134</v>
      </c>
      <c r="F246" s="102">
        <v>437</v>
      </c>
      <c r="G246" s="102">
        <v>320</v>
      </c>
      <c r="H246" s="35">
        <f t="shared" si="20"/>
        <v>49.83648690187507</v>
      </c>
      <c r="J246" s="450"/>
      <c r="M246" s="302">
        <v>7</v>
      </c>
      <c r="N246" s="303" t="s">
        <v>377</v>
      </c>
      <c r="O246" s="303">
        <v>158370</v>
      </c>
      <c r="P246" s="304">
        <v>152518</v>
      </c>
      <c r="Q246" s="304">
        <v>200550</v>
      </c>
      <c r="R246" s="304">
        <v>218300</v>
      </c>
      <c r="S246" s="304">
        <v>0</v>
      </c>
      <c r="T246" s="303">
        <v>-35.262700457695637</v>
      </c>
    </row>
    <row r="247" spans="1:20" ht="11.1" customHeight="1">
      <c r="A247" s="32"/>
      <c r="B247" s="32" t="s">
        <v>252</v>
      </c>
      <c r="C247" s="102">
        <v>89</v>
      </c>
      <c r="D247" s="102">
        <v>90</v>
      </c>
      <c r="E247" s="102">
        <v>109</v>
      </c>
      <c r="F247" s="102">
        <v>109</v>
      </c>
      <c r="G247" s="102">
        <v>127</v>
      </c>
      <c r="H247" s="35">
        <f t="shared" si="20"/>
        <v>9.6871170211547497</v>
      </c>
      <c r="J247" s="450"/>
      <c r="M247" s="302">
        <v>8</v>
      </c>
      <c r="N247" s="303" t="s">
        <v>378</v>
      </c>
      <c r="O247" s="303">
        <v>149450</v>
      </c>
      <c r="P247" s="304">
        <v>54070</v>
      </c>
      <c r="Q247" s="304">
        <v>90760</v>
      </c>
      <c r="R247" s="304">
        <v>356300</v>
      </c>
      <c r="S247" s="304">
        <v>0</v>
      </c>
      <c r="T247" s="303">
        <v>-32.341836898190202</v>
      </c>
    </row>
    <row r="248" spans="1:20" ht="11.1" customHeight="1">
      <c r="A248" s="103"/>
      <c r="B248" s="103" t="s">
        <v>253</v>
      </c>
      <c r="C248" s="104">
        <v>176</v>
      </c>
      <c r="D248" s="104">
        <v>176</v>
      </c>
      <c r="E248" s="104">
        <v>176</v>
      </c>
      <c r="F248" s="102">
        <v>176</v>
      </c>
      <c r="G248" s="102">
        <v>176</v>
      </c>
      <c r="H248" s="35">
        <f t="shared" si="20"/>
        <v>0</v>
      </c>
      <c r="J248" s="450"/>
      <c r="M248" s="305">
        <v>9</v>
      </c>
      <c r="N248" s="306" t="s">
        <v>379</v>
      </c>
      <c r="O248" s="306">
        <v>149933</v>
      </c>
      <c r="P248" s="307">
        <v>147249</v>
      </c>
      <c r="Q248" s="307">
        <v>113600</v>
      </c>
      <c r="R248" s="307">
        <v>330000</v>
      </c>
      <c r="S248" s="307">
        <v>0</v>
      </c>
      <c r="T248" s="303">
        <v>48.297264926571891</v>
      </c>
    </row>
    <row r="249" spans="1:20" ht="11.1" customHeight="1">
      <c r="A249" s="103"/>
      <c r="B249" s="103" t="s">
        <v>254</v>
      </c>
      <c r="C249" s="104">
        <v>177</v>
      </c>
      <c r="D249" s="104">
        <v>177</v>
      </c>
      <c r="E249" s="104">
        <v>177</v>
      </c>
      <c r="F249" s="102">
        <v>177</v>
      </c>
      <c r="G249" s="102">
        <v>177</v>
      </c>
      <c r="H249" s="35">
        <f t="shared" si="20"/>
        <v>0</v>
      </c>
      <c r="J249" s="450"/>
      <c r="M249" s="305">
        <v>10</v>
      </c>
      <c r="N249" s="306" t="s">
        <v>380</v>
      </c>
      <c r="O249" s="306">
        <v>265002</v>
      </c>
      <c r="P249" s="307">
        <v>125280</v>
      </c>
      <c r="Q249" s="307">
        <v>73200</v>
      </c>
      <c r="R249" s="307">
        <v>435600</v>
      </c>
      <c r="S249" s="307">
        <v>0</v>
      </c>
      <c r="T249" s="303">
        <v>34.191907487708157</v>
      </c>
    </row>
    <row r="250" spans="1:20" ht="11.1" customHeight="1" thickBot="1">
      <c r="A250" s="103"/>
      <c r="B250" s="103" t="s">
        <v>255</v>
      </c>
      <c r="C250" s="104">
        <v>7</v>
      </c>
      <c r="D250" s="104">
        <v>7</v>
      </c>
      <c r="E250" s="104">
        <v>2</v>
      </c>
      <c r="F250" s="114">
        <v>2</v>
      </c>
      <c r="G250" s="114">
        <v>2</v>
      </c>
      <c r="H250" s="35">
        <f t="shared" si="20"/>
        <v>-17.857142857142858</v>
      </c>
      <c r="J250" s="450"/>
      <c r="M250" s="305">
        <v>11</v>
      </c>
      <c r="N250" s="306" t="s">
        <v>381</v>
      </c>
      <c r="O250" s="306">
        <v>147210</v>
      </c>
      <c r="P250" s="307">
        <v>41892</v>
      </c>
      <c r="Q250" s="307">
        <v>142400</v>
      </c>
      <c r="R250" s="307">
        <v>136346</v>
      </c>
      <c r="S250" s="307">
        <v>0</v>
      </c>
      <c r="T250" s="303">
        <v>14.926386032335728</v>
      </c>
    </row>
    <row r="251" spans="1:20" ht="11.1" customHeight="1" thickTop="1" thickBot="1">
      <c r="A251" s="1056" t="s">
        <v>224</v>
      </c>
      <c r="B251" s="1057"/>
      <c r="C251" s="107">
        <f>C242+C241+C240</f>
        <v>15599</v>
      </c>
      <c r="D251" s="107">
        <f>D242+D241+D240</f>
        <v>15482</v>
      </c>
      <c r="E251" s="107">
        <f>E242+E241+E240</f>
        <v>16045</v>
      </c>
      <c r="F251" s="107">
        <f>F242+F241+F240</f>
        <v>16584</v>
      </c>
      <c r="G251" s="107">
        <f>G242+G241+G240</f>
        <v>17457</v>
      </c>
      <c r="H251" s="84">
        <f>((D251-C251)/C251*100+(E251-D251)/D251*100+(F251-E251)/E251*100+(G251-F251)/F251*100)/4</f>
        <v>2.8774612358870124</v>
      </c>
      <c r="I251" s="440"/>
      <c r="M251" s="305">
        <v>12</v>
      </c>
      <c r="N251" s="306" t="s">
        <v>382</v>
      </c>
      <c r="O251" s="306">
        <v>118713</v>
      </c>
      <c r="P251" s="307">
        <v>87500</v>
      </c>
      <c r="Q251" s="307">
        <v>80056</v>
      </c>
      <c r="R251" s="307">
        <v>100000</v>
      </c>
      <c r="S251" s="307">
        <v>0</v>
      </c>
      <c r="T251" s="308">
        <v>-27.178462622629468</v>
      </c>
    </row>
    <row r="252" spans="1:20" ht="11.1" customHeight="1" thickTop="1" thickBot="1">
      <c r="A252" s="40"/>
      <c r="B252" s="40"/>
      <c r="C252" s="40"/>
      <c r="D252" s="40"/>
      <c r="E252" s="40"/>
      <c r="F252" s="40"/>
      <c r="G252" s="40"/>
      <c r="H252" s="40"/>
      <c r="M252" s="1155" t="s">
        <v>224</v>
      </c>
      <c r="N252" s="1156"/>
      <c r="O252" s="309">
        <f>SUM(O240:O251)</f>
        <v>2507000</v>
      </c>
      <c r="P252" s="309">
        <f>SUM(P240:P251)</f>
        <v>1634858</v>
      </c>
      <c r="Q252" s="309">
        <f>SUM(Q240:Q251)</f>
        <v>1407676</v>
      </c>
      <c r="R252" s="309">
        <f>SUM(R240:R251)</f>
        <v>1848746</v>
      </c>
      <c r="S252" s="309">
        <f>SUM(S240:S251)</f>
        <v>127800</v>
      </c>
      <c r="T252" s="309">
        <v>-37.654181942988068</v>
      </c>
    </row>
    <row r="253" spans="1:20" ht="11.1" customHeight="1" thickTop="1">
      <c r="A253" s="40"/>
      <c r="B253" s="966" t="s">
        <v>277</v>
      </c>
      <c r="C253" s="966"/>
      <c r="D253" s="966"/>
      <c r="E253" s="966"/>
      <c r="F253" s="966"/>
      <c r="G253" s="966"/>
      <c r="H253" s="966"/>
      <c r="M253" s="295"/>
      <c r="N253" s="295"/>
      <c r="O253" s="295"/>
      <c r="P253" s="295"/>
      <c r="Q253" s="295"/>
      <c r="R253" s="296"/>
      <c r="S253" s="296"/>
      <c r="T253" s="295"/>
    </row>
    <row r="254" spans="1:20" ht="11.1" customHeight="1">
      <c r="A254" s="40"/>
      <c r="B254" s="423"/>
      <c r="C254" s="423"/>
      <c r="D254" s="423"/>
      <c r="E254" s="423"/>
      <c r="F254" s="423"/>
      <c r="G254" s="423"/>
      <c r="H254" s="423"/>
      <c r="M254" s="295"/>
      <c r="N254" s="966" t="s">
        <v>397</v>
      </c>
      <c r="O254" s="966"/>
      <c r="P254" s="966"/>
      <c r="Q254" s="966"/>
      <c r="R254" s="966"/>
      <c r="S254" s="966"/>
      <c r="T254" s="966"/>
    </row>
    <row r="255" spans="1:20" ht="11.1" customHeight="1">
      <c r="A255" s="40"/>
      <c r="B255" s="423"/>
      <c r="C255" s="423"/>
      <c r="D255" s="423"/>
      <c r="E255" s="423"/>
      <c r="F255" s="423"/>
      <c r="G255" s="423"/>
      <c r="H255" s="423"/>
    </row>
    <row r="256" spans="1:20" ht="11.1" customHeight="1">
      <c r="A256" s="40"/>
      <c r="B256" s="423"/>
      <c r="C256" s="423"/>
      <c r="D256" s="423"/>
      <c r="E256" s="423"/>
      <c r="F256" s="423"/>
      <c r="G256" s="423"/>
      <c r="H256" s="423"/>
    </row>
    <row r="257" spans="1:20" ht="11.1" customHeight="1">
      <c r="A257" s="40"/>
      <c r="B257" s="423"/>
      <c r="C257" s="423"/>
      <c r="D257" s="423"/>
      <c r="E257" s="423"/>
      <c r="F257" s="423"/>
      <c r="G257" s="423"/>
      <c r="H257" s="423"/>
    </row>
    <row r="258" spans="1:20" ht="11.1" customHeight="1">
      <c r="A258" s="40"/>
      <c r="B258" s="423"/>
      <c r="C258" s="423"/>
      <c r="D258" s="423"/>
      <c r="E258" s="423"/>
      <c r="F258" s="423"/>
      <c r="G258" s="423"/>
      <c r="H258" s="423"/>
    </row>
    <row r="259" spans="1:20" ht="11.1" customHeight="1">
      <c r="A259" s="40"/>
      <c r="B259" s="423"/>
      <c r="C259" s="423"/>
      <c r="D259" s="423"/>
      <c r="E259" s="423"/>
      <c r="F259" s="423"/>
      <c r="G259" s="423"/>
      <c r="H259" s="423"/>
    </row>
    <row r="260" spans="1:20" ht="11.1" customHeight="1">
      <c r="A260" s="40"/>
      <c r="B260" s="423"/>
      <c r="C260" s="423"/>
      <c r="D260" s="423"/>
      <c r="E260" s="423"/>
      <c r="F260" s="423"/>
      <c r="G260" s="423"/>
      <c r="H260" s="423"/>
    </row>
    <row r="261" spans="1:20" ht="11.1" customHeight="1">
      <c r="A261" s="40"/>
      <c r="B261" s="423"/>
      <c r="C261" s="423"/>
      <c r="D261" s="423"/>
      <c r="E261" s="423"/>
      <c r="F261" s="423"/>
      <c r="G261" s="423"/>
      <c r="H261" s="423"/>
    </row>
    <row r="262" spans="1:20" ht="11.1" customHeight="1">
      <c r="A262" s="40"/>
      <c r="B262" s="423"/>
      <c r="C262" s="423"/>
      <c r="D262" s="423"/>
      <c r="E262" s="423"/>
      <c r="F262" s="423"/>
      <c r="G262" s="423"/>
      <c r="H262" s="423"/>
    </row>
    <row r="263" spans="1:20" ht="11.1" customHeight="1"/>
    <row r="264" spans="1:20" ht="11.1" customHeight="1"/>
    <row r="265" spans="1:20" ht="11.1" customHeight="1">
      <c r="M265" s="1117" t="s">
        <v>563</v>
      </c>
      <c r="N265" s="1117"/>
      <c r="O265" s="1117"/>
      <c r="P265" s="1117"/>
      <c r="Q265" s="1117"/>
      <c r="R265" s="1117"/>
      <c r="S265" s="1117"/>
      <c r="T265" s="1117"/>
    </row>
    <row r="266" spans="1:20" ht="11.1" customHeight="1">
      <c r="A266" s="1086" t="s">
        <v>532</v>
      </c>
      <c r="B266" s="1086"/>
      <c r="C266" s="1086"/>
      <c r="D266" s="1086"/>
      <c r="E266" s="1086"/>
      <c r="F266" s="1086"/>
      <c r="G266" s="1086"/>
      <c r="H266" s="1086"/>
      <c r="I266" s="45"/>
      <c r="M266" s="1117" t="s">
        <v>722</v>
      </c>
      <c r="N266" s="1117"/>
      <c r="O266" s="1117"/>
      <c r="P266" s="1117"/>
      <c r="Q266" s="1117"/>
      <c r="R266" s="1117"/>
      <c r="S266" s="1117"/>
      <c r="T266" s="1117"/>
    </row>
    <row r="267" spans="1:20" ht="11.1" customHeight="1">
      <c r="A267" s="1024" t="s">
        <v>710</v>
      </c>
      <c r="B267" s="1024"/>
      <c r="C267" s="1024"/>
      <c r="D267" s="1024"/>
      <c r="E267" s="1024"/>
      <c r="F267" s="1024"/>
      <c r="G267" s="1024"/>
      <c r="H267" s="1024"/>
      <c r="I267" s="45"/>
      <c r="M267" s="311"/>
      <c r="N267" s="311"/>
      <c r="O267" s="311"/>
      <c r="P267" s="311"/>
      <c r="Q267" s="311"/>
      <c r="R267" s="311"/>
      <c r="S267" s="311"/>
      <c r="T267" s="310" t="s">
        <v>357</v>
      </c>
    </row>
    <row r="268" spans="1:20" ht="11.1" customHeight="1">
      <c r="A268" s="117"/>
      <c r="B268" s="117"/>
      <c r="C268" s="117"/>
      <c r="D268" s="117"/>
      <c r="E268" s="117"/>
      <c r="F268" s="117"/>
      <c r="G268" s="117"/>
      <c r="H268" s="116" t="s">
        <v>257</v>
      </c>
      <c r="I268" s="45"/>
      <c r="M268" s="1118" t="s">
        <v>212</v>
      </c>
      <c r="N268" s="1120" t="s">
        <v>370</v>
      </c>
      <c r="O268" s="1020" t="s">
        <v>214</v>
      </c>
      <c r="P268" s="1021"/>
      <c r="Q268" s="1021"/>
      <c r="R268" s="1021"/>
      <c r="S268" s="1022"/>
      <c r="T268" s="1120" t="s">
        <v>126</v>
      </c>
    </row>
    <row r="269" spans="1:20" ht="11.1" customHeight="1" thickBot="1">
      <c r="A269" s="1079" t="s">
        <v>212</v>
      </c>
      <c r="B269" s="1081" t="s">
        <v>223</v>
      </c>
      <c r="C269" s="1083" t="s">
        <v>214</v>
      </c>
      <c r="D269" s="1084"/>
      <c r="E269" s="1084"/>
      <c r="F269" s="1084"/>
      <c r="G269" s="1085"/>
      <c r="H269" s="1081" t="s">
        <v>126</v>
      </c>
      <c r="I269" s="45"/>
      <c r="M269" s="1119"/>
      <c r="N269" s="1121"/>
      <c r="O269" s="160">
        <v>2011</v>
      </c>
      <c r="P269" s="160">
        <v>2012</v>
      </c>
      <c r="Q269" s="160">
        <v>2013</v>
      </c>
      <c r="R269" s="160">
        <v>2014</v>
      </c>
      <c r="S269" s="160">
        <v>2015</v>
      </c>
      <c r="T269" s="1121"/>
    </row>
    <row r="270" spans="1:20" ht="11.1" customHeight="1" thickTop="1" thickBot="1">
      <c r="A270" s="1080"/>
      <c r="B270" s="1082"/>
      <c r="C270" s="62">
        <v>2011</v>
      </c>
      <c r="D270" s="62">
        <v>2012</v>
      </c>
      <c r="E270" s="62">
        <v>2013</v>
      </c>
      <c r="F270" s="62">
        <v>2014</v>
      </c>
      <c r="G270" s="62">
        <v>2015</v>
      </c>
      <c r="H270" s="1082"/>
      <c r="I270" s="45"/>
      <c r="M270" s="312">
        <v>1</v>
      </c>
      <c r="N270" s="313" t="s">
        <v>371</v>
      </c>
      <c r="O270" s="314">
        <v>11842463</v>
      </c>
      <c r="P270" s="315">
        <v>10744836.770000001</v>
      </c>
      <c r="Q270" s="314">
        <v>12015388.949999999</v>
      </c>
      <c r="R270" s="314">
        <v>11224649.279999999</v>
      </c>
      <c r="S270" s="314">
        <v>12558321.9</v>
      </c>
      <c r="T270" s="35">
        <f>((P270-O270)/O270*100+(Q270-P270)/P270*100+(R270-Q270)/Q270*100+(S270-R270)/R270*100)/4</f>
        <v>1.9641974839072696</v>
      </c>
    </row>
    <row r="271" spans="1:20" ht="11.1" customHeight="1" thickTop="1">
      <c r="A271" s="118">
        <v>1</v>
      </c>
      <c r="B271" s="118" t="s">
        <v>121</v>
      </c>
      <c r="C271" s="119">
        <v>3311</v>
      </c>
      <c r="D271" s="119">
        <v>2861</v>
      </c>
      <c r="E271" s="119">
        <v>2242</v>
      </c>
      <c r="F271" s="565">
        <f>2332+83</f>
        <v>2415</v>
      </c>
      <c r="G271" s="803">
        <v>1277</v>
      </c>
      <c r="H271" s="30">
        <f>((D271-C271)/C271*100+(E271-D271)/D271*100+(F271-E271)/E271*100+(G271-F271)/F271*100)/4</f>
        <v>-18.658170070736947</v>
      </c>
      <c r="I271" s="45"/>
      <c r="J271" s="802"/>
      <c r="K271" s="451"/>
      <c r="M271" s="316">
        <v>2</v>
      </c>
      <c r="N271" s="317" t="s">
        <v>372</v>
      </c>
      <c r="O271" s="318">
        <v>7584830.0899999999</v>
      </c>
      <c r="P271" s="446">
        <v>9272837.4900000002</v>
      </c>
      <c r="Q271" s="464">
        <v>10389404.424000001</v>
      </c>
      <c r="R271" s="464">
        <v>10563477.050000001</v>
      </c>
      <c r="S271" s="464">
        <v>9647818.0800000001</v>
      </c>
      <c r="T271" s="35">
        <f>((P271-O271)/O271*100+(Q271-P271)/P271*100+(R271-Q271)/Q271*100+(S271-R271)/R271*100)/4</f>
        <v>6.8259085119941165</v>
      </c>
    </row>
    <row r="272" spans="1:20" ht="11.1" customHeight="1">
      <c r="A272" s="120">
        <v>2</v>
      </c>
      <c r="B272" s="120" t="s">
        <v>122</v>
      </c>
      <c r="C272" s="121">
        <v>4047</v>
      </c>
      <c r="D272" s="121">
        <v>2739</v>
      </c>
      <c r="E272" s="121">
        <v>3077</v>
      </c>
      <c r="F272" s="566">
        <f>3047+30</f>
        <v>3077</v>
      </c>
      <c r="G272" s="804">
        <v>3077</v>
      </c>
      <c r="H272" s="35">
        <f>((D272-C272)/C272*100+(E272-D272)/D272*100+(F272-E272)/E272*100+(G272-F272)/F272*100)/4</f>
        <v>-4.9949917602886789</v>
      </c>
      <c r="I272" s="45"/>
      <c r="J272" s="802"/>
      <c r="K272" s="450"/>
      <c r="M272" s="316">
        <v>3</v>
      </c>
      <c r="N272" s="317" t="s">
        <v>373</v>
      </c>
      <c r="O272" s="318">
        <v>8071818.04</v>
      </c>
      <c r="P272" s="446">
        <v>11714888.390000001</v>
      </c>
      <c r="Q272" s="464">
        <v>7100245.8300000001</v>
      </c>
      <c r="R272" s="464">
        <v>8806782.8900000006</v>
      </c>
      <c r="S272" s="464">
        <v>13877711.82</v>
      </c>
      <c r="T272" s="35">
        <f>((P272-O272)/O272*100+(Q272-P272)/P272*100+(R272-Q272)/Q272*100+(S272-R272)/R272*100)/4</f>
        <v>21.83916385617837</v>
      </c>
    </row>
    <row r="273" spans="1:20" ht="11.1" customHeight="1">
      <c r="A273" s="120">
        <v>3</v>
      </c>
      <c r="B273" s="120" t="s">
        <v>184</v>
      </c>
      <c r="C273" s="121">
        <v>3018</v>
      </c>
      <c r="D273" s="121">
        <v>3129</v>
      </c>
      <c r="E273" s="121">
        <v>9557</v>
      </c>
      <c r="F273" s="566">
        <f>3917+4899</f>
        <v>8816</v>
      </c>
      <c r="G273" s="804">
        <v>4479</v>
      </c>
      <c r="H273" s="35">
        <f>((D273-C273)/C273*100+(E273-D273)/D273*100+(F273-E273)/E273*100+(G273-F273)/F273*100)/4</f>
        <v>38.040713220954132</v>
      </c>
      <c r="I273" s="45"/>
      <c r="J273" s="802"/>
      <c r="K273" s="451"/>
      <c r="M273" s="316">
        <v>4</v>
      </c>
      <c r="N273" s="317" t="s">
        <v>374</v>
      </c>
      <c r="O273" s="318">
        <v>10531587.01</v>
      </c>
      <c r="P273" s="446">
        <v>8696976.6799999997</v>
      </c>
      <c r="Q273" s="464">
        <v>10483108.77</v>
      </c>
      <c r="R273" s="464">
        <v>11094964.18</v>
      </c>
      <c r="S273" s="464">
        <v>11509713.560000001</v>
      </c>
      <c r="T273" s="35">
        <f>((P273-O273)/O273*100+(Q273-P273)/P273*100+(R273-Q273)/Q273*100+(S273-R273)/R273*100)/4</f>
        <v>3.1730191289360921</v>
      </c>
    </row>
    <row r="274" spans="1:20" ht="11.1" customHeight="1">
      <c r="A274" s="120">
        <v>4</v>
      </c>
      <c r="B274" s="120" t="s">
        <v>120</v>
      </c>
      <c r="C274" s="121">
        <v>3741</v>
      </c>
      <c r="D274" s="121">
        <v>1134</v>
      </c>
      <c r="E274" s="121">
        <v>994</v>
      </c>
      <c r="F274" s="566">
        <f>778+5</f>
        <v>783</v>
      </c>
      <c r="G274" s="804">
        <v>3453</v>
      </c>
      <c r="H274" s="35">
        <f t="shared" ref="H274:H279" si="21">((D274-C274)/C274*100+(E274-D274)/D274*100+(F274-E274)/E274*100+(G274-F274)/F274*100)/4</f>
        <v>59.433968996590636</v>
      </c>
      <c r="I274" s="45"/>
      <c r="J274" s="802"/>
      <c r="K274" s="451"/>
      <c r="M274" s="316">
        <v>5</v>
      </c>
      <c r="N274" s="317" t="s">
        <v>375</v>
      </c>
      <c r="O274" s="318">
        <v>12189939.220000001</v>
      </c>
      <c r="P274" s="446">
        <v>9575894.2300000023</v>
      </c>
      <c r="Q274" s="464">
        <v>11315568.829999998</v>
      </c>
      <c r="R274" s="464">
        <v>9191508.0700000003</v>
      </c>
      <c r="S274" s="464">
        <v>13542355.783</v>
      </c>
      <c r="T274" s="35">
        <f t="shared" ref="T274:T281" si="22">((P274-O274)/O274*100+(Q274-P274)/P274*100+(R274-Q274)/Q274*100+(S274-R274)/R274*100)/4</f>
        <v>6.3218315202198427</v>
      </c>
    </row>
    <row r="275" spans="1:20" ht="11.1" customHeight="1">
      <c r="A275" s="120">
        <v>5</v>
      </c>
      <c r="B275" s="120" t="s">
        <v>125</v>
      </c>
      <c r="C275" s="121">
        <v>5871</v>
      </c>
      <c r="D275" s="121">
        <v>6490</v>
      </c>
      <c r="E275" s="121">
        <v>5512</v>
      </c>
      <c r="F275" s="566">
        <f>4751+612</f>
        <v>5363</v>
      </c>
      <c r="G275" s="804">
        <v>5183</v>
      </c>
      <c r="H275" s="35">
        <f t="shared" si="21"/>
        <v>-2.646378056190966</v>
      </c>
      <c r="I275" s="45"/>
      <c r="J275" s="802"/>
      <c r="K275" s="451"/>
      <c r="M275" s="316">
        <v>6</v>
      </c>
      <c r="N275" s="317" t="s">
        <v>376</v>
      </c>
      <c r="O275" s="318">
        <v>14433501.67</v>
      </c>
      <c r="P275" s="446">
        <v>12635674.329999998</v>
      </c>
      <c r="Q275" s="464">
        <v>12206755.489999998</v>
      </c>
      <c r="R275" s="464">
        <v>12132070.99</v>
      </c>
      <c r="S275" s="464">
        <v>10740069.35</v>
      </c>
      <c r="T275" s="35">
        <f t="shared" si="22"/>
        <v>-6.9840010428314176</v>
      </c>
    </row>
    <row r="276" spans="1:20" ht="11.1" customHeight="1">
      <c r="A276" s="120">
        <v>6</v>
      </c>
      <c r="B276" s="120" t="s">
        <v>124</v>
      </c>
      <c r="C276" s="121">
        <v>9522</v>
      </c>
      <c r="D276" s="121">
        <v>11908</v>
      </c>
      <c r="E276" s="121">
        <v>13818</v>
      </c>
      <c r="F276" s="566">
        <f>13752+66</f>
        <v>13818</v>
      </c>
      <c r="G276" s="804">
        <v>15902</v>
      </c>
      <c r="H276" s="35">
        <f t="shared" si="21"/>
        <v>14.04479389626737</v>
      </c>
      <c r="I276" s="45"/>
      <c r="J276" s="802"/>
      <c r="K276" s="451"/>
      <c r="M276" s="316">
        <v>7</v>
      </c>
      <c r="N276" s="317" t="s">
        <v>377</v>
      </c>
      <c r="O276" s="318">
        <v>11842589.039999999</v>
      </c>
      <c r="P276" s="446">
        <v>12083162.189999999</v>
      </c>
      <c r="Q276" s="464">
        <v>11014661.499999998</v>
      </c>
      <c r="R276" s="464">
        <v>13560840.9</v>
      </c>
      <c r="S276" s="464">
        <v>11012697.369999999</v>
      </c>
      <c r="T276" s="35">
        <f t="shared" si="22"/>
        <v>-0.62141126221472565</v>
      </c>
    </row>
    <row r="277" spans="1:20" ht="11.1" customHeight="1">
      <c r="A277" s="120">
        <v>7</v>
      </c>
      <c r="B277" s="120" t="s">
        <v>123</v>
      </c>
      <c r="C277" s="121">
        <v>2066</v>
      </c>
      <c r="D277" s="121">
        <v>1451</v>
      </c>
      <c r="E277" s="121">
        <v>3033</v>
      </c>
      <c r="F277" s="566">
        <v>3177</v>
      </c>
      <c r="G277" s="804">
        <v>2926</v>
      </c>
      <c r="H277" s="35">
        <f t="shared" si="21"/>
        <v>19.026957192568023</v>
      </c>
      <c r="I277" s="45"/>
      <c r="J277" s="802"/>
      <c r="K277" s="451"/>
      <c r="M277" s="316">
        <v>8</v>
      </c>
      <c r="N277" s="317" t="s">
        <v>378</v>
      </c>
      <c r="O277" s="318">
        <v>9532161.5600000005</v>
      </c>
      <c r="P277" s="446">
        <v>11963224.68</v>
      </c>
      <c r="Q277" s="464">
        <v>14122223.820000002</v>
      </c>
      <c r="R277" s="464">
        <v>11003723.369999999</v>
      </c>
      <c r="S277" s="464">
        <v>8359054.29</v>
      </c>
      <c r="T277" s="35">
        <f t="shared" si="22"/>
        <v>-0.64144174950324118</v>
      </c>
    </row>
    <row r="278" spans="1:20" ht="11.1" customHeight="1">
      <c r="A278" s="120">
        <v>8</v>
      </c>
      <c r="B278" s="120" t="s">
        <v>195</v>
      </c>
      <c r="C278" s="121">
        <v>1268</v>
      </c>
      <c r="D278" s="121">
        <v>1579</v>
      </c>
      <c r="E278" s="121">
        <v>1629</v>
      </c>
      <c r="F278" s="566">
        <f>1374+222</f>
        <v>1596</v>
      </c>
      <c r="G278" s="804">
        <v>1596</v>
      </c>
      <c r="H278" s="35">
        <f t="shared" si="21"/>
        <v>6.4168980764973957</v>
      </c>
      <c r="I278" s="45"/>
      <c r="J278" s="802"/>
      <c r="K278" s="450"/>
      <c r="M278" s="319">
        <v>9</v>
      </c>
      <c r="N278" s="320" t="s">
        <v>379</v>
      </c>
      <c r="O278" s="321">
        <v>9524228.3699999992</v>
      </c>
      <c r="P278" s="447">
        <v>8328011.7799999993</v>
      </c>
      <c r="Q278" s="465">
        <v>8951847.4471700005</v>
      </c>
      <c r="R278" s="465">
        <v>10824991.5</v>
      </c>
      <c r="S278" s="465">
        <v>8843053.3300000001</v>
      </c>
      <c r="T278" s="35">
        <f t="shared" si="22"/>
        <v>-0.61328943210593234</v>
      </c>
    </row>
    <row r="279" spans="1:20" ht="11.1" customHeight="1" thickBot="1">
      <c r="A279" s="122">
        <v>9</v>
      </c>
      <c r="B279" s="122" t="s">
        <v>198</v>
      </c>
      <c r="C279" s="123">
        <v>1833</v>
      </c>
      <c r="D279" s="123">
        <v>1839</v>
      </c>
      <c r="E279" s="123">
        <v>1833</v>
      </c>
      <c r="F279" s="567">
        <f>1623</f>
        <v>1623</v>
      </c>
      <c r="G279" s="805">
        <v>1619</v>
      </c>
      <c r="H279" s="35">
        <f t="shared" si="21"/>
        <v>-2.9255044219516289</v>
      </c>
      <c r="I279" s="45"/>
      <c r="J279" s="802"/>
      <c r="K279" s="450"/>
      <c r="M279" s="319">
        <v>10</v>
      </c>
      <c r="N279" s="320" t="s">
        <v>380</v>
      </c>
      <c r="O279" s="321">
        <v>8642981.5999999996</v>
      </c>
      <c r="P279" s="447">
        <v>8823942.879999999</v>
      </c>
      <c r="Q279" s="465">
        <v>8945860.2599999998</v>
      </c>
      <c r="R279" s="465">
        <v>12339482.619999999</v>
      </c>
      <c r="S279" s="465">
        <v>10954092.51</v>
      </c>
      <c r="T279" s="35">
        <f t="shared" si="22"/>
        <v>7.5458055341380224</v>
      </c>
    </row>
    <row r="280" spans="1:20" ht="11.1" customHeight="1" thickTop="1" thickBot="1">
      <c r="A280" s="1131" t="s">
        <v>224</v>
      </c>
      <c r="B280" s="1132"/>
      <c r="C280" s="124">
        <f>SUM(C271:C279)</f>
        <v>34677</v>
      </c>
      <c r="D280" s="124">
        <f>SUM(D271:D279)</f>
        <v>33130</v>
      </c>
      <c r="E280" s="124">
        <f>SUM(E271:E279)</f>
        <v>41695</v>
      </c>
      <c r="F280" s="124">
        <f>SUM(F271:F279)</f>
        <v>40668</v>
      </c>
      <c r="G280" s="125">
        <f>SUM(G271:G279)</f>
        <v>39512</v>
      </c>
      <c r="H280" s="55">
        <f>((D280-C280)/C280*100+(E280-D280)/D280*100+(F280-E280)/E280*100+(G280-F280)/F280*100)/4</f>
        <v>4.021469105711267</v>
      </c>
      <c r="I280" s="45"/>
      <c r="M280" s="319">
        <v>11</v>
      </c>
      <c r="N280" s="320" t="s">
        <v>381</v>
      </c>
      <c r="O280" s="321">
        <v>9870705.9199999999</v>
      </c>
      <c r="P280" s="447">
        <v>16469934.390000004</v>
      </c>
      <c r="Q280" s="465">
        <v>12901466.029999999</v>
      </c>
      <c r="R280" s="465">
        <v>12492162.07</v>
      </c>
      <c r="S280" s="465">
        <v>12344775.52</v>
      </c>
      <c r="T280" s="35">
        <f t="shared" si="22"/>
        <v>10.209442711457031</v>
      </c>
    </row>
    <row r="281" spans="1:20" ht="11.1" customHeight="1" thickTop="1" thickBot="1">
      <c r="A281" s="117"/>
      <c r="B281" s="117"/>
      <c r="C281" s="117"/>
      <c r="D281" s="117"/>
      <c r="E281" s="117"/>
      <c r="F281" s="117"/>
      <c r="G281" s="117"/>
      <c r="H281" s="117"/>
      <c r="I281" s="45"/>
      <c r="J281" s="450"/>
      <c r="K281" s="450"/>
      <c r="M281" s="319">
        <v>12</v>
      </c>
      <c r="N281" s="320" t="s">
        <v>382</v>
      </c>
      <c r="O281" s="321">
        <v>9999761.8000000007</v>
      </c>
      <c r="P281" s="447">
        <v>16865423.329999998</v>
      </c>
      <c r="Q281" s="465">
        <v>11214282.630000001</v>
      </c>
      <c r="R281" s="465">
        <v>12516903.26</v>
      </c>
      <c r="S281" s="465">
        <v>11443750.279999999</v>
      </c>
      <c r="T281" s="35">
        <f t="shared" si="22"/>
        <v>9.5482731185674581</v>
      </c>
    </row>
    <row r="282" spans="1:20" ht="11.1" customHeight="1" thickTop="1" thickBot="1">
      <c r="A282" s="117"/>
      <c r="B282" s="966" t="s">
        <v>294</v>
      </c>
      <c r="C282" s="966"/>
      <c r="D282" s="966"/>
      <c r="E282" s="966"/>
      <c r="F282" s="966"/>
      <c r="G282" s="966"/>
      <c r="H282" s="966"/>
      <c r="I282" s="45"/>
      <c r="J282" s="450"/>
      <c r="K282" s="450"/>
      <c r="M282" s="1122" t="s">
        <v>224</v>
      </c>
      <c r="N282" s="1123"/>
      <c r="O282" s="323">
        <f>SUM(O270:O281)</f>
        <v>124066567.31999999</v>
      </c>
      <c r="P282" s="323">
        <f>SUM(P270:P281)</f>
        <v>137174807.13999999</v>
      </c>
      <c r="Q282" s="323">
        <f>SUM(Q270:Q281)</f>
        <v>130660813.98117</v>
      </c>
      <c r="R282" s="323">
        <f>SUM(R270:R281)</f>
        <v>135751556.18000001</v>
      </c>
      <c r="S282" s="323">
        <f>SUM(S270:S281)</f>
        <v>134833413.79300001</v>
      </c>
      <c r="T282" s="84">
        <f>((P282-O282)/O282*100+(Q282-P282)/P282*100+(R282-Q282)/Q282*100+(S282-R282)/R282*100)/4</f>
        <v>2.2591548275837332</v>
      </c>
    </row>
    <row r="283" spans="1:20" ht="11.1" customHeight="1" thickTop="1">
      <c r="A283" s="117"/>
      <c r="B283" s="117"/>
      <c r="C283" s="117"/>
      <c r="D283" s="117"/>
      <c r="E283" s="117"/>
      <c r="F283" s="117"/>
      <c r="G283" s="117"/>
      <c r="H283" s="117"/>
      <c r="I283" s="45"/>
      <c r="J283" s="450"/>
      <c r="K283" s="450"/>
      <c r="M283" s="311"/>
      <c r="N283" s="1042"/>
      <c r="O283" s="1042"/>
      <c r="P283" s="1042"/>
      <c r="Q283" s="1042"/>
      <c r="R283" s="1042"/>
      <c r="S283" s="322"/>
      <c r="T283" s="310"/>
    </row>
    <row r="284" spans="1:20" ht="11.1" customHeight="1">
      <c r="A284" s="117"/>
      <c r="B284" s="117"/>
      <c r="C284" s="564"/>
      <c r="D284" s="117"/>
      <c r="E284" s="117"/>
      <c r="F284" s="117"/>
      <c r="G284" s="117"/>
      <c r="H284" s="117"/>
      <c r="I284" s="45"/>
      <c r="J284" s="450"/>
      <c r="K284" s="450"/>
      <c r="M284" s="40"/>
      <c r="N284" s="966" t="s">
        <v>400</v>
      </c>
      <c r="O284" s="966"/>
      <c r="P284" s="966"/>
      <c r="Q284" s="966"/>
      <c r="R284" s="966"/>
      <c r="S284" s="966"/>
      <c r="T284" s="966"/>
    </row>
    <row r="285" spans="1:20" ht="11.1" customHeight="1">
      <c r="A285" s="117"/>
      <c r="B285" s="117"/>
      <c r="C285" s="117"/>
      <c r="D285" s="117"/>
      <c r="E285" s="117"/>
      <c r="F285" s="117"/>
      <c r="G285" s="117"/>
      <c r="H285" s="117"/>
      <c r="I285" s="45"/>
      <c r="J285" s="450"/>
      <c r="K285" s="450"/>
      <c r="M285" s="40"/>
      <c r="N285" s="427"/>
      <c r="O285" s="427"/>
      <c r="P285" s="427"/>
      <c r="Q285" s="427"/>
      <c r="R285" s="427"/>
      <c r="S285" s="427"/>
      <c r="T285" s="427"/>
    </row>
    <row r="286" spans="1:20" ht="11.1" customHeight="1">
      <c r="A286" s="117"/>
      <c r="B286" s="117"/>
      <c r="C286" s="117"/>
      <c r="D286" s="117"/>
      <c r="E286" s="117"/>
      <c r="F286" s="117"/>
      <c r="G286" s="117"/>
      <c r="H286" s="117"/>
      <c r="I286" s="45"/>
      <c r="J286" s="450"/>
      <c r="K286" s="450"/>
      <c r="M286" s="40"/>
      <c r="N286" s="427"/>
      <c r="O286" s="427"/>
      <c r="P286" s="427"/>
      <c r="Q286" s="427"/>
      <c r="R286" s="427"/>
      <c r="S286" s="427"/>
      <c r="T286" s="427"/>
    </row>
    <row r="287" spans="1:20" ht="11.1" customHeight="1">
      <c r="A287" s="117"/>
      <c r="B287" s="117"/>
      <c r="C287" s="117"/>
      <c r="D287" s="117"/>
      <c r="E287" s="117"/>
      <c r="F287" s="117"/>
      <c r="G287" s="117"/>
      <c r="H287" s="117"/>
      <c r="I287" s="45"/>
      <c r="J287" s="450"/>
      <c r="K287" s="450"/>
      <c r="M287" s="40"/>
      <c r="N287" s="427"/>
      <c r="O287" s="427"/>
      <c r="P287" s="427"/>
      <c r="Q287" s="427"/>
      <c r="R287" s="427"/>
      <c r="S287" s="427"/>
      <c r="T287" s="427"/>
    </row>
    <row r="288" spans="1:20" ht="11.1" customHeight="1">
      <c r="A288" s="117"/>
      <c r="B288" s="117"/>
      <c r="C288" s="117"/>
      <c r="D288" s="117"/>
      <c r="E288" s="117"/>
      <c r="F288" s="117"/>
      <c r="G288" s="117"/>
      <c r="H288" s="117"/>
      <c r="I288" s="45"/>
      <c r="J288" s="450"/>
      <c r="K288" s="450"/>
      <c r="M288" s="40"/>
      <c r="N288" s="427"/>
      <c r="O288" s="427"/>
      <c r="P288" s="427"/>
      <c r="Q288" s="427"/>
      <c r="R288" s="427"/>
      <c r="S288" s="427"/>
      <c r="T288" s="427"/>
    </row>
    <row r="289" spans="1:20" ht="11.1" customHeight="1">
      <c r="A289" s="117"/>
      <c r="B289" s="117"/>
      <c r="C289" s="117"/>
      <c r="D289" s="117"/>
      <c r="E289" s="117"/>
      <c r="F289" s="117"/>
      <c r="G289" s="117"/>
      <c r="H289" s="117"/>
      <c r="I289" s="45"/>
      <c r="J289" s="450"/>
      <c r="K289" s="450"/>
      <c r="M289" s="40"/>
      <c r="N289" s="427"/>
      <c r="O289" s="427"/>
      <c r="P289" s="427"/>
      <c r="Q289" s="427"/>
      <c r="R289" s="427"/>
      <c r="S289" s="427"/>
      <c r="T289" s="427"/>
    </row>
    <row r="290" spans="1:20" ht="11.1" customHeight="1">
      <c r="A290" s="40"/>
      <c r="I290" s="45"/>
      <c r="M290" s="40"/>
      <c r="N290" s="427"/>
      <c r="O290" s="427"/>
      <c r="P290" s="427"/>
      <c r="Q290" s="427"/>
      <c r="R290" s="427"/>
      <c r="S290" s="427"/>
      <c r="T290" s="427"/>
    </row>
    <row r="291" spans="1:20" ht="11.1" customHeight="1">
      <c r="A291" s="45"/>
      <c r="B291" s="45"/>
      <c r="C291" s="45"/>
      <c r="D291" s="45"/>
      <c r="E291" s="45"/>
      <c r="F291" s="45"/>
      <c r="G291" s="45"/>
      <c r="H291" s="45"/>
      <c r="I291" s="45"/>
    </row>
    <row r="292" spans="1:20" ht="11.1" customHeight="1">
      <c r="A292" s="1075" t="s">
        <v>533</v>
      </c>
      <c r="B292" s="1075"/>
      <c r="C292" s="1075"/>
      <c r="D292" s="1075"/>
      <c r="E292" s="1075"/>
      <c r="F292" s="1075"/>
      <c r="G292" s="1075"/>
      <c r="H292" s="1075"/>
    </row>
    <row r="293" spans="1:20" ht="11.1" customHeight="1">
      <c r="A293" s="1075" t="s">
        <v>723</v>
      </c>
      <c r="B293" s="1075"/>
      <c r="C293" s="1075"/>
      <c r="D293" s="1075"/>
      <c r="E293" s="1075"/>
      <c r="F293" s="1075"/>
      <c r="G293" s="1075"/>
      <c r="H293" s="1075"/>
    </row>
    <row r="294" spans="1:20" ht="11.1" customHeight="1">
      <c r="A294" s="45"/>
      <c r="B294" s="45"/>
      <c r="C294" s="45"/>
      <c r="D294" s="45"/>
      <c r="E294" s="45"/>
      <c r="F294" s="45"/>
      <c r="G294" s="45"/>
      <c r="H294" s="61" t="s">
        <v>257</v>
      </c>
      <c r="M294" s="1024" t="s">
        <v>564</v>
      </c>
      <c r="N294" s="1024"/>
      <c r="O294" s="1024"/>
      <c r="P294" s="1024"/>
      <c r="Q294" s="1024"/>
      <c r="R294" s="1024"/>
      <c r="S294" s="1024"/>
      <c r="T294" s="1024"/>
    </row>
    <row r="295" spans="1:20" ht="11.1" customHeight="1">
      <c r="A295" s="1076" t="s">
        <v>212</v>
      </c>
      <c r="B295" s="1076" t="s">
        <v>260</v>
      </c>
      <c r="C295" s="1076" t="s">
        <v>214</v>
      </c>
      <c r="D295" s="1076"/>
      <c r="E295" s="1076"/>
      <c r="F295" s="1076"/>
      <c r="G295" s="1076"/>
      <c r="H295" s="1076" t="s">
        <v>126</v>
      </c>
      <c r="M295" s="1024" t="s">
        <v>724</v>
      </c>
      <c r="N295" s="1024"/>
      <c r="O295" s="1024"/>
      <c r="P295" s="1024"/>
      <c r="Q295" s="1024"/>
      <c r="R295" s="1024"/>
      <c r="S295" s="1024"/>
      <c r="T295" s="1024"/>
    </row>
    <row r="296" spans="1:20" ht="11.1" customHeight="1" thickBot="1">
      <c r="A296" s="1077"/>
      <c r="B296" s="1077"/>
      <c r="C296" s="442">
        <v>2011</v>
      </c>
      <c r="D296" s="442">
        <v>2012</v>
      </c>
      <c r="E296" s="442">
        <v>2013</v>
      </c>
      <c r="F296" s="442">
        <v>2014</v>
      </c>
      <c r="G296" s="111">
        <v>2015</v>
      </c>
      <c r="H296" s="1077"/>
      <c r="M296" s="40"/>
      <c r="N296" s="40"/>
      <c r="O296" s="40"/>
      <c r="P296" s="40"/>
      <c r="Q296" s="40"/>
      <c r="R296" s="40"/>
      <c r="S296" s="40"/>
      <c r="T296" s="113" t="s">
        <v>386</v>
      </c>
    </row>
    <row r="297" spans="1:20" ht="11.1" customHeight="1" thickTop="1">
      <c r="A297" s="46">
        <v>1</v>
      </c>
      <c r="B297" s="46" t="s">
        <v>261</v>
      </c>
      <c r="C297" s="443">
        <f>SUM(C298:C300)</f>
        <v>425</v>
      </c>
      <c r="D297" s="443">
        <f>SUM(D298:D300)</f>
        <v>349</v>
      </c>
      <c r="E297" s="443">
        <f>SUM(E298:E300)</f>
        <v>339</v>
      </c>
      <c r="F297" s="443">
        <f>SUM(F298:F300)</f>
        <v>317</v>
      </c>
      <c r="G297" s="443">
        <f>SUM(G298:G300)</f>
        <v>965</v>
      </c>
      <c r="H297" s="48">
        <v>2.6439758551762704</v>
      </c>
      <c r="M297" s="1139" t="s">
        <v>212</v>
      </c>
      <c r="N297" s="1140" t="s">
        <v>345</v>
      </c>
      <c r="O297" s="1141" t="s">
        <v>214</v>
      </c>
      <c r="P297" s="1142"/>
      <c r="Q297" s="1142"/>
      <c r="R297" s="1142"/>
      <c r="S297" s="1143"/>
      <c r="T297" s="1140" t="s">
        <v>126</v>
      </c>
    </row>
    <row r="298" spans="1:20" ht="11.1" customHeight="1" thickBot="1">
      <c r="A298" s="49"/>
      <c r="B298" s="49" t="s">
        <v>262</v>
      </c>
      <c r="C298" s="50">
        <v>0</v>
      </c>
      <c r="D298" s="50">
        <v>0</v>
      </c>
      <c r="E298" s="50">
        <v>0</v>
      </c>
      <c r="F298" s="50">
        <v>0</v>
      </c>
      <c r="G298" s="50">
        <v>0</v>
      </c>
      <c r="H298" s="51" t="e">
        <v>#DIV/0!</v>
      </c>
      <c r="M298" s="1055"/>
      <c r="N298" s="1044"/>
      <c r="O298" s="160">
        <v>2011</v>
      </c>
      <c r="P298" s="160">
        <v>2012</v>
      </c>
      <c r="Q298" s="160">
        <v>2013</v>
      </c>
      <c r="R298" s="160">
        <v>2014</v>
      </c>
      <c r="S298" s="160">
        <v>2015</v>
      </c>
      <c r="T298" s="1044"/>
    </row>
    <row r="299" spans="1:20" ht="11.1" customHeight="1" thickTop="1">
      <c r="A299" s="49"/>
      <c r="B299" s="49" t="s">
        <v>263</v>
      </c>
      <c r="C299" s="50">
        <v>238</v>
      </c>
      <c r="D299" s="50">
        <v>205</v>
      </c>
      <c r="E299" s="452">
        <v>170</v>
      </c>
      <c r="F299" s="452">
        <v>148</v>
      </c>
      <c r="G299" s="452">
        <v>168</v>
      </c>
      <c r="H299" s="51">
        <v>-3.6384880038972112</v>
      </c>
      <c r="M299" s="324"/>
      <c r="N299" s="325" t="s">
        <v>387</v>
      </c>
      <c r="O299" s="338">
        <f>SUM(O300:O304)</f>
        <v>28548.26</v>
      </c>
      <c r="P299" s="338">
        <f>SUM(P300:P304)</f>
        <v>29378.376709999997</v>
      </c>
      <c r="Q299" s="338">
        <f>SUM(Q300:Q304)</f>
        <v>34264.910000000003</v>
      </c>
      <c r="R299" s="338">
        <f>SUM(R300:R304)</f>
        <v>39198.639999999999</v>
      </c>
      <c r="S299" s="338">
        <f>SUM(S300:S304)</f>
        <v>33236.269999999997</v>
      </c>
      <c r="T299" s="339">
        <f t="shared" ref="T299:T306" si="23">((P299-O299)/O299*100+(Q299-P299)/P299*100+(R299-Q299)/Q299*100+(S299-R299)/R299*100)/4</f>
        <v>4.6822472399806694</v>
      </c>
    </row>
    <row r="300" spans="1:20" ht="11.1" customHeight="1">
      <c r="A300" s="49"/>
      <c r="B300" s="49" t="s">
        <v>264</v>
      </c>
      <c r="C300" s="50">
        <v>187</v>
      </c>
      <c r="D300" s="50">
        <v>144</v>
      </c>
      <c r="E300" s="452">
        <v>169</v>
      </c>
      <c r="F300" s="452">
        <v>169</v>
      </c>
      <c r="G300" s="452">
        <v>797</v>
      </c>
      <c r="H300" s="51">
        <v>22.632556909483249</v>
      </c>
      <c r="M300" s="326">
        <v>1</v>
      </c>
      <c r="N300" s="341" t="s">
        <v>359</v>
      </c>
      <c r="O300" s="144">
        <v>0</v>
      </c>
      <c r="P300" s="144">
        <v>0</v>
      </c>
      <c r="Q300" s="144">
        <v>0</v>
      </c>
      <c r="R300" s="144">
        <v>0</v>
      </c>
      <c r="S300" s="144">
        <v>0</v>
      </c>
      <c r="T300" s="144" t="e">
        <f t="shared" si="23"/>
        <v>#DIV/0!</v>
      </c>
    </row>
    <row r="301" spans="1:20" ht="11.1" customHeight="1">
      <c r="A301" s="49">
        <v>2</v>
      </c>
      <c r="B301" s="49" t="s">
        <v>265</v>
      </c>
      <c r="C301" s="444">
        <f>SUM(C302:C305)</f>
        <v>11582</v>
      </c>
      <c r="D301" s="444">
        <f>SUM(D302:D305)</f>
        <v>10228</v>
      </c>
      <c r="E301" s="444">
        <f>SUM(E302:E305)</f>
        <v>10636</v>
      </c>
      <c r="F301" s="444">
        <f>SUM(F302:F305)</f>
        <v>10205</v>
      </c>
      <c r="G301" s="444">
        <f>SUM(G302:G305)</f>
        <v>11563</v>
      </c>
      <c r="H301" s="51">
        <v>3.1631395534965918</v>
      </c>
      <c r="M301" s="31">
        <v>2</v>
      </c>
      <c r="N301" s="342" t="s">
        <v>388</v>
      </c>
      <c r="O301" s="35">
        <v>16334.89</v>
      </c>
      <c r="P301" s="293">
        <v>14320.73</v>
      </c>
      <c r="Q301" s="333">
        <f>15195.96</f>
        <v>15195.96</v>
      </c>
      <c r="R301" s="333">
        <f>16112.25</f>
        <v>16112.25</v>
      </c>
      <c r="S301" s="333">
        <f>12187.89+1949.74</f>
        <v>14137.63</v>
      </c>
      <c r="T301" s="35">
        <f t="shared" si="23"/>
        <v>-3.1110890697455451</v>
      </c>
    </row>
    <row r="302" spans="1:20" ht="11.1" customHeight="1">
      <c r="A302" s="49"/>
      <c r="B302" s="49" t="s">
        <v>266</v>
      </c>
      <c r="C302" s="50">
        <v>7484</v>
      </c>
      <c r="D302" s="50">
        <v>7177</v>
      </c>
      <c r="E302" s="452">
        <v>7560</v>
      </c>
      <c r="F302" s="452">
        <v>7536</v>
      </c>
      <c r="G302" s="452">
        <f>9476+72</f>
        <v>9548</v>
      </c>
      <c r="H302" s="51">
        <v>0.89554336171679916</v>
      </c>
      <c r="M302" s="31">
        <v>3</v>
      </c>
      <c r="N302" s="342" t="s">
        <v>389</v>
      </c>
      <c r="O302" s="35">
        <v>12199.49</v>
      </c>
      <c r="P302" s="448">
        <v>14994.483709999999</v>
      </c>
      <c r="Q302" s="334">
        <v>19029.270000000004</v>
      </c>
      <c r="R302" s="334">
        <v>23049.4</v>
      </c>
      <c r="S302" s="334">
        <v>19097</v>
      </c>
      <c r="T302" s="35">
        <f t="shared" si="23"/>
        <v>13.449432244416592</v>
      </c>
    </row>
    <row r="303" spans="1:20" ht="11.1" customHeight="1">
      <c r="A303" s="49"/>
      <c r="B303" s="49" t="s">
        <v>267</v>
      </c>
      <c r="C303" s="50">
        <v>1803</v>
      </c>
      <c r="D303" s="50">
        <v>1590</v>
      </c>
      <c r="E303" s="452">
        <v>1589</v>
      </c>
      <c r="F303" s="452">
        <v>1613</v>
      </c>
      <c r="G303" s="452">
        <v>1354</v>
      </c>
      <c r="H303" s="51">
        <v>4.0086015664680126</v>
      </c>
      <c r="M303" s="31">
        <v>4</v>
      </c>
      <c r="N303" s="342" t="s">
        <v>353</v>
      </c>
      <c r="O303" s="35">
        <v>8.8000000000000007</v>
      </c>
      <c r="P303" s="293">
        <v>63.163000000000004</v>
      </c>
      <c r="Q303" s="333">
        <v>39.68</v>
      </c>
      <c r="R303" s="333">
        <v>36.99</v>
      </c>
      <c r="S303" s="333">
        <v>1.64</v>
      </c>
      <c r="T303" s="35">
        <f t="shared" si="23"/>
        <v>119.55933726616364</v>
      </c>
    </row>
    <row r="304" spans="1:20" ht="11.1" customHeight="1">
      <c r="A304" s="49"/>
      <c r="B304" s="49" t="s">
        <v>268</v>
      </c>
      <c r="C304" s="50">
        <v>2129</v>
      </c>
      <c r="D304" s="50">
        <v>1212</v>
      </c>
      <c r="E304" s="452">
        <v>1234</v>
      </c>
      <c r="F304" s="452">
        <v>946</v>
      </c>
      <c r="G304" s="452">
        <f>99+561</f>
        <v>660</v>
      </c>
      <c r="H304" s="51">
        <v>19.944854324725537</v>
      </c>
      <c r="M304" s="42">
        <v>5</v>
      </c>
      <c r="N304" s="343" t="s">
        <v>390</v>
      </c>
      <c r="O304" s="43">
        <v>5.08</v>
      </c>
      <c r="P304" s="43">
        <v>0</v>
      </c>
      <c r="Q304" s="144">
        <v>0</v>
      </c>
      <c r="R304" s="144">
        <v>0</v>
      </c>
      <c r="S304" s="144">
        <v>0</v>
      </c>
      <c r="T304" s="43" t="e">
        <f t="shared" si="23"/>
        <v>#DIV/0!</v>
      </c>
    </row>
    <row r="305" spans="1:20" ht="11.1" customHeight="1">
      <c r="A305" s="49"/>
      <c r="B305" s="49" t="s">
        <v>269</v>
      </c>
      <c r="C305" s="50">
        <v>166</v>
      </c>
      <c r="D305" s="50">
        <v>249</v>
      </c>
      <c r="E305" s="452">
        <v>253</v>
      </c>
      <c r="F305" s="452">
        <v>110</v>
      </c>
      <c r="G305" s="452">
        <v>1</v>
      </c>
      <c r="H305" s="51">
        <v>6.0720459629855608</v>
      </c>
      <c r="M305" s="327"/>
      <c r="N305" s="328"/>
      <c r="O305" s="335"/>
      <c r="P305" s="335"/>
      <c r="Q305" s="335"/>
      <c r="R305" s="335"/>
      <c r="S305" s="335"/>
      <c r="T305" s="336"/>
    </row>
    <row r="306" spans="1:20" ht="11.1" customHeight="1">
      <c r="A306" s="49">
        <v>3</v>
      </c>
      <c r="B306" s="49" t="s">
        <v>270</v>
      </c>
      <c r="C306" s="444">
        <f>SUM(C307:C310)</f>
        <v>143</v>
      </c>
      <c r="D306" s="444">
        <f>SUM(D307:D310)</f>
        <v>244</v>
      </c>
      <c r="E306" s="444">
        <f>SUM(E307:E310)</f>
        <v>204</v>
      </c>
      <c r="F306" s="444">
        <f>SUM(F307:F310)</f>
        <v>173</v>
      </c>
      <c r="G306" s="444">
        <f>SUM(G307:G310)</f>
        <v>145</v>
      </c>
      <c r="H306" s="51">
        <v>-0.7051125397899618</v>
      </c>
      <c r="M306" s="329"/>
      <c r="N306" s="330" t="s">
        <v>391</v>
      </c>
      <c r="O306" s="340">
        <f>SUM(O307:O311)</f>
        <v>124066567.31999999</v>
      </c>
      <c r="P306" s="340">
        <f>SUM(P307:P311)</f>
        <v>137174807.13999996</v>
      </c>
      <c r="Q306" s="340">
        <f>SUM(Q307:Q311)</f>
        <v>130660813.98</v>
      </c>
      <c r="R306" s="340">
        <f>SUM(R307:R311)</f>
        <v>135751556.18000001</v>
      </c>
      <c r="S306" s="340">
        <f>SUM(S307:S311)</f>
        <v>134833413.79000002</v>
      </c>
      <c r="T306" s="340">
        <f t="shared" si="23"/>
        <v>2.2591548270506068</v>
      </c>
    </row>
    <row r="307" spans="1:20" ht="11.1" customHeight="1">
      <c r="A307" s="49"/>
      <c r="B307" s="49" t="s">
        <v>271</v>
      </c>
      <c r="C307" s="50">
        <v>96</v>
      </c>
      <c r="D307" s="50">
        <v>73</v>
      </c>
      <c r="E307" s="50">
        <v>70</v>
      </c>
      <c r="F307" s="50">
        <v>70</v>
      </c>
      <c r="G307" s="50">
        <v>70</v>
      </c>
      <c r="H307" s="51">
        <v>-10.264416084933101</v>
      </c>
      <c r="M307" s="331">
        <v>1</v>
      </c>
      <c r="N307" s="341" t="s">
        <v>359</v>
      </c>
      <c r="O307" s="274">
        <v>0</v>
      </c>
      <c r="P307" s="274">
        <v>0</v>
      </c>
      <c r="Q307" s="274">
        <v>0</v>
      </c>
      <c r="R307" s="274">
        <v>0</v>
      </c>
      <c r="S307" s="274">
        <v>0</v>
      </c>
      <c r="T307" s="144" t="e">
        <f>((P307-O307)/O307*100+(Q307-P307)/P307*100+(R307-Q307)/Q307*100+(S307-R307)/R307*100)/4</f>
        <v>#DIV/0!</v>
      </c>
    </row>
    <row r="308" spans="1:20" ht="11.1" customHeight="1">
      <c r="A308" s="49"/>
      <c r="B308" s="49" t="s">
        <v>272</v>
      </c>
      <c r="C308" s="50">
        <v>0</v>
      </c>
      <c r="D308" s="50">
        <v>0</v>
      </c>
      <c r="E308" s="50">
        <v>0</v>
      </c>
      <c r="F308" s="50">
        <v>0</v>
      </c>
      <c r="G308" s="50">
        <v>0</v>
      </c>
      <c r="H308" s="51" t="e">
        <v>#DIV/0!</v>
      </c>
      <c r="M308" s="186">
        <v>2</v>
      </c>
      <c r="N308" s="342" t="s">
        <v>388</v>
      </c>
      <c r="O308" s="286">
        <v>83751200.390000001</v>
      </c>
      <c r="P308" s="286">
        <v>83701895.50999999</v>
      </c>
      <c r="Q308" s="286">
        <v>76183775.200000003</v>
      </c>
      <c r="R308" s="286">
        <v>76339932.269999996</v>
      </c>
      <c r="S308" s="286">
        <f>70299718.54+3612761.26</f>
        <v>73912479.800000012</v>
      </c>
      <c r="T308" s="35">
        <f>((P308-O308)/O308*100+(Q308-P308)/P308*100+(R308-Q308)/Q308*100+(S308-R308)/R308*100)/4</f>
        <v>-3.0039273756043761</v>
      </c>
    </row>
    <row r="309" spans="1:20" ht="11.1" customHeight="1">
      <c r="A309" s="49"/>
      <c r="B309" s="49" t="s">
        <v>273</v>
      </c>
      <c r="C309" s="50">
        <v>47</v>
      </c>
      <c r="D309" s="50">
        <v>171</v>
      </c>
      <c r="E309" s="50">
        <f>41+93</f>
        <v>134</v>
      </c>
      <c r="F309" s="50">
        <v>103</v>
      </c>
      <c r="G309" s="50">
        <f>62+13</f>
        <v>75</v>
      </c>
      <c r="H309" s="51">
        <v>43.168704118452155</v>
      </c>
      <c r="M309" s="186">
        <v>3</v>
      </c>
      <c r="N309" s="342" t="s">
        <v>389</v>
      </c>
      <c r="O309" s="286">
        <v>40290711.43</v>
      </c>
      <c r="P309" s="286">
        <v>53297400.709999979</v>
      </c>
      <c r="Q309" s="286">
        <f>130660813.98-76183775.2-101631</f>
        <v>54375407.780000001</v>
      </c>
      <c r="R309" s="286">
        <v>59317999.56000001</v>
      </c>
      <c r="S309" s="286">
        <v>60916839.740000002</v>
      </c>
      <c r="T309" s="35">
        <f>((P309-O309)/O309*100+(Q309-P309)/P309*100+(R309-Q309)/Q309*100+(S309-R309)/R309*100)/4</f>
        <v>11.522464148100511</v>
      </c>
    </row>
    <row r="310" spans="1:20" ht="11.1" customHeight="1" thickBot="1">
      <c r="A310" s="52"/>
      <c r="B310" s="52" t="s">
        <v>274</v>
      </c>
      <c r="C310" s="53">
        <v>0</v>
      </c>
      <c r="D310" s="53">
        <v>0</v>
      </c>
      <c r="E310" s="53">
        <v>0</v>
      </c>
      <c r="F310" s="53">
        <v>0</v>
      </c>
      <c r="G310" s="53">
        <v>0</v>
      </c>
      <c r="H310" s="54" t="e">
        <v>#DIV/0!</v>
      </c>
      <c r="M310" s="31">
        <v>4</v>
      </c>
      <c r="N310" s="342" t="s">
        <v>353</v>
      </c>
      <c r="O310" s="35">
        <v>23055.5</v>
      </c>
      <c r="P310" s="35">
        <v>175510.92</v>
      </c>
      <c r="Q310" s="35">
        <v>101631</v>
      </c>
      <c r="R310" s="35">
        <v>93624.35</v>
      </c>
      <c r="S310" s="35">
        <v>4094.25</v>
      </c>
      <c r="T310" s="35">
        <f>((P310-O310)/O310*100+(Q310-P310)/P310*100+(R310-Q310)/Q310*100+(S310-R310)/R310*100)/4</f>
        <v>128.91367999357524</v>
      </c>
    </row>
    <row r="311" spans="1:20" ht="11.1" customHeight="1" thickTop="1" thickBot="1">
      <c r="A311" s="45"/>
      <c r="B311" s="45"/>
      <c r="C311" s="45"/>
      <c r="D311" s="45"/>
      <c r="E311" s="45"/>
      <c r="F311" s="45"/>
      <c r="G311" s="45"/>
      <c r="H311" s="45"/>
      <c r="M311" s="332">
        <v>5</v>
      </c>
      <c r="N311" s="344" t="s">
        <v>390</v>
      </c>
      <c r="O311" s="337">
        <v>1600</v>
      </c>
      <c r="P311" s="337">
        <v>0</v>
      </c>
      <c r="Q311" s="337">
        <v>0</v>
      </c>
      <c r="R311" s="337">
        <v>0</v>
      </c>
      <c r="S311" s="337">
        <v>0</v>
      </c>
      <c r="T311" s="182" t="e">
        <f>((P311-O311)/O311*100+(Q311-P311)/P311*100+(R311-Q311)/Q311*100+(S311-R311)/R311*100)/4</f>
        <v>#DIV/0!</v>
      </c>
    </row>
    <row r="312" spans="1:20" ht="11.1" customHeight="1" thickTop="1">
      <c r="A312" s="45"/>
      <c r="B312" s="966" t="s">
        <v>296</v>
      </c>
      <c r="C312" s="966"/>
      <c r="D312" s="966"/>
      <c r="E312" s="966"/>
      <c r="F312" s="966"/>
      <c r="G312" s="966"/>
      <c r="H312" s="966"/>
      <c r="M312" s="40"/>
      <c r="N312" s="2"/>
      <c r="O312" s="2"/>
      <c r="P312" s="2"/>
      <c r="Q312" s="2"/>
      <c r="R312" s="2"/>
      <c r="S312" s="2"/>
      <c r="T312" s="2"/>
    </row>
    <row r="313" spans="1:20" ht="11.1" customHeight="1">
      <c r="A313" s="45"/>
      <c r="B313" s="45"/>
      <c r="C313" s="45"/>
      <c r="D313" s="45"/>
      <c r="E313" s="45"/>
      <c r="F313" s="45"/>
      <c r="G313" s="45"/>
      <c r="H313" s="45"/>
      <c r="M313" s="2"/>
      <c r="N313" s="966" t="s">
        <v>403</v>
      </c>
      <c r="O313" s="966"/>
      <c r="P313" s="966"/>
      <c r="Q313" s="966"/>
      <c r="R313" s="966"/>
      <c r="S313" s="966"/>
      <c r="T313" s="966"/>
    </row>
    <row r="314" spans="1:20" ht="11.1" customHeight="1">
      <c r="A314" s="45"/>
      <c r="B314" s="45"/>
      <c r="C314" s="45"/>
      <c r="D314" s="45"/>
      <c r="E314" s="45"/>
      <c r="F314" s="45"/>
      <c r="G314" s="45"/>
      <c r="H314" s="45"/>
    </row>
    <row r="315" spans="1:20" ht="11.1" customHeight="1">
      <c r="A315" s="45"/>
      <c r="B315" s="45"/>
      <c r="C315" s="45"/>
      <c r="D315" s="45"/>
      <c r="E315" s="45"/>
      <c r="F315" s="45"/>
      <c r="G315" s="45"/>
      <c r="H315" s="45"/>
    </row>
    <row r="316" spans="1:20" ht="11.1" customHeight="1">
      <c r="A316" s="45"/>
      <c r="B316" s="45"/>
      <c r="C316" s="45"/>
      <c r="D316" s="45"/>
      <c r="E316" s="45"/>
      <c r="F316" s="45"/>
      <c r="G316" s="45"/>
      <c r="H316" s="45"/>
    </row>
    <row r="317" spans="1:20" ht="11.1" customHeight="1">
      <c r="A317" s="45"/>
      <c r="B317" s="45"/>
      <c r="C317" s="45"/>
      <c r="D317" s="45"/>
      <c r="E317" s="45"/>
      <c r="F317" s="45"/>
      <c r="G317" s="45"/>
      <c r="H317" s="45"/>
    </row>
    <row r="318" spans="1:20" ht="11.1" customHeight="1">
      <c r="A318" s="45"/>
      <c r="B318" s="45"/>
      <c r="C318" s="45"/>
      <c r="D318" s="45"/>
      <c r="E318" s="45"/>
      <c r="F318" s="45"/>
      <c r="G318" s="45"/>
      <c r="H318" s="45"/>
    </row>
    <row r="319" spans="1:20" ht="11.1" customHeight="1">
      <c r="A319" s="45"/>
      <c r="B319" s="45"/>
      <c r="C319" s="45"/>
      <c r="D319" s="45"/>
      <c r="E319" s="45"/>
      <c r="F319" s="45"/>
      <c r="G319" s="45"/>
      <c r="H319" s="45"/>
    </row>
    <row r="320" spans="1:20" ht="11.1" customHeight="1">
      <c r="A320" s="45"/>
      <c r="M320" s="576"/>
      <c r="N320" s="576"/>
      <c r="O320" s="576"/>
      <c r="P320" s="576"/>
      <c r="Q320" s="576"/>
      <c r="R320" s="576"/>
      <c r="S320" s="576"/>
      <c r="T320" s="576"/>
    </row>
    <row r="321" spans="1:21" ht="11.1" customHeight="1">
      <c r="M321" s="1185" t="s">
        <v>574</v>
      </c>
      <c r="N321" s="1185"/>
      <c r="O321" s="1185"/>
      <c r="P321" s="1185"/>
      <c r="Q321" s="1185"/>
      <c r="R321" s="1185"/>
      <c r="S321" s="1185"/>
      <c r="T321" s="599"/>
    </row>
    <row r="322" spans="1:21" ht="11.1" customHeight="1">
      <c r="A322" s="1075" t="s">
        <v>534</v>
      </c>
      <c r="B322" s="1075"/>
      <c r="C322" s="1075"/>
      <c r="D322" s="1075"/>
      <c r="E322" s="1075"/>
      <c r="F322" s="1075"/>
      <c r="G322" s="1075"/>
      <c r="H322" s="1075"/>
      <c r="M322" s="1185" t="s">
        <v>744</v>
      </c>
      <c r="N322" s="1185"/>
      <c r="O322" s="1185"/>
      <c r="P322" s="1185"/>
      <c r="Q322" s="1185"/>
      <c r="R322" s="1185"/>
      <c r="S322" s="1185"/>
      <c r="T322" s="599"/>
    </row>
    <row r="323" spans="1:21" ht="11.1" customHeight="1">
      <c r="A323" s="1075" t="s">
        <v>725</v>
      </c>
      <c r="B323" s="1075"/>
      <c r="C323" s="1075"/>
      <c r="D323" s="1075"/>
      <c r="E323" s="1075"/>
      <c r="F323" s="1075"/>
      <c r="G323" s="1075"/>
      <c r="H323" s="1075"/>
      <c r="M323" s="577"/>
      <c r="N323" s="577"/>
      <c r="O323" s="577"/>
      <c r="P323" s="577"/>
      <c r="Q323" s="577"/>
      <c r="R323" s="578" t="s">
        <v>257</v>
      </c>
      <c r="S323" s="482"/>
      <c r="T323" s="578"/>
    </row>
    <row r="324" spans="1:21" ht="11.1" customHeight="1">
      <c r="A324" s="131"/>
      <c r="B324" s="131"/>
      <c r="C324" s="131"/>
      <c r="D324" s="131"/>
      <c r="E324" s="131"/>
      <c r="F324" s="131"/>
      <c r="G324" s="131"/>
      <c r="H324" s="126" t="s">
        <v>257</v>
      </c>
      <c r="M324" s="1180" t="s">
        <v>212</v>
      </c>
      <c r="N324" s="1015" t="s">
        <v>223</v>
      </c>
      <c r="O324" s="1017" t="s">
        <v>214</v>
      </c>
      <c r="P324" s="1018"/>
      <c r="Q324" s="1018"/>
      <c r="R324" s="1018"/>
      <c r="S324" s="1019"/>
      <c r="T324" s="1015" t="s">
        <v>126</v>
      </c>
    </row>
    <row r="325" spans="1:21" ht="11.1" customHeight="1" thickBot="1">
      <c r="A325" s="1133" t="s">
        <v>212</v>
      </c>
      <c r="B325" s="1135" t="s">
        <v>260</v>
      </c>
      <c r="C325" s="1020" t="s">
        <v>214</v>
      </c>
      <c r="D325" s="1021"/>
      <c r="E325" s="1021"/>
      <c r="F325" s="1021"/>
      <c r="G325" s="1022"/>
      <c r="H325" s="1135" t="s">
        <v>126</v>
      </c>
      <c r="M325" s="1181"/>
      <c r="N325" s="1016"/>
      <c r="O325" s="600">
        <v>2011</v>
      </c>
      <c r="P325" s="600">
        <v>2012</v>
      </c>
      <c r="Q325" s="600">
        <v>2013</v>
      </c>
      <c r="R325" s="773">
        <v>2014</v>
      </c>
      <c r="S325" s="600">
        <v>2015</v>
      </c>
      <c r="T325" s="1016"/>
      <c r="U325" s="576"/>
    </row>
    <row r="326" spans="1:21" ht="11.1" customHeight="1" thickTop="1" thickBot="1">
      <c r="A326" s="1134"/>
      <c r="B326" s="1136"/>
      <c r="C326" s="387">
        <v>2011</v>
      </c>
      <c r="D326" s="387">
        <v>2012</v>
      </c>
      <c r="E326" s="387">
        <v>2013</v>
      </c>
      <c r="F326" s="387">
        <v>2014</v>
      </c>
      <c r="G326" s="387">
        <v>2015</v>
      </c>
      <c r="H326" s="1136"/>
      <c r="M326" s="579">
        <v>1</v>
      </c>
      <c r="N326" s="579" t="s">
        <v>121</v>
      </c>
      <c r="O326" s="580">
        <v>14</v>
      </c>
      <c r="P326" s="580">
        <v>28</v>
      </c>
      <c r="Q326" s="580">
        <v>14</v>
      </c>
      <c r="R326" s="29">
        <v>14</v>
      </c>
      <c r="S326" s="29">
        <v>14</v>
      </c>
      <c r="T326" s="605">
        <f t="shared" ref="T326:T334" si="24">(((Q326-P326)/P326*100)+((S326-Q326)/Q326*100)+((P326-O326)/O326*100))/3</f>
        <v>16.666666666666668</v>
      </c>
      <c r="U326" s="576"/>
    </row>
    <row r="327" spans="1:21" ht="11.1" customHeight="1" thickTop="1">
      <c r="A327" s="132">
        <v>4</v>
      </c>
      <c r="B327" s="127" t="s">
        <v>278</v>
      </c>
      <c r="C327" s="133">
        <f>SUM(C328:C335)</f>
        <v>32803</v>
      </c>
      <c r="D327" s="133">
        <f>SUM(D328:D335)</f>
        <v>19092</v>
      </c>
      <c r="E327" s="133">
        <f>SUM(E328:E335)</f>
        <v>22669</v>
      </c>
      <c r="F327" s="133">
        <f>SUM(F328:F335)</f>
        <v>22972</v>
      </c>
      <c r="G327" s="133">
        <f>SUM(G328:G335)</f>
        <v>22515</v>
      </c>
      <c r="H327" s="134">
        <f>((D327-C327)/C327*100+(E327-D327)/D327*100+(F327-E327)/E327*100+(G327-F327)/F327*100)/4</f>
        <v>-5.9287903701233278</v>
      </c>
      <c r="M327" s="581">
        <v>2</v>
      </c>
      <c r="N327" s="581" t="s">
        <v>122</v>
      </c>
      <c r="O327" s="38">
        <v>3</v>
      </c>
      <c r="P327" s="38">
        <v>6</v>
      </c>
      <c r="Q327" s="38">
        <v>4</v>
      </c>
      <c r="R327" s="34">
        <v>4</v>
      </c>
      <c r="S327" s="34">
        <v>4</v>
      </c>
      <c r="T327" s="583">
        <f t="shared" si="24"/>
        <v>22.222222222222225</v>
      </c>
      <c r="U327" s="576"/>
    </row>
    <row r="328" spans="1:21" ht="11.1" customHeight="1">
      <c r="A328" s="135"/>
      <c r="B328" s="128" t="s">
        <v>279</v>
      </c>
      <c r="C328" s="136">
        <v>530</v>
      </c>
      <c r="D328" s="136">
        <v>706</v>
      </c>
      <c r="E328" s="453">
        <v>706</v>
      </c>
      <c r="F328" s="453">
        <v>706</v>
      </c>
      <c r="G328" s="453">
        <v>407</v>
      </c>
      <c r="H328" s="137" t="s">
        <v>280</v>
      </c>
      <c r="M328" s="581">
        <v>3</v>
      </c>
      <c r="N328" s="581" t="s">
        <v>184</v>
      </c>
      <c r="O328" s="38">
        <v>4</v>
      </c>
      <c r="P328" s="38">
        <v>8</v>
      </c>
      <c r="Q328" s="38">
        <v>5</v>
      </c>
      <c r="R328" s="34">
        <v>5</v>
      </c>
      <c r="S328" s="34">
        <v>5</v>
      </c>
      <c r="T328" s="583">
        <f t="shared" si="24"/>
        <v>20.833333333333332</v>
      </c>
      <c r="U328" s="576"/>
    </row>
    <row r="329" spans="1:21" ht="11.1" customHeight="1">
      <c r="A329" s="135"/>
      <c r="B329" s="128" t="s">
        <v>281</v>
      </c>
      <c r="C329" s="136">
        <v>352</v>
      </c>
      <c r="D329" s="136">
        <v>230</v>
      </c>
      <c r="E329" s="453">
        <v>200</v>
      </c>
      <c r="F329" s="453">
        <v>200</v>
      </c>
      <c r="G329" s="453">
        <v>82</v>
      </c>
      <c r="H329" s="35">
        <f>((D329-C329)/C329*100+(E329-D329)/D329*100+(F329-E329)/E329*100+(G329-F329)/F329*100)/4</f>
        <v>-26.675642292490117</v>
      </c>
      <c r="M329" s="581">
        <v>4</v>
      </c>
      <c r="N329" s="581" t="s">
        <v>120</v>
      </c>
      <c r="O329" s="38">
        <v>0</v>
      </c>
      <c r="P329" s="38">
        <v>0</v>
      </c>
      <c r="Q329" s="38">
        <v>0</v>
      </c>
      <c r="R329" s="34">
        <v>0</v>
      </c>
      <c r="S329" s="34">
        <v>0</v>
      </c>
      <c r="T329" s="679" t="e">
        <f t="shared" si="24"/>
        <v>#DIV/0!</v>
      </c>
      <c r="U329" s="576"/>
    </row>
    <row r="330" spans="1:21" ht="11.1" customHeight="1">
      <c r="A330" s="135"/>
      <c r="B330" s="128" t="s">
        <v>282</v>
      </c>
      <c r="C330" s="136">
        <v>180</v>
      </c>
      <c r="D330" s="136">
        <v>10</v>
      </c>
      <c r="E330" s="453">
        <v>0</v>
      </c>
      <c r="F330" s="453">
        <v>0</v>
      </c>
      <c r="G330" s="453">
        <v>0</v>
      </c>
      <c r="H330" s="35" t="e">
        <f t="shared" ref="H330:H341" si="25">((D330-C330)/C330*100+(E330-D330)/D330*100+(F330-E330)/E330*100+(G330-F330)/F330*100)/4</f>
        <v>#DIV/0!</v>
      </c>
      <c r="M330" s="581">
        <v>5</v>
      </c>
      <c r="N330" s="581" t="s">
        <v>125</v>
      </c>
      <c r="O330" s="38">
        <v>3</v>
      </c>
      <c r="P330" s="38">
        <v>6</v>
      </c>
      <c r="Q330" s="38">
        <v>8</v>
      </c>
      <c r="R330" s="34">
        <v>8</v>
      </c>
      <c r="S330" s="34">
        <v>8</v>
      </c>
      <c r="T330" s="38">
        <f t="shared" si="24"/>
        <v>44.444444444444436</v>
      </c>
      <c r="U330" s="576"/>
    </row>
    <row r="331" spans="1:21" ht="11.1" customHeight="1">
      <c r="A331" s="135"/>
      <c r="B331" s="128" t="s">
        <v>283</v>
      </c>
      <c r="C331" s="136">
        <v>415</v>
      </c>
      <c r="D331" s="136">
        <v>392</v>
      </c>
      <c r="E331" s="453">
        <v>248</v>
      </c>
      <c r="F331" s="453">
        <v>304</v>
      </c>
      <c r="G331" s="453">
        <v>292</v>
      </c>
      <c r="H331" s="35">
        <f>((D331-C331)/C331*100+(E331-D331)/D331*100+(F331-E331)/E331*100+(G331-F331)/F331*100)/4</f>
        <v>-5.9108964530030317</v>
      </c>
      <c r="M331" s="581">
        <v>6</v>
      </c>
      <c r="N331" s="581" t="s">
        <v>124</v>
      </c>
      <c r="O331" s="38">
        <v>0</v>
      </c>
      <c r="P331" s="38">
        <v>0</v>
      </c>
      <c r="Q331" s="38">
        <v>0</v>
      </c>
      <c r="R331" s="34">
        <v>0</v>
      </c>
      <c r="S331" s="34">
        <v>0</v>
      </c>
      <c r="T331" s="679" t="e">
        <f t="shared" si="24"/>
        <v>#DIV/0!</v>
      </c>
      <c r="U331" s="576"/>
    </row>
    <row r="332" spans="1:21" ht="11.1" customHeight="1">
      <c r="A332" s="135"/>
      <c r="B332" s="128" t="s">
        <v>284</v>
      </c>
      <c r="C332" s="136">
        <v>8551</v>
      </c>
      <c r="D332" s="136">
        <v>8415</v>
      </c>
      <c r="E332" s="453">
        <v>9177</v>
      </c>
      <c r="F332" s="453">
        <v>9175</v>
      </c>
      <c r="G332" s="453">
        <v>9509</v>
      </c>
      <c r="H332" s="35">
        <f t="shared" si="25"/>
        <v>2.7708336428919549</v>
      </c>
      <c r="M332" s="581">
        <v>7</v>
      </c>
      <c r="N332" s="581" t="s">
        <v>123</v>
      </c>
      <c r="O332" s="38">
        <v>1</v>
      </c>
      <c r="P332" s="38">
        <v>2</v>
      </c>
      <c r="Q332" s="38">
        <v>1</v>
      </c>
      <c r="R332" s="34">
        <v>1</v>
      </c>
      <c r="S332" s="34">
        <v>1</v>
      </c>
      <c r="T332" s="606">
        <f t="shared" si="24"/>
        <v>16.666666666666668</v>
      </c>
      <c r="U332" s="576"/>
    </row>
    <row r="333" spans="1:21" ht="11.1" customHeight="1">
      <c r="A333" s="135"/>
      <c r="B333" s="128" t="s">
        <v>285</v>
      </c>
      <c r="C333" s="136">
        <v>8885</v>
      </c>
      <c r="D333" s="136">
        <v>5870</v>
      </c>
      <c r="E333" s="453">
        <v>8217</v>
      </c>
      <c r="F333" s="453">
        <v>8192</v>
      </c>
      <c r="G333" s="453">
        <v>9740</v>
      </c>
      <c r="H333" s="35">
        <f t="shared" si="25"/>
        <v>6.1604013398614459</v>
      </c>
      <c r="M333" s="581">
        <v>8</v>
      </c>
      <c r="N333" s="581" t="s">
        <v>195</v>
      </c>
      <c r="O333" s="38">
        <v>7</v>
      </c>
      <c r="P333" s="38">
        <v>14</v>
      </c>
      <c r="Q333" s="38">
        <v>5</v>
      </c>
      <c r="R333" s="34">
        <v>5</v>
      </c>
      <c r="S333" s="34">
        <v>5</v>
      </c>
      <c r="T333" s="606">
        <f t="shared" si="24"/>
        <v>11.904761904761903</v>
      </c>
      <c r="U333" s="576"/>
    </row>
    <row r="334" spans="1:21" ht="11.1" customHeight="1" thickBot="1">
      <c r="A334" s="135"/>
      <c r="B334" s="128" t="s">
        <v>286</v>
      </c>
      <c r="C334" s="136">
        <v>9599</v>
      </c>
      <c r="D334" s="136">
        <v>706</v>
      </c>
      <c r="E334" s="453">
        <v>0</v>
      </c>
      <c r="F334" s="453">
        <v>92</v>
      </c>
      <c r="G334" s="453">
        <v>91</v>
      </c>
      <c r="H334" s="35" t="e">
        <f t="shared" si="25"/>
        <v>#DIV/0!</v>
      </c>
      <c r="M334" s="582">
        <v>9</v>
      </c>
      <c r="N334" s="582" t="s">
        <v>198</v>
      </c>
      <c r="O334" s="583">
        <v>3</v>
      </c>
      <c r="P334" s="583">
        <v>6</v>
      </c>
      <c r="Q334" s="583">
        <v>4</v>
      </c>
      <c r="R334" s="34">
        <v>4</v>
      </c>
      <c r="S334" s="34">
        <v>4</v>
      </c>
      <c r="T334" s="606">
        <f t="shared" si="24"/>
        <v>22.222222222222225</v>
      </c>
      <c r="U334" s="576"/>
    </row>
    <row r="335" spans="1:21" ht="11.1" customHeight="1" thickTop="1" thickBot="1">
      <c r="A335" s="135"/>
      <c r="B335" s="128" t="s">
        <v>287</v>
      </c>
      <c r="C335" s="136">
        <v>4291</v>
      </c>
      <c r="D335" s="136">
        <v>2763</v>
      </c>
      <c r="E335" s="453">
        <f>371+3750</f>
        <v>4121</v>
      </c>
      <c r="F335" s="453">
        <v>4303</v>
      </c>
      <c r="G335" s="453">
        <f>406+1988</f>
        <v>2394</v>
      </c>
      <c r="H335" s="35">
        <f t="shared" si="25"/>
        <v>-6.6019832483856149</v>
      </c>
      <c r="M335" s="1183" t="s">
        <v>224</v>
      </c>
      <c r="N335" s="1184"/>
      <c r="O335" s="593">
        <f>SUM(O326:O334)</f>
        <v>35</v>
      </c>
      <c r="P335" s="593">
        <f>SUM(P326:P334)</f>
        <v>70</v>
      </c>
      <c r="Q335" s="593">
        <f>SUM(Q326:Q334)</f>
        <v>41</v>
      </c>
      <c r="R335" s="593">
        <f>SUM(R326:R334)</f>
        <v>41</v>
      </c>
      <c r="S335" s="593">
        <f>SUM(S326:S334)</f>
        <v>41</v>
      </c>
      <c r="T335" s="593">
        <f>((Q335-P335)/P335*100+(S335-Q335)/Q335*100+(P326-O326)/O326*100)/3</f>
        <v>19.523809523809522</v>
      </c>
      <c r="U335" s="576"/>
    </row>
    <row r="336" spans="1:21" ht="11.1" customHeight="1" thickTop="1">
      <c r="A336" s="135">
        <v>5</v>
      </c>
      <c r="B336" s="128" t="s">
        <v>288</v>
      </c>
      <c r="C336" s="138">
        <f>SUM(C337:C341)</f>
        <v>2844</v>
      </c>
      <c r="D336" s="138">
        <f>SUM(D337:D341)</f>
        <v>3217</v>
      </c>
      <c r="E336" s="138">
        <f>SUM(E337:E341)</f>
        <v>7847</v>
      </c>
      <c r="F336" s="138">
        <f>SUM(F337:F341)</f>
        <v>7001</v>
      </c>
      <c r="G336" s="138">
        <f>SUM(G337:G341)</f>
        <v>4324</v>
      </c>
      <c r="H336" s="139">
        <f t="shared" si="25"/>
        <v>27.004913785436308</v>
      </c>
      <c r="M336" s="584"/>
      <c r="N336" s="584"/>
      <c r="O336" s="584"/>
      <c r="P336" s="584"/>
      <c r="Q336" s="584"/>
      <c r="R336" s="584"/>
      <c r="S336" s="584"/>
      <c r="T336" s="584"/>
    </row>
    <row r="337" spans="1:20" ht="11.1" customHeight="1">
      <c r="A337" s="140"/>
      <c r="B337" s="129" t="s">
        <v>289</v>
      </c>
      <c r="C337" s="141">
        <v>1057</v>
      </c>
      <c r="D337" s="141">
        <v>1010</v>
      </c>
      <c r="E337" s="455">
        <v>5864</v>
      </c>
      <c r="F337" s="455">
        <f>3026+2137</f>
        <v>5163</v>
      </c>
      <c r="G337" s="455">
        <f>2989+149</f>
        <v>3138</v>
      </c>
      <c r="H337" s="35">
        <f t="shared" si="25"/>
        <v>106.24295806261658</v>
      </c>
      <c r="M337" s="584"/>
      <c r="O337" s="585" t="s">
        <v>242</v>
      </c>
      <c r="P337" s="585"/>
      <c r="Q337" s="585"/>
      <c r="R337" s="585"/>
      <c r="S337" s="585"/>
      <c r="T337" s="585"/>
    </row>
    <row r="338" spans="1:20" ht="11.1" customHeight="1">
      <c r="A338" s="140"/>
      <c r="B338" s="129" t="s">
        <v>290</v>
      </c>
      <c r="C338" s="141">
        <v>215</v>
      </c>
      <c r="D338" s="141">
        <v>44</v>
      </c>
      <c r="E338" s="455">
        <v>41</v>
      </c>
      <c r="F338" s="455">
        <v>37</v>
      </c>
      <c r="G338" s="455">
        <f>37+20</f>
        <v>57</v>
      </c>
      <c r="H338" s="35">
        <f>((D338-C338)/C338*100+(E338-D338)/D338*100+(F338-E338)/E338*100+(G338-F338)/F338*100)/4</f>
        <v>-10.513777261508396</v>
      </c>
      <c r="M338" s="576"/>
      <c r="N338" s="576"/>
      <c r="O338" s="576"/>
      <c r="P338" s="576"/>
      <c r="Q338" s="576"/>
      <c r="R338" s="576"/>
      <c r="S338" s="576"/>
      <c r="T338" s="576"/>
    </row>
    <row r="339" spans="1:20" ht="11.1" customHeight="1">
      <c r="A339" s="140"/>
      <c r="B339" s="129" t="s">
        <v>291</v>
      </c>
      <c r="C339" s="141">
        <v>177</v>
      </c>
      <c r="D339" s="141">
        <v>135</v>
      </c>
      <c r="E339" s="141">
        <v>145</v>
      </c>
      <c r="F339" s="141">
        <v>145</v>
      </c>
      <c r="G339" s="141">
        <v>145</v>
      </c>
      <c r="H339" s="35">
        <f t="shared" si="25"/>
        <v>-4.0803515379786575</v>
      </c>
      <c r="M339" s="576"/>
      <c r="N339" s="576"/>
      <c r="O339" s="576"/>
      <c r="P339" s="576"/>
      <c r="Q339" s="576"/>
      <c r="R339" s="576"/>
      <c r="S339" s="576"/>
      <c r="T339" s="576"/>
    </row>
    <row r="340" spans="1:20" ht="11.1" customHeight="1">
      <c r="A340" s="135"/>
      <c r="B340" s="128" t="s">
        <v>292</v>
      </c>
      <c r="C340" s="136">
        <v>1225</v>
      </c>
      <c r="D340" s="136">
        <v>1874</v>
      </c>
      <c r="E340" s="136">
        <f>979+649</f>
        <v>1628</v>
      </c>
      <c r="F340" s="136">
        <f>887+628</f>
        <v>1515</v>
      </c>
      <c r="G340" s="136">
        <f>520+324</f>
        <v>844</v>
      </c>
      <c r="H340" s="35">
        <f t="shared" si="25"/>
        <v>-2.8447175536093479</v>
      </c>
      <c r="M340" s="576"/>
      <c r="N340" s="576"/>
      <c r="O340" s="576"/>
      <c r="P340" s="576"/>
      <c r="Q340" s="576"/>
      <c r="R340" s="576"/>
      <c r="S340" s="576"/>
      <c r="T340" s="576"/>
    </row>
    <row r="341" spans="1:20" ht="11.1" customHeight="1" thickBot="1">
      <c r="A341" s="142"/>
      <c r="B341" s="130" t="s">
        <v>293</v>
      </c>
      <c r="C341" s="143">
        <v>170</v>
      </c>
      <c r="D341" s="143">
        <v>154</v>
      </c>
      <c r="E341" s="143">
        <v>169</v>
      </c>
      <c r="F341" s="143">
        <v>141</v>
      </c>
      <c r="G341" s="143">
        <v>140</v>
      </c>
      <c r="H341" s="144">
        <f t="shared" si="25"/>
        <v>-4.2371930402641871</v>
      </c>
      <c r="M341" s="576"/>
      <c r="N341" s="576"/>
      <c r="O341" s="576"/>
      <c r="P341" s="576"/>
      <c r="Q341" s="576"/>
      <c r="R341" s="576"/>
      <c r="S341" s="576"/>
      <c r="T341" s="576"/>
    </row>
    <row r="342" spans="1:20" ht="11.1" customHeight="1" thickTop="1" thickBot="1">
      <c r="A342" s="1137" t="s">
        <v>224</v>
      </c>
      <c r="B342" s="1138"/>
      <c r="C342" s="145">
        <f>C297+C301+C306+C327+C336</f>
        <v>47797</v>
      </c>
      <c r="D342" s="145">
        <f>D297+D301+D306+D327+D336</f>
        <v>33130</v>
      </c>
      <c r="E342" s="145">
        <f>E297+E301+E306+E327+E336</f>
        <v>41695</v>
      </c>
      <c r="F342" s="145">
        <f>F297+F301+F306+F327+F336</f>
        <v>40668</v>
      </c>
      <c r="G342" s="145">
        <f>G297+G301+G306+G327+G336</f>
        <v>39512</v>
      </c>
      <c r="H342" s="55">
        <v>5.9075040598729203</v>
      </c>
      <c r="M342" s="576"/>
      <c r="N342" s="576"/>
      <c r="O342" s="576"/>
      <c r="P342" s="576"/>
      <c r="Q342" s="576"/>
      <c r="R342" s="576"/>
      <c r="S342" s="576"/>
      <c r="T342" s="576"/>
    </row>
    <row r="343" spans="1:20" ht="11.1" customHeight="1" thickTop="1">
      <c r="A343" s="131"/>
      <c r="B343" s="131"/>
      <c r="C343" s="131"/>
      <c r="D343" s="131"/>
      <c r="E343" s="131"/>
      <c r="F343" s="131"/>
      <c r="G343" s="131"/>
      <c r="H343" s="131"/>
      <c r="M343" s="576"/>
      <c r="N343" s="576"/>
      <c r="O343" s="576"/>
      <c r="P343" s="576"/>
      <c r="Q343" s="576"/>
      <c r="R343" s="576"/>
      <c r="S343" s="576"/>
      <c r="T343" s="576"/>
    </row>
    <row r="344" spans="1:20" ht="11.1" customHeight="1">
      <c r="A344" s="131"/>
      <c r="B344" s="966" t="s">
        <v>297</v>
      </c>
      <c r="C344" s="966"/>
      <c r="D344" s="966"/>
      <c r="E344" s="966"/>
      <c r="F344" s="966"/>
      <c r="G344" s="966"/>
      <c r="H344" s="966"/>
      <c r="M344" s="576"/>
      <c r="N344" s="576"/>
      <c r="O344" s="576"/>
      <c r="P344" s="576"/>
      <c r="Q344" s="576"/>
      <c r="R344" s="576"/>
      <c r="S344" s="576"/>
      <c r="T344" s="576"/>
    </row>
    <row r="345" spans="1:20" ht="11.1" customHeight="1">
      <c r="A345" s="131"/>
      <c r="B345" s="423"/>
      <c r="C345" s="423"/>
      <c r="D345" s="423"/>
      <c r="E345" s="423"/>
      <c r="F345" s="423"/>
      <c r="G345" s="423"/>
      <c r="H345" s="423"/>
      <c r="M345" s="576"/>
      <c r="N345" s="576"/>
      <c r="O345" s="576"/>
      <c r="P345" s="576"/>
      <c r="Q345" s="576"/>
      <c r="R345" s="576"/>
      <c r="S345" s="576"/>
      <c r="T345" s="576"/>
    </row>
    <row r="346" spans="1:20" ht="11.1" customHeight="1">
      <c r="A346" s="131"/>
      <c r="B346" s="423"/>
      <c r="C346" s="423"/>
      <c r="D346" s="423"/>
      <c r="E346" s="423"/>
      <c r="F346" s="423"/>
      <c r="G346" s="423"/>
      <c r="H346" s="423"/>
      <c r="M346" s="576"/>
      <c r="N346" s="576"/>
      <c r="O346" s="576"/>
      <c r="P346" s="576"/>
      <c r="Q346" s="576"/>
      <c r="R346" s="576"/>
      <c r="S346" s="576"/>
      <c r="T346" s="576"/>
    </row>
    <row r="347" spans="1:20" ht="11.1" customHeight="1">
      <c r="A347" s="131"/>
      <c r="B347" s="423"/>
      <c r="C347" s="423"/>
      <c r="D347" s="423"/>
      <c r="E347" s="423"/>
      <c r="F347" s="423"/>
      <c r="G347" s="423"/>
      <c r="H347" s="423"/>
      <c r="M347" s="576"/>
      <c r="N347" s="576"/>
      <c r="O347" s="576"/>
      <c r="P347" s="576"/>
      <c r="Q347" s="576"/>
      <c r="R347" s="576"/>
      <c r="S347" s="576"/>
      <c r="T347" s="576"/>
    </row>
    <row r="348" spans="1:20" ht="11.1" customHeight="1">
      <c r="A348" s="131"/>
      <c r="B348" s="423"/>
      <c r="C348" s="423"/>
      <c r="D348" s="423"/>
      <c r="E348" s="423"/>
      <c r="F348" s="423"/>
      <c r="G348" s="423"/>
      <c r="H348" s="423"/>
      <c r="M348" s="576"/>
      <c r="N348" s="576"/>
      <c r="O348" s="576"/>
      <c r="P348" s="576"/>
      <c r="Q348" s="576"/>
      <c r="R348" s="576"/>
      <c r="S348" s="576"/>
      <c r="T348" s="576"/>
    </row>
    <row r="349" spans="1:20" ht="11.1" customHeight="1">
      <c r="A349" s="131"/>
      <c r="B349" s="423"/>
      <c r="C349" s="423"/>
      <c r="D349" s="423"/>
      <c r="E349" s="423"/>
      <c r="F349" s="423"/>
      <c r="G349" s="423"/>
      <c r="H349" s="423"/>
      <c r="M349" s="576"/>
      <c r="N349" s="576"/>
      <c r="O349" s="576"/>
      <c r="P349" s="576"/>
      <c r="Q349" s="576"/>
      <c r="R349" s="576"/>
      <c r="S349" s="576"/>
      <c r="T349" s="576"/>
    </row>
    <row r="350" spans="1:20" ht="11.1" customHeight="1">
      <c r="A350" s="131"/>
      <c r="B350" s="423"/>
      <c r="C350" s="423"/>
      <c r="D350" s="423"/>
      <c r="E350" s="423"/>
      <c r="F350" s="423"/>
      <c r="G350" s="423"/>
      <c r="H350" s="423"/>
    </row>
    <row r="351" spans="1:20" ht="11.1" customHeight="1">
      <c r="A351" s="131"/>
      <c r="B351" s="423"/>
      <c r="C351" s="423"/>
      <c r="D351" s="423"/>
      <c r="E351" s="423"/>
      <c r="F351" s="423"/>
      <c r="G351" s="423"/>
      <c r="H351" s="423"/>
    </row>
    <row r="352" spans="1:20" ht="11.1" customHeight="1"/>
    <row r="353" spans="1:23" ht="11.1" customHeight="1">
      <c r="M353" s="1023" t="s">
        <v>553</v>
      </c>
      <c r="N353" s="1023"/>
      <c r="O353" s="1023"/>
      <c r="P353" s="1023"/>
      <c r="Q353" s="1023"/>
      <c r="R353" s="1023"/>
      <c r="S353" s="1023"/>
      <c r="T353" s="1023"/>
    </row>
    <row r="354" spans="1:23" ht="11.1" customHeight="1">
      <c r="A354" s="1046" t="s">
        <v>535</v>
      </c>
      <c r="B354" s="1046"/>
      <c r="C354" s="1046"/>
      <c r="D354" s="1046"/>
      <c r="E354" s="1046"/>
      <c r="F354" s="1046"/>
      <c r="G354" s="1046"/>
      <c r="H354" s="1046"/>
      <c r="M354" s="1024" t="s">
        <v>726</v>
      </c>
      <c r="N354" s="1024"/>
      <c r="O354" s="1024"/>
      <c r="P354" s="1024"/>
      <c r="Q354" s="1024"/>
      <c r="R354" s="1024"/>
      <c r="S354" s="1024"/>
      <c r="T354" s="1024"/>
    </row>
    <row r="355" spans="1:23" ht="11.1" customHeight="1">
      <c r="A355" s="1046" t="s">
        <v>727</v>
      </c>
      <c r="B355" s="1046"/>
      <c r="C355" s="1046"/>
      <c r="D355" s="1046"/>
      <c r="E355" s="1046"/>
      <c r="F355" s="1046"/>
      <c r="G355" s="1046"/>
      <c r="H355" s="1046"/>
      <c r="M355" s="276"/>
      <c r="N355" s="276"/>
      <c r="O355" s="276"/>
      <c r="P355" s="276"/>
      <c r="Q355" s="276"/>
      <c r="R355" s="276"/>
      <c r="S355" s="276"/>
      <c r="T355" s="280" t="s">
        <v>550</v>
      </c>
    </row>
    <row r="356" spans="1:23" ht="11.1" customHeight="1">
      <c r="A356" s="147"/>
      <c r="B356" s="147"/>
      <c r="C356" s="147"/>
      <c r="D356" s="147"/>
      <c r="E356" s="147"/>
      <c r="F356" s="147"/>
      <c r="G356" s="147"/>
      <c r="H356" s="146" t="s">
        <v>226</v>
      </c>
      <c r="M356" s="1054" t="s">
        <v>212</v>
      </c>
      <c r="N356" s="1043" t="s">
        <v>345</v>
      </c>
      <c r="O356" s="1020" t="s">
        <v>214</v>
      </c>
      <c r="P356" s="1021"/>
      <c r="Q356" s="1021"/>
      <c r="R356" s="1021"/>
      <c r="S356" s="1022"/>
      <c r="T356" s="1043" t="s">
        <v>126</v>
      </c>
      <c r="W356" s="621"/>
    </row>
    <row r="357" spans="1:23" ht="11.1" customHeight="1" thickBot="1">
      <c r="A357" s="1126" t="s">
        <v>212</v>
      </c>
      <c r="B357" s="1128" t="s">
        <v>223</v>
      </c>
      <c r="C357" s="1020" t="s">
        <v>214</v>
      </c>
      <c r="D357" s="1021"/>
      <c r="E357" s="1021"/>
      <c r="F357" s="1021"/>
      <c r="G357" s="1022"/>
      <c r="H357" s="1128" t="s">
        <v>126</v>
      </c>
      <c r="M357" s="1055"/>
      <c r="N357" s="1044"/>
      <c r="O357" s="160">
        <v>2011</v>
      </c>
      <c r="P357" s="160">
        <v>2012</v>
      </c>
      <c r="Q357" s="160">
        <v>2013</v>
      </c>
      <c r="R357" s="160">
        <v>2014</v>
      </c>
      <c r="S357" s="160">
        <v>2015</v>
      </c>
      <c r="T357" s="1044"/>
      <c r="W357" s="621"/>
    </row>
    <row r="358" spans="1:23" ht="11.1" customHeight="1" thickTop="1" thickBot="1">
      <c r="A358" s="1127"/>
      <c r="B358" s="1129"/>
      <c r="C358" s="160">
        <v>2011</v>
      </c>
      <c r="D358" s="160">
        <v>2012</v>
      </c>
      <c r="E358" s="160">
        <v>2013</v>
      </c>
      <c r="F358" s="160">
        <v>2014</v>
      </c>
      <c r="G358" s="160">
        <v>2015</v>
      </c>
      <c r="H358" s="1129"/>
      <c r="M358" s="277">
        <v>1</v>
      </c>
      <c r="N358" s="282" t="s">
        <v>137</v>
      </c>
      <c r="O358" s="100">
        <v>5403.6</v>
      </c>
      <c r="P358" s="589">
        <v>6723.8</v>
      </c>
      <c r="Q358" s="100">
        <v>15062.5</v>
      </c>
      <c r="R358" s="619">
        <v>7769.5999999999995</v>
      </c>
      <c r="S358" s="619">
        <v>5186.5</v>
      </c>
      <c r="T358" s="35">
        <f>((P358-O358)/O358*100+(Q358-P358)/P358*100+(R358-Q358)/Q358*100+(S358-R358)/R358*100)/4</f>
        <v>16.696423424456043</v>
      </c>
      <c r="W358" s="621"/>
    </row>
    <row r="359" spans="1:23" ht="11.1" customHeight="1" thickTop="1">
      <c r="A359" s="148"/>
      <c r="B359" s="149"/>
      <c r="C359" s="150"/>
      <c r="D359" s="150"/>
      <c r="E359" s="150"/>
      <c r="F359" s="150"/>
      <c r="G359" s="150"/>
      <c r="H359" s="150"/>
      <c r="M359" s="278">
        <v>2</v>
      </c>
      <c r="N359" s="283" t="s">
        <v>547</v>
      </c>
      <c r="O359" s="102">
        <v>2131.3000000000002</v>
      </c>
      <c r="P359" s="590">
        <v>0</v>
      </c>
      <c r="Q359" s="102">
        <v>180</v>
      </c>
      <c r="R359" s="620">
        <v>140</v>
      </c>
      <c r="S359" s="620">
        <v>5</v>
      </c>
      <c r="T359" s="462" t="e">
        <f>((P359-O359)/O359*100+(Q359-P359)/P359*100+(R359-Q359)/Q359*100+(S359-R359)/R359*100)/4</f>
        <v>#DIV/0!</v>
      </c>
      <c r="W359" s="621"/>
    </row>
    <row r="360" spans="1:23" ht="11.1" customHeight="1">
      <c r="A360" s="151">
        <v>1</v>
      </c>
      <c r="B360" s="152" t="s">
        <v>233</v>
      </c>
      <c r="C360" s="153">
        <v>339.5</v>
      </c>
      <c r="D360" s="153">
        <v>308.89999999999998</v>
      </c>
      <c r="E360" s="153">
        <v>336.3</v>
      </c>
      <c r="F360" s="153">
        <v>265.3</v>
      </c>
      <c r="G360" s="153">
        <v>326.7</v>
      </c>
      <c r="H360" s="35">
        <f t="shared" ref="H360:H366" si="26">((D360-C360)/C360*100+(E360-D360)/D360*100+(F360-E360)/E360*100+(G360-F360)/F360*100)/4</f>
        <v>0.4721096140178247</v>
      </c>
      <c r="M360" s="278">
        <v>3</v>
      </c>
      <c r="N360" s="283" t="s">
        <v>156</v>
      </c>
      <c r="O360" s="102">
        <v>24908</v>
      </c>
      <c r="P360" s="590">
        <v>37131</v>
      </c>
      <c r="Q360" s="102">
        <v>32490</v>
      </c>
      <c r="R360" s="102">
        <v>61268.15</v>
      </c>
      <c r="S360" s="102">
        <v>39217.599999999999</v>
      </c>
      <c r="T360" s="35">
        <f>((P360-O360)/O360*100+(Q360-P360)/P360*100+(R360-Q360)/Q360*100+(S360-R360)/R360*100)/4</f>
        <v>22.289692944477004</v>
      </c>
      <c r="W360" s="621"/>
    </row>
    <row r="361" spans="1:23" ht="11.1" customHeight="1">
      <c r="A361" s="151">
        <v>2</v>
      </c>
      <c r="B361" s="152" t="s">
        <v>234</v>
      </c>
      <c r="C361" s="153">
        <v>335.2</v>
      </c>
      <c r="D361" s="153">
        <v>1599.8</v>
      </c>
      <c r="E361" s="153">
        <v>1320.6</v>
      </c>
      <c r="F361" s="153">
        <v>1613.3</v>
      </c>
      <c r="G361" s="153">
        <v>1597.4</v>
      </c>
      <c r="H361" s="35">
        <f t="shared" si="26"/>
        <v>95.248432957401747</v>
      </c>
      <c r="M361" s="278">
        <v>4</v>
      </c>
      <c r="N361" s="283" t="s">
        <v>154</v>
      </c>
      <c r="O361" s="102">
        <v>1041.0999999999999</v>
      </c>
      <c r="P361" s="590">
        <v>895.7</v>
      </c>
      <c r="Q361" s="102">
        <v>3337.6</v>
      </c>
      <c r="R361" s="102">
        <v>2203</v>
      </c>
      <c r="S361" s="102">
        <v>1136.5999999999999</v>
      </c>
      <c r="T361" s="35">
        <f>((P361-O361)/O361*100+(Q361-P361)/P361*100+(R361-Q361)/Q361*100+(S361-R361)/R361*100)/4</f>
        <v>44.064390021127956</v>
      </c>
      <c r="W361" s="621"/>
    </row>
    <row r="362" spans="1:23" ht="11.1" customHeight="1">
      <c r="A362" s="151">
        <v>3</v>
      </c>
      <c r="B362" s="152" t="s">
        <v>235</v>
      </c>
      <c r="C362" s="153">
        <v>13894.3</v>
      </c>
      <c r="D362" s="153">
        <v>14164.4</v>
      </c>
      <c r="E362" s="153">
        <v>11101.6</v>
      </c>
      <c r="F362" s="153">
        <v>12296.1</v>
      </c>
      <c r="G362" s="153">
        <v>12631.7</v>
      </c>
      <c r="H362" s="35">
        <f t="shared" si="26"/>
        <v>-1.5475576996724432</v>
      </c>
      <c r="M362" s="278">
        <v>5</v>
      </c>
      <c r="N362" s="283" t="s">
        <v>136</v>
      </c>
      <c r="O362" s="102">
        <v>7988.8</v>
      </c>
      <c r="P362" s="590">
        <v>17200.2</v>
      </c>
      <c r="Q362" s="102">
        <v>17404.7</v>
      </c>
      <c r="R362" s="102">
        <v>16271.7</v>
      </c>
      <c r="S362" s="102">
        <v>21569.200000000001</v>
      </c>
      <c r="T362" s="35">
        <f t="shared" ref="T362:T367" si="27">((P362-O362)/O362*100+(Q362-P362)/P362*100+(R362-Q362)/Q362*100+(S362-R362)/R362*100)/4</f>
        <v>35.634913450318237</v>
      </c>
      <c r="W362" s="621"/>
    </row>
    <row r="363" spans="1:23" ht="11.1" customHeight="1">
      <c r="A363" s="151">
        <v>4</v>
      </c>
      <c r="B363" s="152" t="s">
        <v>236</v>
      </c>
      <c r="C363" s="153">
        <v>6986.3</v>
      </c>
      <c r="D363" s="153">
        <v>11041.7</v>
      </c>
      <c r="E363" s="153">
        <v>14612.6</v>
      </c>
      <c r="F363" s="153">
        <v>17818.3</v>
      </c>
      <c r="G363" s="153">
        <v>13914.6</v>
      </c>
      <c r="H363" s="35">
        <f t="shared" si="26"/>
        <v>22.604391003603904</v>
      </c>
      <c r="M363" s="278">
        <v>6</v>
      </c>
      <c r="N363" s="283" t="s">
        <v>132</v>
      </c>
      <c r="O363" s="102">
        <v>4914</v>
      </c>
      <c r="P363" s="590">
        <v>3416</v>
      </c>
      <c r="Q363" s="102">
        <v>3137.5</v>
      </c>
      <c r="R363" s="102">
        <v>2719.5</v>
      </c>
      <c r="S363" s="102">
        <v>1503.2</v>
      </c>
      <c r="T363" s="35">
        <f t="shared" si="27"/>
        <v>-24.171245812172153</v>
      </c>
      <c r="W363" s="621"/>
    </row>
    <row r="364" spans="1:23" ht="11.1" customHeight="1">
      <c r="A364" s="151">
        <v>5</v>
      </c>
      <c r="B364" s="154" t="s">
        <v>237</v>
      </c>
      <c r="C364" s="153">
        <v>1511.5</v>
      </c>
      <c r="D364" s="153">
        <v>2138.1</v>
      </c>
      <c r="E364" s="153">
        <v>6676.7</v>
      </c>
      <c r="F364" s="153">
        <v>6168.1</v>
      </c>
      <c r="G364" s="153">
        <v>5691</v>
      </c>
      <c r="H364" s="35">
        <f t="shared" si="26"/>
        <v>59.593897930222646</v>
      </c>
      <c r="M364" s="278">
        <v>7</v>
      </c>
      <c r="N364" s="283" t="s">
        <v>352</v>
      </c>
      <c r="O364" s="102">
        <v>0</v>
      </c>
      <c r="P364" s="590">
        <v>675</v>
      </c>
      <c r="Q364" s="102">
        <v>2121</v>
      </c>
      <c r="R364" s="102">
        <v>2019.4</v>
      </c>
      <c r="S364" s="102">
        <v>2092</v>
      </c>
      <c r="T364" s="462" t="e">
        <f t="shared" si="27"/>
        <v>#DIV/0!</v>
      </c>
      <c r="W364" s="621"/>
    </row>
    <row r="365" spans="1:23" ht="11.1" customHeight="1">
      <c r="A365" s="151">
        <v>6</v>
      </c>
      <c r="B365" s="154" t="s">
        <v>238</v>
      </c>
      <c r="C365" s="153">
        <v>477.9</v>
      </c>
      <c r="D365" s="153">
        <v>411.8</v>
      </c>
      <c r="E365" s="153">
        <v>454.2</v>
      </c>
      <c r="F365" s="153">
        <v>580</v>
      </c>
      <c r="G365" s="153">
        <v>567.29999999999995</v>
      </c>
      <c r="H365" s="35">
        <f t="shared" si="26"/>
        <v>5.4930773590456372</v>
      </c>
      <c r="M365" s="278">
        <v>8</v>
      </c>
      <c r="N365" s="283" t="s">
        <v>548</v>
      </c>
      <c r="O365" s="102">
        <v>2411972.2999999998</v>
      </c>
      <c r="P365" s="590">
        <v>2594475.2000000002</v>
      </c>
      <c r="Q365" s="102">
        <v>2727054.9</v>
      </c>
      <c r="R365" s="102">
        <v>3120798.8</v>
      </c>
      <c r="S365" s="102">
        <v>5603017</v>
      </c>
      <c r="T365" s="35">
        <f t="shared" si="27"/>
        <v>26.663240324916309</v>
      </c>
      <c r="W365" s="621"/>
    </row>
    <row r="366" spans="1:23" ht="11.1" customHeight="1">
      <c r="A366" s="151">
        <v>7</v>
      </c>
      <c r="B366" s="154" t="s">
        <v>239</v>
      </c>
      <c r="C366" s="153">
        <v>6.2</v>
      </c>
      <c r="D366" s="153">
        <v>50.2</v>
      </c>
      <c r="E366" s="153">
        <v>14.1</v>
      </c>
      <c r="F366" s="153">
        <v>82.2</v>
      </c>
      <c r="G366" s="153">
        <v>129</v>
      </c>
      <c r="H366" s="35">
        <f t="shared" si="26"/>
        <v>294.41952468270688</v>
      </c>
      <c r="M366" s="278">
        <v>9</v>
      </c>
      <c r="N366" s="283" t="s">
        <v>359</v>
      </c>
      <c r="O366" s="102">
        <f>6839+67.7</f>
        <v>6906.7</v>
      </c>
      <c r="P366" s="590">
        <f>76827+15.8+1064</f>
        <v>77906.8</v>
      </c>
      <c r="Q366" s="102">
        <f>1133+1.3+156210+4.2</f>
        <v>157348.5</v>
      </c>
      <c r="R366" s="102">
        <f>1220+270900.4</f>
        <v>272120.40000000002</v>
      </c>
      <c r="S366" s="102">
        <f>1161.9+340702+3</f>
        <v>341866.9</v>
      </c>
      <c r="T366" s="35">
        <f t="shared" si="27"/>
        <v>307.13272487008243</v>
      </c>
      <c r="W366" s="621"/>
    </row>
    <row r="367" spans="1:23" ht="11.1" customHeight="1" thickBot="1">
      <c r="A367" s="155"/>
      <c r="B367" s="156"/>
      <c r="C367" s="157"/>
      <c r="D367" s="157" t="s">
        <v>240</v>
      </c>
      <c r="E367" s="157" t="s">
        <v>240</v>
      </c>
      <c r="F367" s="157" t="s">
        <v>240</v>
      </c>
      <c r="G367" s="157" t="s">
        <v>240</v>
      </c>
      <c r="H367" s="158"/>
      <c r="M367" s="279">
        <v>10</v>
      </c>
      <c r="N367" s="284" t="s">
        <v>549</v>
      </c>
      <c r="O367" s="105">
        <f>107.2+256.5</f>
        <v>363.7</v>
      </c>
      <c r="P367" s="591">
        <f>50+24.6+1033.8</f>
        <v>1108.3999999999999</v>
      </c>
      <c r="Q367" s="105">
        <f>111.8+124.5</f>
        <v>236.3</v>
      </c>
      <c r="R367" s="105">
        <f>629+43.2+42.2</f>
        <v>714.40000000000009</v>
      </c>
      <c r="S367" s="105">
        <f>95.1+875+48.5</f>
        <v>1018.6</v>
      </c>
      <c r="T367" s="35">
        <f t="shared" si="27"/>
        <v>92.746105680771308</v>
      </c>
      <c r="W367" s="621"/>
    </row>
    <row r="368" spans="1:23" ht="11.1" customHeight="1" thickTop="1" thickBot="1">
      <c r="A368" s="1073" t="s">
        <v>224</v>
      </c>
      <c r="B368" s="1074"/>
      <c r="C368" s="161">
        <f>SUM(C360:C366)</f>
        <v>23550.9</v>
      </c>
      <c r="D368" s="161">
        <f>SUM(D360:D366)</f>
        <v>29714.899999999998</v>
      </c>
      <c r="E368" s="161">
        <f>SUM(E360:E366)</f>
        <v>34516.099999999991</v>
      </c>
      <c r="F368" s="161">
        <f>SUM(F360:F366)</f>
        <v>38823.299999999996</v>
      </c>
      <c r="G368" s="161">
        <f>SUM(G360:G366)</f>
        <v>34857.700000000004</v>
      </c>
      <c r="H368" s="84">
        <f>((D368-C368)/C368*100+(E368-D368)/D368*100+(F368-E368)/E368*100+(G368-F368)/F368*100)/4</f>
        <v>11.14874441041375</v>
      </c>
      <c r="M368" s="1124" t="s">
        <v>355</v>
      </c>
      <c r="N368" s="1125"/>
      <c r="O368" s="594">
        <f>SUM(O358:O367)</f>
        <v>2465629.5</v>
      </c>
      <c r="P368" s="594">
        <f>SUM(P358:P367)</f>
        <v>2739532.1</v>
      </c>
      <c r="Q368" s="594">
        <f>SUM(Q358:Q367)</f>
        <v>2958372.9999999995</v>
      </c>
      <c r="R368" s="594">
        <f>SUM(R358:R367)</f>
        <v>3486024.9499999997</v>
      </c>
      <c r="S368" s="594">
        <f>SUM(S358:S367)</f>
        <v>6016612.5999999996</v>
      </c>
      <c r="T368" s="595">
        <f>((P368-O368)/O368*100+(Q368-P368)/P368*100+(R368-Q368)/Q368*100+(S368-R368)/R368*100)/4</f>
        <v>27.381332010524186</v>
      </c>
      <c r="W368" s="621"/>
    </row>
    <row r="369" spans="1:23" ht="11.1" customHeight="1" thickTop="1">
      <c r="A369" s="147"/>
      <c r="B369" s="147"/>
      <c r="C369" s="147"/>
      <c r="D369" s="147"/>
      <c r="E369" s="147"/>
      <c r="F369" s="147"/>
      <c r="G369" s="147"/>
      <c r="H369" s="147"/>
      <c r="M369" s="276"/>
      <c r="N369" s="276"/>
      <c r="O369" s="276"/>
      <c r="P369" s="276"/>
      <c r="Q369" s="276"/>
      <c r="R369" s="592"/>
      <c r="S369" s="276"/>
      <c r="T369" s="281"/>
      <c r="W369" s="621"/>
    </row>
    <row r="370" spans="1:23" ht="11.1" customHeight="1">
      <c r="A370" s="159"/>
      <c r="B370" s="966" t="s">
        <v>300</v>
      </c>
      <c r="C370" s="966"/>
      <c r="D370" s="966"/>
      <c r="E370" s="966"/>
      <c r="F370" s="966"/>
      <c r="G370" s="966"/>
      <c r="H370" s="966"/>
      <c r="M370" s="40"/>
      <c r="N370" s="966" t="s">
        <v>369</v>
      </c>
      <c r="O370" s="966"/>
      <c r="P370" s="966"/>
      <c r="Q370" s="966"/>
      <c r="R370" s="966"/>
      <c r="S370" s="966"/>
      <c r="T370" s="966"/>
      <c r="W370" s="621"/>
    </row>
    <row r="371" spans="1:23" ht="11.1" customHeight="1">
      <c r="A371" s="159"/>
      <c r="B371" s="423"/>
      <c r="C371" s="423"/>
      <c r="D371" s="423"/>
      <c r="E371" s="423"/>
      <c r="F371" s="423"/>
      <c r="G371" s="423"/>
      <c r="H371" s="423"/>
      <c r="W371" s="621"/>
    </row>
    <row r="372" spans="1:23" ht="11.1" customHeight="1">
      <c r="A372" s="159"/>
      <c r="B372" s="423"/>
      <c r="C372" s="423"/>
      <c r="D372" s="423"/>
      <c r="E372" s="423"/>
      <c r="F372" s="423"/>
      <c r="G372" s="423"/>
      <c r="H372" s="423"/>
      <c r="W372" s="621"/>
    </row>
    <row r="373" spans="1:23" ht="11.1" customHeight="1">
      <c r="A373" s="159"/>
      <c r="B373" s="423"/>
      <c r="C373" s="423"/>
      <c r="D373" s="423"/>
      <c r="E373" s="423"/>
      <c r="F373" s="423"/>
      <c r="G373" s="423"/>
      <c r="H373" s="423"/>
      <c r="R373" s="440"/>
      <c r="W373" s="621"/>
    </row>
    <row r="374" spans="1:23" ht="11.1" customHeight="1">
      <c r="A374" s="159"/>
      <c r="B374" s="423"/>
      <c r="C374" s="423"/>
      <c r="D374" s="423"/>
      <c r="E374" s="423"/>
      <c r="F374" s="423"/>
      <c r="G374" s="423"/>
      <c r="H374" s="423"/>
      <c r="R374" s="440"/>
    </row>
    <row r="375" spans="1:23" ht="11.1" customHeight="1">
      <c r="A375" s="159"/>
      <c r="B375" s="423"/>
      <c r="C375" s="423"/>
      <c r="D375" s="423"/>
      <c r="E375" s="423"/>
      <c r="F375" s="423"/>
      <c r="G375" s="423"/>
      <c r="H375" s="423"/>
    </row>
    <row r="376" spans="1:23" ht="11.1" customHeight="1">
      <c r="A376" s="159"/>
      <c r="B376" s="423"/>
      <c r="C376" s="423"/>
      <c r="D376" s="423"/>
      <c r="E376" s="423"/>
      <c r="F376" s="423"/>
      <c r="G376" s="423"/>
      <c r="H376" s="423"/>
    </row>
    <row r="377" spans="1:23" ht="11.1" customHeight="1">
      <c r="A377" s="159"/>
      <c r="B377" s="423"/>
      <c r="C377" s="423"/>
      <c r="D377" s="423"/>
      <c r="E377" s="423"/>
      <c r="F377" s="423"/>
      <c r="G377" s="423"/>
      <c r="H377" s="423"/>
    </row>
    <row r="378" spans="1:23" ht="11.1" customHeight="1">
      <c r="A378" s="159"/>
      <c r="B378" s="423"/>
      <c r="C378" s="423"/>
      <c r="D378" s="423"/>
      <c r="E378" s="423"/>
      <c r="F378" s="423"/>
      <c r="G378" s="423"/>
      <c r="H378" s="423"/>
    </row>
    <row r="379" spans="1:23" ht="11.1" customHeight="1">
      <c r="A379" s="159"/>
      <c r="B379" s="423"/>
      <c r="C379" s="423"/>
      <c r="D379" s="423"/>
      <c r="E379" s="423"/>
      <c r="F379" s="423"/>
      <c r="G379" s="423"/>
      <c r="H379" s="423"/>
      <c r="M379" s="1023" t="s">
        <v>599</v>
      </c>
      <c r="N379" s="1023"/>
      <c r="O379" s="1023"/>
      <c r="P379" s="1023"/>
      <c r="Q379" s="1023"/>
      <c r="R379" s="1023"/>
    </row>
    <row r="380" spans="1:23" ht="11.1" customHeight="1">
      <c r="A380" s="159"/>
      <c r="B380" s="423"/>
      <c r="C380" s="423"/>
      <c r="D380" s="423"/>
      <c r="E380" s="423"/>
      <c r="F380" s="423"/>
      <c r="G380" s="423"/>
      <c r="H380" s="423"/>
      <c r="M380" s="1024" t="s">
        <v>745</v>
      </c>
      <c r="N380" s="1024"/>
      <c r="O380" s="1024"/>
      <c r="P380" s="1024"/>
      <c r="Q380" s="1024"/>
      <c r="R380" s="1024"/>
    </row>
    <row r="381" spans="1:23" ht="11.1" customHeight="1">
      <c r="M381" s="276"/>
      <c r="N381" s="276"/>
      <c r="O381" s="276"/>
      <c r="P381" s="276"/>
      <c r="Q381" s="280" t="s">
        <v>226</v>
      </c>
    </row>
    <row r="382" spans="1:23" ht="11.1" customHeight="1">
      <c r="M382" s="1054" t="s">
        <v>212</v>
      </c>
      <c r="N382" s="1043" t="s">
        <v>345</v>
      </c>
      <c r="O382" s="1020" t="s">
        <v>214</v>
      </c>
      <c r="P382" s="1021"/>
      <c r="Q382" s="1022"/>
      <c r="R382" s="771" t="s">
        <v>126</v>
      </c>
    </row>
    <row r="383" spans="1:23" ht="11.1" customHeight="1" thickBot="1">
      <c r="A383" s="1078" t="s">
        <v>491</v>
      </c>
      <c r="B383" s="1078"/>
      <c r="C383" s="1078"/>
      <c r="D383" s="1078"/>
      <c r="E383" s="1078"/>
      <c r="F383" s="1078"/>
      <c r="G383" s="1078"/>
      <c r="H383" s="1078"/>
      <c r="M383" s="1055"/>
      <c r="N383" s="1044"/>
      <c r="O383" s="160">
        <v>2013</v>
      </c>
      <c r="P383" s="160">
        <v>2014</v>
      </c>
      <c r="Q383" s="160">
        <v>2015</v>
      </c>
      <c r="R383" s="772"/>
    </row>
    <row r="384" spans="1:23" ht="11.1" customHeight="1" thickTop="1">
      <c r="A384" s="1078" t="s">
        <v>710</v>
      </c>
      <c r="B384" s="1078"/>
      <c r="C384" s="1078"/>
      <c r="D384" s="1078"/>
      <c r="E384" s="1078"/>
      <c r="F384" s="1078"/>
      <c r="G384" s="1078"/>
      <c r="H384" s="1078"/>
      <c r="M384" s="277">
        <v>1</v>
      </c>
      <c r="N384" s="282" t="s">
        <v>141</v>
      </c>
      <c r="O384" s="30">
        <v>4963.29</v>
      </c>
      <c r="P384" s="30">
        <v>4214.97</v>
      </c>
      <c r="Q384" s="30">
        <v>2252.91</v>
      </c>
      <c r="R384" s="35">
        <f t="shared" ref="R384:R393" si="28">((Q384-O384)/O384*100)</f>
        <v>-54.608535870360186</v>
      </c>
    </row>
    <row r="385" spans="1:18" ht="11.1" customHeight="1">
      <c r="A385" s="162"/>
      <c r="B385" s="162"/>
      <c r="C385" s="162"/>
      <c r="D385" s="162"/>
      <c r="E385" s="162"/>
      <c r="F385" s="162"/>
      <c r="G385" s="162"/>
      <c r="H385" s="110" t="s">
        <v>226</v>
      </c>
      <c r="M385" s="278">
        <v>2</v>
      </c>
      <c r="N385" s="283" t="s">
        <v>600</v>
      </c>
      <c r="O385" s="35">
        <v>80.08</v>
      </c>
      <c r="P385" s="35">
        <v>90.2</v>
      </c>
      <c r="Q385" s="35">
        <v>146.26</v>
      </c>
      <c r="R385" s="35">
        <f t="shared" si="28"/>
        <v>82.642357642357638</v>
      </c>
    </row>
    <row r="386" spans="1:18" ht="11.1" customHeight="1">
      <c r="A386" s="1054" t="s">
        <v>212</v>
      </c>
      <c r="B386" s="1043" t="s">
        <v>223</v>
      </c>
      <c r="C386" s="1020" t="s">
        <v>214</v>
      </c>
      <c r="D386" s="1021"/>
      <c r="E386" s="1021"/>
      <c r="F386" s="1021"/>
      <c r="G386" s="1022"/>
      <c r="H386" s="1043" t="s">
        <v>126</v>
      </c>
      <c r="M386" s="278">
        <v>3</v>
      </c>
      <c r="N386" s="283" t="s">
        <v>601</v>
      </c>
      <c r="O386" s="35">
        <v>86.67</v>
      </c>
      <c r="P386" s="35">
        <v>265.27</v>
      </c>
      <c r="Q386" s="35">
        <v>695.87</v>
      </c>
      <c r="R386" s="35">
        <f t="shared" si="28"/>
        <v>702.8960424599054</v>
      </c>
    </row>
    <row r="387" spans="1:18" ht="11.1" customHeight="1" thickBot="1">
      <c r="A387" s="1055"/>
      <c r="B387" s="1044"/>
      <c r="C387" s="62">
        <v>2011</v>
      </c>
      <c r="D387" s="62">
        <v>2012</v>
      </c>
      <c r="E387" s="62">
        <v>2013</v>
      </c>
      <c r="F387" s="62">
        <v>2014</v>
      </c>
      <c r="G387" s="62">
        <v>2015</v>
      </c>
      <c r="H387" s="1044"/>
      <c r="M387" s="278">
        <v>4</v>
      </c>
      <c r="N387" s="283" t="s">
        <v>602</v>
      </c>
      <c r="O387" s="35">
        <v>169.46</v>
      </c>
      <c r="P387" s="35">
        <v>659.68</v>
      </c>
      <c r="Q387" s="35">
        <v>481.29</v>
      </c>
      <c r="R387" s="35">
        <f t="shared" si="28"/>
        <v>184.01392659034582</v>
      </c>
    </row>
    <row r="388" spans="1:18" ht="11.1" customHeight="1" thickTop="1">
      <c r="A388" s="28">
        <v>1</v>
      </c>
      <c r="B388" s="28" t="s">
        <v>121</v>
      </c>
      <c r="C388" s="100">
        <v>43668.9</v>
      </c>
      <c r="D388" s="100">
        <v>30573.5</v>
      </c>
      <c r="E388" s="119">
        <f>45034.4+49</f>
        <v>45083.4</v>
      </c>
      <c r="F388" s="119">
        <f>45651.8+66.7</f>
        <v>45718.5</v>
      </c>
      <c r="G388" s="806">
        <v>34104.9</v>
      </c>
      <c r="H388" s="30">
        <f>(((D388-C388)/C388*100)+((E388-D388)/D388*100)+((F388-E388)/E388*100)+((G388-F388)/F388*100))/4</f>
        <v>-1.6306358986892739</v>
      </c>
      <c r="J388" s="808"/>
      <c r="K388" s="457"/>
      <c r="M388" s="278">
        <v>5</v>
      </c>
      <c r="N388" s="283" t="s">
        <v>603</v>
      </c>
      <c r="O388" s="35">
        <v>0</v>
      </c>
      <c r="P388" s="35">
        <v>0.02</v>
      </c>
      <c r="Q388" s="35">
        <v>0</v>
      </c>
      <c r="R388" s="462" t="e">
        <f t="shared" si="28"/>
        <v>#DIV/0!</v>
      </c>
    </row>
    <row r="389" spans="1:18" ht="11.1" customHeight="1">
      <c r="A389" s="32">
        <v>2</v>
      </c>
      <c r="B389" s="32" t="s">
        <v>122</v>
      </c>
      <c r="C389" s="102">
        <v>4553.2999999999993</v>
      </c>
      <c r="D389" s="102">
        <v>4632.4000000000005</v>
      </c>
      <c r="E389" s="121">
        <f>4744.4+16.7</f>
        <v>4761.0999999999995</v>
      </c>
      <c r="F389" s="121">
        <f>6095.3+17.8</f>
        <v>6113.1</v>
      </c>
      <c r="G389" s="807">
        <v>6474.0999999999995</v>
      </c>
      <c r="H389" s="35">
        <f>((D389-C389)/C389*100+(E389-D389)/D389*100+(F389-E389)/E389*100+(G389-F389)/F389*100)/4</f>
        <v>9.7044022359562927</v>
      </c>
      <c r="J389" s="808"/>
      <c r="K389" s="457"/>
      <c r="M389" s="278">
        <v>6</v>
      </c>
      <c r="N389" s="283" t="s">
        <v>604</v>
      </c>
      <c r="O389" s="35">
        <v>0</v>
      </c>
      <c r="P389" s="35">
        <v>0.03</v>
      </c>
      <c r="Q389" s="35">
        <v>0</v>
      </c>
      <c r="R389" s="462" t="e">
        <f t="shared" si="28"/>
        <v>#DIV/0!</v>
      </c>
    </row>
    <row r="390" spans="1:18" ht="11.1" customHeight="1">
      <c r="A390" s="32">
        <v>3</v>
      </c>
      <c r="B390" s="32" t="s">
        <v>184</v>
      </c>
      <c r="C390" s="102">
        <v>810.40000000000009</v>
      </c>
      <c r="D390" s="102">
        <v>815.3</v>
      </c>
      <c r="E390" s="121">
        <f>707.4+119.5</f>
        <v>826.9</v>
      </c>
      <c r="F390" s="121">
        <f>762.3+121.7</f>
        <v>884</v>
      </c>
      <c r="G390" s="807">
        <v>828.2</v>
      </c>
      <c r="H390" s="35">
        <f t="shared" ref="H390:H396" si="29">((D390-C390)/C390*100+(E390-D390)/D390*100+(F390-E390)/E390*100+(G390-F390)/F390*100)/4</f>
        <v>0.6551301580672233</v>
      </c>
      <c r="J390" s="808"/>
      <c r="K390" s="457"/>
      <c r="M390" s="278">
        <v>7</v>
      </c>
      <c r="N390" s="283" t="s">
        <v>605</v>
      </c>
      <c r="O390" s="35">
        <v>0</v>
      </c>
      <c r="P390" s="35">
        <v>0</v>
      </c>
      <c r="Q390" s="35">
        <v>0</v>
      </c>
      <c r="R390" s="462" t="e">
        <f t="shared" si="28"/>
        <v>#DIV/0!</v>
      </c>
    </row>
    <row r="391" spans="1:18" ht="11.1" customHeight="1">
      <c r="A391" s="32">
        <v>4</v>
      </c>
      <c r="B391" s="32" t="s">
        <v>120</v>
      </c>
      <c r="C391" s="102">
        <v>18074.2</v>
      </c>
      <c r="D391" s="102">
        <v>10482</v>
      </c>
      <c r="E391" s="121">
        <f>14101.94+1.68</f>
        <v>14103.62</v>
      </c>
      <c r="F391" s="121">
        <f>22429+7.1</f>
        <v>22436.1</v>
      </c>
      <c r="G391" s="807">
        <v>20379.23</v>
      </c>
      <c r="H391" s="35">
        <f t="shared" si="29"/>
        <v>10.614467789590206</v>
      </c>
      <c r="J391" s="808"/>
      <c r="K391" s="457"/>
      <c r="M391" s="278">
        <v>8</v>
      </c>
      <c r="N391" s="283" t="s">
        <v>606</v>
      </c>
      <c r="O391" s="35">
        <v>606.54</v>
      </c>
      <c r="P391" s="35">
        <v>0</v>
      </c>
      <c r="Q391" s="35">
        <v>0</v>
      </c>
      <c r="R391" s="35">
        <f t="shared" si="28"/>
        <v>-100</v>
      </c>
    </row>
    <row r="392" spans="1:18" ht="11.1" customHeight="1" thickBot="1">
      <c r="A392" s="32">
        <v>5</v>
      </c>
      <c r="B392" s="32" t="s">
        <v>125</v>
      </c>
      <c r="C392" s="102">
        <v>12784.4</v>
      </c>
      <c r="D392" s="102">
        <v>13374.5</v>
      </c>
      <c r="E392" s="121">
        <f>14243.5+98.6</f>
        <v>14342.1</v>
      </c>
      <c r="F392" s="121">
        <f>17711.8+97.4</f>
        <v>17809.2</v>
      </c>
      <c r="G392" s="807">
        <v>16307.9</v>
      </c>
      <c r="H392" s="35">
        <f t="shared" si="29"/>
        <v>6.8987040458176949</v>
      </c>
      <c r="J392" s="808"/>
      <c r="K392" s="457"/>
      <c r="M392" s="278">
        <v>9</v>
      </c>
      <c r="N392" s="283" t="s">
        <v>607</v>
      </c>
      <c r="O392" s="35">
        <v>376.84</v>
      </c>
      <c r="P392" s="35">
        <v>0</v>
      </c>
      <c r="Q392" s="35">
        <v>0</v>
      </c>
      <c r="R392" s="286">
        <f t="shared" si="28"/>
        <v>-100</v>
      </c>
    </row>
    <row r="393" spans="1:18" ht="11.1" customHeight="1" thickTop="1" thickBot="1">
      <c r="A393" s="32">
        <v>6</v>
      </c>
      <c r="B393" s="32" t="s">
        <v>124</v>
      </c>
      <c r="C393" s="102">
        <v>18564.8</v>
      </c>
      <c r="D393" s="102">
        <v>18083.5</v>
      </c>
      <c r="E393" s="121">
        <f>20594.32+3.51</f>
        <v>20597.829999999998</v>
      </c>
      <c r="F393" s="121">
        <f>21532.8+1.65</f>
        <v>21534.45</v>
      </c>
      <c r="G393" s="807">
        <v>24910.34</v>
      </c>
      <c r="H393" s="35">
        <f t="shared" si="29"/>
        <v>7.8838332437344487</v>
      </c>
      <c r="J393" s="808"/>
      <c r="K393" s="457"/>
      <c r="M393" s="1124" t="s">
        <v>355</v>
      </c>
      <c r="N393" s="1125"/>
      <c r="O393" s="626">
        <f>SUM(O384:O392)</f>
        <v>6282.88</v>
      </c>
      <c r="P393" s="626">
        <f>SUM(P384:P392)</f>
        <v>5230.170000000001</v>
      </c>
      <c r="Q393" s="626">
        <f>SUM(Q384:Q392)</f>
        <v>3576.33</v>
      </c>
      <c r="R393" s="626">
        <f t="shared" si="28"/>
        <v>-43.078174340429868</v>
      </c>
    </row>
    <row r="394" spans="1:18" ht="11.1" customHeight="1" thickTop="1">
      <c r="A394" s="32">
        <v>7</v>
      </c>
      <c r="B394" s="32" t="s">
        <v>123</v>
      </c>
      <c r="C394" s="102">
        <v>1744.3</v>
      </c>
      <c r="D394" s="102">
        <v>2065.9</v>
      </c>
      <c r="E394" s="121">
        <f>2100.4</f>
        <v>2100.4</v>
      </c>
      <c r="F394" s="121">
        <v>2000.9</v>
      </c>
      <c r="G394" s="807">
        <v>1889.6</v>
      </c>
      <c r="H394" s="35">
        <f t="shared" si="29"/>
        <v>2.4518699974614315</v>
      </c>
      <c r="J394" s="808"/>
      <c r="K394" s="457"/>
      <c r="M394" s="276"/>
      <c r="N394" s="276"/>
      <c r="O394" s="276"/>
      <c r="P394" s="276"/>
      <c r="Q394" s="276"/>
    </row>
    <row r="395" spans="1:18" ht="11.1" customHeight="1">
      <c r="A395" s="32">
        <v>8</v>
      </c>
      <c r="B395" s="32" t="s">
        <v>195</v>
      </c>
      <c r="C395" s="102">
        <v>716.7</v>
      </c>
      <c r="D395" s="102">
        <v>864.1</v>
      </c>
      <c r="E395" s="121">
        <f>724.7+141.3</f>
        <v>866</v>
      </c>
      <c r="F395" s="121">
        <f>725.3+89.6</f>
        <v>814.9</v>
      </c>
      <c r="G395" s="807">
        <v>505.53000000000003</v>
      </c>
      <c r="H395" s="35">
        <f t="shared" si="29"/>
        <v>-5.7696232463216095</v>
      </c>
      <c r="J395" s="808"/>
      <c r="K395" s="457"/>
      <c r="M395" s="966" t="s">
        <v>608</v>
      </c>
      <c r="N395" s="966"/>
      <c r="O395" s="966"/>
      <c r="P395" s="966"/>
      <c r="Q395" s="966"/>
    </row>
    <row r="396" spans="1:18" ht="11.1" customHeight="1" thickBot="1">
      <c r="A396" s="103">
        <v>9</v>
      </c>
      <c r="B396" s="103" t="s">
        <v>198</v>
      </c>
      <c r="C396" s="104">
        <v>454.6</v>
      </c>
      <c r="D396" s="104">
        <v>843.5</v>
      </c>
      <c r="E396" s="123">
        <v>910.5</v>
      </c>
      <c r="F396" s="123">
        <v>929.9</v>
      </c>
      <c r="G396" s="809">
        <v>851.9</v>
      </c>
      <c r="H396" s="35">
        <f t="shared" si="29"/>
        <v>21.808381807874358</v>
      </c>
      <c r="J396" s="808"/>
    </row>
    <row r="397" spans="1:18" ht="11.1" customHeight="1" thickTop="1" thickBot="1">
      <c r="A397" s="1056" t="s">
        <v>224</v>
      </c>
      <c r="B397" s="1057"/>
      <c r="C397" s="107">
        <f>SUM(C388:C396)</f>
        <v>101371.6</v>
      </c>
      <c r="D397" s="107">
        <f>SUM(D388:D396)</f>
        <v>81734.700000000012</v>
      </c>
      <c r="E397" s="107">
        <f>SUM(E388:E396)</f>
        <v>103591.85</v>
      </c>
      <c r="F397" s="107">
        <f>SUM(F388:F396)</f>
        <v>118241.04999999997</v>
      </c>
      <c r="G397" s="107">
        <f>SUM(G388:G396)</f>
        <v>106251.69999999998</v>
      </c>
      <c r="H397" s="84">
        <f>((D397-C397)/C397*100+(E397-D397)/D397*100+(F397-E397)/E397*100+(G397-F397)/F397*100)/4</f>
        <v>2.8429723666800006</v>
      </c>
      <c r="J397" s="456"/>
      <c r="K397" s="456"/>
    </row>
    <row r="398" spans="1:18" ht="11.1" customHeight="1" thickTop="1">
      <c r="A398" s="40"/>
      <c r="B398" s="40"/>
      <c r="C398" s="40"/>
      <c r="D398" s="40"/>
      <c r="E398" s="40"/>
      <c r="F398" s="40"/>
      <c r="G398" s="40"/>
      <c r="H398" s="40"/>
      <c r="J398" s="456"/>
      <c r="K398" s="456"/>
    </row>
    <row r="399" spans="1:18" ht="11.1" customHeight="1">
      <c r="A399" s="40"/>
      <c r="B399" s="966" t="s">
        <v>309</v>
      </c>
      <c r="C399" s="966"/>
      <c r="D399" s="966"/>
      <c r="E399" s="966"/>
      <c r="F399" s="966"/>
      <c r="G399" s="966"/>
      <c r="H399" s="966"/>
      <c r="J399" s="456"/>
      <c r="K399" s="456"/>
    </row>
    <row r="400" spans="1:18" ht="11.1" customHeight="1">
      <c r="A400" s="40"/>
      <c r="B400" s="423"/>
      <c r="C400" s="423"/>
      <c r="D400" s="423"/>
      <c r="E400" s="423"/>
      <c r="F400" s="423"/>
      <c r="G400" s="423"/>
      <c r="H400" s="423"/>
      <c r="J400" s="456"/>
      <c r="K400" s="456"/>
    </row>
    <row r="401" spans="1:20" ht="11.1" customHeight="1">
      <c r="A401" s="40"/>
      <c r="B401" s="423"/>
      <c r="C401" s="423"/>
      <c r="D401" s="423"/>
      <c r="E401" s="423"/>
      <c r="F401" s="423"/>
      <c r="G401" s="423"/>
      <c r="H401" s="423"/>
      <c r="J401" s="456"/>
      <c r="K401" s="456"/>
    </row>
    <row r="402" spans="1:20" ht="11.1" customHeight="1">
      <c r="A402" s="40"/>
      <c r="B402" s="423"/>
      <c r="C402" s="423"/>
      <c r="D402" s="423"/>
      <c r="E402" s="423"/>
      <c r="F402" s="423"/>
      <c r="G402" s="423"/>
      <c r="H402" s="423"/>
      <c r="J402" s="456"/>
      <c r="K402" s="456"/>
      <c r="R402" s="673"/>
      <c r="S402" s="673"/>
      <c r="T402" s="673"/>
    </row>
    <row r="403" spans="1:20" ht="11.1" customHeight="1">
      <c r="A403" s="40"/>
      <c r="B403" s="423"/>
      <c r="C403" s="423"/>
      <c r="D403" s="423"/>
      <c r="E403" s="423"/>
      <c r="F403" s="423"/>
      <c r="G403" s="423"/>
      <c r="H403" s="423"/>
      <c r="J403" s="456"/>
      <c r="K403" s="456"/>
      <c r="R403" s="672"/>
      <c r="S403" s="672"/>
      <c r="T403" s="672"/>
    </row>
    <row r="404" spans="1:20" ht="11.1" customHeight="1">
      <c r="A404" s="40"/>
      <c r="B404" s="423"/>
      <c r="C404" s="423"/>
      <c r="D404" s="423"/>
      <c r="E404" s="423"/>
      <c r="F404" s="423"/>
      <c r="G404" s="423"/>
      <c r="H404" s="423"/>
      <c r="J404" s="456"/>
      <c r="K404" s="456"/>
      <c r="R404" s="276"/>
    </row>
    <row r="405" spans="1:20" ht="10.5" customHeight="1">
      <c r="A405" s="40"/>
      <c r="B405" s="423"/>
      <c r="C405" s="423"/>
      <c r="D405" s="423"/>
      <c r="E405" s="423"/>
      <c r="F405" s="423"/>
      <c r="G405" s="423"/>
      <c r="H405" s="423"/>
      <c r="J405" s="456"/>
      <c r="K405" s="456"/>
    </row>
    <row r="406" spans="1:20" ht="11.1" customHeight="1">
      <c r="A406" s="40"/>
      <c r="B406" s="423"/>
      <c r="C406" s="423"/>
      <c r="D406" s="423"/>
      <c r="E406" s="423"/>
      <c r="F406" s="423"/>
      <c r="G406" s="423"/>
      <c r="H406" s="423"/>
    </row>
    <row r="407" spans="1:20" ht="11.1" customHeight="1">
      <c r="A407" s="40"/>
      <c r="B407" s="423"/>
      <c r="C407" s="423"/>
      <c r="D407" s="423"/>
      <c r="E407" s="423"/>
      <c r="F407" s="423"/>
      <c r="G407" s="423"/>
      <c r="H407" s="423"/>
    </row>
    <row r="408" spans="1:20" ht="11.1" customHeight="1">
      <c r="A408" s="40"/>
      <c r="B408" s="423"/>
      <c r="C408" s="423"/>
      <c r="D408" s="423"/>
      <c r="E408" s="423"/>
      <c r="F408" s="423"/>
      <c r="G408" s="423"/>
      <c r="H408" s="423"/>
    </row>
    <row r="409" spans="1:20" ht="11.1" customHeight="1"/>
    <row r="410" spans="1:20" ht="11.1" customHeight="1"/>
    <row r="411" spans="1:20" ht="11.1" customHeight="1">
      <c r="A411" s="1068" t="s">
        <v>536</v>
      </c>
      <c r="B411" s="1068"/>
      <c r="C411" s="1068"/>
      <c r="D411" s="1068"/>
      <c r="E411" s="1068"/>
      <c r="F411" s="1068"/>
      <c r="G411" s="1068"/>
      <c r="H411" s="1068"/>
    </row>
    <row r="412" spans="1:20" ht="11.1" customHeight="1">
      <c r="A412" s="1068" t="s">
        <v>723</v>
      </c>
      <c r="B412" s="1068"/>
      <c r="C412" s="1068"/>
      <c r="D412" s="1068"/>
      <c r="E412" s="1068"/>
      <c r="F412" s="1068"/>
      <c r="G412" s="1068"/>
      <c r="H412" s="1068"/>
    </row>
    <row r="413" spans="1:20" ht="11.1" customHeight="1">
      <c r="A413" s="164"/>
      <c r="B413" s="164"/>
      <c r="C413" s="164"/>
      <c r="D413" s="164"/>
      <c r="E413" s="164"/>
      <c r="F413" s="164"/>
      <c r="G413" s="164"/>
      <c r="H413" s="163" t="s">
        <v>226</v>
      </c>
    </row>
    <row r="414" spans="1:20" ht="11.1" customHeight="1">
      <c r="A414" s="1069" t="s">
        <v>212</v>
      </c>
      <c r="B414" s="1071" t="s">
        <v>260</v>
      </c>
      <c r="C414" s="1020" t="s">
        <v>214</v>
      </c>
      <c r="D414" s="1021"/>
      <c r="E414" s="1021"/>
      <c r="F414" s="1021"/>
      <c r="G414" s="1022"/>
      <c r="H414" s="1071" t="s">
        <v>126</v>
      </c>
    </row>
    <row r="415" spans="1:20" ht="11.1" customHeight="1" thickBot="1">
      <c r="A415" s="1070"/>
      <c r="B415" s="1072"/>
      <c r="C415" s="160">
        <v>2011</v>
      </c>
      <c r="D415" s="160">
        <v>2012</v>
      </c>
      <c r="E415" s="160">
        <v>2013</v>
      </c>
      <c r="F415" s="160">
        <v>2014</v>
      </c>
      <c r="G415" s="160">
        <v>2015</v>
      </c>
      <c r="H415" s="1072"/>
    </row>
    <row r="416" spans="1:20" ht="11.1" customHeight="1" thickTop="1">
      <c r="A416" s="165">
        <v>1</v>
      </c>
      <c r="B416" s="166" t="s">
        <v>298</v>
      </c>
      <c r="C416" s="167">
        <v>0</v>
      </c>
      <c r="D416" s="167">
        <v>0</v>
      </c>
      <c r="E416" s="167">
        <v>0</v>
      </c>
      <c r="F416" s="167">
        <v>0</v>
      </c>
      <c r="G416" s="167">
        <v>0</v>
      </c>
      <c r="H416" s="134" t="e">
        <f>((D416-C416)/C416*100+(E416-D416)/D416*100+(F416-E416)/E416*100+(G416-F416)/F416*100)/4</f>
        <v>#DIV/0!</v>
      </c>
    </row>
    <row r="417" spans="1:20" ht="11.1" customHeight="1">
      <c r="A417" s="168">
        <v>2</v>
      </c>
      <c r="B417" s="169" t="s">
        <v>261</v>
      </c>
      <c r="C417" s="170">
        <f>SUM(C418:C420)</f>
        <v>22262.1</v>
      </c>
      <c r="D417" s="170">
        <f>SUM(D418:D420)</f>
        <v>15169.9</v>
      </c>
      <c r="E417" s="170">
        <f>SUM(E418:E420)</f>
        <v>18365.600000000002</v>
      </c>
      <c r="F417" s="170">
        <f>SUM(F418:F420)</f>
        <v>32195.399999999998</v>
      </c>
      <c r="G417" s="170">
        <f>SUM(G418:G420)</f>
        <v>23813.65</v>
      </c>
      <c r="H417" s="139">
        <f>((D417-C417)/C417*100+(E417-D417)/D417*100+(F417-E417)/E417*100+(G417-F417)/F417*100)/4</f>
        <v>9.6192671006934454</v>
      </c>
      <c r="R417" s="592"/>
      <c r="S417" s="276"/>
      <c r="T417" s="281"/>
    </row>
    <row r="418" spans="1:20" ht="11.1" customHeight="1">
      <c r="A418" s="171"/>
      <c r="B418" s="172" t="s">
        <v>262</v>
      </c>
      <c r="C418" s="173">
        <v>0</v>
      </c>
      <c r="D418" s="173">
        <v>0</v>
      </c>
      <c r="E418" s="173">
        <v>0</v>
      </c>
      <c r="F418" s="173">
        <v>0</v>
      </c>
      <c r="G418" s="173">
        <v>0</v>
      </c>
      <c r="H418" s="35" t="e">
        <f>((D418-C418)/C418*100+(E418-D418)/D418*100+(F418-E418)/E418*100+(G418-F418)/F418*100)/4</f>
        <v>#DIV/0!</v>
      </c>
      <c r="R418" s="24"/>
      <c r="S418" s="24"/>
      <c r="T418" s="24"/>
    </row>
    <row r="419" spans="1:20" ht="11.1" customHeight="1">
      <c r="A419" s="171"/>
      <c r="B419" s="172" t="s">
        <v>263</v>
      </c>
      <c r="C419" s="173">
        <v>1080.5</v>
      </c>
      <c r="D419" s="173">
        <v>717.3</v>
      </c>
      <c r="E419" s="458">
        <v>562.69999999999993</v>
      </c>
      <c r="F419" s="458">
        <v>506.3</v>
      </c>
      <c r="G419" s="458">
        <v>578</v>
      </c>
      <c r="H419" s="35">
        <f>((D419-C419)/C419*100+(E419-D419)/D419*100+(F419-E419)/E419*100+(G419-F419)/F419*100)/4</f>
        <v>-12.757163078345581</v>
      </c>
    </row>
    <row r="420" spans="1:20" ht="11.1" customHeight="1">
      <c r="A420" s="171"/>
      <c r="B420" s="172" t="s">
        <v>264</v>
      </c>
      <c r="C420" s="173">
        <v>21181.599999999999</v>
      </c>
      <c r="D420" s="173">
        <v>14452.6</v>
      </c>
      <c r="E420" s="458">
        <v>17802.900000000001</v>
      </c>
      <c r="F420" s="458">
        <v>31689.1</v>
      </c>
      <c r="G420" s="458">
        <v>23235.65</v>
      </c>
      <c r="H420" s="35">
        <f t="shared" ref="H420:H430" si="30">((D420-C420)/C420*100+(E420-D420)/D420*100+(F420-E420)/E420*100+(G420-F420)/F420*100)/4</f>
        <v>10.684150545131672</v>
      </c>
    </row>
    <row r="421" spans="1:20" ht="11.1" customHeight="1">
      <c r="A421" s="171">
        <v>3</v>
      </c>
      <c r="B421" s="172" t="s">
        <v>265</v>
      </c>
      <c r="C421" s="174">
        <f>SUM(C422:C425)</f>
        <v>17729.2</v>
      </c>
      <c r="D421" s="174">
        <f>SUM(D422:D425)</f>
        <v>16519.5</v>
      </c>
      <c r="E421" s="174">
        <f>SUM(E422:E425)</f>
        <v>22925.899999999998</v>
      </c>
      <c r="F421" s="174">
        <f>SUM(F422:F425)</f>
        <v>17971.400000000001</v>
      </c>
      <c r="G421" s="174">
        <f>SUM(G422:G425)</f>
        <v>23678.97</v>
      </c>
      <c r="H421" s="139">
        <f t="shared" si="30"/>
        <v>10.526470692791971</v>
      </c>
    </row>
    <row r="422" spans="1:20" ht="11.1" customHeight="1">
      <c r="A422" s="171"/>
      <c r="B422" s="172" t="s">
        <v>266</v>
      </c>
      <c r="C422" s="173">
        <v>15883.5</v>
      </c>
      <c r="D422" s="173">
        <v>13541.3</v>
      </c>
      <c r="E422" s="458">
        <v>16260.999999999998</v>
      </c>
      <c r="F422" s="458">
        <v>12559.6</v>
      </c>
      <c r="G422" s="458">
        <v>19327.37</v>
      </c>
      <c r="H422" s="35">
        <f t="shared" si="30"/>
        <v>9.115289891005208</v>
      </c>
    </row>
    <row r="423" spans="1:20" ht="11.1" customHeight="1">
      <c r="A423" s="171"/>
      <c r="B423" s="172" t="s">
        <v>267</v>
      </c>
      <c r="C423" s="173">
        <v>1177.4000000000001</v>
      </c>
      <c r="D423" s="173">
        <v>1097.9000000000001</v>
      </c>
      <c r="E423" s="458">
        <v>1079.0999999999999</v>
      </c>
      <c r="F423" s="458">
        <v>1145.4000000000001</v>
      </c>
      <c r="G423" s="458">
        <v>621.29999999999995</v>
      </c>
      <c r="H423" s="35">
        <f t="shared" si="30"/>
        <v>-12.019364414838194</v>
      </c>
    </row>
    <row r="424" spans="1:20" ht="11.1" customHeight="1">
      <c r="A424" s="171"/>
      <c r="B424" s="172" t="s">
        <v>268</v>
      </c>
      <c r="C424" s="173">
        <v>586</v>
      </c>
      <c r="D424" s="173">
        <v>1755.9</v>
      </c>
      <c r="E424" s="458">
        <f>5037.9+474.2</f>
        <v>5512.0999999999995</v>
      </c>
      <c r="F424" s="458">
        <f>3743.9+479.8</f>
        <v>4223.7</v>
      </c>
      <c r="G424" s="458">
        <f>3313.6+405.8</f>
        <v>3719.4</v>
      </c>
      <c r="H424" s="35">
        <f t="shared" si="30"/>
        <v>94.561656546476556</v>
      </c>
    </row>
    <row r="425" spans="1:20" ht="11.1" customHeight="1">
      <c r="A425" s="175"/>
      <c r="B425" s="172" t="s">
        <v>269</v>
      </c>
      <c r="C425" s="176">
        <v>82.3</v>
      </c>
      <c r="D425" s="176">
        <v>124.4</v>
      </c>
      <c r="E425" s="459">
        <v>73.7</v>
      </c>
      <c r="F425" s="459">
        <v>42.7</v>
      </c>
      <c r="G425" s="459">
        <v>10.9</v>
      </c>
      <c r="H425" s="35">
        <f t="shared" si="30"/>
        <v>-26.534199158709733</v>
      </c>
    </row>
    <row r="426" spans="1:20" ht="11.1" customHeight="1">
      <c r="A426" s="175">
        <v>4</v>
      </c>
      <c r="B426" s="177" t="s">
        <v>270</v>
      </c>
      <c r="C426" s="178">
        <f>SUM(C427:C430)</f>
        <v>415.29999999999995</v>
      </c>
      <c r="D426" s="178">
        <f>SUM(D427:D430)</f>
        <v>575.5</v>
      </c>
      <c r="E426" s="178">
        <f>SUM(E427:E430)</f>
        <v>535.4</v>
      </c>
      <c r="F426" s="178">
        <f>SUM(F427:F430)</f>
        <v>528.70000000000005</v>
      </c>
      <c r="G426" s="178">
        <f>SUM(G427:G430)</f>
        <v>422.2</v>
      </c>
      <c r="H426" s="139">
        <f t="shared" si="30"/>
        <v>2.5528801901319813</v>
      </c>
    </row>
    <row r="427" spans="1:20" ht="11.1" customHeight="1">
      <c r="A427" s="175"/>
      <c r="B427" s="177" t="s">
        <v>299</v>
      </c>
      <c r="C427" s="176">
        <v>384.9</v>
      </c>
      <c r="D427" s="176">
        <v>471.5</v>
      </c>
      <c r="E427" s="173">
        <v>465.2</v>
      </c>
      <c r="F427" s="173">
        <v>465.2</v>
      </c>
      <c r="G427" s="173">
        <v>317.7</v>
      </c>
      <c r="H427" s="35">
        <f t="shared" si="30"/>
        <v>-2.6359008710886478</v>
      </c>
    </row>
    <row r="428" spans="1:20" ht="11.1" customHeight="1">
      <c r="A428" s="175"/>
      <c r="B428" s="177" t="s">
        <v>272</v>
      </c>
      <c r="C428" s="176">
        <v>0</v>
      </c>
      <c r="D428" s="176">
        <v>0</v>
      </c>
      <c r="E428" s="173">
        <v>0</v>
      </c>
      <c r="F428" s="173">
        <v>0</v>
      </c>
      <c r="G428" s="173">
        <v>0</v>
      </c>
      <c r="H428" s="35" t="e">
        <f t="shared" si="30"/>
        <v>#DIV/0!</v>
      </c>
    </row>
    <row r="429" spans="1:20" ht="11.1" customHeight="1">
      <c r="A429" s="171"/>
      <c r="B429" s="172" t="s">
        <v>273</v>
      </c>
      <c r="C429" s="173">
        <v>30.400000000000002</v>
      </c>
      <c r="D429" s="173">
        <v>104</v>
      </c>
      <c r="E429" s="173">
        <f>25.7+44.5</f>
        <v>70.2</v>
      </c>
      <c r="F429" s="173">
        <f>41+22.5</f>
        <v>63.5</v>
      </c>
      <c r="G429" s="173">
        <f>100.2+4.3</f>
        <v>104.5</v>
      </c>
      <c r="H429" s="35">
        <f t="shared" si="30"/>
        <v>66.157008186898352</v>
      </c>
    </row>
    <row r="430" spans="1:20" ht="11.1" customHeight="1" thickBot="1">
      <c r="A430" s="179"/>
      <c r="B430" s="180" t="s">
        <v>274</v>
      </c>
      <c r="C430" s="181">
        <v>0</v>
      </c>
      <c r="D430" s="181">
        <v>0</v>
      </c>
      <c r="E430" s="181">
        <v>0</v>
      </c>
      <c r="F430" s="181">
        <v>0</v>
      </c>
      <c r="G430" s="181">
        <v>0</v>
      </c>
      <c r="H430" s="182" t="e">
        <f t="shared" si="30"/>
        <v>#DIV/0!</v>
      </c>
    </row>
    <row r="431" spans="1:20" ht="11.1" customHeight="1" thickTop="1">
      <c r="A431" s="164"/>
      <c r="B431" s="1130"/>
      <c r="C431" s="1130"/>
      <c r="D431" s="1130"/>
      <c r="E431" s="1130"/>
      <c r="F431" s="1130"/>
      <c r="G431" s="183"/>
      <c r="H431" s="163"/>
    </row>
    <row r="432" spans="1:20" ht="11.1" customHeight="1">
      <c r="A432" s="184"/>
      <c r="B432" s="966" t="s">
        <v>310</v>
      </c>
      <c r="C432" s="966"/>
      <c r="D432" s="966"/>
      <c r="E432" s="966"/>
      <c r="F432" s="966"/>
      <c r="G432" s="966"/>
      <c r="H432" s="966"/>
    </row>
    <row r="433" spans="1:8" ht="11.1" customHeight="1">
      <c r="A433" s="184"/>
      <c r="B433" s="423"/>
      <c r="C433" s="423"/>
      <c r="D433" s="423"/>
      <c r="E433" s="423"/>
      <c r="F433" s="423"/>
      <c r="G433" s="423"/>
      <c r="H433" s="423"/>
    </row>
    <row r="434" spans="1:8" ht="11.1" customHeight="1">
      <c r="A434" s="184"/>
      <c r="B434" s="423"/>
      <c r="C434" s="423"/>
      <c r="D434" s="423"/>
      <c r="E434" s="423"/>
      <c r="F434" s="423"/>
      <c r="G434" s="423"/>
      <c r="H434" s="423"/>
    </row>
    <row r="435" spans="1:8" ht="11.1" customHeight="1">
      <c r="A435" s="184"/>
      <c r="B435" s="423"/>
      <c r="C435" s="423"/>
      <c r="D435" s="423"/>
      <c r="E435" s="423"/>
      <c r="F435" s="423"/>
      <c r="G435" s="423"/>
      <c r="H435" s="423"/>
    </row>
    <row r="436" spans="1:8" ht="11.1" customHeight="1">
      <c r="A436" s="184"/>
      <c r="B436" s="423"/>
      <c r="C436" s="423"/>
      <c r="D436" s="423"/>
      <c r="E436" s="423"/>
      <c r="F436" s="423"/>
      <c r="G436" s="423"/>
      <c r="H436" s="423"/>
    </row>
    <row r="437" spans="1:8" ht="11.1" customHeight="1">
      <c r="A437" s="184"/>
      <c r="B437" s="423"/>
      <c r="C437" s="423"/>
      <c r="D437" s="423"/>
      <c r="E437" s="423"/>
      <c r="F437" s="423"/>
      <c r="G437" s="423"/>
      <c r="H437" s="423"/>
    </row>
    <row r="438" spans="1:8" ht="11.1" customHeight="1">
      <c r="A438" s="184"/>
      <c r="B438" s="423"/>
      <c r="C438" s="423"/>
      <c r="D438" s="423"/>
      <c r="E438" s="423"/>
      <c r="F438" s="423"/>
      <c r="G438" s="423"/>
      <c r="H438" s="423"/>
    </row>
    <row r="439" spans="1:8" ht="11.1" customHeight="1">
      <c r="A439" s="184"/>
      <c r="B439" s="423"/>
      <c r="C439" s="423"/>
      <c r="D439" s="423"/>
      <c r="E439" s="423"/>
      <c r="F439" s="423"/>
      <c r="G439" s="423"/>
      <c r="H439" s="423"/>
    </row>
    <row r="440" spans="1:8" ht="11.1" customHeight="1">
      <c r="A440" s="184"/>
      <c r="B440" s="423"/>
      <c r="C440" s="423"/>
      <c r="D440" s="423"/>
      <c r="E440" s="423"/>
      <c r="F440" s="423"/>
      <c r="G440" s="423"/>
      <c r="H440" s="423"/>
    </row>
    <row r="441" spans="1:8" ht="11.1" customHeight="1"/>
    <row r="442" spans="1:8" ht="11.1" customHeight="1">
      <c r="A442" s="1024" t="s">
        <v>537</v>
      </c>
      <c r="B442" s="1024"/>
      <c r="C442" s="1024"/>
      <c r="D442" s="1024"/>
      <c r="E442" s="1024"/>
      <c r="F442" s="1024"/>
      <c r="G442" s="1024"/>
      <c r="H442" s="1024"/>
    </row>
    <row r="443" spans="1:8" ht="11.1" customHeight="1">
      <c r="A443" s="1024" t="s">
        <v>728</v>
      </c>
      <c r="B443" s="1024"/>
      <c r="C443" s="1024"/>
      <c r="D443" s="1024"/>
      <c r="E443" s="1024"/>
      <c r="F443" s="1024"/>
      <c r="G443" s="1024"/>
      <c r="H443" s="1024"/>
    </row>
    <row r="444" spans="1:8" ht="11.1" customHeight="1">
      <c r="A444" s="40"/>
      <c r="B444" s="40"/>
      <c r="C444" s="40"/>
      <c r="D444" s="40"/>
      <c r="E444" s="40"/>
      <c r="F444" s="40"/>
      <c r="G444" s="40"/>
      <c r="H444" s="113" t="s">
        <v>226</v>
      </c>
    </row>
    <row r="445" spans="1:8" ht="11.1" customHeight="1">
      <c r="A445" s="1054" t="s">
        <v>212</v>
      </c>
      <c r="B445" s="1043" t="s">
        <v>260</v>
      </c>
      <c r="C445" s="1020" t="s">
        <v>214</v>
      </c>
      <c r="D445" s="1021"/>
      <c r="E445" s="1021"/>
      <c r="F445" s="1021"/>
      <c r="G445" s="1022"/>
      <c r="H445" s="1087" t="s">
        <v>126</v>
      </c>
    </row>
    <row r="446" spans="1:8" ht="11.1" customHeight="1" thickBot="1">
      <c r="A446" s="1055"/>
      <c r="B446" s="1044"/>
      <c r="C446" s="62">
        <v>2011</v>
      </c>
      <c r="D446" s="62">
        <v>2012</v>
      </c>
      <c r="E446" s="62">
        <v>2013</v>
      </c>
      <c r="F446" s="62">
        <v>2014</v>
      </c>
      <c r="G446" s="62">
        <v>2015</v>
      </c>
      <c r="H446" s="1088"/>
    </row>
    <row r="447" spans="1:8" ht="11.1" customHeight="1" thickTop="1">
      <c r="A447" s="27">
        <v>5</v>
      </c>
      <c r="B447" s="433" t="s">
        <v>278</v>
      </c>
      <c r="C447" s="434">
        <f>SUM(C448:C455)</f>
        <v>59983.499999999993</v>
      </c>
      <c r="D447" s="434">
        <f>SUM(D448:D455)</f>
        <v>48418.8</v>
      </c>
      <c r="E447" s="434">
        <f>SUM(E448:E455)</f>
        <v>60752.55</v>
      </c>
      <c r="F447" s="434">
        <f>SUM(F448:F455)</f>
        <v>66582.14</v>
      </c>
      <c r="G447" s="434">
        <f>SUM(G448:G455)</f>
        <v>57587.640000000007</v>
      </c>
      <c r="H447" s="435">
        <f>((D447-C447)/C447*100+(E447-D447)/D447*100+(F447-E447)/E447*100+(G447-F447)/F447*100)/4</f>
        <v>0.57000258537400228</v>
      </c>
    </row>
    <row r="448" spans="1:8" ht="11.1" customHeight="1">
      <c r="A448" s="31"/>
      <c r="B448" s="32" t="s">
        <v>279</v>
      </c>
      <c r="C448" s="102">
        <v>17694.599999999999</v>
      </c>
      <c r="D448" s="102">
        <v>23309</v>
      </c>
      <c r="E448" s="454">
        <v>32611.4</v>
      </c>
      <c r="F448" s="454">
        <v>35161.800000000003</v>
      </c>
      <c r="G448" s="454">
        <v>21682.52</v>
      </c>
      <c r="H448" s="35">
        <f>((D448-C448)/C448*100+(E448-D448)/D448*100+(F448-E448)/E448*100+(G448-F448)/F448*100)/4</f>
        <v>10.281017245091421</v>
      </c>
    </row>
    <row r="449" spans="1:8" ht="11.1" customHeight="1">
      <c r="A449" s="31"/>
      <c r="B449" s="32" t="s">
        <v>281</v>
      </c>
      <c r="C449" s="102">
        <v>84.7</v>
      </c>
      <c r="D449" s="102">
        <v>96.2</v>
      </c>
      <c r="E449" s="454">
        <v>78.819999999999993</v>
      </c>
      <c r="F449" s="454">
        <v>39.6</v>
      </c>
      <c r="G449" s="454">
        <v>59.6</v>
      </c>
      <c r="H449" s="35">
        <f t="shared" ref="H449:H461" si="31">((D449-C449)/C449*100+(E449-D449)/D449*100+(F449-E449)/E449*100+(G449-F449)/F449*100)/4</f>
        <v>-0.93577255816881433</v>
      </c>
    </row>
    <row r="450" spans="1:8" ht="11.1" customHeight="1">
      <c r="A450" s="31"/>
      <c r="B450" s="32" t="s">
        <v>282</v>
      </c>
      <c r="C450" s="102">
        <v>30.6</v>
      </c>
      <c r="D450" s="102">
        <v>1.7</v>
      </c>
      <c r="E450" s="454">
        <v>0</v>
      </c>
      <c r="F450" s="454">
        <v>0</v>
      </c>
      <c r="G450" s="454">
        <v>0</v>
      </c>
      <c r="H450" s="35" t="e">
        <f t="shared" si="31"/>
        <v>#DIV/0!</v>
      </c>
    </row>
    <row r="451" spans="1:8" ht="11.1" customHeight="1">
      <c r="A451" s="31"/>
      <c r="B451" s="32" t="s">
        <v>283</v>
      </c>
      <c r="C451" s="102">
        <v>406.9</v>
      </c>
      <c r="D451" s="102">
        <v>352.5</v>
      </c>
      <c r="E451" s="454">
        <v>397.49999999999994</v>
      </c>
      <c r="F451" s="454">
        <v>238.9</v>
      </c>
      <c r="G451" s="454">
        <v>477.1</v>
      </c>
      <c r="H451" s="35">
        <f t="shared" si="31"/>
        <v>14.801049631139669</v>
      </c>
    </row>
    <row r="452" spans="1:8" ht="11.1" customHeight="1">
      <c r="A452" s="31"/>
      <c r="B452" s="32" t="s">
        <v>284</v>
      </c>
      <c r="C452" s="102">
        <v>13929.8</v>
      </c>
      <c r="D452" s="102">
        <v>15486.5</v>
      </c>
      <c r="E452" s="454">
        <v>17009.300000000003</v>
      </c>
      <c r="F452" s="454">
        <v>18273.400000000001</v>
      </c>
      <c r="G452" s="454">
        <v>14223.5</v>
      </c>
      <c r="H452" s="35">
        <f t="shared" si="31"/>
        <v>1.5693508030476186</v>
      </c>
    </row>
    <row r="453" spans="1:8" ht="11.1" customHeight="1">
      <c r="A453" s="31"/>
      <c r="B453" s="32" t="s">
        <v>285</v>
      </c>
      <c r="C453" s="102">
        <v>10107.1</v>
      </c>
      <c r="D453" s="102">
        <v>7444.5</v>
      </c>
      <c r="E453" s="454">
        <v>10212.43</v>
      </c>
      <c r="F453" s="454">
        <v>9646.6</v>
      </c>
      <c r="G453" s="454">
        <v>15282.52</v>
      </c>
      <c r="H453" s="35">
        <f t="shared" si="31"/>
        <v>15.93007853308599</v>
      </c>
    </row>
    <row r="454" spans="1:8" ht="11.1" customHeight="1">
      <c r="A454" s="31"/>
      <c r="B454" s="32" t="s">
        <v>286</v>
      </c>
      <c r="C454" s="102">
        <v>17060.599999999999</v>
      </c>
      <c r="D454" s="102">
        <v>1262.9000000000001</v>
      </c>
      <c r="E454" s="454">
        <v>0</v>
      </c>
      <c r="F454" s="454">
        <v>2746.4</v>
      </c>
      <c r="G454" s="454">
        <v>5404.6</v>
      </c>
      <c r="H454" s="102" t="e">
        <f t="shared" si="31"/>
        <v>#DIV/0!</v>
      </c>
    </row>
    <row r="455" spans="1:8" ht="11.1" customHeight="1">
      <c r="A455" s="31"/>
      <c r="B455" s="32" t="s">
        <v>287</v>
      </c>
      <c r="C455" s="102">
        <v>669.2</v>
      </c>
      <c r="D455" s="102">
        <v>465.5</v>
      </c>
      <c r="E455" s="454">
        <f>1.7+441.4</f>
        <v>443.09999999999997</v>
      </c>
      <c r="F455" s="454">
        <f>44.1+431.34</f>
        <v>475.44</v>
      </c>
      <c r="G455" s="454">
        <f>34+423.8</f>
        <v>457.8</v>
      </c>
      <c r="H455" s="35">
        <f t="shared" si="31"/>
        <v>-7.9157574424730521</v>
      </c>
    </row>
    <row r="456" spans="1:8" ht="11.1" customHeight="1">
      <c r="A456" s="31">
        <v>6</v>
      </c>
      <c r="B456" s="436" t="s">
        <v>288</v>
      </c>
      <c r="C456" s="437">
        <f>SUM(C457:C461)</f>
        <v>981.49999999999989</v>
      </c>
      <c r="D456" s="437">
        <f>SUM(D457:D461)</f>
        <v>1051</v>
      </c>
      <c r="E456" s="437">
        <f>SUM(E457:E461)</f>
        <v>1012.3999999999999</v>
      </c>
      <c r="F456" s="437">
        <f>SUM(F457:F461)</f>
        <v>963.41</v>
      </c>
      <c r="G456" s="437">
        <f>SUM(G457:G461)</f>
        <v>749.19999999999993</v>
      </c>
      <c r="H456" s="139">
        <f t="shared" si="31"/>
        <v>-5.9163133233184517</v>
      </c>
    </row>
    <row r="457" spans="1:8" ht="11.1" customHeight="1">
      <c r="A457" s="186"/>
      <c r="B457" s="103" t="s">
        <v>289</v>
      </c>
      <c r="C457" s="104">
        <v>250.9</v>
      </c>
      <c r="D457" s="104">
        <f>204.5+32.5</f>
        <v>237</v>
      </c>
      <c r="E457" s="460">
        <f>200+38.3</f>
        <v>238.3</v>
      </c>
      <c r="F457" s="460">
        <f>187.4+36.8</f>
        <v>224.2</v>
      </c>
      <c r="G457" s="460">
        <f>132.2+49.4</f>
        <v>181.6</v>
      </c>
      <c r="H457" s="35">
        <f t="shared" si="31"/>
        <v>-7.4773340272949866</v>
      </c>
    </row>
    <row r="458" spans="1:8" ht="11.1" customHeight="1">
      <c r="A458" s="186"/>
      <c r="B458" s="103" t="s">
        <v>414</v>
      </c>
      <c r="C458" s="104">
        <v>13</v>
      </c>
      <c r="D458" s="104">
        <v>11.4</v>
      </c>
      <c r="E458" s="104">
        <v>11.1</v>
      </c>
      <c r="F458" s="104">
        <v>10.9</v>
      </c>
      <c r="G458" s="104">
        <v>1.1000000000000001</v>
      </c>
      <c r="H458" s="35">
        <f t="shared" si="31"/>
        <v>-26.662332484399116</v>
      </c>
    </row>
    <row r="459" spans="1:8" ht="11.1" customHeight="1">
      <c r="A459" s="103"/>
      <c r="B459" s="103" t="s">
        <v>415</v>
      </c>
      <c r="C459" s="104">
        <v>30.9</v>
      </c>
      <c r="D459" s="104">
        <v>29.4</v>
      </c>
      <c r="E459" s="460">
        <v>53.400000000000006</v>
      </c>
      <c r="F459" s="460">
        <v>179</v>
      </c>
      <c r="G459" s="460">
        <v>72.7</v>
      </c>
      <c r="H459" s="35">
        <f t="shared" si="31"/>
        <v>63.149700444553432</v>
      </c>
    </row>
    <row r="460" spans="1:8" ht="11.1" customHeight="1">
      <c r="A460" s="32"/>
      <c r="B460" s="32" t="s">
        <v>416</v>
      </c>
      <c r="C460" s="102">
        <v>612.9</v>
      </c>
      <c r="D460" s="102">
        <f>433.9+204.4</f>
        <v>638.29999999999995</v>
      </c>
      <c r="E460" s="102">
        <f>378+198.8</f>
        <v>576.79999999999995</v>
      </c>
      <c r="F460" s="102">
        <f>198.8+206.6</f>
        <v>405.4</v>
      </c>
      <c r="G460" s="102">
        <f>94+265.7</f>
        <v>359.7</v>
      </c>
      <c r="H460" s="35">
        <f t="shared" si="31"/>
        <v>-11.619806298276529</v>
      </c>
    </row>
    <row r="461" spans="1:8" ht="11.1" customHeight="1" thickBot="1">
      <c r="A461" s="438"/>
      <c r="B461" s="438" t="s">
        <v>417</v>
      </c>
      <c r="C461" s="105">
        <v>73.8</v>
      </c>
      <c r="D461" s="105">
        <f>0.2+134.7</f>
        <v>134.89999999999998</v>
      </c>
      <c r="E461" s="105">
        <f>0.3+132.5</f>
        <v>132.80000000000001</v>
      </c>
      <c r="F461" s="105">
        <v>143.91</v>
      </c>
      <c r="G461" s="105">
        <v>134.1</v>
      </c>
      <c r="H461" s="35">
        <f t="shared" si="31"/>
        <v>20.695955655078144</v>
      </c>
    </row>
    <row r="462" spans="1:8" ht="11.1" customHeight="1" thickTop="1" thickBot="1">
      <c r="A462" s="1056" t="s">
        <v>224</v>
      </c>
      <c r="B462" s="1057"/>
      <c r="C462" s="107">
        <f>C456+C447+C426+C421+C417</f>
        <v>101371.6</v>
      </c>
      <c r="D462" s="107">
        <f>D456+D447+D426+D421+D417</f>
        <v>81734.7</v>
      </c>
      <c r="E462" s="107">
        <f>E456+E447+E426+E421+E417</f>
        <v>103591.85</v>
      </c>
      <c r="F462" s="107">
        <f>F456+F447+F426+F421+F417</f>
        <v>118241.04999999999</v>
      </c>
      <c r="G462" s="107">
        <f>G456+G447+G426+G421+G417</f>
        <v>106251.66</v>
      </c>
      <c r="H462" s="55">
        <f>((D462-C462)/C462*100+(E462-D462)/D462*100+(F462-E462)/E462*100+(G462-F462)/F462*100)/4</f>
        <v>2.8429639093802797</v>
      </c>
    </row>
    <row r="463" spans="1:8" ht="11.1" customHeight="1" thickTop="1">
      <c r="A463" s="40"/>
      <c r="B463" s="40"/>
      <c r="C463" s="40"/>
      <c r="D463" s="40"/>
      <c r="E463" s="40"/>
      <c r="F463" s="185"/>
      <c r="G463" s="185"/>
      <c r="H463" s="40"/>
    </row>
    <row r="464" spans="1:8" ht="11.1" customHeight="1">
      <c r="A464" s="40"/>
      <c r="B464" s="966" t="s">
        <v>311</v>
      </c>
      <c r="C464" s="966"/>
      <c r="D464" s="966"/>
      <c r="E464" s="966"/>
      <c r="F464" s="966"/>
      <c r="G464" s="966"/>
      <c r="H464" s="966"/>
    </row>
    <row r="465" spans="1:8" ht="11.1" customHeight="1">
      <c r="A465" s="40"/>
      <c r="B465" s="431"/>
      <c r="C465" s="431"/>
      <c r="D465" s="431"/>
      <c r="E465" s="431"/>
      <c r="F465" s="431"/>
      <c r="G465" s="431"/>
      <c r="H465" s="431"/>
    </row>
    <row r="466" spans="1:8" ht="11.1" customHeight="1">
      <c r="A466" s="40"/>
      <c r="B466" s="431"/>
      <c r="C466" s="431"/>
      <c r="D466" s="431"/>
      <c r="E466" s="431"/>
      <c r="F466" s="431"/>
      <c r="G466" s="431"/>
      <c r="H466" s="431"/>
    </row>
    <row r="467" spans="1:8" ht="11.1" customHeight="1">
      <c r="A467" s="40"/>
      <c r="B467" s="431"/>
      <c r="C467" s="431"/>
      <c r="D467" s="431"/>
      <c r="E467" s="431"/>
      <c r="F467" s="431"/>
      <c r="G467" s="431"/>
      <c r="H467" s="431"/>
    </row>
    <row r="468" spans="1:8" ht="11.1" customHeight="1">
      <c r="A468" s="40"/>
      <c r="B468" s="431"/>
      <c r="C468" s="431"/>
      <c r="D468" s="431"/>
      <c r="E468" s="431"/>
      <c r="F468" s="431"/>
      <c r="G468" s="431"/>
      <c r="H468" s="431"/>
    </row>
    <row r="469" spans="1:8" ht="11.1" customHeight="1">
      <c r="A469" s="40"/>
      <c r="B469" s="431"/>
      <c r="C469" s="431"/>
      <c r="D469" s="431"/>
      <c r="E469" s="431"/>
      <c r="F469" s="431"/>
      <c r="G469" s="431"/>
      <c r="H469" s="431"/>
    </row>
    <row r="470" spans="1:8" ht="11.1" customHeight="1">
      <c r="A470" s="40"/>
      <c r="B470" s="431"/>
      <c r="C470" s="431"/>
      <c r="D470" s="431"/>
      <c r="E470" s="431"/>
      <c r="F470" s="431"/>
      <c r="G470" s="431"/>
      <c r="H470" s="431"/>
    </row>
    <row r="471" spans="1:8" ht="11.1" customHeight="1"/>
    <row r="472" spans="1:8" ht="11.1" customHeight="1">
      <c r="A472" s="1024" t="s">
        <v>538</v>
      </c>
      <c r="B472" s="1024"/>
      <c r="C472" s="1024"/>
      <c r="D472" s="1024"/>
      <c r="E472" s="1024"/>
      <c r="F472" s="1024"/>
      <c r="G472" s="1024"/>
      <c r="H472" s="1024"/>
    </row>
    <row r="473" spans="1:8" ht="11.1" customHeight="1">
      <c r="A473" s="1024" t="s">
        <v>729</v>
      </c>
      <c r="B473" s="1024"/>
      <c r="C473" s="1024"/>
      <c r="D473" s="1024"/>
      <c r="E473" s="1024"/>
      <c r="F473" s="1024"/>
      <c r="G473" s="1024"/>
      <c r="H473" s="1024"/>
    </row>
    <row r="474" spans="1:8" ht="11.1" customHeight="1">
      <c r="A474" s="40"/>
      <c r="B474" s="40"/>
      <c r="C474" s="40"/>
      <c r="D474" s="40"/>
      <c r="E474" s="40"/>
      <c r="F474" s="40"/>
      <c r="G474" s="40"/>
      <c r="H474" s="113" t="s">
        <v>226</v>
      </c>
    </row>
    <row r="475" spans="1:8" ht="11.1" customHeight="1">
      <c r="A475" s="1054" t="s">
        <v>212</v>
      </c>
      <c r="B475" s="1043" t="s">
        <v>301</v>
      </c>
      <c r="C475" s="1020" t="s">
        <v>214</v>
      </c>
      <c r="D475" s="1021"/>
      <c r="E475" s="1021"/>
      <c r="F475" s="1021"/>
      <c r="G475" s="1022"/>
      <c r="H475" s="1043" t="s">
        <v>126</v>
      </c>
    </row>
    <row r="476" spans="1:8" ht="11.1" customHeight="1" thickBot="1">
      <c r="A476" s="1055"/>
      <c r="B476" s="1044"/>
      <c r="C476" s="160">
        <v>2011</v>
      </c>
      <c r="D476" s="160">
        <v>2012</v>
      </c>
      <c r="E476" s="160">
        <v>2013</v>
      </c>
      <c r="F476" s="160">
        <v>2014</v>
      </c>
      <c r="G476" s="160">
        <v>2015</v>
      </c>
      <c r="H476" s="1044"/>
    </row>
    <row r="477" spans="1:8" ht="11.1" customHeight="1" thickTop="1">
      <c r="A477" s="27">
        <v>1</v>
      </c>
      <c r="B477" s="28" t="s">
        <v>128</v>
      </c>
      <c r="C477" s="100">
        <v>12325.1</v>
      </c>
      <c r="D477" s="100">
        <v>15479</v>
      </c>
      <c r="E477" s="100">
        <v>23319</v>
      </c>
      <c r="F477" s="100">
        <f>11872.4+9789.4+918.4+2681.5</f>
        <v>25261.7</v>
      </c>
      <c r="G477" s="100">
        <v>13780.4</v>
      </c>
      <c r="H477" s="30">
        <f>((D477-C477)/C477*100+(E477-D477)/D477*100+(F477-E477)/E477*100+(G477-F477)/F477*100)/4</f>
        <v>9.7800127227431641</v>
      </c>
    </row>
    <row r="478" spans="1:8" ht="11.1" customHeight="1">
      <c r="A478" s="31">
        <v>2</v>
      </c>
      <c r="B478" s="32" t="s">
        <v>141</v>
      </c>
      <c r="C478" s="102">
        <v>5566.5</v>
      </c>
      <c r="D478" s="102">
        <v>5664.1</v>
      </c>
      <c r="E478" s="102">
        <v>9990.7000000000007</v>
      </c>
      <c r="F478" s="102">
        <v>18411.900000000001</v>
      </c>
      <c r="G478" s="102">
        <v>18316.900000000001</v>
      </c>
      <c r="H478" s="35">
        <f>((D478-C478)/C478*100+(E478-D478)/D478*100+(F478-E478)/E478*100+(G478-F478)/F478*100)/4</f>
        <v>40.478532139253488</v>
      </c>
    </row>
    <row r="479" spans="1:8" ht="11.1" customHeight="1">
      <c r="A479" s="31">
        <v>3</v>
      </c>
      <c r="B479" s="32" t="s">
        <v>139</v>
      </c>
      <c r="C479" s="102">
        <v>28024.400000000001</v>
      </c>
      <c r="D479" s="102">
        <v>24370.7</v>
      </c>
      <c r="E479" s="102">
        <v>23109.7</v>
      </c>
      <c r="F479" s="102">
        <f>4148.2+9191.3+3988.5</f>
        <v>17328</v>
      </c>
      <c r="G479" s="102">
        <v>28262.799999999999</v>
      </c>
      <c r="H479" s="35">
        <f>((D479-C479)/C479*100+(E479-D479)/D479*100+(F479-E479)/E479*100+(G479-F479)/F479*100)/4</f>
        <v>4.9686223413754433</v>
      </c>
    </row>
    <row r="480" spans="1:8" ht="11.1" customHeight="1">
      <c r="A480" s="31">
        <v>4</v>
      </c>
      <c r="B480" s="32" t="s">
        <v>140</v>
      </c>
      <c r="C480" s="102">
        <v>9906.9</v>
      </c>
      <c r="D480" s="102">
        <v>11134.6</v>
      </c>
      <c r="E480" s="102">
        <v>11971.5</v>
      </c>
      <c r="F480" s="102">
        <v>17072.099999999999</v>
      </c>
      <c r="G480" s="102">
        <v>6550.1</v>
      </c>
      <c r="H480" s="35">
        <f>((D480-C480)/C480*100+(E480-D480)/D480*100+(F480-E480)/E480*100+(G480-F480)/F480*100)/4</f>
        <v>0.22051275714910723</v>
      </c>
    </row>
    <row r="481" spans="1:8" ht="11.1" customHeight="1">
      <c r="A481" s="31">
        <v>5</v>
      </c>
      <c r="B481" s="32" t="s">
        <v>302</v>
      </c>
      <c r="C481" s="102">
        <v>628.9</v>
      </c>
      <c r="D481" s="102">
        <v>624.70000000000005</v>
      </c>
      <c r="E481" s="102">
        <v>577.20000000000005</v>
      </c>
      <c r="F481" s="102">
        <v>533</v>
      </c>
      <c r="G481" s="102">
        <v>298.7</v>
      </c>
      <c r="H481" s="35">
        <f t="shared" ref="H481:H487" si="32">((D481-C481)/C481*100+(E481-D481)/D481*100+(F481-E481)/E481*100+(G481-F481)/F481*100)/4</f>
        <v>-14.971966083992166</v>
      </c>
    </row>
    <row r="482" spans="1:8" ht="11.1" customHeight="1">
      <c r="A482" s="31">
        <v>6</v>
      </c>
      <c r="B482" s="32" t="s">
        <v>303</v>
      </c>
      <c r="C482" s="102">
        <v>7080.3</v>
      </c>
      <c r="D482" s="102">
        <v>4642.2</v>
      </c>
      <c r="E482" s="102">
        <v>7442.9</v>
      </c>
      <c r="F482" s="102">
        <v>6578.8</v>
      </c>
      <c r="G482" s="102">
        <v>5023.5</v>
      </c>
      <c r="H482" s="35">
        <f t="shared" si="32"/>
        <v>-2.3386211786480748</v>
      </c>
    </row>
    <row r="483" spans="1:8" ht="11.1" customHeight="1">
      <c r="A483" s="31">
        <v>7</v>
      </c>
      <c r="B483" s="32" t="s">
        <v>304</v>
      </c>
      <c r="C483" s="102">
        <v>95.3</v>
      </c>
      <c r="D483" s="102">
        <v>259.39999999999998</v>
      </c>
      <c r="E483" s="102">
        <v>154.69999999999999</v>
      </c>
      <c r="F483" s="102">
        <v>381.5</v>
      </c>
      <c r="G483" s="102">
        <v>655.20000000000005</v>
      </c>
      <c r="H483" s="35">
        <f t="shared" si="32"/>
        <v>87.54503847459668</v>
      </c>
    </row>
    <row r="484" spans="1:8" ht="11.1" customHeight="1">
      <c r="A484" s="31">
        <v>8</v>
      </c>
      <c r="B484" s="32" t="s">
        <v>305</v>
      </c>
      <c r="C484" s="102">
        <v>689.2</v>
      </c>
      <c r="D484" s="102">
        <v>556.20000000000005</v>
      </c>
      <c r="E484" s="102">
        <v>581.79999999999995</v>
      </c>
      <c r="F484" s="102">
        <v>492.6</v>
      </c>
      <c r="G484" s="102">
        <v>414.2</v>
      </c>
      <c r="H484" s="35">
        <f t="shared" si="32"/>
        <v>-11.485588712847882</v>
      </c>
    </row>
    <row r="485" spans="1:8" ht="11.1" customHeight="1">
      <c r="A485" s="31">
        <v>9</v>
      </c>
      <c r="B485" s="32" t="s">
        <v>306</v>
      </c>
      <c r="C485" s="102">
        <v>540.9</v>
      </c>
      <c r="D485" s="102">
        <v>502.9</v>
      </c>
      <c r="E485" s="102">
        <v>575.9</v>
      </c>
      <c r="F485" s="102">
        <v>504.4</v>
      </c>
      <c r="G485" s="102">
        <v>558.79999999999995</v>
      </c>
      <c r="H485" s="35">
        <f t="shared" si="32"/>
        <v>1.4650553663362531</v>
      </c>
    </row>
    <row r="486" spans="1:8" ht="11.1" customHeight="1">
      <c r="A486" s="31">
        <v>10</v>
      </c>
      <c r="B486" s="32" t="s">
        <v>307</v>
      </c>
      <c r="C486" s="102">
        <v>341</v>
      </c>
      <c r="D486" s="102">
        <v>540.1</v>
      </c>
      <c r="E486" s="102">
        <v>436.7</v>
      </c>
      <c r="F486" s="102">
        <v>254.4</v>
      </c>
      <c r="G486" s="102">
        <v>441.7</v>
      </c>
      <c r="H486" s="35">
        <f t="shared" si="32"/>
        <v>17.780450697565342</v>
      </c>
    </row>
    <row r="487" spans="1:8" ht="11.1" customHeight="1" thickBot="1">
      <c r="A487" s="186"/>
      <c r="B487" s="103" t="s">
        <v>239</v>
      </c>
      <c r="C487" s="104">
        <v>35302.600000000006</v>
      </c>
      <c r="D487" s="104">
        <v>16637.8</v>
      </c>
      <c r="E487" s="104">
        <v>24091</v>
      </c>
      <c r="F487" s="104">
        <v>30090.799999999999</v>
      </c>
      <c r="G487" s="104">
        <v>31949.4</v>
      </c>
      <c r="H487" s="35">
        <f t="shared" si="32"/>
        <v>5.7518173975769358</v>
      </c>
    </row>
    <row r="488" spans="1:8" ht="11.1" customHeight="1" thickTop="1" thickBot="1">
      <c r="A488" s="1056" t="s">
        <v>224</v>
      </c>
      <c r="B488" s="1057"/>
      <c r="C488" s="107">
        <f>SUM(C477:C487)</f>
        <v>100501.1</v>
      </c>
      <c r="D488" s="107">
        <f>SUM(D477:D487)</f>
        <v>80411.7</v>
      </c>
      <c r="E488" s="107">
        <f>SUM(E477:E487)</f>
        <v>102251.09999999998</v>
      </c>
      <c r="F488" s="107">
        <f>SUM(F477:F487)</f>
        <v>116909.20000000001</v>
      </c>
      <c r="G488" s="107">
        <f>SUM(G477:G487)</f>
        <v>106251.70000000001</v>
      </c>
      <c r="H488" s="84">
        <f>((D488-C488)/C488*100+(E488-D488)/D488*100+(F488-E488)/E488*100+(G488-F488)/F488*100)/4</f>
        <v>3.0973983602896844</v>
      </c>
    </row>
    <row r="489" spans="1:8" ht="11.1" customHeight="1" thickTop="1">
      <c r="A489" s="40"/>
      <c r="B489" s="40"/>
      <c r="C489" s="40"/>
      <c r="D489" s="40"/>
      <c r="E489" s="40"/>
      <c r="F489" s="185"/>
      <c r="G489" s="185"/>
      <c r="H489" s="40"/>
    </row>
    <row r="490" spans="1:8" ht="11.1" customHeight="1">
      <c r="A490" s="40"/>
      <c r="B490" s="966" t="s">
        <v>312</v>
      </c>
      <c r="C490" s="966"/>
      <c r="D490" s="966"/>
      <c r="E490" s="966"/>
      <c r="F490" s="966"/>
      <c r="G490" s="966"/>
      <c r="H490" s="966"/>
    </row>
    <row r="491" spans="1:8" ht="11.1" customHeight="1">
      <c r="A491" s="40"/>
      <c r="B491" s="423"/>
      <c r="C491" s="423"/>
      <c r="D491" s="423"/>
      <c r="E491" s="423"/>
      <c r="F491" s="423"/>
      <c r="G491" s="423"/>
      <c r="H491" s="423"/>
    </row>
    <row r="492" spans="1:8" ht="11.1" customHeight="1">
      <c r="A492" s="40"/>
      <c r="B492" s="423"/>
      <c r="C492" s="423"/>
      <c r="D492" s="423"/>
      <c r="E492" s="423"/>
      <c r="F492" s="423"/>
      <c r="G492" s="423"/>
      <c r="H492" s="423"/>
    </row>
    <row r="493" spans="1:8" ht="11.1" customHeight="1">
      <c r="A493" s="40"/>
      <c r="B493" s="423"/>
      <c r="C493" s="423"/>
      <c r="D493" s="423"/>
      <c r="E493" s="423"/>
      <c r="F493" s="423"/>
      <c r="G493" s="423"/>
      <c r="H493" s="423"/>
    </row>
    <row r="494" spans="1:8" ht="11.1" customHeight="1">
      <c r="A494" s="40"/>
      <c r="B494" s="423"/>
      <c r="C494" s="423"/>
      <c r="D494" s="423"/>
      <c r="E494" s="423"/>
      <c r="F494" s="423"/>
      <c r="G494" s="423"/>
      <c r="H494" s="423"/>
    </row>
    <row r="495" spans="1:8" ht="11.1" customHeight="1">
      <c r="A495" s="40"/>
      <c r="B495" s="423"/>
      <c r="C495" s="423"/>
      <c r="D495" s="423"/>
      <c r="E495" s="423"/>
      <c r="F495" s="423"/>
      <c r="G495" s="423"/>
      <c r="H495" s="423"/>
    </row>
    <row r="496" spans="1:8" ht="11.1" customHeight="1">
      <c r="A496" s="40"/>
      <c r="B496" s="423"/>
      <c r="C496" s="423"/>
      <c r="D496" s="423"/>
      <c r="E496" s="423"/>
      <c r="F496" s="423"/>
      <c r="G496" s="423"/>
      <c r="H496" s="423"/>
    </row>
    <row r="497" spans="1:11" ht="11.1" customHeight="1"/>
    <row r="498" spans="1:11" ht="11.1" customHeight="1"/>
    <row r="499" spans="1:11" ht="11.1" customHeight="1">
      <c r="A499" s="968" t="s">
        <v>730</v>
      </c>
      <c r="B499" s="968"/>
      <c r="C499" s="968"/>
      <c r="D499" s="968"/>
      <c r="E499" s="968"/>
      <c r="F499" s="968"/>
      <c r="G499" s="968"/>
      <c r="H499" s="968"/>
    </row>
    <row r="500" spans="1:11" ht="11.1" customHeight="1">
      <c r="A500" s="968"/>
      <c r="B500" s="968"/>
      <c r="C500" s="968"/>
      <c r="D500" s="968"/>
      <c r="E500" s="968"/>
      <c r="F500" s="968"/>
      <c r="G500" s="968"/>
      <c r="H500" s="968"/>
    </row>
    <row r="501" spans="1:11" ht="11.1" customHeight="1"/>
    <row r="502" spans="1:11" ht="11.1" customHeight="1">
      <c r="A502" s="1024" t="s">
        <v>540</v>
      </c>
      <c r="B502" s="1024"/>
      <c r="C502" s="1024"/>
      <c r="D502" s="1024"/>
      <c r="E502" s="1024"/>
      <c r="F502" s="1024"/>
      <c r="G502" s="1024"/>
      <c r="H502" s="1024"/>
    </row>
    <row r="503" spans="1:11" ht="11.1" customHeight="1">
      <c r="A503" s="1024" t="s">
        <v>731</v>
      </c>
      <c r="B503" s="1024"/>
      <c r="C503" s="1024"/>
      <c r="D503" s="1024"/>
      <c r="E503" s="1024"/>
      <c r="F503" s="1024"/>
      <c r="G503" s="1024"/>
      <c r="H503" s="1024"/>
    </row>
    <row r="504" spans="1:11" ht="11.1" customHeight="1">
      <c r="A504" s="40"/>
      <c r="B504" s="40"/>
      <c r="C504" s="40"/>
      <c r="D504" s="40"/>
      <c r="E504" s="40"/>
      <c r="F504" s="1089" t="s">
        <v>222</v>
      </c>
      <c r="G504" s="1089"/>
      <c r="H504" s="1089"/>
    </row>
    <row r="505" spans="1:11" ht="11.1" customHeight="1">
      <c r="A505" s="1054" t="s">
        <v>212</v>
      </c>
      <c r="B505" s="1043" t="s">
        <v>223</v>
      </c>
      <c r="C505" s="1020" t="s">
        <v>214</v>
      </c>
      <c r="D505" s="1021"/>
      <c r="E505" s="1021"/>
      <c r="F505" s="1021"/>
      <c r="G505" s="1022"/>
      <c r="H505" s="1043" t="s">
        <v>126</v>
      </c>
    </row>
    <row r="506" spans="1:11" ht="11.1" customHeight="1" thickBot="1">
      <c r="A506" s="1055"/>
      <c r="B506" s="1044"/>
      <c r="C506" s="62">
        <v>2011</v>
      </c>
      <c r="D506" s="62">
        <v>2012</v>
      </c>
      <c r="E506" s="62">
        <v>2013</v>
      </c>
      <c r="F506" s="62">
        <v>2014</v>
      </c>
      <c r="G506" s="62">
        <v>2015</v>
      </c>
      <c r="H506" s="1044"/>
    </row>
    <row r="507" spans="1:11" ht="11.1" customHeight="1" thickTop="1">
      <c r="A507" s="28">
        <v>1</v>
      </c>
      <c r="B507" s="28" t="s">
        <v>121</v>
      </c>
      <c r="C507" s="100">
        <v>294</v>
      </c>
      <c r="D507" s="100">
        <v>151</v>
      </c>
      <c r="E507" s="100">
        <v>149</v>
      </c>
      <c r="F507" s="201">
        <v>146</v>
      </c>
      <c r="G507" s="201">
        <v>149</v>
      </c>
      <c r="H507" s="30">
        <f>((D507-C507)/C507*100+(E507-D507)/D507*100+(F507-E507)/E507*100+(G507-F507)/F507*100)/4</f>
        <v>-12.4806468479538</v>
      </c>
      <c r="J507" s="450"/>
      <c r="K507" s="450"/>
    </row>
    <row r="508" spans="1:11" ht="11.1" customHeight="1">
      <c r="A508" s="32">
        <v>2</v>
      </c>
      <c r="B508" s="32" t="s">
        <v>122</v>
      </c>
      <c r="C508" s="102">
        <v>1993</v>
      </c>
      <c r="D508" s="102">
        <v>1999</v>
      </c>
      <c r="E508" s="102">
        <v>1972</v>
      </c>
      <c r="F508" s="202">
        <v>208</v>
      </c>
      <c r="G508" s="202">
        <v>208</v>
      </c>
      <c r="H508" s="35">
        <f>((D508-C508)/C508*100+(E508-D508)/D508*100+(F508-E508)/E508*100+(G508-F508)/F508*100)/4</f>
        <v>-22.625488576740491</v>
      </c>
      <c r="J508" s="450"/>
      <c r="K508" s="450"/>
    </row>
    <row r="509" spans="1:11" ht="11.1" customHeight="1">
      <c r="A509" s="32">
        <v>3</v>
      </c>
      <c r="B509" s="32" t="s">
        <v>184</v>
      </c>
      <c r="C509" s="102">
        <v>3072</v>
      </c>
      <c r="D509" s="102">
        <v>3072</v>
      </c>
      <c r="E509" s="102">
        <v>1502</v>
      </c>
      <c r="F509" s="202">
        <v>1502</v>
      </c>
      <c r="G509" s="202">
        <v>1473</v>
      </c>
      <c r="H509" s="35">
        <f t="shared" ref="H509:H515" si="33">((D509-C509)/C509*100+(E509-D509)/D509*100+(F509-E509)/E509*100+(G509-F509)/F509*100)/4</f>
        <v>-13.259382455337329</v>
      </c>
      <c r="J509" s="450"/>
      <c r="K509" s="450"/>
    </row>
    <row r="510" spans="1:11" ht="11.1" customHeight="1">
      <c r="A510" s="32">
        <v>4</v>
      </c>
      <c r="B510" s="32" t="s">
        <v>120</v>
      </c>
      <c r="C510" s="102">
        <v>809</v>
      </c>
      <c r="D510" s="102">
        <v>928</v>
      </c>
      <c r="E510" s="102">
        <v>1045</v>
      </c>
      <c r="F510" s="202">
        <v>1490</v>
      </c>
      <c r="G510" s="202">
        <v>1585</v>
      </c>
      <c r="H510" s="35">
        <f t="shared" si="33"/>
        <v>19.06921188191065</v>
      </c>
      <c r="J510" s="450"/>
      <c r="K510" s="450"/>
    </row>
    <row r="511" spans="1:11" ht="11.1" customHeight="1">
      <c r="A511" s="32">
        <v>5</v>
      </c>
      <c r="B511" s="32" t="s">
        <v>125</v>
      </c>
      <c r="C511" s="102">
        <v>777</v>
      </c>
      <c r="D511" s="102">
        <v>602</v>
      </c>
      <c r="E511" s="102">
        <v>585</v>
      </c>
      <c r="F511" s="202">
        <v>552</v>
      </c>
      <c r="G511" s="202">
        <v>532</v>
      </c>
      <c r="H511" s="35">
        <f t="shared" si="33"/>
        <v>-8.6526642087814984</v>
      </c>
      <c r="J511" s="450"/>
      <c r="K511" s="450"/>
    </row>
    <row r="512" spans="1:11" ht="11.1" customHeight="1">
      <c r="A512" s="32">
        <v>6</v>
      </c>
      <c r="B512" s="32" t="s">
        <v>124</v>
      </c>
      <c r="C512" s="102">
        <v>330</v>
      </c>
      <c r="D512" s="102">
        <v>330</v>
      </c>
      <c r="E512" s="102">
        <v>557</v>
      </c>
      <c r="F512" s="202">
        <v>610</v>
      </c>
      <c r="G512" s="202">
        <v>610</v>
      </c>
      <c r="H512" s="35">
        <f t="shared" si="33"/>
        <v>19.57578477775964</v>
      </c>
      <c r="J512" s="450"/>
      <c r="K512" s="450"/>
    </row>
    <row r="513" spans="1:11" ht="11.1" customHeight="1">
      <c r="A513" s="32">
        <v>7</v>
      </c>
      <c r="B513" s="32" t="s">
        <v>123</v>
      </c>
      <c r="C513" s="102">
        <v>3068</v>
      </c>
      <c r="D513" s="102">
        <v>3087</v>
      </c>
      <c r="E513" s="102">
        <v>3087</v>
      </c>
      <c r="F513" s="202">
        <v>2674</v>
      </c>
      <c r="G513" s="202">
        <v>2659</v>
      </c>
      <c r="H513" s="35">
        <f t="shared" si="33"/>
        <v>-3.3300865540543287</v>
      </c>
      <c r="J513" s="450"/>
      <c r="K513" s="450"/>
    </row>
    <row r="514" spans="1:11" ht="11.1" customHeight="1">
      <c r="A514" s="32">
        <v>8</v>
      </c>
      <c r="B514" s="32" t="s">
        <v>195</v>
      </c>
      <c r="C514" s="102">
        <v>1930</v>
      </c>
      <c r="D514" s="102">
        <v>2261</v>
      </c>
      <c r="E514" s="102">
        <v>1927</v>
      </c>
      <c r="F514" s="202">
        <v>1927</v>
      </c>
      <c r="G514" s="202">
        <v>748</v>
      </c>
      <c r="H514" s="35">
        <f t="shared" si="33"/>
        <v>-14.701287977984006</v>
      </c>
      <c r="J514" s="450"/>
      <c r="K514" s="450"/>
    </row>
    <row r="515" spans="1:11" ht="11.1" customHeight="1" thickBot="1">
      <c r="A515" s="103">
        <v>9</v>
      </c>
      <c r="B515" s="103" t="s">
        <v>198</v>
      </c>
      <c r="C515" s="104">
        <v>1607</v>
      </c>
      <c r="D515" s="104">
        <v>1677</v>
      </c>
      <c r="E515" s="104">
        <v>1703</v>
      </c>
      <c r="F515" s="203">
        <v>1770</v>
      </c>
      <c r="G515" s="203">
        <v>1780</v>
      </c>
      <c r="H515" s="35">
        <f t="shared" si="33"/>
        <v>2.6013839510011083</v>
      </c>
      <c r="J515" s="450"/>
      <c r="K515" s="450"/>
    </row>
    <row r="516" spans="1:11" ht="11.1" customHeight="1" thickTop="1" thickBot="1">
      <c r="A516" s="1056" t="s">
        <v>224</v>
      </c>
      <c r="B516" s="1057"/>
      <c r="C516" s="107">
        <f>SUM(C507:C515)</f>
        <v>13880</v>
      </c>
      <c r="D516" s="107">
        <f>SUM(D507:D515)</f>
        <v>14107</v>
      </c>
      <c r="E516" s="107">
        <f>SUM(E507:E515)</f>
        <v>12527</v>
      </c>
      <c r="F516" s="107">
        <f>SUM(F507:F515)</f>
        <v>10879</v>
      </c>
      <c r="G516" s="107">
        <f>SUM(G507:G515)</f>
        <v>9744</v>
      </c>
      <c r="H516" s="84">
        <f>((D516-C516)/C516*100+(E516-D516)/D516*100+(F516-E516)/E516*100+(G516-F516)/F516*100)/4</f>
        <v>-8.2882987190285196</v>
      </c>
    </row>
    <row r="517" spans="1:11" ht="11.1" customHeight="1" thickTop="1">
      <c r="A517" s="40"/>
      <c r="B517" s="40"/>
      <c r="C517" s="40"/>
      <c r="D517" s="40"/>
      <c r="E517" s="40"/>
      <c r="F517" s="40"/>
      <c r="G517" s="40"/>
      <c r="H517" s="40"/>
    </row>
    <row r="518" spans="1:11" ht="11.1" customHeight="1">
      <c r="A518" s="40"/>
      <c r="B518" s="966" t="s">
        <v>323</v>
      </c>
      <c r="C518" s="966"/>
      <c r="D518" s="966"/>
      <c r="E518" s="966"/>
      <c r="F518" s="966"/>
      <c r="G518" s="966"/>
      <c r="H518" s="966"/>
    </row>
    <row r="519" spans="1:11" ht="11.1" customHeight="1">
      <c r="A519" s="40"/>
      <c r="B519" s="439"/>
      <c r="C519" s="439"/>
      <c r="D519" s="439"/>
      <c r="E519" s="439"/>
      <c r="F519" s="439"/>
      <c r="G519" s="439"/>
      <c r="H519" s="439"/>
    </row>
    <row r="520" spans="1:11" ht="11.1" customHeight="1">
      <c r="A520" s="40"/>
      <c r="B520" s="439"/>
      <c r="C520" s="439"/>
      <c r="D520" s="439"/>
      <c r="E520" s="439"/>
      <c r="F520" s="439"/>
      <c r="G520" s="439"/>
      <c r="H520" s="439"/>
    </row>
    <row r="521" spans="1:11" ht="11.1" customHeight="1">
      <c r="A521" s="40"/>
      <c r="B521" s="439"/>
      <c r="C521" s="439"/>
      <c r="D521" s="439"/>
      <c r="E521" s="439"/>
      <c r="F521" s="439"/>
      <c r="G521" s="439"/>
      <c r="H521" s="439"/>
    </row>
    <row r="522" spans="1:11" ht="11.1" customHeight="1">
      <c r="A522" s="40"/>
      <c r="B522" s="439"/>
      <c r="C522" s="439"/>
      <c r="D522" s="439"/>
      <c r="E522" s="439"/>
      <c r="F522" s="439"/>
      <c r="G522" s="439"/>
      <c r="H522" s="439"/>
    </row>
    <row r="523" spans="1:11" ht="11.1" customHeight="1">
      <c r="A523" s="40"/>
      <c r="B523" s="439"/>
      <c r="C523" s="439"/>
      <c r="D523" s="439"/>
      <c r="E523" s="439"/>
      <c r="F523" s="439"/>
      <c r="G523" s="439"/>
      <c r="H523" s="439"/>
    </row>
    <row r="524" spans="1:11" ht="11.1" customHeight="1">
      <c r="A524" s="40"/>
      <c r="B524" s="439"/>
      <c r="C524" s="439"/>
      <c r="D524" s="439"/>
      <c r="E524" s="439"/>
      <c r="F524" s="439"/>
      <c r="G524" s="439"/>
      <c r="H524" s="439"/>
    </row>
    <row r="525" spans="1:11" ht="11.1" customHeight="1">
      <c r="A525" s="40"/>
      <c r="B525" s="439"/>
      <c r="C525" s="439"/>
      <c r="D525" s="439"/>
      <c r="E525" s="439"/>
      <c r="F525" s="439"/>
      <c r="G525" s="439"/>
      <c r="H525" s="439"/>
    </row>
    <row r="526" spans="1:11" ht="11.1" customHeight="1">
      <c r="A526" s="40"/>
      <c r="B526" s="439"/>
      <c r="C526" s="439"/>
      <c r="D526" s="439"/>
      <c r="E526" s="439"/>
      <c r="F526" s="439"/>
      <c r="G526" s="439"/>
      <c r="H526" s="439"/>
    </row>
    <row r="527" spans="1:11" ht="11.1" customHeight="1">
      <c r="A527" s="40"/>
      <c r="B527" s="439"/>
      <c r="C527" s="439"/>
      <c r="D527" s="439"/>
      <c r="E527" s="439"/>
      <c r="F527" s="439"/>
      <c r="G527" s="439"/>
      <c r="H527" s="439"/>
    </row>
    <row r="528" spans="1:11" ht="11.1" customHeight="1">
      <c r="A528" s="40"/>
      <c r="B528" s="439"/>
      <c r="C528" s="439"/>
      <c r="D528" s="439"/>
      <c r="E528" s="439"/>
      <c r="F528" s="439"/>
      <c r="G528" s="439"/>
      <c r="H528" s="439"/>
    </row>
    <row r="529" spans="1:11" ht="11.1" customHeight="1">
      <c r="A529" s="40"/>
      <c r="B529" s="439"/>
      <c r="C529" s="439"/>
      <c r="D529" s="439"/>
      <c r="E529" s="439"/>
      <c r="F529" s="439"/>
      <c r="G529" s="439"/>
      <c r="H529" s="439"/>
    </row>
    <row r="530" spans="1:11" ht="11.1" customHeight="1">
      <c r="A530" s="1024" t="s">
        <v>541</v>
      </c>
      <c r="B530" s="1024"/>
      <c r="C530" s="1024"/>
      <c r="D530" s="1024"/>
      <c r="E530" s="1024"/>
      <c r="F530" s="1024"/>
      <c r="G530" s="1024"/>
      <c r="H530" s="1024"/>
    </row>
    <row r="531" spans="1:11" ht="11.1" customHeight="1">
      <c r="A531" s="1024" t="s">
        <v>710</v>
      </c>
      <c r="B531" s="1024"/>
      <c r="C531" s="1024"/>
      <c r="D531" s="1024"/>
      <c r="E531" s="1024"/>
      <c r="F531" s="1024"/>
      <c r="G531" s="1024"/>
      <c r="H531" s="1024"/>
    </row>
    <row r="532" spans="1:11" ht="11.1" customHeight="1">
      <c r="A532" s="40"/>
      <c r="B532" s="40"/>
      <c r="C532" s="40"/>
      <c r="D532" s="40"/>
      <c r="E532" s="40"/>
      <c r="F532" s="40"/>
      <c r="G532" s="40"/>
      <c r="H532" s="113" t="s">
        <v>230</v>
      </c>
    </row>
    <row r="533" spans="1:11" ht="11.1" customHeight="1">
      <c r="A533" s="1054" t="s">
        <v>212</v>
      </c>
      <c r="B533" s="1043" t="s">
        <v>223</v>
      </c>
      <c r="C533" s="1020" t="s">
        <v>214</v>
      </c>
      <c r="D533" s="1021"/>
      <c r="E533" s="1021"/>
      <c r="F533" s="1021"/>
      <c r="G533" s="1022"/>
      <c r="H533" s="1043" t="s">
        <v>126</v>
      </c>
    </row>
    <row r="534" spans="1:11" ht="11.1" customHeight="1" thickBot="1">
      <c r="A534" s="1055"/>
      <c r="B534" s="1044"/>
      <c r="C534" s="62">
        <v>2011</v>
      </c>
      <c r="D534" s="62">
        <v>2012</v>
      </c>
      <c r="E534" s="62">
        <v>2013</v>
      </c>
      <c r="F534" s="62">
        <v>2014</v>
      </c>
      <c r="G534" s="62">
        <v>2015</v>
      </c>
      <c r="H534" s="1044"/>
    </row>
    <row r="535" spans="1:11" ht="11.1" customHeight="1" thickTop="1">
      <c r="A535" s="28">
        <v>1</v>
      </c>
      <c r="B535" s="28" t="s">
        <v>121</v>
      </c>
      <c r="C535" s="100">
        <v>491</v>
      </c>
      <c r="D535" s="100">
        <v>454</v>
      </c>
      <c r="E535" s="201">
        <v>267</v>
      </c>
      <c r="F535" s="201">
        <v>382</v>
      </c>
      <c r="G535" s="201">
        <v>566</v>
      </c>
      <c r="H535" s="30">
        <f>((D535-C535)/C535*100+(E535-D535)/D535*100+(F535-E535)/E535*100+(G535-F535)/F535*100)/4</f>
        <v>10.628407863767002</v>
      </c>
      <c r="J535" s="450"/>
      <c r="K535" s="450"/>
    </row>
    <row r="536" spans="1:11" ht="11.1" customHeight="1">
      <c r="A536" s="32">
        <v>2</v>
      </c>
      <c r="B536" s="32" t="s">
        <v>122</v>
      </c>
      <c r="C536" s="102">
        <v>1993</v>
      </c>
      <c r="D536" s="102">
        <v>1999</v>
      </c>
      <c r="E536" s="202">
        <v>1972</v>
      </c>
      <c r="F536" s="202">
        <v>520</v>
      </c>
      <c r="G536" s="202">
        <v>520</v>
      </c>
      <c r="H536" s="35">
        <f>((D536-C536)/C536*100+(E536-D536)/D536*100+(F536-E536)/E536*100+(G536-F536)/F536*100)/4</f>
        <v>-18.670113323190797</v>
      </c>
      <c r="J536" s="450"/>
      <c r="K536" s="450"/>
    </row>
    <row r="537" spans="1:11" ht="11.1" customHeight="1">
      <c r="A537" s="32">
        <v>3</v>
      </c>
      <c r="B537" s="32" t="s">
        <v>184</v>
      </c>
      <c r="C537" s="102">
        <v>3072</v>
      </c>
      <c r="D537" s="102">
        <v>3247</v>
      </c>
      <c r="E537" s="202">
        <v>6147</v>
      </c>
      <c r="F537" s="202">
        <v>7936</v>
      </c>
      <c r="G537" s="202">
        <v>7009</v>
      </c>
      <c r="H537" s="35">
        <f>((D537-C537)/C537*100+(E537-D537)/D537*100+(F537-E537)/E537*100+(G537-F537)/F537*100)/4</f>
        <v>28.10812674611828</v>
      </c>
      <c r="J537" s="450"/>
      <c r="K537" s="450"/>
    </row>
    <row r="538" spans="1:11" ht="11.1" customHeight="1">
      <c r="A538" s="32">
        <v>4</v>
      </c>
      <c r="B538" s="32" t="s">
        <v>120</v>
      </c>
      <c r="C538" s="102">
        <v>1284</v>
      </c>
      <c r="D538" s="102">
        <v>1341</v>
      </c>
      <c r="E538" s="202">
        <v>1274</v>
      </c>
      <c r="F538" s="202">
        <v>1636</v>
      </c>
      <c r="G538" s="202">
        <v>1738</v>
      </c>
      <c r="H538" s="35">
        <f t="shared" ref="H538:H543" si="34">((D538-C538)/C538*100+(E538-D538)/D538*100+(F538-E538)/E538*100+(G538-F538)/F538*100)/4</f>
        <v>8.5230356059467471</v>
      </c>
      <c r="J538" s="450"/>
      <c r="K538" s="450"/>
    </row>
    <row r="539" spans="1:11" ht="11.1" customHeight="1">
      <c r="A539" s="32">
        <v>5</v>
      </c>
      <c r="B539" s="32" t="s">
        <v>125</v>
      </c>
      <c r="C539" s="102">
        <v>1062</v>
      </c>
      <c r="D539" s="102">
        <v>625</v>
      </c>
      <c r="E539" s="202">
        <v>3121</v>
      </c>
      <c r="F539" s="202">
        <v>2791</v>
      </c>
      <c r="G539" s="202">
        <v>2791</v>
      </c>
      <c r="H539" s="35">
        <f t="shared" si="34"/>
        <v>86.909422495445753</v>
      </c>
      <c r="J539" s="450"/>
      <c r="K539" s="450"/>
    </row>
    <row r="540" spans="1:11" ht="11.1" customHeight="1">
      <c r="A540" s="32">
        <v>6</v>
      </c>
      <c r="B540" s="32" t="s">
        <v>124</v>
      </c>
      <c r="C540" s="102">
        <v>695</v>
      </c>
      <c r="D540" s="102">
        <v>448</v>
      </c>
      <c r="E540" s="202">
        <v>679</v>
      </c>
      <c r="F540" s="202">
        <v>697</v>
      </c>
      <c r="G540" s="202">
        <v>697</v>
      </c>
      <c r="H540" s="35">
        <f t="shared" si="34"/>
        <v>4.6684722362022013</v>
      </c>
      <c r="J540" s="450"/>
      <c r="K540" s="450"/>
    </row>
    <row r="541" spans="1:11" ht="11.1" customHeight="1">
      <c r="A541" s="32">
        <v>7</v>
      </c>
      <c r="B541" s="32" t="s">
        <v>123</v>
      </c>
      <c r="C541" s="102">
        <v>3068</v>
      </c>
      <c r="D541" s="102">
        <v>3087</v>
      </c>
      <c r="E541" s="202">
        <v>3088</v>
      </c>
      <c r="F541" s="202">
        <v>2674</v>
      </c>
      <c r="G541" s="202">
        <v>2661</v>
      </c>
      <c r="H541" s="35">
        <f t="shared" si="34"/>
        <v>-3.3103022336698684</v>
      </c>
      <c r="J541" s="450"/>
      <c r="K541" s="450"/>
    </row>
    <row r="542" spans="1:11" ht="11.1" customHeight="1">
      <c r="A542" s="32">
        <v>8</v>
      </c>
      <c r="B542" s="32" t="s">
        <v>195</v>
      </c>
      <c r="C542" s="102">
        <v>1930</v>
      </c>
      <c r="D542" s="102">
        <v>2290</v>
      </c>
      <c r="E542" s="202">
        <v>2005</v>
      </c>
      <c r="F542" s="202">
        <v>1932</v>
      </c>
      <c r="G542" s="202">
        <v>748</v>
      </c>
      <c r="H542" s="35">
        <f t="shared" si="34"/>
        <v>-14.679276688544864</v>
      </c>
      <c r="J542" s="450"/>
      <c r="K542" s="450"/>
    </row>
    <row r="543" spans="1:11" ht="11.1" customHeight="1" thickBot="1">
      <c r="A543" s="103">
        <v>9</v>
      </c>
      <c r="B543" s="103" t="s">
        <v>198</v>
      </c>
      <c r="C543" s="104">
        <v>1607</v>
      </c>
      <c r="D543" s="104">
        <v>1677</v>
      </c>
      <c r="E543" s="203">
        <v>1703</v>
      </c>
      <c r="F543" s="203">
        <v>1770</v>
      </c>
      <c r="G543" s="203">
        <v>1789</v>
      </c>
      <c r="H543" s="35">
        <f t="shared" si="34"/>
        <v>2.728502595068905</v>
      </c>
      <c r="J543" s="450"/>
      <c r="K543" s="450"/>
    </row>
    <row r="544" spans="1:11" ht="11.1" customHeight="1" thickTop="1" thickBot="1">
      <c r="A544" s="1056" t="s">
        <v>224</v>
      </c>
      <c r="B544" s="1057"/>
      <c r="C544" s="107">
        <f>SUM(C535:C543)</f>
        <v>15202</v>
      </c>
      <c r="D544" s="107">
        <f>SUM(D535:D543)</f>
        <v>15168</v>
      </c>
      <c r="E544" s="107">
        <f>SUM(E535:E543)</f>
        <v>20256</v>
      </c>
      <c r="F544" s="107">
        <f>SUM(F535:F543)</f>
        <v>20338</v>
      </c>
      <c r="G544" s="107">
        <f>SUM(G535:G543)</f>
        <v>18519</v>
      </c>
      <c r="H544" s="84">
        <f>((D544-C544)/C544*100+(E544-D544)/D544*100+(F544-E544)/E544*100+(G544-F544)/F544*100)/4</f>
        <v>6.1954045969844822</v>
      </c>
    </row>
    <row r="545" spans="1:8" ht="11.1" customHeight="1" thickTop="1">
      <c r="A545" s="40"/>
      <c r="B545" s="40"/>
      <c r="C545" s="40"/>
      <c r="D545" s="40"/>
      <c r="E545" s="40"/>
      <c r="F545" s="40"/>
      <c r="G545" s="40"/>
      <c r="H545" s="40"/>
    </row>
    <row r="546" spans="1:8" ht="11.1" customHeight="1">
      <c r="A546" s="40"/>
      <c r="B546" s="966" t="s">
        <v>331</v>
      </c>
      <c r="C546" s="966"/>
      <c r="D546" s="966"/>
      <c r="E546" s="966"/>
      <c r="F546" s="966"/>
      <c r="G546" s="966"/>
      <c r="H546" s="966"/>
    </row>
    <row r="547" spans="1:8" ht="11.1" customHeight="1">
      <c r="A547" s="40"/>
      <c r="B547" s="423"/>
      <c r="C547" s="423"/>
      <c r="D547" s="423"/>
      <c r="E547" s="423"/>
      <c r="F547" s="423"/>
      <c r="G547" s="423"/>
      <c r="H547" s="423"/>
    </row>
    <row r="548" spans="1:8" ht="11.1" customHeight="1">
      <c r="A548" s="40"/>
      <c r="B548" s="423"/>
      <c r="C548" s="423"/>
      <c r="D548" s="423"/>
      <c r="E548" s="423"/>
      <c r="F548" s="423"/>
      <c r="G548" s="423"/>
      <c r="H548" s="423"/>
    </row>
    <row r="549" spans="1:8" ht="11.1" customHeight="1">
      <c r="A549" s="40"/>
      <c r="B549" s="423"/>
      <c r="C549" s="423"/>
      <c r="D549" s="423"/>
      <c r="E549" s="423"/>
      <c r="F549" s="423"/>
      <c r="G549" s="423"/>
      <c r="H549" s="423"/>
    </row>
    <row r="550" spans="1:8" ht="11.1" customHeight="1">
      <c r="A550" s="40"/>
      <c r="B550" s="423"/>
      <c r="C550" s="423"/>
      <c r="D550" s="423"/>
      <c r="E550" s="423"/>
      <c r="F550" s="423"/>
      <c r="G550" s="423"/>
      <c r="H550" s="423"/>
    </row>
    <row r="551" spans="1:8" ht="11.1" customHeight="1">
      <c r="A551" s="40"/>
      <c r="B551" s="423"/>
      <c r="C551" s="423"/>
      <c r="D551" s="423"/>
      <c r="E551" s="423"/>
      <c r="F551" s="423"/>
      <c r="G551" s="423"/>
      <c r="H551" s="423"/>
    </row>
    <row r="552" spans="1:8" ht="11.1" customHeight="1">
      <c r="A552" s="40"/>
      <c r="B552" s="423"/>
      <c r="C552" s="423"/>
      <c r="D552" s="423"/>
      <c r="E552" s="423"/>
      <c r="F552" s="423"/>
      <c r="G552" s="423"/>
      <c r="H552" s="423"/>
    </row>
    <row r="553" spans="1:8" ht="11.1" customHeight="1">
      <c r="A553" s="40"/>
      <c r="B553" s="423"/>
      <c r="C553" s="423"/>
      <c r="D553" s="423"/>
      <c r="E553" s="423"/>
      <c r="F553" s="423"/>
      <c r="G553" s="423"/>
      <c r="H553" s="423"/>
    </row>
    <row r="554" spans="1:8" ht="11.1" customHeight="1">
      <c r="A554" s="40"/>
      <c r="B554" s="423"/>
      <c r="C554" s="423"/>
      <c r="D554" s="423"/>
      <c r="E554" s="423"/>
      <c r="F554" s="423"/>
      <c r="G554" s="423"/>
      <c r="H554" s="423"/>
    </row>
    <row r="555" spans="1:8" ht="11.1" customHeight="1">
      <c r="A555" s="40"/>
      <c r="B555" s="423"/>
      <c r="C555" s="423"/>
      <c r="D555" s="423"/>
      <c r="E555" s="423"/>
      <c r="F555" s="423"/>
      <c r="G555" s="423"/>
      <c r="H555" s="423"/>
    </row>
    <row r="556" spans="1:8" ht="11.1" customHeight="1"/>
    <row r="557" spans="1:8" ht="11.1" customHeight="1"/>
    <row r="558" spans="1:8" ht="11.1" customHeight="1"/>
    <row r="559" spans="1:8" ht="11.1" customHeight="1">
      <c r="A559" s="1186" t="s">
        <v>542</v>
      </c>
      <c r="B559" s="1186"/>
      <c r="C559" s="1186"/>
      <c r="D559" s="1186"/>
      <c r="E559" s="1186"/>
      <c r="F559" s="1186"/>
      <c r="G559" s="1186"/>
      <c r="H559" s="1186"/>
    </row>
    <row r="560" spans="1:8" ht="11.1" customHeight="1">
      <c r="A560" s="1186" t="s">
        <v>732</v>
      </c>
      <c r="B560" s="1186"/>
      <c r="C560" s="1186"/>
      <c r="D560" s="1186"/>
      <c r="E560" s="1186"/>
      <c r="F560" s="1186"/>
      <c r="G560" s="1186"/>
      <c r="H560" s="1186"/>
    </row>
    <row r="561" spans="1:8" ht="11.1" customHeight="1">
      <c r="A561" s="205"/>
      <c r="B561" s="205"/>
      <c r="C561" s="205"/>
      <c r="D561" s="205"/>
      <c r="E561" s="205"/>
      <c r="F561" s="205"/>
      <c r="G561" s="205"/>
      <c r="H561" s="204" t="s">
        <v>313</v>
      </c>
    </row>
    <row r="562" spans="1:8" ht="11.1" customHeight="1">
      <c r="A562" s="1187" t="s">
        <v>212</v>
      </c>
      <c r="B562" s="1189" t="s">
        <v>314</v>
      </c>
      <c r="C562" s="1020" t="s">
        <v>214</v>
      </c>
      <c r="D562" s="1021"/>
      <c r="E562" s="1021"/>
      <c r="F562" s="1021"/>
      <c r="G562" s="1022"/>
      <c r="H562" s="1189" t="s">
        <v>126</v>
      </c>
    </row>
    <row r="563" spans="1:8" ht="11.1" customHeight="1" thickBot="1">
      <c r="A563" s="1188"/>
      <c r="B563" s="1190"/>
      <c r="C563" s="62">
        <v>2011</v>
      </c>
      <c r="D563" s="62">
        <v>2012</v>
      </c>
      <c r="E563" s="62">
        <v>2013</v>
      </c>
      <c r="F563" s="62">
        <v>2014</v>
      </c>
      <c r="G563" s="62">
        <v>2015</v>
      </c>
      <c r="H563" s="1190"/>
    </row>
    <row r="564" spans="1:8" ht="11.1" customHeight="1" thickTop="1">
      <c r="A564" s="206">
        <v>1</v>
      </c>
      <c r="B564" s="207" t="s">
        <v>315</v>
      </c>
      <c r="C564" s="208">
        <v>779.6</v>
      </c>
      <c r="D564" s="208">
        <v>800.8</v>
      </c>
      <c r="E564" s="209">
        <v>996.9</v>
      </c>
      <c r="F564" s="209">
        <v>457.43</v>
      </c>
      <c r="G564" s="209">
        <v>533.20000000000005</v>
      </c>
      <c r="H564" s="134">
        <f>((D564-C564)/C564*100+(E564-D564)/D564*100+(F564-E564)/E564*100+(G564-F564)/F564*100)/4</f>
        <v>-2.5857793605343344</v>
      </c>
    </row>
    <row r="565" spans="1:8" ht="11.1" customHeight="1">
      <c r="A565" s="210">
        <v>2</v>
      </c>
      <c r="B565" s="211" t="s">
        <v>316</v>
      </c>
      <c r="C565" s="212">
        <v>532.20000000000005</v>
      </c>
      <c r="D565" s="212">
        <v>263</v>
      </c>
      <c r="E565" s="213">
        <v>202.2</v>
      </c>
      <c r="F565" s="213">
        <v>209</v>
      </c>
      <c r="G565" s="213">
        <v>199</v>
      </c>
      <c r="H565" s="37">
        <f t="shared" ref="H565:H570" si="35">((D565-C565)/C565*100+(E565-D565)/D565*100+(F565-E565)/E565*100+(G565-F565)/F565*100)/4</f>
        <v>-18.780510145089352</v>
      </c>
    </row>
    <row r="566" spans="1:8" ht="11.1" customHeight="1">
      <c r="A566" s="210">
        <v>3</v>
      </c>
      <c r="B566" s="211" t="s">
        <v>317</v>
      </c>
      <c r="C566" s="212">
        <f>SUM(C567:C570)</f>
        <v>1502.1000000000001</v>
      </c>
      <c r="D566" s="212">
        <f>SUM(D567:D570)</f>
        <v>1339</v>
      </c>
      <c r="E566" s="212">
        <f>SUM(E567:E570)</f>
        <v>1482.4</v>
      </c>
      <c r="F566" s="213">
        <f>SUM(F567:F570)</f>
        <v>1417.26</v>
      </c>
      <c r="G566" s="213">
        <f>SUM(G567:G570)</f>
        <v>1254</v>
      </c>
      <c r="H566" s="37">
        <f t="shared" si="35"/>
        <v>-4.015570883138122</v>
      </c>
    </row>
    <row r="567" spans="1:8" ht="11.1" customHeight="1">
      <c r="A567" s="210"/>
      <c r="B567" s="211" t="s">
        <v>318</v>
      </c>
      <c r="C567" s="214">
        <v>941.2</v>
      </c>
      <c r="D567" s="214">
        <v>901.2</v>
      </c>
      <c r="E567" s="215">
        <v>1202.5999999999999</v>
      </c>
      <c r="F567" s="215">
        <v>1154</v>
      </c>
      <c r="G567" s="215">
        <v>997</v>
      </c>
      <c r="H567" s="35">
        <f t="shared" si="35"/>
        <v>2.8870765208010343</v>
      </c>
    </row>
    <row r="568" spans="1:8" ht="11.1" customHeight="1">
      <c r="A568" s="216"/>
      <c r="B568" s="217" t="s">
        <v>319</v>
      </c>
      <c r="C568" s="218">
        <v>536.6</v>
      </c>
      <c r="D568" s="218">
        <v>424</v>
      </c>
      <c r="E568" s="219">
        <v>269.89999999999998</v>
      </c>
      <c r="F568" s="219">
        <v>253.54</v>
      </c>
      <c r="G568" s="219">
        <v>246.9</v>
      </c>
      <c r="H568" s="35">
        <f t="shared" si="35"/>
        <v>-16.502183298800144</v>
      </c>
    </row>
    <row r="569" spans="1:8" ht="11.1" customHeight="1">
      <c r="A569" s="216"/>
      <c r="B569" s="217" t="s">
        <v>320</v>
      </c>
      <c r="C569" s="218">
        <v>24.3</v>
      </c>
      <c r="D569" s="218">
        <v>13.8</v>
      </c>
      <c r="E569" s="219">
        <v>9.9</v>
      </c>
      <c r="F569" s="219">
        <v>9.7200000000000006</v>
      </c>
      <c r="G569" s="219">
        <v>10.1</v>
      </c>
      <c r="H569" s="35">
        <f t="shared" si="35"/>
        <v>-17.344865726508239</v>
      </c>
    </row>
    <row r="570" spans="1:8" ht="11.1" customHeight="1" thickBot="1">
      <c r="A570" s="216"/>
      <c r="B570" s="217" t="s">
        <v>321</v>
      </c>
      <c r="C570" s="218">
        <v>0</v>
      </c>
      <c r="D570" s="218">
        <v>0</v>
      </c>
      <c r="E570" s="219">
        <v>0</v>
      </c>
      <c r="F570" s="219">
        <v>0</v>
      </c>
      <c r="G570" s="219">
        <v>0</v>
      </c>
      <c r="H570" s="35" t="e">
        <f t="shared" si="35"/>
        <v>#DIV/0!</v>
      </c>
    </row>
    <row r="571" spans="1:8" ht="11.1" customHeight="1" thickTop="1" thickBot="1">
      <c r="A571" s="1064" t="s">
        <v>224</v>
      </c>
      <c r="B571" s="1065"/>
      <c r="C571" s="220">
        <f>C564+C565+C566</f>
        <v>2813.9000000000005</v>
      </c>
      <c r="D571" s="220">
        <f>D564+D565+D566</f>
        <v>2402.8000000000002</v>
      </c>
      <c r="E571" s="220">
        <f>E564+E565+E566</f>
        <v>2681.5</v>
      </c>
      <c r="F571" s="220">
        <f>F564+F565+F566</f>
        <v>2083.69</v>
      </c>
      <c r="G571" s="220">
        <f>G564+G565+G566</f>
        <v>1986.2</v>
      </c>
      <c r="H571" s="84">
        <f>((D571-C571)/C571*100+(E571-D571)/D571*100+(F571-E571)/E571*100+(G571-F571)/F571*100)/4</f>
        <v>-7.4958082631943519</v>
      </c>
    </row>
    <row r="572" spans="1:8" ht="10.5" customHeight="1" thickTop="1">
      <c r="A572" s="205"/>
      <c r="B572" s="205"/>
      <c r="C572" s="205"/>
      <c r="D572" s="205"/>
      <c r="E572" s="205"/>
      <c r="F572" s="205"/>
      <c r="G572" s="205"/>
      <c r="H572" s="205"/>
    </row>
    <row r="573" spans="1:8" ht="11.1" customHeight="1">
      <c r="A573" s="205"/>
      <c r="B573" s="966" t="s">
        <v>332</v>
      </c>
      <c r="C573" s="966"/>
      <c r="D573" s="966"/>
      <c r="E573" s="966"/>
      <c r="F573" s="966"/>
      <c r="G573" s="966"/>
      <c r="H573" s="966"/>
    </row>
    <row r="574" spans="1:8" ht="11.1" customHeight="1">
      <c r="A574" s="40"/>
      <c r="B574" s="109"/>
      <c r="C574" s="109"/>
      <c r="D574" s="109"/>
      <c r="E574" s="109"/>
      <c r="F574" s="109"/>
      <c r="G574" s="109"/>
      <c r="H574" s="113"/>
    </row>
    <row r="575" spans="1:8" ht="11.1" customHeight="1">
      <c r="A575" s="40"/>
      <c r="B575" s="1066" t="s">
        <v>322</v>
      </c>
      <c r="C575" s="1066"/>
      <c r="D575" s="1066"/>
      <c r="E575" s="1066"/>
      <c r="F575" s="109"/>
      <c r="G575" s="109"/>
      <c r="H575" s="113"/>
    </row>
    <row r="576" spans="1:8" ht="11.1" customHeight="1">
      <c r="A576" s="40"/>
      <c r="B576" s="1066"/>
      <c r="C576" s="1066"/>
      <c r="D576" s="1066"/>
      <c r="E576" s="1066"/>
      <c r="F576" s="109"/>
      <c r="G576" s="109"/>
      <c r="H576" s="113"/>
    </row>
    <row r="577" spans="1:8" ht="11.1" customHeight="1">
      <c r="A577" s="40"/>
      <c r="B577" s="1066"/>
      <c r="C577" s="1066"/>
      <c r="D577" s="1066"/>
      <c r="E577" s="1066"/>
      <c r="F577" s="109"/>
      <c r="G577" s="109"/>
      <c r="H577" s="113"/>
    </row>
    <row r="578" spans="1:8" ht="11.1" customHeight="1">
      <c r="A578" s="40"/>
      <c r="B578" s="428"/>
      <c r="C578" s="428"/>
      <c r="D578" s="428"/>
      <c r="E578" s="428"/>
      <c r="F578" s="429"/>
      <c r="G578" s="429"/>
      <c r="H578" s="113"/>
    </row>
    <row r="579" spans="1:8" ht="11.1" customHeight="1">
      <c r="A579" s="40"/>
      <c r="B579" s="428"/>
      <c r="C579" s="428"/>
      <c r="D579" s="428"/>
      <c r="E579" s="428"/>
      <c r="F579" s="429"/>
      <c r="G579" s="429"/>
      <c r="H579" s="113"/>
    </row>
    <row r="580" spans="1:8" ht="11.1" customHeight="1">
      <c r="A580" s="40"/>
      <c r="B580" s="428"/>
      <c r="C580" s="428"/>
      <c r="D580" s="428"/>
      <c r="E580" s="428"/>
      <c r="F580" s="429"/>
      <c r="G580" s="429"/>
      <c r="H580" s="113"/>
    </row>
    <row r="581" spans="1:8" ht="11.1" customHeight="1">
      <c r="A581" s="40"/>
      <c r="B581" s="428"/>
      <c r="C581" s="428"/>
      <c r="D581" s="428"/>
      <c r="E581" s="428"/>
      <c r="F581" s="429"/>
      <c r="G581" s="429"/>
      <c r="H581" s="113"/>
    </row>
    <row r="582" spans="1:8" ht="11.1" customHeight="1">
      <c r="A582" s="40"/>
      <c r="B582" s="428"/>
      <c r="C582" s="428"/>
      <c r="D582" s="428"/>
      <c r="E582" s="428"/>
      <c r="F582" s="429"/>
      <c r="G582" s="429"/>
      <c r="H582" s="113"/>
    </row>
    <row r="583" spans="1:8" ht="11.1" customHeight="1">
      <c r="A583" s="40"/>
      <c r="B583" s="428"/>
      <c r="C583" s="428"/>
      <c r="D583" s="428"/>
      <c r="E583" s="428"/>
      <c r="F583" s="429"/>
      <c r="G583" s="429"/>
      <c r="H583" s="113"/>
    </row>
    <row r="584" spans="1:8" ht="11.1" customHeight="1">
      <c r="A584" s="40"/>
      <c r="B584" s="233"/>
      <c r="C584" s="233"/>
      <c r="D584" s="233"/>
      <c r="E584" s="233"/>
      <c r="F584" s="109"/>
      <c r="G584" s="109"/>
      <c r="H584" s="113"/>
    </row>
    <row r="585" spans="1:8" ht="11.1" customHeight="1">
      <c r="A585" s="40"/>
      <c r="B585" s="233"/>
      <c r="C585" s="233"/>
      <c r="D585" s="233"/>
      <c r="E585" s="233"/>
      <c r="F585" s="109"/>
      <c r="G585" s="109"/>
      <c r="H585" s="113"/>
    </row>
    <row r="586" spans="1:8" ht="11.1" customHeight="1"/>
    <row r="587" spans="1:8" ht="11.1" customHeight="1"/>
    <row r="588" spans="1:8" ht="11.1" customHeight="1">
      <c r="A588" s="1067" t="s">
        <v>492</v>
      </c>
      <c r="B588" s="1067"/>
      <c r="C588" s="1067"/>
      <c r="D588" s="1067"/>
      <c r="E588" s="1067"/>
      <c r="F588" s="1067"/>
      <c r="G588" s="1067"/>
      <c r="H588" s="1067"/>
    </row>
    <row r="589" spans="1:8" ht="11.1" customHeight="1">
      <c r="A589" s="1024" t="s">
        <v>710</v>
      </c>
      <c r="B589" s="1024"/>
      <c r="C589" s="1024"/>
      <c r="D589" s="1024"/>
      <c r="E589" s="1024"/>
      <c r="F589" s="1024"/>
      <c r="G589" s="1024"/>
      <c r="H589" s="1024"/>
    </row>
    <row r="590" spans="1:8" ht="11.1" customHeight="1">
      <c r="A590" s="222"/>
      <c r="B590" s="222"/>
      <c r="C590" s="222"/>
      <c r="D590" s="222"/>
      <c r="E590" s="222"/>
      <c r="F590" s="222"/>
      <c r="G590" s="222"/>
      <c r="H590" s="221" t="s">
        <v>226</v>
      </c>
    </row>
    <row r="591" spans="1:8" ht="11.1" customHeight="1">
      <c r="A591" s="1060" t="s">
        <v>212</v>
      </c>
      <c r="B591" s="1062" t="s">
        <v>223</v>
      </c>
      <c r="C591" s="1020" t="s">
        <v>214</v>
      </c>
      <c r="D591" s="1021"/>
      <c r="E591" s="1021"/>
      <c r="F591" s="1021"/>
      <c r="G591" s="1022"/>
      <c r="H591" s="1062" t="s">
        <v>126</v>
      </c>
    </row>
    <row r="592" spans="1:8" ht="11.1" customHeight="1" thickBot="1">
      <c r="A592" s="1061"/>
      <c r="B592" s="1063"/>
      <c r="C592" s="160">
        <v>2011</v>
      </c>
      <c r="D592" s="160">
        <v>2012</v>
      </c>
      <c r="E592" s="160">
        <v>2013</v>
      </c>
      <c r="F592" s="160">
        <v>2014</v>
      </c>
      <c r="G592" s="160">
        <v>2015</v>
      </c>
      <c r="H592" s="1063"/>
    </row>
    <row r="593" spans="1:11" ht="11.1" customHeight="1" thickTop="1">
      <c r="A593" s="223">
        <v>1</v>
      </c>
      <c r="B593" s="223" t="s">
        <v>121</v>
      </c>
      <c r="C593" s="224">
        <v>976.6</v>
      </c>
      <c r="D593" s="224">
        <v>504.1</v>
      </c>
      <c r="E593" s="225">
        <v>859.6</v>
      </c>
      <c r="F593" s="609">
        <v>475.1</v>
      </c>
      <c r="G593" s="609">
        <v>510.3</v>
      </c>
      <c r="H593" s="30">
        <f t="shared" ref="H593:H602" si="36">((D593-C593)/C593*100+(E593-D593)/D593*100+(F593-E593)/E593*100+(G593-F593)/F593*100)/4</f>
        <v>-3.7953901845814211</v>
      </c>
      <c r="J593" s="456"/>
      <c r="K593" s="456"/>
    </row>
    <row r="594" spans="1:11" ht="11.1" customHeight="1">
      <c r="A594" s="226">
        <v>2</v>
      </c>
      <c r="B594" s="226" t="s">
        <v>122</v>
      </c>
      <c r="C594" s="227">
        <v>33835.199999999997</v>
      </c>
      <c r="D594" s="227">
        <v>43932.3</v>
      </c>
      <c r="E594" s="228">
        <v>44333.8</v>
      </c>
      <c r="F594" s="610">
        <v>507.4</v>
      </c>
      <c r="G594" s="610">
        <v>585.42999999999995</v>
      </c>
      <c r="H594" s="35">
        <f t="shared" si="36"/>
        <v>-13.180299012536414</v>
      </c>
      <c r="J594" s="456"/>
      <c r="K594" s="456"/>
    </row>
    <row r="595" spans="1:11" ht="11.1" customHeight="1">
      <c r="A595" s="226">
        <v>3</v>
      </c>
      <c r="B595" s="226" t="s">
        <v>184</v>
      </c>
      <c r="C595" s="227">
        <v>2131.5</v>
      </c>
      <c r="D595" s="227">
        <v>2618.8000000000002</v>
      </c>
      <c r="E595" s="228">
        <v>3356.6</v>
      </c>
      <c r="F595" s="610">
        <v>3900.1</v>
      </c>
      <c r="G595" s="610">
        <v>2931.8</v>
      </c>
      <c r="H595" s="35">
        <f t="shared" si="36"/>
        <v>10.599863737047883</v>
      </c>
      <c r="J595" s="456"/>
      <c r="K595" s="456"/>
    </row>
    <row r="596" spans="1:11" ht="11.1" customHeight="1">
      <c r="A596" s="226">
        <v>4</v>
      </c>
      <c r="B596" s="226" t="s">
        <v>120</v>
      </c>
      <c r="C596" s="227">
        <v>1264.3</v>
      </c>
      <c r="D596" s="227">
        <v>1391.8</v>
      </c>
      <c r="E596" s="228">
        <v>1189.3800000000001</v>
      </c>
      <c r="F596" s="610">
        <v>2929.5</v>
      </c>
      <c r="G596" s="610">
        <v>1672.72</v>
      </c>
      <c r="H596" s="35">
        <f t="shared" si="36"/>
        <v>24.736209165638698</v>
      </c>
      <c r="J596" s="456"/>
      <c r="K596" s="456"/>
    </row>
    <row r="597" spans="1:11" ht="11.1" customHeight="1">
      <c r="A597" s="226">
        <v>5</v>
      </c>
      <c r="B597" s="226" t="s">
        <v>125</v>
      </c>
      <c r="C597" s="227">
        <v>2221.1999999999998</v>
      </c>
      <c r="D597" s="227">
        <v>1081.9000000000001</v>
      </c>
      <c r="E597" s="228">
        <v>1962.3</v>
      </c>
      <c r="F597" s="610">
        <v>2054.1799999999998</v>
      </c>
      <c r="G597" s="610">
        <v>2840.6</v>
      </c>
      <c r="H597" s="35">
        <f t="shared" si="36"/>
        <v>18.262353462632213</v>
      </c>
      <c r="J597" s="456"/>
      <c r="K597" s="456"/>
    </row>
    <row r="598" spans="1:11" ht="11.1" customHeight="1">
      <c r="A598" s="226">
        <v>6</v>
      </c>
      <c r="B598" s="226" t="s">
        <v>124</v>
      </c>
      <c r="C598" s="227">
        <v>250.1</v>
      </c>
      <c r="D598" s="227">
        <v>362.6</v>
      </c>
      <c r="E598" s="228">
        <v>796.61</v>
      </c>
      <c r="F598" s="610">
        <v>587.61</v>
      </c>
      <c r="G598" s="610">
        <v>461</v>
      </c>
      <c r="H598" s="35">
        <f t="shared" si="36"/>
        <v>29.223276228278976</v>
      </c>
      <c r="J598" s="456"/>
      <c r="K598" s="456"/>
    </row>
    <row r="599" spans="1:11" ht="11.1" customHeight="1">
      <c r="A599" s="226">
        <v>7</v>
      </c>
      <c r="B599" s="226" t="s">
        <v>123</v>
      </c>
      <c r="C599" s="227">
        <v>106971.25</v>
      </c>
      <c r="D599" s="227">
        <v>100246.6</v>
      </c>
      <c r="E599" s="228">
        <v>100902.42</v>
      </c>
      <c r="F599" s="610">
        <v>83790.600000000006</v>
      </c>
      <c r="G599" s="610">
        <v>106327.17</v>
      </c>
      <c r="H599" s="35">
        <f t="shared" si="36"/>
        <v>1.0763290131732122</v>
      </c>
      <c r="J599" s="456"/>
      <c r="K599" s="456"/>
    </row>
    <row r="600" spans="1:11" ht="11.1" customHeight="1">
      <c r="A600" s="226">
        <v>8</v>
      </c>
      <c r="B600" s="226" t="s">
        <v>195</v>
      </c>
      <c r="C600" s="227">
        <v>1625.15</v>
      </c>
      <c r="D600" s="227">
        <v>1908.4</v>
      </c>
      <c r="E600" s="228">
        <v>1739.9</v>
      </c>
      <c r="F600" s="610">
        <v>1823.9</v>
      </c>
      <c r="G600" s="610">
        <v>877.76</v>
      </c>
      <c r="H600" s="35">
        <f t="shared" si="36"/>
        <v>-9.6117290858692979</v>
      </c>
      <c r="J600" s="456"/>
      <c r="K600" s="456"/>
    </row>
    <row r="601" spans="1:11" ht="11.1" customHeight="1" thickBot="1">
      <c r="A601" s="229">
        <v>9</v>
      </c>
      <c r="B601" s="229" t="s">
        <v>198</v>
      </c>
      <c r="C601" s="230">
        <v>2010.2</v>
      </c>
      <c r="D601" s="230">
        <v>3862</v>
      </c>
      <c r="E601" s="231">
        <v>5238</v>
      </c>
      <c r="F601" s="611">
        <v>6397</v>
      </c>
      <c r="G601" s="611">
        <v>6415</v>
      </c>
      <c r="H601" s="35">
        <f t="shared" si="36"/>
        <v>37.539385637362791</v>
      </c>
      <c r="J601" s="456"/>
      <c r="K601" s="456"/>
    </row>
    <row r="602" spans="1:11" ht="11.1" customHeight="1" thickTop="1" thickBot="1">
      <c r="A602" s="1058" t="s">
        <v>224</v>
      </c>
      <c r="B602" s="1059"/>
      <c r="C602" s="232">
        <f>SUM(C593:C601)</f>
        <v>151285.5</v>
      </c>
      <c r="D602" s="232">
        <f>SUM(D593:D601)</f>
        <v>155908.5</v>
      </c>
      <c r="E602" s="232">
        <f>SUM(E593:E601)</f>
        <v>160378.60999999999</v>
      </c>
      <c r="F602" s="232">
        <f>SUM(F593:F601)</f>
        <v>102465.39</v>
      </c>
      <c r="G602" s="232">
        <f>SUM(G593:G601)</f>
        <v>122621.78</v>
      </c>
      <c r="H602" s="84">
        <f t="shared" si="36"/>
        <v>-2.6289881879695551</v>
      </c>
    </row>
    <row r="603" spans="1:11" ht="11.1" customHeight="1" thickTop="1">
      <c r="A603" s="222"/>
      <c r="B603" s="222"/>
      <c r="C603" s="222"/>
      <c r="D603" s="222"/>
      <c r="E603" s="222"/>
      <c r="F603" s="222"/>
      <c r="G603" s="222"/>
      <c r="H603" s="222"/>
    </row>
    <row r="604" spans="1:11" ht="11.1" customHeight="1">
      <c r="A604" s="40"/>
      <c r="B604" s="966" t="s">
        <v>333</v>
      </c>
      <c r="C604" s="966"/>
      <c r="D604" s="966"/>
      <c r="E604" s="966"/>
      <c r="F604" s="966"/>
      <c r="G604" s="966"/>
      <c r="H604" s="966"/>
    </row>
    <row r="605" spans="1:11" ht="11.1" customHeight="1">
      <c r="A605" s="40"/>
      <c r="B605" s="427"/>
      <c r="C605" s="427"/>
      <c r="D605" s="427"/>
      <c r="E605" s="427"/>
      <c r="F605" s="427"/>
      <c r="G605" s="427"/>
      <c r="H605" s="427"/>
    </row>
    <row r="606" spans="1:11" ht="11.1" customHeight="1">
      <c r="A606" s="40"/>
      <c r="B606" s="427"/>
      <c r="C606" s="427"/>
      <c r="D606" s="427"/>
      <c r="E606" s="427"/>
      <c r="F606" s="427"/>
      <c r="G606" s="427"/>
      <c r="H606" s="427"/>
    </row>
    <row r="607" spans="1:11" ht="11.1" customHeight="1">
      <c r="A607" s="40"/>
      <c r="B607" s="427"/>
      <c r="C607" s="427"/>
      <c r="D607" s="427"/>
      <c r="E607" s="427"/>
      <c r="F607" s="427"/>
      <c r="G607" s="427"/>
      <c r="H607" s="427"/>
    </row>
    <row r="608" spans="1:11" ht="11.1" customHeight="1">
      <c r="A608" s="40"/>
      <c r="B608" s="427"/>
      <c r="C608" s="427"/>
      <c r="D608" s="427"/>
      <c r="E608" s="427"/>
      <c r="F608" s="427"/>
      <c r="G608" s="427"/>
      <c r="H608" s="427"/>
    </row>
    <row r="609" spans="1:10" ht="11.1" customHeight="1">
      <c r="A609" s="40"/>
      <c r="B609" s="427"/>
      <c r="C609" s="427"/>
      <c r="D609" s="427"/>
      <c r="E609" s="427"/>
      <c r="F609" s="427"/>
      <c r="G609" s="427"/>
      <c r="H609" s="427"/>
    </row>
    <row r="610" spans="1:10" ht="11.1" customHeight="1">
      <c r="A610" s="40"/>
      <c r="B610" s="427"/>
      <c r="C610" s="427"/>
      <c r="D610" s="427"/>
      <c r="E610" s="427"/>
      <c r="F610" s="427"/>
      <c r="G610" s="427"/>
      <c r="H610" s="427"/>
    </row>
    <row r="611" spans="1:10" ht="11.1" customHeight="1">
      <c r="A611" s="40"/>
      <c r="B611" s="427"/>
      <c r="C611" s="427"/>
      <c r="D611" s="427"/>
      <c r="E611" s="427"/>
      <c r="F611" s="427"/>
      <c r="G611" s="427"/>
      <c r="H611" s="427"/>
    </row>
    <row r="612" spans="1:10" ht="11.1" customHeight="1">
      <c r="A612" s="40"/>
      <c r="B612" s="427"/>
      <c r="C612" s="427"/>
      <c r="D612" s="427"/>
      <c r="E612" s="427"/>
      <c r="F612" s="427"/>
      <c r="G612" s="427"/>
      <c r="H612" s="427"/>
    </row>
    <row r="613" spans="1:10" ht="11.1" customHeight="1">
      <c r="A613" s="40"/>
      <c r="B613" s="427"/>
      <c r="C613" s="427"/>
      <c r="D613" s="427"/>
      <c r="E613" s="427"/>
      <c r="F613" s="427"/>
      <c r="G613" s="427"/>
      <c r="H613" s="427"/>
    </row>
    <row r="614" spans="1:10" ht="11.1" customHeight="1">
      <c r="A614" s="40"/>
      <c r="B614" s="432"/>
      <c r="C614" s="432"/>
      <c r="D614" s="432"/>
      <c r="E614" s="432"/>
      <c r="F614" s="432"/>
      <c r="G614" s="432"/>
      <c r="H614" s="432"/>
    </row>
    <row r="615" spans="1:10" ht="11.1" customHeight="1"/>
    <row r="616" spans="1:10" ht="11.1" customHeight="1"/>
    <row r="617" spans="1:10" ht="11.1" customHeight="1"/>
    <row r="618" spans="1:10" ht="11.1" customHeight="1">
      <c r="A618" s="1024" t="s">
        <v>543</v>
      </c>
      <c r="B618" s="1024"/>
      <c r="C618" s="1024"/>
      <c r="D618" s="1024"/>
      <c r="E618" s="1024"/>
      <c r="F618" s="1024"/>
      <c r="G618" s="1024"/>
      <c r="H618" s="1024"/>
    </row>
    <row r="619" spans="1:10" ht="11.1" customHeight="1">
      <c r="A619" s="1024" t="s">
        <v>711</v>
      </c>
      <c r="B619" s="1024"/>
      <c r="C619" s="1024"/>
      <c r="D619" s="1024"/>
      <c r="E619" s="1024"/>
      <c r="F619" s="1024"/>
      <c r="G619" s="1024"/>
      <c r="H619" s="1024"/>
    </row>
    <row r="620" spans="1:10" ht="11.1" customHeight="1">
      <c r="A620" s="40"/>
      <c r="B620" s="40"/>
      <c r="C620" s="40"/>
      <c r="D620" s="40"/>
      <c r="E620" s="40"/>
      <c r="F620" s="40"/>
      <c r="G620" s="40"/>
      <c r="H620" s="113" t="s">
        <v>226</v>
      </c>
    </row>
    <row r="621" spans="1:10" ht="11.1" customHeight="1">
      <c r="A621" s="1054" t="s">
        <v>212</v>
      </c>
      <c r="B621" s="1043" t="s">
        <v>314</v>
      </c>
      <c r="C621" s="1020" t="s">
        <v>214</v>
      </c>
      <c r="D621" s="1021"/>
      <c r="E621" s="1021"/>
      <c r="F621" s="1021"/>
      <c r="G621" s="1022"/>
      <c r="H621" s="1043" t="s">
        <v>126</v>
      </c>
    </row>
    <row r="622" spans="1:10" ht="11.1" customHeight="1" thickBot="1">
      <c r="A622" s="1055"/>
      <c r="B622" s="1044"/>
      <c r="C622" s="62">
        <v>2011</v>
      </c>
      <c r="D622" s="62">
        <v>2012</v>
      </c>
      <c r="E622" s="62">
        <v>2013</v>
      </c>
      <c r="F622" s="62">
        <v>2014</v>
      </c>
      <c r="G622" s="62">
        <v>2015</v>
      </c>
      <c r="H622" s="1044"/>
    </row>
    <row r="623" spans="1:10" ht="11.1" customHeight="1" thickTop="1">
      <c r="A623" s="27">
        <v>1</v>
      </c>
      <c r="B623" s="28" t="s">
        <v>325</v>
      </c>
      <c r="C623" s="100">
        <v>142132.5</v>
      </c>
      <c r="D623" s="100">
        <v>144569.20000000001</v>
      </c>
      <c r="E623" s="201">
        <v>146192.12</v>
      </c>
      <c r="F623" s="670">
        <f>315.7+156+678.55+83780.8</f>
        <v>84931.05</v>
      </c>
      <c r="G623" s="670">
        <v>107921.49</v>
      </c>
      <c r="H623" s="30">
        <f t="shared" ref="H623:H628" si="37">((D623-C623)/C623*100+(E623-D623)/D623*100+(F623-E623)/E623*100+(G623-F623)/F623*100)/4</f>
        <v>-2.9994959928114326</v>
      </c>
      <c r="J623" s="456"/>
    </row>
    <row r="624" spans="1:10" ht="11.1" customHeight="1">
      <c r="A624" s="31">
        <v>2</v>
      </c>
      <c r="B624" s="32" t="s">
        <v>326</v>
      </c>
      <c r="C624" s="102">
        <v>2231.6999999999998</v>
      </c>
      <c r="D624" s="102">
        <v>1899.4</v>
      </c>
      <c r="E624" s="202">
        <v>2398.39</v>
      </c>
      <c r="F624" s="671">
        <v>3554</v>
      </c>
      <c r="G624" s="671">
        <v>3287.52</v>
      </c>
      <c r="H624" s="35">
        <f t="shared" si="37"/>
        <v>13.016410588119328</v>
      </c>
      <c r="J624" s="456"/>
    </row>
    <row r="625" spans="1:10" ht="11.1" customHeight="1">
      <c r="A625" s="31">
        <v>3</v>
      </c>
      <c r="B625" s="32" t="s">
        <v>327</v>
      </c>
      <c r="C625" s="102">
        <v>4798.3</v>
      </c>
      <c r="D625" s="102">
        <v>6179.1</v>
      </c>
      <c r="E625" s="202">
        <v>7409.57</v>
      </c>
      <c r="F625" s="671">
        <v>9297.1</v>
      </c>
      <c r="G625" s="671">
        <v>6480.74</v>
      </c>
      <c r="H625" s="35">
        <f t="shared" si="37"/>
        <v>10.967901763796938</v>
      </c>
      <c r="J625" s="456"/>
    </row>
    <row r="626" spans="1:10" ht="11.1" customHeight="1">
      <c r="A626" s="31">
        <v>4</v>
      </c>
      <c r="B626" s="32" t="s">
        <v>328</v>
      </c>
      <c r="C626" s="102">
        <v>337.6</v>
      </c>
      <c r="D626" s="102">
        <v>370.4</v>
      </c>
      <c r="E626" s="202">
        <v>280.2</v>
      </c>
      <c r="F626" s="671">
        <v>324.5</v>
      </c>
      <c r="G626" s="671">
        <v>245.03</v>
      </c>
      <c r="H626" s="35">
        <f t="shared" si="37"/>
        <v>-5.8290652499224933</v>
      </c>
      <c r="J626" s="456"/>
    </row>
    <row r="627" spans="1:10" ht="11.1" customHeight="1">
      <c r="A627" s="31">
        <v>5</v>
      </c>
      <c r="B627" s="32" t="s">
        <v>329</v>
      </c>
      <c r="C627" s="102">
        <v>1785.4</v>
      </c>
      <c r="D627" s="102">
        <v>2890.4</v>
      </c>
      <c r="E627" s="202">
        <v>4098.33</v>
      </c>
      <c r="F627" s="671">
        <f>71.4+19.35+4268</f>
        <v>4358.75</v>
      </c>
      <c r="G627" s="671">
        <v>4687</v>
      </c>
      <c r="H627" s="35">
        <f>((D627-C627)/C627*100+(E627-D627)/D627*100+(F627-E627)/E627*100+(G627-F627)/F627*100)/4</f>
        <v>29.391779674389404</v>
      </c>
      <c r="J627" s="456"/>
    </row>
    <row r="628" spans="1:10" ht="11.1" customHeight="1" thickBot="1">
      <c r="A628" s="31">
        <v>6</v>
      </c>
      <c r="B628" s="32" t="s">
        <v>330</v>
      </c>
      <c r="C628" s="102">
        <v>0</v>
      </c>
      <c r="D628" s="102">
        <v>0</v>
      </c>
      <c r="E628" s="202">
        <v>0</v>
      </c>
      <c r="F628" s="202">
        <v>0</v>
      </c>
      <c r="G628" s="202">
        <v>0</v>
      </c>
      <c r="H628" s="35" t="e">
        <f t="shared" si="37"/>
        <v>#DIV/0!</v>
      </c>
    </row>
    <row r="629" spans="1:10" ht="11.1" customHeight="1" thickTop="1" thickBot="1">
      <c r="A629" s="1056" t="s">
        <v>224</v>
      </c>
      <c r="B629" s="1057"/>
      <c r="C629" s="107">
        <f>SUM(C623:C628)</f>
        <v>151285.5</v>
      </c>
      <c r="D629" s="107">
        <f>SUM(D623:D628)</f>
        <v>155908.5</v>
      </c>
      <c r="E629" s="107">
        <f>SUM(E623:E628)</f>
        <v>160378.61000000002</v>
      </c>
      <c r="F629" s="107">
        <f>SUM(F623:F628)</f>
        <v>102465.40000000001</v>
      </c>
      <c r="G629" s="107">
        <f>SUM(G623:G628)</f>
        <v>122621.78000000001</v>
      </c>
      <c r="H629" s="84">
        <f>((D629-C629)/C629*100+(E629-D629)/D629*100+(F629-E629)/E629*100+(G629-F629)/F629*100)/4</f>
        <v>-2.6289895489587467</v>
      </c>
    </row>
    <row r="630" spans="1:10" ht="11.1" customHeight="1" thickTop="1">
      <c r="A630" s="40"/>
      <c r="B630" s="40"/>
      <c r="C630" s="40"/>
      <c r="D630" s="40"/>
      <c r="E630" s="40"/>
      <c r="F630" s="40"/>
      <c r="G630" s="40"/>
      <c r="H630" s="234"/>
    </row>
    <row r="631" spans="1:10" ht="11.1" customHeight="1">
      <c r="A631" s="40"/>
      <c r="B631" s="966" t="s">
        <v>336</v>
      </c>
      <c r="C631" s="966"/>
      <c r="D631" s="966"/>
      <c r="E631" s="966"/>
      <c r="F631" s="966"/>
      <c r="G631" s="966"/>
      <c r="H631" s="966"/>
    </row>
    <row r="632" spans="1:10" ht="11.1" customHeight="1"/>
    <row r="633" spans="1:10" ht="11.1" customHeight="1"/>
    <row r="634" spans="1:10" ht="11.1" customHeight="1"/>
    <row r="635" spans="1:10" ht="11.1" customHeight="1"/>
    <row r="636" spans="1:10" ht="11.1" customHeight="1"/>
    <row r="637" spans="1:10" ht="11.1" customHeight="1"/>
    <row r="638" spans="1:10" ht="11.1" customHeight="1"/>
    <row r="639" spans="1:10" ht="11.1" customHeight="1"/>
    <row r="640" spans="1:10" ht="11.1" customHeight="1"/>
    <row r="641" spans="1:8" ht="11.1" customHeight="1"/>
    <row r="642" spans="1:8" ht="11.1" customHeight="1"/>
    <row r="643" spans="1:8" ht="11.1" customHeight="1"/>
    <row r="644" spans="1:8" ht="11.1" customHeight="1"/>
    <row r="645" spans="1:8" ht="11.1" customHeight="1">
      <c r="A645" s="1049" t="s">
        <v>544</v>
      </c>
      <c r="B645" s="1049"/>
      <c r="C645" s="1049"/>
      <c r="D645" s="1049"/>
      <c r="E645" s="1049"/>
      <c r="F645" s="1049"/>
      <c r="G645" s="1049"/>
      <c r="H645" s="1049"/>
    </row>
    <row r="646" spans="1:8" ht="11.1" customHeight="1">
      <c r="A646" s="1049" t="s">
        <v>733</v>
      </c>
      <c r="B646" s="1049"/>
      <c r="C646" s="1049"/>
      <c r="D646" s="1049"/>
      <c r="E646" s="1049"/>
      <c r="F646" s="1049"/>
      <c r="G646" s="1049"/>
      <c r="H646" s="1049"/>
    </row>
    <row r="647" spans="1:8" ht="11.1" customHeight="1">
      <c r="A647" s="238"/>
      <c r="B647" s="238"/>
      <c r="C647" s="238"/>
      <c r="D647" s="238"/>
      <c r="E647" s="238"/>
      <c r="F647" s="238"/>
      <c r="G647" s="238"/>
      <c r="H647" s="235" t="s">
        <v>226</v>
      </c>
    </row>
    <row r="648" spans="1:8" ht="11.1" customHeight="1">
      <c r="A648" s="1050" t="s">
        <v>212</v>
      </c>
      <c r="B648" s="1052" t="s">
        <v>301</v>
      </c>
      <c r="C648" s="1020" t="s">
        <v>214</v>
      </c>
      <c r="D648" s="1021"/>
      <c r="E648" s="1021"/>
      <c r="F648" s="1021"/>
      <c r="G648" s="1022"/>
      <c r="H648" s="1052" t="s">
        <v>126</v>
      </c>
    </row>
    <row r="649" spans="1:8" ht="11.1" customHeight="1" thickBot="1">
      <c r="A649" s="1051"/>
      <c r="B649" s="1053"/>
      <c r="C649" s="160">
        <v>2011</v>
      </c>
      <c r="D649" s="160">
        <v>2012</v>
      </c>
      <c r="E649" s="160">
        <v>2013</v>
      </c>
      <c r="F649" s="160">
        <v>2014</v>
      </c>
      <c r="G649" s="160">
        <v>2015</v>
      </c>
      <c r="H649" s="1053"/>
    </row>
    <row r="650" spans="1:8" ht="11.1" customHeight="1" thickTop="1">
      <c r="A650" s="239">
        <v>1</v>
      </c>
      <c r="B650" s="239" t="s">
        <v>129</v>
      </c>
      <c r="C650" s="240">
        <v>141863.4</v>
      </c>
      <c r="D650" s="240">
        <v>144168.4</v>
      </c>
      <c r="E650" s="241">
        <v>145597.20000000001</v>
      </c>
      <c r="F650" s="241">
        <v>84336.3</v>
      </c>
      <c r="G650" s="241">
        <v>107209.1</v>
      </c>
      <c r="H650" s="30">
        <f>((D650-C650)/C650*100+(E650-D650)/D650*100+(F650-E650)/E650*100+(G650-F650)/F650*100)/4</f>
        <v>-3.0846985615766824</v>
      </c>
    </row>
    <row r="651" spans="1:8" ht="11.1" customHeight="1">
      <c r="A651" s="242">
        <v>2</v>
      </c>
      <c r="B651" s="242" t="s">
        <v>130</v>
      </c>
      <c r="C651" s="243">
        <v>2074.6</v>
      </c>
      <c r="D651" s="243">
        <v>1585</v>
      </c>
      <c r="E651" s="244">
        <f>2325.6</f>
        <v>2325.6</v>
      </c>
      <c r="F651" s="244">
        <v>3422.85</v>
      </c>
      <c r="G651" s="244">
        <v>3243.37</v>
      </c>
      <c r="H651" s="35">
        <f>((D651-C651)/C651*100+(E651-D651)/D651*100+(F651-E651)/E651*100+(G651-F651)/F651*100)/4</f>
        <v>16.265902741910274</v>
      </c>
    </row>
    <row r="652" spans="1:8" ht="11.1" customHeight="1">
      <c r="A652" s="242">
        <v>3</v>
      </c>
      <c r="B652" s="242" t="s">
        <v>138</v>
      </c>
      <c r="C652" s="243">
        <v>190.9</v>
      </c>
      <c r="D652" s="243">
        <v>228.2</v>
      </c>
      <c r="E652" s="244">
        <f>22.1+49.1</f>
        <v>71.2</v>
      </c>
      <c r="F652" s="244">
        <f>22.9+119.3</f>
        <v>142.19999999999999</v>
      </c>
      <c r="G652" s="244">
        <f>5+31.7</f>
        <v>36.700000000000003</v>
      </c>
      <c r="H652" s="35">
        <f>((D652-C652)/C652*100+(E652-D652)/D652*100+(F652-E652)/E652*100+(G652-F652)/F652*100)/4</f>
        <v>-5.9331129891616428</v>
      </c>
    </row>
    <row r="653" spans="1:8" ht="11.1" customHeight="1">
      <c r="A653" s="242">
        <v>4</v>
      </c>
      <c r="B653" s="242" t="s">
        <v>137</v>
      </c>
      <c r="C653" s="243">
        <v>771.90000000000009</v>
      </c>
      <c r="D653" s="243">
        <v>1777.1</v>
      </c>
      <c r="E653" s="244">
        <f>1011.1+249+658</f>
        <v>1918.1</v>
      </c>
      <c r="F653" s="244">
        <f>1283.6+280.5+583</f>
        <v>2147.1</v>
      </c>
      <c r="G653" s="244">
        <f>887.85+214.21+644.5</f>
        <v>1746.56</v>
      </c>
      <c r="H653" s="35">
        <f>((D653-C653)/C653*100+(E653-D653)/D653*100+(F653-E653)/E653*100+(G653-F653)/F653*100)/4</f>
        <v>32.860591300045897</v>
      </c>
    </row>
    <row r="654" spans="1:8" ht="11.1" customHeight="1">
      <c r="A654" s="242">
        <v>5</v>
      </c>
      <c r="B654" s="242" t="s">
        <v>133</v>
      </c>
      <c r="C654" s="243">
        <v>790.8</v>
      </c>
      <c r="D654" s="243">
        <v>944.6</v>
      </c>
      <c r="E654" s="244">
        <v>448.3</v>
      </c>
      <c r="F654" s="244">
        <v>415.3</v>
      </c>
      <c r="G654" s="244">
        <v>240.42</v>
      </c>
      <c r="H654" s="35">
        <f t="shared" ref="H654:H659" si="38">((D654-C654)/C654*100+(E654-D654)/D654*100+(F654-E654)/E654*100+(G654-F654)/F654*100)/4</f>
        <v>-20.640639766203186</v>
      </c>
    </row>
    <row r="655" spans="1:8" ht="11.1" customHeight="1">
      <c r="A655" s="242">
        <v>6</v>
      </c>
      <c r="B655" s="242" t="s">
        <v>156</v>
      </c>
      <c r="C655" s="243">
        <v>2762.3</v>
      </c>
      <c r="D655" s="243">
        <v>3935.3</v>
      </c>
      <c r="E655" s="244">
        <f>4.2+2093.4+31.2+3440.3</f>
        <v>5569.1</v>
      </c>
      <c r="F655" s="244">
        <f>3+3134.8+44+3775.8</f>
        <v>6957.6</v>
      </c>
      <c r="G655" s="244">
        <f>8+2388.12+30.82+4042.5</f>
        <v>6469.4400000000005</v>
      </c>
      <c r="H655" s="35">
        <f t="shared" si="38"/>
        <v>25.474286366359813</v>
      </c>
    </row>
    <row r="656" spans="1:8" ht="11.1" customHeight="1">
      <c r="A656" s="242">
        <v>7</v>
      </c>
      <c r="B656" s="242" t="s">
        <v>154</v>
      </c>
      <c r="C656" s="243">
        <v>253.9</v>
      </c>
      <c r="D656" s="243">
        <v>533.4</v>
      </c>
      <c r="E656" s="244">
        <v>709.3</v>
      </c>
      <c r="F656" s="244">
        <v>1138.8</v>
      </c>
      <c r="G656" s="244">
        <v>481.31</v>
      </c>
      <c r="H656" s="35">
        <f t="shared" si="38"/>
        <v>36.469289924034769</v>
      </c>
    </row>
    <row r="657" spans="1:10" ht="11.1" customHeight="1">
      <c r="A657" s="242">
        <v>8</v>
      </c>
      <c r="B657" s="242" t="s">
        <v>136</v>
      </c>
      <c r="C657" s="243">
        <v>1690</v>
      </c>
      <c r="D657" s="243">
        <v>1664.9</v>
      </c>
      <c r="E657" s="244">
        <f>2564.5</f>
        <v>2564.5</v>
      </c>
      <c r="F657" s="244">
        <v>2717.9</v>
      </c>
      <c r="G657" s="244">
        <f>2182.29</f>
        <v>2182.29</v>
      </c>
      <c r="H657" s="35">
        <f t="shared" si="38"/>
        <v>9.7057455292927894</v>
      </c>
    </row>
    <row r="658" spans="1:10" ht="11.1" customHeight="1">
      <c r="A658" s="242">
        <v>9</v>
      </c>
      <c r="B658" s="242" t="s">
        <v>132</v>
      </c>
      <c r="C658" s="243">
        <v>135.88</v>
      </c>
      <c r="D658" s="243">
        <v>262.2</v>
      </c>
      <c r="E658" s="244">
        <f>278+17.9</f>
        <v>295.89999999999998</v>
      </c>
      <c r="F658" s="244">
        <v>280.7</v>
      </c>
      <c r="G658" s="244">
        <f>290.3+2.75</f>
        <v>293.05</v>
      </c>
      <c r="H658" s="35">
        <f t="shared" si="38"/>
        <v>26.270002225919445</v>
      </c>
    </row>
    <row r="659" spans="1:10" ht="11.1" customHeight="1" thickBot="1">
      <c r="A659" s="245">
        <v>10</v>
      </c>
      <c r="B659" s="245" t="s">
        <v>239</v>
      </c>
      <c r="C659" s="246">
        <v>751.85</v>
      </c>
      <c r="D659" s="246">
        <v>809.40000000000396</v>
      </c>
      <c r="E659" s="247">
        <f>160378.61-159499.2</f>
        <v>879.40999999997439</v>
      </c>
      <c r="F659" s="247">
        <v>906.6</v>
      </c>
      <c r="G659" s="247">
        <f>405.03+0.4+11.66+0.5+1.2+38.06+257.79+2+1.1+1.8</f>
        <v>719.54</v>
      </c>
      <c r="H659" s="35">
        <f t="shared" si="38"/>
        <v>-0.30930494223810889</v>
      </c>
      <c r="J659" s="440"/>
    </row>
    <row r="660" spans="1:10" ht="11.1" customHeight="1" thickTop="1" thickBot="1">
      <c r="A660" s="1047" t="s">
        <v>224</v>
      </c>
      <c r="B660" s="1048"/>
      <c r="C660" s="248">
        <f>SUM(C650:C659)</f>
        <v>151285.52999999997</v>
      </c>
      <c r="D660" s="248">
        <f>SUM(D650:D659)</f>
        <v>155908.5</v>
      </c>
      <c r="E660" s="248">
        <f>SUM(E650:E659)</f>
        <v>160378.60999999999</v>
      </c>
      <c r="F660" s="248">
        <f>SUM(F650:F659)</f>
        <v>102465.35000000002</v>
      </c>
      <c r="G660" s="248">
        <f>SUM(G650:G659)</f>
        <v>122621.77999999998</v>
      </c>
      <c r="H660" s="84">
        <f>((D660-C660)/C660*100+(E660-D660)/D660*100+(F660-E660)/E660*100+(G660-F660)/F660*100)/4</f>
        <v>-2.628987853012462</v>
      </c>
      <c r="J660" s="440"/>
    </row>
    <row r="661" spans="1:10" ht="11.1" customHeight="1" thickTop="1">
      <c r="A661" s="236"/>
      <c r="B661" s="236"/>
      <c r="C661" s="237"/>
      <c r="D661" s="237"/>
      <c r="E661" s="237"/>
      <c r="F661" s="237"/>
      <c r="G661" s="237"/>
      <c r="H661" s="237"/>
    </row>
    <row r="662" spans="1:10" ht="11.1" customHeight="1">
      <c r="A662" s="238"/>
      <c r="B662" s="966" t="s">
        <v>344</v>
      </c>
      <c r="C662" s="966"/>
      <c r="D662" s="966"/>
      <c r="E662" s="966"/>
      <c r="F662" s="966"/>
      <c r="G662" s="966"/>
      <c r="H662" s="966"/>
    </row>
    <row r="663" spans="1:10" ht="11.1" customHeight="1">
      <c r="A663" s="238"/>
      <c r="B663" s="427"/>
      <c r="C663" s="427"/>
      <c r="D663" s="427"/>
      <c r="E663" s="427"/>
      <c r="F663" s="427"/>
      <c r="G663" s="427"/>
      <c r="H663" s="427"/>
    </row>
    <row r="664" spans="1:10" ht="11.1" customHeight="1">
      <c r="A664" s="238"/>
      <c r="B664" s="427"/>
      <c r="C664" s="427"/>
      <c r="D664" s="427"/>
      <c r="E664" s="427"/>
      <c r="F664" s="427"/>
      <c r="G664" s="427"/>
      <c r="H664" s="427"/>
    </row>
    <row r="665" spans="1:10" ht="11.1" customHeight="1">
      <c r="A665" s="238"/>
      <c r="B665" s="427"/>
      <c r="C665" s="427"/>
      <c r="D665" s="427"/>
      <c r="E665" s="427"/>
      <c r="F665" s="427"/>
      <c r="G665" s="427"/>
      <c r="H665" s="427"/>
    </row>
    <row r="666" spans="1:10" ht="11.1" customHeight="1">
      <c r="A666" s="238"/>
      <c r="B666" s="432"/>
      <c r="C666" s="432"/>
      <c r="D666" s="432"/>
      <c r="E666" s="432"/>
      <c r="F666" s="432"/>
      <c r="G666" s="432"/>
      <c r="H666" s="432"/>
    </row>
    <row r="667" spans="1:10" ht="11.1" customHeight="1">
      <c r="A667" s="238"/>
      <c r="B667" s="432"/>
      <c r="C667" s="432"/>
      <c r="D667" s="432"/>
      <c r="E667" s="432"/>
      <c r="F667" s="432"/>
      <c r="G667" s="432"/>
      <c r="H667" s="432"/>
    </row>
    <row r="668" spans="1:10" ht="11.1" customHeight="1">
      <c r="A668" s="238"/>
      <c r="B668" s="432"/>
      <c r="C668" s="432"/>
      <c r="D668" s="432"/>
      <c r="E668" s="432"/>
      <c r="F668" s="432"/>
      <c r="G668" s="432"/>
      <c r="H668" s="432"/>
    </row>
    <row r="669" spans="1:10" ht="11.1" customHeight="1">
      <c r="A669" s="238"/>
      <c r="B669" s="427"/>
      <c r="C669" s="427"/>
      <c r="D669" s="427"/>
      <c r="E669" s="427"/>
      <c r="F669" s="427"/>
      <c r="G669" s="427"/>
      <c r="H669" s="427"/>
    </row>
    <row r="670" spans="1:10" ht="11.1" customHeight="1">
      <c r="A670" s="238"/>
      <c r="B670" s="427"/>
      <c r="C670" s="427"/>
      <c r="D670" s="427"/>
      <c r="E670" s="427"/>
      <c r="F670" s="427"/>
      <c r="G670" s="427"/>
      <c r="H670" s="427"/>
    </row>
    <row r="671" spans="1:10" ht="11.1" customHeight="1">
      <c r="A671" s="238"/>
      <c r="B671" s="427"/>
      <c r="C671" s="427"/>
      <c r="D671" s="427"/>
      <c r="E671" s="427"/>
      <c r="F671" s="427"/>
      <c r="G671" s="427"/>
      <c r="H671" s="427"/>
    </row>
    <row r="672" spans="1:10" ht="11.1" customHeight="1">
      <c r="A672" s="238"/>
      <c r="B672" s="427"/>
      <c r="C672" s="427"/>
      <c r="D672" s="427"/>
      <c r="E672" s="427"/>
      <c r="F672" s="427"/>
      <c r="G672" s="427"/>
      <c r="H672" s="427"/>
    </row>
    <row r="673" spans="1:10" ht="11.1" customHeight="1">
      <c r="A673" s="238"/>
      <c r="B673" s="112"/>
      <c r="C673" s="112"/>
      <c r="D673" s="112"/>
      <c r="E673" s="112"/>
      <c r="F673" s="112"/>
      <c r="G673" s="112"/>
      <c r="H673" s="112"/>
    </row>
    <row r="674" spans="1:10" ht="11.1" customHeight="1">
      <c r="A674" s="238"/>
      <c r="B674" s="112"/>
      <c r="C674" s="112"/>
      <c r="D674" s="112"/>
      <c r="E674" s="112"/>
      <c r="F674" s="112"/>
      <c r="G674" s="112"/>
      <c r="H674" s="112"/>
    </row>
    <row r="675" spans="1:10" ht="11.1" customHeight="1"/>
    <row r="676" spans="1:10" ht="11.1" customHeight="1">
      <c r="A676" s="968" t="s">
        <v>734</v>
      </c>
      <c r="B676" s="968"/>
      <c r="C676" s="968"/>
      <c r="D676" s="968"/>
      <c r="E676" s="968"/>
      <c r="F676" s="968"/>
      <c r="G676" s="968"/>
      <c r="H676" s="968"/>
    </row>
    <row r="677" spans="1:10" ht="11.1" customHeight="1">
      <c r="A677" s="968"/>
      <c r="B677" s="968"/>
      <c r="C677" s="968"/>
      <c r="D677" s="968"/>
      <c r="E677" s="968"/>
      <c r="F677" s="968"/>
      <c r="G677" s="968"/>
      <c r="H677" s="968"/>
    </row>
    <row r="678" spans="1:10" ht="11.1" customHeight="1"/>
    <row r="679" spans="1:10" ht="11.1" customHeight="1">
      <c r="A679" s="1024" t="s">
        <v>558</v>
      </c>
      <c r="B679" s="1024"/>
      <c r="C679" s="1024"/>
      <c r="D679" s="1024"/>
      <c r="E679" s="1024"/>
      <c r="F679" s="1024"/>
      <c r="G679" s="1024"/>
      <c r="H679" s="1024"/>
    </row>
    <row r="680" spans="1:10" ht="11.1" customHeight="1">
      <c r="A680" s="1024" t="s">
        <v>716</v>
      </c>
      <c r="B680" s="1024"/>
      <c r="C680" s="1024"/>
      <c r="D680" s="1024"/>
      <c r="E680" s="1024"/>
      <c r="F680" s="1024"/>
      <c r="G680" s="1024"/>
      <c r="H680" s="1024"/>
    </row>
    <row r="681" spans="1:10" ht="11.1" customHeight="1">
      <c r="A681" s="40"/>
      <c r="B681" s="40"/>
      <c r="C681" s="40"/>
      <c r="D681" s="40"/>
      <c r="E681" s="40"/>
      <c r="F681" s="40"/>
      <c r="G681" s="40"/>
      <c r="H681" s="113" t="s">
        <v>226</v>
      </c>
    </row>
    <row r="682" spans="1:10" ht="11.1" customHeight="1">
      <c r="A682" s="1054" t="s">
        <v>212</v>
      </c>
      <c r="B682" s="1043" t="s">
        <v>345</v>
      </c>
      <c r="C682" s="1020" t="s">
        <v>214</v>
      </c>
      <c r="D682" s="1021"/>
      <c r="E682" s="1021"/>
      <c r="F682" s="1021"/>
      <c r="G682" s="1022"/>
      <c r="H682" s="1043" t="s">
        <v>126</v>
      </c>
    </row>
    <row r="683" spans="1:10" ht="11.1" customHeight="1" thickBot="1">
      <c r="A683" s="1055"/>
      <c r="B683" s="1044"/>
      <c r="C683" s="62">
        <v>2011</v>
      </c>
      <c r="D683" s="62">
        <v>2012</v>
      </c>
      <c r="E683" s="62">
        <v>2013</v>
      </c>
      <c r="F683" s="62">
        <v>2014</v>
      </c>
      <c r="G683" s="62">
        <v>2015</v>
      </c>
      <c r="H683" s="1044"/>
    </row>
    <row r="684" spans="1:10" ht="11.1" customHeight="1" thickTop="1">
      <c r="A684" s="277">
        <v>1</v>
      </c>
      <c r="B684" s="30" t="s">
        <v>346</v>
      </c>
      <c r="C684" s="30">
        <v>7878.68</v>
      </c>
      <c r="D684" s="30">
        <v>5078.05</v>
      </c>
      <c r="E684" s="30">
        <v>5404.8</v>
      </c>
      <c r="F684" s="30">
        <v>5165.53</v>
      </c>
      <c r="G684" s="30">
        <v>3502.81</v>
      </c>
      <c r="H684" s="30">
        <f>((D684-C684)/C684*100+(E684-D684)/D684*100+(F684-E684)/E684*100+(G684-F684)/F684*100)/4</f>
        <v>-16.432034402347718</v>
      </c>
    </row>
    <row r="685" spans="1:10" ht="11.1" customHeight="1">
      <c r="A685" s="278">
        <v>2</v>
      </c>
      <c r="B685" s="35" t="s">
        <v>347</v>
      </c>
      <c r="C685" s="35">
        <v>1515.51</v>
      </c>
      <c r="D685" s="35">
        <v>3682.78</v>
      </c>
      <c r="E685" s="35">
        <v>408.35</v>
      </c>
      <c r="F685" s="35">
        <v>610.36</v>
      </c>
      <c r="G685" s="35">
        <v>355.88</v>
      </c>
      <c r="H685" s="35">
        <f>((D685-C685)/C685*100+(E685-D685)/D685*100+(F685-E685)/E685*100+(G685-F685)/F685*100)/4</f>
        <v>15.467616643510821</v>
      </c>
    </row>
    <row r="686" spans="1:10" ht="11.1" customHeight="1">
      <c r="A686" s="278">
        <v>3</v>
      </c>
      <c r="B686" s="35" t="s">
        <v>348</v>
      </c>
      <c r="C686" s="35">
        <v>6940.69</v>
      </c>
      <c r="D686" s="35">
        <f>479.04+4430.74+474.02+176.1</f>
        <v>5559.9</v>
      </c>
      <c r="E686" s="35">
        <f>516.75+4934.68+431.17+215.19+3276.06+8.96</f>
        <v>9382.81</v>
      </c>
      <c r="F686" s="35">
        <v>10346.36</v>
      </c>
      <c r="G686" s="35">
        <v>8329.2000000000007</v>
      </c>
      <c r="H686" s="35">
        <f t="shared" ref="H686:H693" si="39">((D686-C686)/C686*100+(E686-D686)/D686*100+(F686-E686)/E686*100+(G686-F686)/F686*100)/4</f>
        <v>9.9093663927138369</v>
      </c>
      <c r="J686" s="810"/>
    </row>
    <row r="687" spans="1:10" ht="11.1" customHeight="1">
      <c r="A687" s="278">
        <v>4</v>
      </c>
      <c r="B687" s="35" t="s">
        <v>349</v>
      </c>
      <c r="C687" s="35">
        <v>264.96000000000004</v>
      </c>
      <c r="D687" s="35">
        <f>61.36+83.04+59.47+1.61</f>
        <v>205.48000000000002</v>
      </c>
      <c r="E687" s="35">
        <f>0.09+248.16+62.28+43.78+139.6</f>
        <v>493.90999999999997</v>
      </c>
      <c r="F687" s="35">
        <f>535.6+37.75+17.9+63.42</f>
        <v>654.66999999999996</v>
      </c>
      <c r="G687" s="35">
        <v>522.46</v>
      </c>
      <c r="H687" s="35">
        <f t="shared" si="39"/>
        <v>32.56843837333011</v>
      </c>
    </row>
    <row r="688" spans="1:10" ht="11.1" customHeight="1">
      <c r="A688" s="278">
        <v>5</v>
      </c>
      <c r="B688" s="35" t="s">
        <v>350</v>
      </c>
      <c r="C688" s="35">
        <v>863.39</v>
      </c>
      <c r="D688" s="35">
        <f>0.49+345.95+36.78+183.51+603.31</f>
        <v>1170.04</v>
      </c>
      <c r="E688" s="35">
        <f>0.17+143.82+68.64+143.09+1115.02</f>
        <v>1470.74</v>
      </c>
      <c r="F688" s="35">
        <f>0.08+25.76+215.39+137.63+1157.96</f>
        <v>1536.8200000000002</v>
      </c>
      <c r="G688" s="35">
        <v>1728.97</v>
      </c>
      <c r="H688" s="35">
        <f t="shared" si="39"/>
        <v>19.553254245321</v>
      </c>
    </row>
    <row r="689" spans="1:8" ht="11.1" customHeight="1">
      <c r="A689" s="278">
        <v>6</v>
      </c>
      <c r="B689" s="35" t="s">
        <v>132</v>
      </c>
      <c r="C689" s="35">
        <v>2009.08</v>
      </c>
      <c r="D689" s="35">
        <f>1116.3+444.43+18.2</f>
        <v>1578.93</v>
      </c>
      <c r="E689" s="35">
        <f>668.82+471.23</f>
        <v>1140.0500000000002</v>
      </c>
      <c r="F689" s="35">
        <f>848.54+462.9</f>
        <v>1311.44</v>
      </c>
      <c r="G689" s="35">
        <v>1689.1</v>
      </c>
      <c r="H689" s="35">
        <f t="shared" si="39"/>
        <v>-1.3438581629227579</v>
      </c>
    </row>
    <row r="690" spans="1:8" ht="11.1" customHeight="1">
      <c r="A690" s="278">
        <v>7</v>
      </c>
      <c r="B690" s="35" t="s">
        <v>351</v>
      </c>
      <c r="C690" s="35">
        <v>0</v>
      </c>
      <c r="D690" s="35">
        <v>0</v>
      </c>
      <c r="E690" s="35">
        <v>0</v>
      </c>
      <c r="F690" s="35">
        <v>0</v>
      </c>
      <c r="G690" s="35">
        <v>0</v>
      </c>
      <c r="H690" s="35" t="e">
        <f t="shared" si="39"/>
        <v>#DIV/0!</v>
      </c>
    </row>
    <row r="691" spans="1:8" ht="11.1" customHeight="1">
      <c r="A691" s="278">
        <v>8</v>
      </c>
      <c r="B691" s="35" t="s">
        <v>352</v>
      </c>
      <c r="C691" s="35">
        <v>441.95</v>
      </c>
      <c r="D691" s="35">
        <f>107.63+647.76</f>
        <v>755.39</v>
      </c>
      <c r="E691" s="35">
        <f>723.46+34.37</f>
        <v>757.83</v>
      </c>
      <c r="F691" s="35">
        <f>552.44</f>
        <v>552.44000000000005</v>
      </c>
      <c r="G691" s="35">
        <v>813.81</v>
      </c>
      <c r="H691" s="35">
        <f>((D691-C691)/C691*100+(E691-D691)/D691*100+(F691-E691)/E691*100+(G691-F691)/F691*100)/4</f>
        <v>22.863650699229453</v>
      </c>
    </row>
    <row r="692" spans="1:8" ht="11.1" customHeight="1">
      <c r="A692" s="278">
        <v>9</v>
      </c>
      <c r="B692" s="35" t="s">
        <v>353</v>
      </c>
      <c r="C692" s="35">
        <v>8.8000000000000007</v>
      </c>
      <c r="D692" s="35">
        <v>63.16</v>
      </c>
      <c r="E692" s="35">
        <v>39.68</v>
      </c>
      <c r="F692" s="35">
        <v>36.99</v>
      </c>
      <c r="G692" s="35">
        <v>1.64</v>
      </c>
      <c r="H692" s="35">
        <f t="shared" si="39"/>
        <v>119.55156052038937</v>
      </c>
    </row>
    <row r="693" spans="1:8" ht="11.1" customHeight="1" thickBot="1">
      <c r="A693" s="279">
        <v>10</v>
      </c>
      <c r="B693" s="274" t="s">
        <v>354</v>
      </c>
      <c r="C693" s="274">
        <v>58.39</v>
      </c>
      <c r="D693" s="274">
        <v>57.42</v>
      </c>
      <c r="E693" s="274">
        <v>72.02</v>
      </c>
      <c r="F693" s="274">
        <v>105.84</v>
      </c>
      <c r="G693" s="274">
        <f>78.57+13.02</f>
        <v>91.589999999999989</v>
      </c>
      <c r="H693" s="35">
        <f t="shared" si="39"/>
        <v>14.315224105188113</v>
      </c>
    </row>
    <row r="694" spans="1:8" ht="11.1" customHeight="1" thickTop="1" thickBot="1">
      <c r="A694" s="1034" t="s">
        <v>355</v>
      </c>
      <c r="B694" s="1035"/>
      <c r="C694" s="84">
        <f>SUM(C684:C693)</f>
        <v>19981.449999999997</v>
      </c>
      <c r="D694" s="84">
        <f>SUM(D684:D693)</f>
        <v>18151.149999999998</v>
      </c>
      <c r="E694" s="84">
        <f>SUM(E684:E693)</f>
        <v>19170.190000000002</v>
      </c>
      <c r="F694" s="84">
        <f>SUM(F684:F693)</f>
        <v>20320.449999999997</v>
      </c>
      <c r="G694" s="84">
        <f>SUM(G684:G693)</f>
        <v>17035.460000000003</v>
      </c>
      <c r="H694" s="84">
        <f>((D694-C694)/C694*100+(E694-D694)/D694*100+(F694-E694)/E694*100+(G694-F694)/F694*100)/4</f>
        <v>-3.4278710019384651</v>
      </c>
    </row>
    <row r="695" spans="1:8" ht="11.1" customHeight="1" thickTop="1">
      <c r="A695" s="276"/>
      <c r="B695" s="276"/>
      <c r="C695" s="276"/>
      <c r="D695" s="276"/>
      <c r="E695" s="276"/>
      <c r="F695" s="276"/>
      <c r="G695" s="276"/>
      <c r="H695" s="276"/>
    </row>
    <row r="696" spans="1:8" ht="11.1" customHeight="1">
      <c r="A696" s="40"/>
      <c r="B696" s="966" t="s">
        <v>384</v>
      </c>
      <c r="C696" s="966"/>
      <c r="D696" s="966"/>
      <c r="E696" s="966"/>
      <c r="F696" s="966"/>
      <c r="G696" s="966"/>
      <c r="H696" s="966"/>
    </row>
    <row r="697" spans="1:8" ht="11.1" customHeight="1">
      <c r="A697" s="40"/>
      <c r="B697" s="427"/>
      <c r="C697" s="427"/>
      <c r="D697" s="427"/>
      <c r="E697" s="427"/>
      <c r="F697" s="427"/>
      <c r="G697" s="427"/>
      <c r="H697" s="427"/>
    </row>
    <row r="698" spans="1:8" ht="11.1" customHeight="1">
      <c r="A698" s="40"/>
      <c r="B698" s="427"/>
      <c r="C698" s="427"/>
      <c r="D698" s="427"/>
      <c r="E698" s="427"/>
      <c r="F698" s="427"/>
      <c r="G698" s="427"/>
      <c r="H698" s="427"/>
    </row>
    <row r="699" spans="1:8" ht="11.1" customHeight="1">
      <c r="A699" s="40"/>
      <c r="B699" s="427"/>
      <c r="C699" s="427"/>
      <c r="D699" s="427"/>
      <c r="E699" s="427"/>
      <c r="F699" s="427"/>
      <c r="G699" s="427"/>
      <c r="H699" s="427"/>
    </row>
    <row r="700" spans="1:8" ht="11.1" customHeight="1">
      <c r="A700" s="40"/>
      <c r="B700" s="432"/>
      <c r="C700" s="432"/>
      <c r="D700" s="432"/>
      <c r="E700" s="432"/>
      <c r="F700" s="432"/>
      <c r="G700" s="432"/>
      <c r="H700" s="432"/>
    </row>
    <row r="701" spans="1:8" ht="11.1" customHeight="1">
      <c r="A701" s="40"/>
      <c r="B701" s="427"/>
      <c r="C701" s="427"/>
      <c r="D701" s="427"/>
      <c r="E701" s="427"/>
      <c r="F701" s="427"/>
      <c r="G701" s="427"/>
      <c r="H701" s="427"/>
    </row>
    <row r="702" spans="1:8" ht="11.1" customHeight="1">
      <c r="A702" s="40"/>
      <c r="B702" s="427"/>
      <c r="C702" s="427"/>
      <c r="D702" s="427"/>
      <c r="E702" s="427"/>
      <c r="F702" s="427"/>
      <c r="G702" s="427"/>
      <c r="H702" s="427"/>
    </row>
    <row r="703" spans="1:8" ht="11.1" customHeight="1">
      <c r="A703" s="40"/>
      <c r="B703" s="427"/>
      <c r="C703" s="427"/>
      <c r="D703" s="427"/>
      <c r="E703" s="427"/>
      <c r="F703" s="427"/>
      <c r="G703" s="427"/>
      <c r="H703" s="427"/>
    </row>
    <row r="704" spans="1:8" ht="11.1" customHeight="1">
      <c r="A704" s="40"/>
      <c r="B704" s="427"/>
      <c r="C704" s="427"/>
      <c r="D704" s="427"/>
      <c r="E704" s="427"/>
      <c r="F704" s="427"/>
      <c r="G704" s="427"/>
      <c r="H704" s="427"/>
    </row>
    <row r="705" spans="1:10" ht="11.1" customHeight="1">
      <c r="A705" s="40"/>
      <c r="B705" s="427"/>
      <c r="C705" s="427"/>
      <c r="D705" s="427"/>
      <c r="E705" s="427"/>
      <c r="F705" s="427"/>
      <c r="G705" s="427"/>
      <c r="H705" s="427"/>
    </row>
    <row r="706" spans="1:10" ht="11.1" customHeight="1">
      <c r="A706" s="1023" t="s">
        <v>559</v>
      </c>
      <c r="B706" s="1023"/>
      <c r="C706" s="1023"/>
      <c r="D706" s="1023"/>
      <c r="E706" s="1023"/>
      <c r="F706" s="1023"/>
      <c r="G706" s="1023"/>
      <c r="H706" s="1023"/>
    </row>
    <row r="707" spans="1:10" ht="11.1" customHeight="1">
      <c r="A707" s="1023" t="s">
        <v>717</v>
      </c>
      <c r="B707" s="1023"/>
      <c r="C707" s="1023"/>
      <c r="D707" s="1023"/>
      <c r="E707" s="1023"/>
      <c r="F707" s="1023"/>
      <c r="G707" s="1023"/>
      <c r="H707" s="1023"/>
    </row>
    <row r="708" spans="1:10" ht="11.1" customHeight="1">
      <c r="A708" s="276"/>
      <c r="B708" s="276"/>
      <c r="C708" s="276"/>
      <c r="D708" s="276"/>
      <c r="E708" s="276"/>
      <c r="F708" s="276"/>
      <c r="G708" s="276"/>
      <c r="H708" s="280" t="s">
        <v>226</v>
      </c>
    </row>
    <row r="709" spans="1:10" ht="11.1" customHeight="1">
      <c r="A709" s="1144" t="s">
        <v>212</v>
      </c>
      <c r="B709" s="1146" t="s">
        <v>345</v>
      </c>
      <c r="C709" s="1020" t="s">
        <v>214</v>
      </c>
      <c r="D709" s="1021"/>
      <c r="E709" s="1021"/>
      <c r="F709" s="1021"/>
      <c r="G709" s="1022"/>
      <c r="H709" s="1043" t="s">
        <v>126</v>
      </c>
    </row>
    <row r="710" spans="1:10" ht="11.1" customHeight="1" thickBot="1">
      <c r="A710" s="1145"/>
      <c r="B710" s="1147"/>
      <c r="C710" s="569">
        <v>2011</v>
      </c>
      <c r="D710" s="570">
        <v>2012</v>
      </c>
      <c r="E710" s="570">
        <v>2013</v>
      </c>
      <c r="F710" s="570">
        <v>2014</v>
      </c>
      <c r="G710" s="570">
        <v>2015</v>
      </c>
      <c r="H710" s="1044"/>
    </row>
    <row r="711" spans="1:10" ht="11.1" customHeight="1" thickTop="1">
      <c r="A711" s="278">
        <v>11</v>
      </c>
      <c r="B711" s="144" t="s">
        <v>359</v>
      </c>
      <c r="C711" s="35">
        <v>0</v>
      </c>
      <c r="D711" s="35">
        <v>0</v>
      </c>
      <c r="E711" s="35">
        <v>0</v>
      </c>
      <c r="F711" s="35">
        <v>65.94</v>
      </c>
      <c r="G711" s="35">
        <v>5.47</v>
      </c>
      <c r="H711" s="30" t="e">
        <f>((D711-C711)/C711*100+(E711-D711)/D711*100+(F711-E711)/E711*100+(G711-F711)/F711*100)/4</f>
        <v>#DIV/0!</v>
      </c>
    </row>
    <row r="712" spans="1:10" ht="11.1" customHeight="1">
      <c r="A712" s="278">
        <f t="shared" ref="A712:A718" si="40">A711+1</f>
        <v>12</v>
      </c>
      <c r="B712" s="35" t="s">
        <v>360</v>
      </c>
      <c r="C712" s="35">
        <v>29.88</v>
      </c>
      <c r="D712" s="35">
        <f>142.26+22.68</f>
        <v>164.94</v>
      </c>
      <c r="E712" s="35">
        <f>29.74+42.64+7.15</f>
        <v>79.53</v>
      </c>
      <c r="F712" s="35">
        <f>31.64+27.67</f>
        <v>59.31</v>
      </c>
      <c r="G712" s="35">
        <v>545.44000000000005</v>
      </c>
      <c r="H712" s="35">
        <f>((D712-C712)/C712*100+(E712-D712)/D712*100+(F712-E712)/E712*100+(G712-F712)/F712*100)/4</f>
        <v>298.6109384188822</v>
      </c>
    </row>
    <row r="713" spans="1:10" ht="11.1" customHeight="1">
      <c r="A713" s="278">
        <f t="shared" si="40"/>
        <v>13</v>
      </c>
      <c r="B713" s="35" t="s">
        <v>129</v>
      </c>
      <c r="C713" s="35">
        <v>5.08</v>
      </c>
      <c r="D713" s="35">
        <v>0</v>
      </c>
      <c r="E713" s="35">
        <v>0</v>
      </c>
      <c r="F713" s="35">
        <v>0</v>
      </c>
      <c r="G713" s="35">
        <v>0</v>
      </c>
      <c r="H713" s="35" t="e">
        <f t="shared" ref="H713:H718" si="41">((D713-C713)/C713*100+(E713-D713)/D713*100+(F713-E713)/E713*100+(G713-F713)/F713*100)/4</f>
        <v>#DIV/0!</v>
      </c>
    </row>
    <row r="714" spans="1:10" ht="11.1" customHeight="1">
      <c r="A714" s="278">
        <v>14</v>
      </c>
      <c r="B714" s="35" t="s">
        <v>361</v>
      </c>
      <c r="C714" s="35">
        <v>6994.13</v>
      </c>
      <c r="D714" s="35">
        <v>8646.5</v>
      </c>
      <c r="E714" s="35">
        <v>6592.34</v>
      </c>
      <c r="F714" s="35">
        <v>7130.78</v>
      </c>
      <c r="G714" s="35">
        <v>5984.87</v>
      </c>
      <c r="H714" s="35">
        <f t="shared" si="41"/>
        <v>-2.0085699664515269</v>
      </c>
    </row>
    <row r="715" spans="1:10" ht="11.1" customHeight="1">
      <c r="A715" s="278">
        <f t="shared" si="40"/>
        <v>15</v>
      </c>
      <c r="B715" s="35" t="s">
        <v>239</v>
      </c>
      <c r="C715" s="35">
        <v>1537.73</v>
      </c>
      <c r="D715" s="35">
        <f>2415.62+0.17</f>
        <v>2415.79</v>
      </c>
      <c r="E715" s="35">
        <v>8422.8500000000022</v>
      </c>
      <c r="F715" s="35">
        <v>11622.16</v>
      </c>
      <c r="G715" s="35">
        <v>9665.0300000000007</v>
      </c>
      <c r="H715" s="35">
        <f t="shared" si="41"/>
        <v>81.725828184215814</v>
      </c>
      <c r="J715" s="608"/>
    </row>
    <row r="716" spans="1:10" ht="11.1" customHeight="1">
      <c r="A716" s="278">
        <f t="shared" si="40"/>
        <v>16</v>
      </c>
      <c r="B716" s="35" t="s">
        <v>362</v>
      </c>
      <c r="C716" s="35">
        <v>2507000</v>
      </c>
      <c r="D716" s="35">
        <v>1634858</v>
      </c>
      <c r="E716" s="35">
        <v>1407676</v>
      </c>
      <c r="F716" s="35">
        <v>1848746</v>
      </c>
      <c r="G716" s="35">
        <v>127800</v>
      </c>
      <c r="H716" s="35">
        <f t="shared" si="41"/>
        <v>-27.60960122183694</v>
      </c>
    </row>
    <row r="717" spans="1:10" ht="11.1" customHeight="1">
      <c r="A717" s="278">
        <f t="shared" si="40"/>
        <v>17</v>
      </c>
      <c r="B717" s="35" t="s">
        <v>363</v>
      </c>
      <c r="C717" s="286">
        <v>0</v>
      </c>
      <c r="D717" s="35">
        <v>0</v>
      </c>
      <c r="E717" s="35">
        <v>0</v>
      </c>
      <c r="F717" s="35"/>
      <c r="G717" s="35"/>
      <c r="H717" s="35" t="e">
        <f t="shared" si="41"/>
        <v>#DIV/0!</v>
      </c>
    </row>
    <row r="718" spans="1:10" ht="11.1" customHeight="1" thickBot="1">
      <c r="A718" s="278">
        <f t="shared" si="40"/>
        <v>18</v>
      </c>
      <c r="B718" s="35" t="s">
        <v>364</v>
      </c>
      <c r="C718" s="286">
        <v>0</v>
      </c>
      <c r="D718" s="35">
        <v>0</v>
      </c>
      <c r="E718" s="35">
        <v>0</v>
      </c>
      <c r="F718" s="35"/>
      <c r="G718" s="35"/>
      <c r="H718" s="35" t="e">
        <f t="shared" si="41"/>
        <v>#DIV/0!</v>
      </c>
    </row>
    <row r="719" spans="1:10" ht="11.1" customHeight="1" thickTop="1" thickBot="1">
      <c r="A719" s="1034" t="s">
        <v>365</v>
      </c>
      <c r="B719" s="1035"/>
      <c r="C719" s="345">
        <f>SUM(C711:C715)+C694</f>
        <v>28548.269999999997</v>
      </c>
      <c r="D719" s="345">
        <f>SUM(D711:D715)+D694</f>
        <v>29378.379999999997</v>
      </c>
      <c r="E719" s="345">
        <f>SUM(E711:E715)+E694</f>
        <v>34264.910000000003</v>
      </c>
      <c r="F719" s="345">
        <f>SUM(F711:F715)+F694</f>
        <v>39198.639999999999</v>
      </c>
      <c r="G719" s="345">
        <f>SUM(G711:G715)+G694</f>
        <v>33236.270000000004</v>
      </c>
      <c r="H719" s="84">
        <f>((D719-C719)/C719*100+(E719-D719)/D719*100+(F719-E719)/E719*100+(G719-F719)/F719*100)/4</f>
        <v>4.6822378439809853</v>
      </c>
    </row>
    <row r="720" spans="1:10" ht="11.1" customHeight="1" thickTop="1" thickBot="1">
      <c r="A720" s="1034" t="s">
        <v>366</v>
      </c>
      <c r="B720" s="1035"/>
      <c r="C720" s="345">
        <f>SUM(C716:C718)</f>
        <v>2507000</v>
      </c>
      <c r="D720" s="345">
        <f>SUM(D716:D718)</f>
        <v>1634858</v>
      </c>
      <c r="E720" s="345">
        <f>SUM(E716:E718)</f>
        <v>1407676</v>
      </c>
      <c r="F720" s="345">
        <f>SUM(F716:F718)</f>
        <v>1848746</v>
      </c>
      <c r="G720" s="345">
        <f>SUM(G716:G718)</f>
        <v>127800</v>
      </c>
      <c r="H720" s="84">
        <f>((D720-C720)/C720*100+(E720-D720)/D720*100+(F720-E720)/E720*100+(G720-F720)/F720*100)/4</f>
        <v>-27.60960122183694</v>
      </c>
    </row>
    <row r="721" spans="1:8" ht="11.1" customHeight="1" thickTop="1">
      <c r="A721" s="287"/>
      <c r="B721" s="287"/>
      <c r="C721" s="234"/>
      <c r="D721" s="234"/>
      <c r="E721" s="234"/>
      <c r="F721" s="234"/>
      <c r="G721" s="234"/>
      <c r="H721" s="234"/>
    </row>
    <row r="722" spans="1:8" ht="11.1" customHeight="1">
      <c r="A722" s="106"/>
      <c r="B722" s="106"/>
      <c r="C722" s="106"/>
      <c r="D722" s="288"/>
      <c r="E722" s="288"/>
      <c r="F722" s="288"/>
      <c r="G722" s="288"/>
      <c r="H722" s="288"/>
    </row>
    <row r="723" spans="1:8" ht="11.1" customHeight="1">
      <c r="A723" s="40"/>
      <c r="B723" s="966" t="s">
        <v>385</v>
      </c>
      <c r="C723" s="966"/>
      <c r="D723" s="966"/>
      <c r="E723" s="966"/>
      <c r="F723" s="966"/>
      <c r="G723" s="966"/>
      <c r="H723" s="966"/>
    </row>
    <row r="724" spans="1:8" ht="11.1" customHeight="1"/>
    <row r="727" spans="1:8">
      <c r="A727" s="1025" t="s">
        <v>610</v>
      </c>
      <c r="B727" s="1025"/>
      <c r="C727" s="1025"/>
      <c r="D727" s="1025"/>
      <c r="E727" s="1025"/>
      <c r="F727" s="1025"/>
      <c r="G727" s="1025"/>
      <c r="H727" s="1025"/>
    </row>
    <row r="728" spans="1:8" ht="11.1" customHeight="1">
      <c r="A728" s="1046" t="s">
        <v>735</v>
      </c>
      <c r="B728" s="1046"/>
      <c r="C728" s="1046"/>
      <c r="D728" s="1046"/>
      <c r="E728" s="1046"/>
      <c r="F728" s="1046"/>
      <c r="G728" s="1046"/>
      <c r="H728" s="1046"/>
    </row>
    <row r="729" spans="1:8" ht="11.1" customHeight="1">
      <c r="A729" s="86"/>
      <c r="B729" s="86"/>
      <c r="C729" s="86"/>
      <c r="D729" s="86"/>
      <c r="E729" s="558"/>
      <c r="G729" s="113" t="s">
        <v>226</v>
      </c>
    </row>
    <row r="730" spans="1:8" ht="11.1" customHeight="1">
      <c r="A730" s="1026" t="s">
        <v>212</v>
      </c>
      <c r="B730" s="1028" t="s">
        <v>223</v>
      </c>
      <c r="C730" s="909" t="s">
        <v>748</v>
      </c>
      <c r="D730" s="906" t="s">
        <v>214</v>
      </c>
      <c r="E730" s="907"/>
      <c r="F730" s="907"/>
      <c r="G730" s="908"/>
      <c r="H730" s="1043" t="s">
        <v>126</v>
      </c>
    </row>
    <row r="731" spans="1:8" ht="11.1" customHeight="1" thickBot="1">
      <c r="A731" s="1027"/>
      <c r="B731" s="1029"/>
      <c r="C731" s="821" t="s">
        <v>794</v>
      </c>
      <c r="D731" s="62">
        <v>2012</v>
      </c>
      <c r="E731" s="62">
        <v>2013</v>
      </c>
      <c r="F731" s="62">
        <v>2014</v>
      </c>
      <c r="G731" s="62">
        <v>2015</v>
      </c>
      <c r="H731" s="1044"/>
    </row>
    <row r="732" spans="1:8" ht="11.1" customHeight="1" thickTop="1">
      <c r="A732" s="56">
        <v>1</v>
      </c>
      <c r="B732" s="46" t="s">
        <v>121</v>
      </c>
      <c r="C732" s="67">
        <v>1.2</v>
      </c>
      <c r="D732" s="550">
        <v>0</v>
      </c>
      <c r="E732" s="550">
        <v>2.4</v>
      </c>
      <c r="F732" s="550">
        <v>38.4</v>
      </c>
      <c r="G732" s="550">
        <v>83.7</v>
      </c>
      <c r="H732" s="30" t="e">
        <f t="shared" ref="H732:H741" si="42">((E732-D732)/D732*100+(G732-E732)/E732*100)/2</f>
        <v>#DIV/0!</v>
      </c>
    </row>
    <row r="733" spans="1:8" ht="11.1" customHeight="1">
      <c r="A733" s="57">
        <v>2</v>
      </c>
      <c r="B733" s="49" t="s">
        <v>122</v>
      </c>
      <c r="C733" s="68">
        <v>0.5</v>
      </c>
      <c r="D733" s="486">
        <v>0</v>
      </c>
      <c r="E733" s="486">
        <v>0</v>
      </c>
      <c r="F733" s="486">
        <v>0</v>
      </c>
      <c r="G733" s="486">
        <v>11.8</v>
      </c>
      <c r="H733" s="35" t="e">
        <f t="shared" si="42"/>
        <v>#DIV/0!</v>
      </c>
    </row>
    <row r="734" spans="1:8" ht="11.1" customHeight="1">
      <c r="A734" s="57">
        <v>3</v>
      </c>
      <c r="B734" s="49" t="s">
        <v>184</v>
      </c>
      <c r="C734" s="68">
        <v>1</v>
      </c>
      <c r="D734" s="486">
        <v>9.15</v>
      </c>
      <c r="E734" s="486">
        <v>8.64</v>
      </c>
      <c r="F734" s="486">
        <v>8.6</v>
      </c>
      <c r="G734" s="486">
        <v>2.2000000000000002</v>
      </c>
      <c r="H734" s="35">
        <f t="shared" si="42"/>
        <v>-40.055403764420156</v>
      </c>
    </row>
    <row r="735" spans="1:8" ht="11.1" customHeight="1">
      <c r="A735" s="57">
        <v>4</v>
      </c>
      <c r="B735" s="49" t="s">
        <v>120</v>
      </c>
      <c r="C735" s="68">
        <v>4</v>
      </c>
      <c r="D735" s="486">
        <v>0</v>
      </c>
      <c r="E735" s="486">
        <v>0</v>
      </c>
      <c r="F735" s="486">
        <v>8.8000000000000007</v>
      </c>
      <c r="G735" s="486">
        <v>14</v>
      </c>
      <c r="H735" s="35" t="e">
        <f t="shared" si="42"/>
        <v>#DIV/0!</v>
      </c>
    </row>
    <row r="736" spans="1:8" ht="11.1" customHeight="1">
      <c r="A736" s="57">
        <v>5</v>
      </c>
      <c r="B736" s="49" t="s">
        <v>125</v>
      </c>
      <c r="C736" s="68">
        <v>100</v>
      </c>
      <c r="D736" s="486">
        <v>5421.82</v>
      </c>
      <c r="E736" s="486">
        <v>3307.37</v>
      </c>
      <c r="F736" s="486">
        <f>1896.6+4347</f>
        <v>6243.6</v>
      </c>
      <c r="G736" s="486">
        <v>9827.5</v>
      </c>
      <c r="H736" s="35">
        <f t="shared" si="42"/>
        <v>79.070260942373608</v>
      </c>
    </row>
    <row r="737" spans="1:8" ht="11.1" customHeight="1">
      <c r="A737" s="57">
        <v>6</v>
      </c>
      <c r="B737" s="49" t="s">
        <v>124</v>
      </c>
      <c r="C737" s="68">
        <v>10.42</v>
      </c>
      <c r="D737" s="486">
        <v>481</v>
      </c>
      <c r="E737" s="486">
        <v>920.3</v>
      </c>
      <c r="F737" s="486">
        <v>1430.52</v>
      </c>
      <c r="G737" s="486">
        <v>1438.69</v>
      </c>
      <c r="H737" s="35">
        <f t="shared" si="42"/>
        <v>73.829466256935561</v>
      </c>
    </row>
    <row r="738" spans="1:8" ht="11.1" customHeight="1">
      <c r="A738" s="57">
        <v>7</v>
      </c>
      <c r="B738" s="49" t="s">
        <v>123</v>
      </c>
      <c r="C738" s="68">
        <v>2</v>
      </c>
      <c r="D738" s="486">
        <v>18.75</v>
      </c>
      <c r="E738" s="486">
        <v>144</v>
      </c>
      <c r="F738" s="486">
        <v>72</v>
      </c>
      <c r="G738" s="486">
        <v>91.7</v>
      </c>
      <c r="H738" s="35">
        <f t="shared" si="42"/>
        <v>315.84027777777777</v>
      </c>
    </row>
    <row r="739" spans="1:8" ht="11.1" customHeight="1">
      <c r="A739" s="57">
        <v>8</v>
      </c>
      <c r="B739" s="49" t="s">
        <v>195</v>
      </c>
      <c r="C739" s="68">
        <v>0.02</v>
      </c>
      <c r="D739" s="486">
        <v>584</v>
      </c>
      <c r="E739" s="486">
        <v>600</v>
      </c>
      <c r="F739" s="486">
        <v>87.6</v>
      </c>
      <c r="G739" s="486">
        <v>85</v>
      </c>
      <c r="H739" s="35">
        <f t="shared" si="42"/>
        <v>-41.546803652968038</v>
      </c>
    </row>
    <row r="740" spans="1:8" ht="11.1" customHeight="1" thickBot="1">
      <c r="A740" s="58">
        <v>9</v>
      </c>
      <c r="B740" s="52" t="s">
        <v>198</v>
      </c>
      <c r="C740" s="910"/>
      <c r="D740" s="486">
        <v>0</v>
      </c>
      <c r="E740" s="486">
        <v>0</v>
      </c>
      <c r="F740" s="486"/>
      <c r="G740" s="486"/>
      <c r="H740" s="286" t="e">
        <f t="shared" si="42"/>
        <v>#DIV/0!</v>
      </c>
    </row>
    <row r="741" spans="1:8" ht="11.1" customHeight="1" thickTop="1" thickBot="1">
      <c r="A741" s="1030" t="s">
        <v>224</v>
      </c>
      <c r="B741" s="1031"/>
      <c r="C741" s="911">
        <f>SUM(C732:C740)</f>
        <v>119.14</v>
      </c>
      <c r="D741" s="97">
        <f>SUM(D732:D740)</f>
        <v>6514.7199999999993</v>
      </c>
      <c r="E741" s="97">
        <f>SUM(E732:E740)</f>
        <v>4982.71</v>
      </c>
      <c r="F741" s="97">
        <f>SUM(F732:F740)</f>
        <v>7889.52</v>
      </c>
      <c r="G741" s="97">
        <f>SUM(G732:G740)</f>
        <v>11554.590000000002</v>
      </c>
      <c r="H741" s="595">
        <f t="shared" si="42"/>
        <v>54.188779373976374</v>
      </c>
    </row>
    <row r="742" spans="1:8" ht="11.1" customHeight="1" thickTop="1">
      <c r="A742" s="86"/>
      <c r="B742" s="86"/>
      <c r="C742" s="86"/>
      <c r="D742" s="86"/>
      <c r="E742" s="86"/>
    </row>
    <row r="743" spans="1:8" ht="11.1" customHeight="1">
      <c r="A743" s="86"/>
      <c r="B743" s="86"/>
      <c r="C743" s="86"/>
      <c r="D743" s="86"/>
      <c r="E743" s="86"/>
    </row>
    <row r="744" spans="1:8" ht="11.1" customHeight="1">
      <c r="A744" s="40"/>
      <c r="B744" s="966" t="s">
        <v>650</v>
      </c>
      <c r="C744" s="966"/>
      <c r="D744" s="966"/>
      <c r="E744" s="966"/>
      <c r="F744" s="966"/>
      <c r="G744" s="966"/>
    </row>
    <row r="745" spans="1:8" ht="11.1" customHeight="1"/>
    <row r="746" spans="1:8" ht="11.1" customHeight="1"/>
    <row r="747" spans="1:8" ht="11.1" customHeight="1"/>
    <row r="748" spans="1:8" ht="11.1" customHeight="1"/>
    <row r="749" spans="1:8" ht="11.1" customHeight="1"/>
    <row r="750" spans="1:8" ht="11.1" customHeight="1"/>
    <row r="751" spans="1:8" ht="11.1" customHeight="1"/>
    <row r="752" spans="1:8" ht="11.1" customHeight="1"/>
    <row r="753" spans="1:7" ht="11.1" customHeight="1"/>
    <row r="754" spans="1:7" ht="11.1" customHeight="1"/>
    <row r="755" spans="1:7" ht="11.1" customHeight="1"/>
    <row r="756" spans="1:7" ht="11.1" customHeight="1"/>
    <row r="757" spans="1:7" ht="11.1" customHeight="1"/>
    <row r="758" spans="1:7" ht="11.1" customHeight="1">
      <c r="A758" s="1025" t="s">
        <v>611</v>
      </c>
      <c r="B758" s="1025"/>
      <c r="C758" s="1025"/>
      <c r="D758" s="1025"/>
      <c r="E758" s="1025"/>
      <c r="F758" s="1025"/>
      <c r="G758" s="1025"/>
    </row>
    <row r="759" spans="1:7" ht="11.1" customHeight="1">
      <c r="A759" s="1046" t="s">
        <v>584</v>
      </c>
      <c r="B759" s="1046"/>
      <c r="C759" s="1046"/>
      <c r="D759" s="1046"/>
      <c r="E759" s="1046"/>
      <c r="F759" s="1046"/>
      <c r="G759" s="1046"/>
    </row>
    <row r="760" spans="1:7" ht="11.1" customHeight="1">
      <c r="A760" s="86"/>
      <c r="B760" s="86"/>
      <c r="C760" s="86"/>
      <c r="D760" s="86"/>
      <c r="E760" s="558"/>
      <c r="G760" s="113" t="s">
        <v>652</v>
      </c>
    </row>
    <row r="761" spans="1:7" ht="11.1" customHeight="1">
      <c r="A761" s="1026" t="s">
        <v>212</v>
      </c>
      <c r="B761" s="1028" t="s">
        <v>223</v>
      </c>
      <c r="C761" s="1020" t="s">
        <v>214</v>
      </c>
      <c r="D761" s="1021"/>
      <c r="E761" s="1021"/>
      <c r="F761" s="1022"/>
      <c r="G761" s="1043" t="s">
        <v>126</v>
      </c>
    </row>
    <row r="762" spans="1:7" ht="11.1" customHeight="1" thickBot="1">
      <c r="A762" s="1027"/>
      <c r="B762" s="1029"/>
      <c r="C762" s="62">
        <v>2012</v>
      </c>
      <c r="D762" s="62">
        <v>2013</v>
      </c>
      <c r="E762" s="62">
        <v>2014</v>
      </c>
      <c r="F762" s="62">
        <v>2015</v>
      </c>
      <c r="G762" s="1045"/>
    </row>
    <row r="763" spans="1:7" ht="11.1" customHeight="1" thickTop="1">
      <c r="A763" s="56">
        <v>1</v>
      </c>
      <c r="B763" s="46" t="s">
        <v>121</v>
      </c>
      <c r="C763" s="554">
        <v>0</v>
      </c>
      <c r="D763" s="554">
        <v>4800</v>
      </c>
      <c r="E763" s="554">
        <f>28.8*2000</f>
        <v>57600</v>
      </c>
      <c r="F763" s="554">
        <v>263900</v>
      </c>
      <c r="G763" s="144" t="e">
        <f t="shared" ref="G763:G772" si="43">((D763-C763)/C763*100+(F763-D763)/D763*100)/2</f>
        <v>#DIV/0!</v>
      </c>
    </row>
    <row r="764" spans="1:7" ht="11.1" customHeight="1">
      <c r="A764" s="57">
        <v>2</v>
      </c>
      <c r="B764" s="49" t="s">
        <v>122</v>
      </c>
      <c r="C764" s="555">
        <v>0</v>
      </c>
      <c r="D764" s="555">
        <v>0</v>
      </c>
      <c r="E764" s="555">
        <v>0</v>
      </c>
      <c r="F764" s="555">
        <v>25960</v>
      </c>
      <c r="G764" s="35" t="e">
        <f t="shared" si="43"/>
        <v>#DIV/0!</v>
      </c>
    </row>
    <row r="765" spans="1:7" ht="11.1" customHeight="1">
      <c r="A765" s="57">
        <v>3</v>
      </c>
      <c r="B765" s="49" t="s">
        <v>184</v>
      </c>
      <c r="C765" s="555">
        <v>22875</v>
      </c>
      <c r="D765" s="555">
        <v>43200</v>
      </c>
      <c r="E765" s="555">
        <v>43200</v>
      </c>
      <c r="F765" s="555">
        <v>15540</v>
      </c>
      <c r="G765" s="35">
        <f t="shared" si="43"/>
        <v>12.412340619307841</v>
      </c>
    </row>
    <row r="766" spans="1:7" ht="11.1" customHeight="1">
      <c r="A766" s="57">
        <v>4</v>
      </c>
      <c r="B766" s="49" t="s">
        <v>120</v>
      </c>
      <c r="C766" s="555">
        <v>0</v>
      </c>
      <c r="D766" s="555">
        <v>0</v>
      </c>
      <c r="E766" s="555">
        <v>35200</v>
      </c>
      <c r="F766" s="555">
        <v>7000</v>
      </c>
      <c r="G766" s="35" t="e">
        <f t="shared" si="43"/>
        <v>#DIV/0!</v>
      </c>
    </row>
    <row r="767" spans="1:7" ht="11.1" customHeight="1">
      <c r="A767" s="57">
        <v>5</v>
      </c>
      <c r="B767" s="49" t="s">
        <v>125</v>
      </c>
      <c r="C767" s="555">
        <v>13554550</v>
      </c>
      <c r="D767" s="555">
        <v>1843495</v>
      </c>
      <c r="E767" s="555">
        <f>1046850+2173500</f>
        <v>3220350</v>
      </c>
      <c r="F767" s="555">
        <v>14859200</v>
      </c>
      <c r="G767" s="35">
        <f t="shared" si="43"/>
        <v>309.81737633214016</v>
      </c>
    </row>
    <row r="768" spans="1:7" ht="11.1" customHeight="1">
      <c r="A768" s="57">
        <v>6</v>
      </c>
      <c r="B768" s="49" t="s">
        <v>124</v>
      </c>
      <c r="C768" s="555">
        <v>1201893</v>
      </c>
      <c r="D768" s="555">
        <v>2300750</v>
      </c>
      <c r="E768" s="555">
        <v>2549460</v>
      </c>
      <c r="F768" s="555">
        <v>2877382</v>
      </c>
      <c r="G768" s="35">
        <f t="shared" si="43"/>
        <v>58.244987074416422</v>
      </c>
    </row>
    <row r="769" spans="1:7" ht="11.1" customHeight="1">
      <c r="A769" s="57">
        <v>7</v>
      </c>
      <c r="B769" s="49" t="s">
        <v>123</v>
      </c>
      <c r="C769" s="555">
        <v>46875</v>
      </c>
      <c r="D769" s="555">
        <v>432000</v>
      </c>
      <c r="E769" s="555">
        <f>3500*F738</f>
        <v>252000</v>
      </c>
      <c r="F769" s="555">
        <v>318000</v>
      </c>
      <c r="G769" s="35">
        <f t="shared" si="43"/>
        <v>397.6055555555555</v>
      </c>
    </row>
    <row r="770" spans="1:7" ht="11.1" customHeight="1">
      <c r="A770" s="57">
        <v>8</v>
      </c>
      <c r="B770" s="49" t="s">
        <v>195</v>
      </c>
      <c r="C770" s="555">
        <v>1460000</v>
      </c>
      <c r="D770" s="555">
        <v>1500000</v>
      </c>
      <c r="E770" s="555">
        <v>328500</v>
      </c>
      <c r="F770" s="555">
        <v>438000</v>
      </c>
      <c r="G770" s="35">
        <f t="shared" si="43"/>
        <v>-34.030136986301372</v>
      </c>
    </row>
    <row r="771" spans="1:7" ht="11.1" customHeight="1" thickBot="1">
      <c r="A771" s="58">
        <v>9</v>
      </c>
      <c r="B771" s="52" t="s">
        <v>198</v>
      </c>
      <c r="C771" s="556"/>
      <c r="D771" s="556" t="s">
        <v>240</v>
      </c>
      <c r="E771" s="556"/>
      <c r="F771" s="556"/>
      <c r="G771" s="286" t="e">
        <f t="shared" si="43"/>
        <v>#VALUE!</v>
      </c>
    </row>
    <row r="772" spans="1:7" ht="11.1" customHeight="1" thickTop="1" thickBot="1">
      <c r="A772" s="1030" t="s">
        <v>224</v>
      </c>
      <c r="B772" s="1031"/>
      <c r="C772" s="557">
        <f>SUM(C763:C771)</f>
        <v>16286193</v>
      </c>
      <c r="D772" s="557">
        <f>SUM(D763:D771)</f>
        <v>6124245</v>
      </c>
      <c r="E772" s="557">
        <f>SUM(E763:E771)</f>
        <v>6486310</v>
      </c>
      <c r="F772" s="557">
        <f>SUM(F763:F771)</f>
        <v>18804982</v>
      </c>
      <c r="G772" s="595">
        <f t="shared" si="43"/>
        <v>72.330935840274961</v>
      </c>
    </row>
    <row r="773" spans="1:7" ht="11.1" customHeight="1" thickTop="1">
      <c r="A773" s="86"/>
      <c r="B773" s="86"/>
      <c r="C773" s="86"/>
      <c r="D773" s="86"/>
      <c r="E773" s="86"/>
    </row>
    <row r="774" spans="1:7" ht="11.1" customHeight="1">
      <c r="A774" s="86"/>
      <c r="B774" s="86"/>
      <c r="C774" s="86"/>
      <c r="D774" s="86"/>
      <c r="E774" s="86"/>
    </row>
    <row r="775" spans="1:7" ht="11.1" customHeight="1">
      <c r="A775" s="40"/>
      <c r="B775" s="966" t="s">
        <v>651</v>
      </c>
      <c r="C775" s="966"/>
      <c r="D775" s="966"/>
      <c r="E775" s="966"/>
      <c r="F775" s="966"/>
      <c r="G775" s="966"/>
    </row>
    <row r="776" spans="1:7" ht="11.1" customHeight="1"/>
  </sheetData>
  <mergeCells count="392">
    <mergeCell ref="B546:H546"/>
    <mergeCell ref="A559:H559"/>
    <mergeCell ref="A560:H560"/>
    <mergeCell ref="A562:A563"/>
    <mergeCell ref="B562:B563"/>
    <mergeCell ref="C562:G562"/>
    <mergeCell ref="H562:H563"/>
    <mergeCell ref="H505:H506"/>
    <mergeCell ref="B432:H432"/>
    <mergeCell ref="A472:H472"/>
    <mergeCell ref="A544:B544"/>
    <mergeCell ref="M382:M383"/>
    <mergeCell ref="N382:N383"/>
    <mergeCell ref="M393:N393"/>
    <mergeCell ref="M395:Q395"/>
    <mergeCell ref="B399:H399"/>
    <mergeCell ref="A411:H411"/>
    <mergeCell ref="C709:G709"/>
    <mergeCell ref="A707:H707"/>
    <mergeCell ref="A709:A710"/>
    <mergeCell ref="B709:B710"/>
    <mergeCell ref="H709:H710"/>
    <mergeCell ref="A473:H473"/>
    <mergeCell ref="B464:H464"/>
    <mergeCell ref="A694:B694"/>
    <mergeCell ref="B696:H696"/>
    <mergeCell ref="A499:H500"/>
    <mergeCell ref="A502:H502"/>
    <mergeCell ref="A503:H503"/>
    <mergeCell ref="F504:H504"/>
    <mergeCell ref="A505:A506"/>
    <mergeCell ref="B505:B506"/>
    <mergeCell ref="C505:G505"/>
    <mergeCell ref="H414:H415"/>
    <mergeCell ref="A386:A387"/>
    <mergeCell ref="AB2:AJ2"/>
    <mergeCell ref="M324:M325"/>
    <mergeCell ref="N324:N325"/>
    <mergeCell ref="AB4:AB5"/>
    <mergeCell ref="AB1:AJ1"/>
    <mergeCell ref="M353:T353"/>
    <mergeCell ref="M354:T354"/>
    <mergeCell ref="M356:M357"/>
    <mergeCell ref="N356:N357"/>
    <mergeCell ref="O356:S356"/>
    <mergeCell ref="T356:T357"/>
    <mergeCell ref="X99:Y99"/>
    <mergeCell ref="X100:Y100"/>
    <mergeCell ref="X101:Y101"/>
    <mergeCell ref="X102:Y102"/>
    <mergeCell ref="X103:Y103"/>
    <mergeCell ref="AD4:AI4"/>
    <mergeCell ref="M335:N335"/>
    <mergeCell ref="M321:S321"/>
    <mergeCell ref="M322:S322"/>
    <mergeCell ref="W62:W63"/>
    <mergeCell ref="O35:S35"/>
    <mergeCell ref="T35:T36"/>
    <mergeCell ref="X62:Z62"/>
    <mergeCell ref="M1:T1"/>
    <mergeCell ref="M2:T2"/>
    <mergeCell ref="S3:T3"/>
    <mergeCell ref="M4:M5"/>
    <mergeCell ref="N4:N5"/>
    <mergeCell ref="V1:Z2"/>
    <mergeCell ref="V4:Z4"/>
    <mergeCell ref="V5:Z5"/>
    <mergeCell ref="V7:V8"/>
    <mergeCell ref="W7:W8"/>
    <mergeCell ref="X7:X8"/>
    <mergeCell ref="Y7:Y8"/>
    <mergeCell ref="Z7:Z8"/>
    <mergeCell ref="O4:S4"/>
    <mergeCell ref="T4:T5"/>
    <mergeCell ref="M15:N15"/>
    <mergeCell ref="AB11:AC11"/>
    <mergeCell ref="A442:H442"/>
    <mergeCell ref="A443:H443"/>
    <mergeCell ref="A445:A446"/>
    <mergeCell ref="B445:B446"/>
    <mergeCell ref="C445:G445"/>
    <mergeCell ref="H445:H446"/>
    <mergeCell ref="A462:B462"/>
    <mergeCell ref="AC16:AJ16"/>
    <mergeCell ref="V29:Z29"/>
    <mergeCell ref="V59:Z59"/>
    <mergeCell ref="V60:Z60"/>
    <mergeCell ref="V18:W18"/>
    <mergeCell ref="W20:Z20"/>
    <mergeCell ref="M46:N46"/>
    <mergeCell ref="N48:T48"/>
    <mergeCell ref="M32:T32"/>
    <mergeCell ref="M33:T33"/>
    <mergeCell ref="W45:Z45"/>
    <mergeCell ref="M178:T178"/>
    <mergeCell ref="V73:W73"/>
    <mergeCell ref="R34:T34"/>
    <mergeCell ref="M35:M36"/>
    <mergeCell ref="N35:N36"/>
    <mergeCell ref="W75:Z75"/>
    <mergeCell ref="M164:N164"/>
    <mergeCell ref="N166:T166"/>
    <mergeCell ref="M177:T177"/>
    <mergeCell ref="M100:N100"/>
    <mergeCell ref="V90:Z90"/>
    <mergeCell ref="V91:Z91"/>
    <mergeCell ref="V93:V94"/>
    <mergeCell ref="W93:W94"/>
    <mergeCell ref="V104:W104"/>
    <mergeCell ref="W106:Z106"/>
    <mergeCell ref="X93:Y93"/>
    <mergeCell ref="X94:Y94"/>
    <mergeCell ref="X95:Y95"/>
    <mergeCell ref="X96:Y96"/>
    <mergeCell ref="X97:Y97"/>
    <mergeCell ref="X98:Y98"/>
    <mergeCell ref="N152:N153"/>
    <mergeCell ref="T124:T125"/>
    <mergeCell ref="M131:N131"/>
    <mergeCell ref="N133:T133"/>
    <mergeCell ref="M149:T149"/>
    <mergeCell ref="M150:T150"/>
    <mergeCell ref="M235:T235"/>
    <mergeCell ref="M236:T236"/>
    <mergeCell ref="M238:M239"/>
    <mergeCell ref="N238:N239"/>
    <mergeCell ref="O238:S238"/>
    <mergeCell ref="T238:T239"/>
    <mergeCell ref="M252:N252"/>
    <mergeCell ref="N194:T194"/>
    <mergeCell ref="M205:T205"/>
    <mergeCell ref="M206:T206"/>
    <mergeCell ref="M208:M209"/>
    <mergeCell ref="N208:N209"/>
    <mergeCell ref="O208:S208"/>
    <mergeCell ref="T208:T209"/>
    <mergeCell ref="M222:N222"/>
    <mergeCell ref="M152:M153"/>
    <mergeCell ref="O152:S152"/>
    <mergeCell ref="T152:T153"/>
    <mergeCell ref="N224:T224"/>
    <mergeCell ref="M180:M181"/>
    <mergeCell ref="N180:N181"/>
    <mergeCell ref="O180:S180"/>
    <mergeCell ref="T180:T181"/>
    <mergeCell ref="M190:N190"/>
    <mergeCell ref="M191:N191"/>
    <mergeCell ref="A280:B280"/>
    <mergeCell ref="A325:A326"/>
    <mergeCell ref="B325:B326"/>
    <mergeCell ref="C325:G325"/>
    <mergeCell ref="H325:H326"/>
    <mergeCell ref="A342:B342"/>
    <mergeCell ref="B312:H312"/>
    <mergeCell ref="M294:T294"/>
    <mergeCell ref="M295:T295"/>
    <mergeCell ref="M297:M298"/>
    <mergeCell ref="N297:N298"/>
    <mergeCell ref="O297:S297"/>
    <mergeCell ref="T297:T298"/>
    <mergeCell ref="B282:H282"/>
    <mergeCell ref="N254:T254"/>
    <mergeCell ref="M265:T265"/>
    <mergeCell ref="M266:T266"/>
    <mergeCell ref="M268:M269"/>
    <mergeCell ref="N268:N269"/>
    <mergeCell ref="O268:S268"/>
    <mergeCell ref="T268:T269"/>
    <mergeCell ref="M282:N282"/>
    <mergeCell ref="H682:H683"/>
    <mergeCell ref="M368:N368"/>
    <mergeCell ref="N370:T370"/>
    <mergeCell ref="A676:H677"/>
    <mergeCell ref="A475:A476"/>
    <mergeCell ref="B475:B476"/>
    <mergeCell ref="A354:H354"/>
    <mergeCell ref="A355:H355"/>
    <mergeCell ref="A357:A358"/>
    <mergeCell ref="B357:B358"/>
    <mergeCell ref="C357:G357"/>
    <mergeCell ref="H357:H358"/>
    <mergeCell ref="C475:G475"/>
    <mergeCell ref="H475:H476"/>
    <mergeCell ref="A488:B488"/>
    <mergeCell ref="B431:F431"/>
    <mergeCell ref="A209:A210"/>
    <mergeCell ref="B209:B210"/>
    <mergeCell ref="C209:G209"/>
    <mergeCell ref="H209:H210"/>
    <mergeCell ref="A192:B192"/>
    <mergeCell ref="B194:H194"/>
    <mergeCell ref="A178:H178"/>
    <mergeCell ref="A179:H179"/>
    <mergeCell ref="F180:H180"/>
    <mergeCell ref="A181:A182"/>
    <mergeCell ref="B181:B182"/>
    <mergeCell ref="C181:G181"/>
    <mergeCell ref="H181:H182"/>
    <mergeCell ref="A206:H206"/>
    <mergeCell ref="A207:H207"/>
    <mergeCell ref="B165:H165"/>
    <mergeCell ref="A131:B131"/>
    <mergeCell ref="B133:H133"/>
    <mergeCell ref="A146:H147"/>
    <mergeCell ref="A149:H149"/>
    <mergeCell ref="A150:H150"/>
    <mergeCell ref="A152:A153"/>
    <mergeCell ref="B152:B153"/>
    <mergeCell ref="C152:G152"/>
    <mergeCell ref="H152:H153"/>
    <mergeCell ref="A163:B163"/>
    <mergeCell ref="B64:B65"/>
    <mergeCell ref="C64:G64"/>
    <mergeCell ref="A1:H2"/>
    <mergeCell ref="B20:H20"/>
    <mergeCell ref="A4:H4"/>
    <mergeCell ref="A5:H5"/>
    <mergeCell ref="F6:H6"/>
    <mergeCell ref="A7:A8"/>
    <mergeCell ref="B7:B8"/>
    <mergeCell ref="A35:H35"/>
    <mergeCell ref="C38:G38"/>
    <mergeCell ref="B106:H106"/>
    <mergeCell ref="A117:H117"/>
    <mergeCell ref="A118:H118"/>
    <mergeCell ref="M61:T61"/>
    <mergeCell ref="M62:T62"/>
    <mergeCell ref="R63:T63"/>
    <mergeCell ref="M64:M65"/>
    <mergeCell ref="N64:N65"/>
    <mergeCell ref="O64:S64"/>
    <mergeCell ref="T64:T65"/>
    <mergeCell ref="M75:N75"/>
    <mergeCell ref="N102:T102"/>
    <mergeCell ref="N77:T77"/>
    <mergeCell ref="M89:T89"/>
    <mergeCell ref="M90:T90"/>
    <mergeCell ref="R91:T91"/>
    <mergeCell ref="M92:M93"/>
    <mergeCell ref="N92:N93"/>
    <mergeCell ref="O92:S92"/>
    <mergeCell ref="T92:T93"/>
    <mergeCell ref="A91:H91"/>
    <mergeCell ref="N103:R105"/>
    <mergeCell ref="A62:H62"/>
    <mergeCell ref="A64:A65"/>
    <mergeCell ref="A120:A121"/>
    <mergeCell ref="B120:B121"/>
    <mergeCell ref="C120:G120"/>
    <mergeCell ref="H120:H121"/>
    <mergeCell ref="H7:H8"/>
    <mergeCell ref="A93:A94"/>
    <mergeCell ref="B93:B94"/>
    <mergeCell ref="C93:G93"/>
    <mergeCell ref="H93:H94"/>
    <mergeCell ref="A90:H90"/>
    <mergeCell ref="G92:H92"/>
    <mergeCell ref="H64:H65"/>
    <mergeCell ref="A75:B75"/>
    <mergeCell ref="G37:H37"/>
    <mergeCell ref="A49:B49"/>
    <mergeCell ref="B51:H51"/>
    <mergeCell ref="A61:H61"/>
    <mergeCell ref="A36:H36"/>
    <mergeCell ref="A38:A39"/>
    <mergeCell ref="B38:B39"/>
    <mergeCell ref="H38:H39"/>
    <mergeCell ref="C7:G7"/>
    <mergeCell ref="A104:B104"/>
    <mergeCell ref="B77:H77"/>
    <mergeCell ref="A220:B220"/>
    <mergeCell ref="B222:H222"/>
    <mergeCell ref="A235:H235"/>
    <mergeCell ref="A236:H236"/>
    <mergeCell ref="A269:A270"/>
    <mergeCell ref="B269:B270"/>
    <mergeCell ref="C269:G269"/>
    <mergeCell ref="H269:H270"/>
    <mergeCell ref="A251:B251"/>
    <mergeCell ref="B253:H253"/>
    <mergeCell ref="A266:H266"/>
    <mergeCell ref="A267:H267"/>
    <mergeCell ref="B238:B239"/>
    <mergeCell ref="C238:G238"/>
    <mergeCell ref="H238:H239"/>
    <mergeCell ref="A238:A239"/>
    <mergeCell ref="F237:H237"/>
    <mergeCell ref="B386:B387"/>
    <mergeCell ref="C386:G386"/>
    <mergeCell ref="H386:H387"/>
    <mergeCell ref="A397:B397"/>
    <mergeCell ref="A368:B368"/>
    <mergeCell ref="A292:H292"/>
    <mergeCell ref="A293:H293"/>
    <mergeCell ref="A295:A296"/>
    <mergeCell ref="B295:B296"/>
    <mergeCell ref="C295:G295"/>
    <mergeCell ref="H295:H296"/>
    <mergeCell ref="B370:H370"/>
    <mergeCell ref="A383:H383"/>
    <mergeCell ref="A384:H384"/>
    <mergeCell ref="A322:H322"/>
    <mergeCell ref="A323:H323"/>
    <mergeCell ref="B344:H344"/>
    <mergeCell ref="C414:G414"/>
    <mergeCell ref="A412:H412"/>
    <mergeCell ref="A414:A415"/>
    <mergeCell ref="B414:B415"/>
    <mergeCell ref="B490:H490"/>
    <mergeCell ref="A533:A534"/>
    <mergeCell ref="B533:B534"/>
    <mergeCell ref="C533:G533"/>
    <mergeCell ref="H533:H534"/>
    <mergeCell ref="A516:B516"/>
    <mergeCell ref="B518:H518"/>
    <mergeCell ref="A530:H530"/>
    <mergeCell ref="A531:H531"/>
    <mergeCell ref="A589:H589"/>
    <mergeCell ref="A591:A592"/>
    <mergeCell ref="B591:B592"/>
    <mergeCell ref="C591:G591"/>
    <mergeCell ref="H591:H592"/>
    <mergeCell ref="A571:B571"/>
    <mergeCell ref="B575:E577"/>
    <mergeCell ref="B573:H573"/>
    <mergeCell ref="A588:H588"/>
    <mergeCell ref="A621:A622"/>
    <mergeCell ref="B621:B622"/>
    <mergeCell ref="C621:G621"/>
    <mergeCell ref="H621:H622"/>
    <mergeCell ref="A629:B629"/>
    <mergeCell ref="A602:B602"/>
    <mergeCell ref="B604:H604"/>
    <mergeCell ref="A618:H618"/>
    <mergeCell ref="A619:H619"/>
    <mergeCell ref="A727:H727"/>
    <mergeCell ref="A728:H728"/>
    <mergeCell ref="A660:B660"/>
    <mergeCell ref="B662:H662"/>
    <mergeCell ref="B631:H631"/>
    <mergeCell ref="A645:H645"/>
    <mergeCell ref="A646:H646"/>
    <mergeCell ref="A648:A649"/>
    <mergeCell ref="B648:B649"/>
    <mergeCell ref="C648:G648"/>
    <mergeCell ref="H648:H649"/>
    <mergeCell ref="A719:B719"/>
    <mergeCell ref="A720:B720"/>
    <mergeCell ref="B723:H723"/>
    <mergeCell ref="A679:H679"/>
    <mergeCell ref="A680:H680"/>
    <mergeCell ref="A682:A683"/>
    <mergeCell ref="B682:B683"/>
    <mergeCell ref="C682:G682"/>
    <mergeCell ref="A706:H706"/>
    <mergeCell ref="H730:H731"/>
    <mergeCell ref="B744:G744"/>
    <mergeCell ref="G761:G762"/>
    <mergeCell ref="C761:F761"/>
    <mergeCell ref="B775:G775"/>
    <mergeCell ref="A758:G758"/>
    <mergeCell ref="A759:G759"/>
    <mergeCell ref="A761:A762"/>
    <mergeCell ref="B761:B762"/>
    <mergeCell ref="A772:B772"/>
    <mergeCell ref="A730:A731"/>
    <mergeCell ref="B730:B731"/>
    <mergeCell ref="A741:B741"/>
    <mergeCell ref="M17:T17"/>
    <mergeCell ref="T324:T325"/>
    <mergeCell ref="O324:S324"/>
    <mergeCell ref="O382:Q382"/>
    <mergeCell ref="M379:R379"/>
    <mergeCell ref="M380:R380"/>
    <mergeCell ref="V28:Z28"/>
    <mergeCell ref="V31:V32"/>
    <mergeCell ref="W31:W32"/>
    <mergeCell ref="X31:Y31"/>
    <mergeCell ref="V42:W42"/>
    <mergeCell ref="W44:Z44"/>
    <mergeCell ref="X104:Y104"/>
    <mergeCell ref="V62:V63"/>
    <mergeCell ref="M192:N192"/>
    <mergeCell ref="M121:T121"/>
    <mergeCell ref="M122:T122"/>
    <mergeCell ref="R123:T123"/>
    <mergeCell ref="M124:M125"/>
    <mergeCell ref="N124:N125"/>
    <mergeCell ref="O124:S124"/>
    <mergeCell ref="N313:T313"/>
    <mergeCell ref="N283:R283"/>
    <mergeCell ref="N284:T284"/>
  </mergeCells>
  <pageMargins left="0.7" right="0.7" top="0.4" bottom="0.4" header="0.3" footer="0.3"/>
  <pageSetup paperSize="5" orientation="portrait" r:id="rId1"/>
  <colBreaks count="3" manualBreakCount="3">
    <brk id="11" max="775" man="1"/>
    <brk id="21" max="1048575" man="1"/>
    <brk id="27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8"/>
  <sheetViews>
    <sheetView view="pageBreakPreview" topLeftCell="A190" zoomScale="150" zoomScaleSheetLayoutView="150" workbookViewId="0">
      <selection activeCell="B209" sqref="B209:H209"/>
    </sheetView>
  </sheetViews>
  <sheetFormatPr defaultRowHeight="15"/>
  <cols>
    <col min="1" max="1" width="2" style="44" customWidth="1"/>
    <col min="2" max="2" width="10.28515625" style="44" customWidth="1"/>
    <col min="3" max="3" width="10.42578125" style="44" customWidth="1"/>
    <col min="4" max="5" width="9.140625" style="44" customWidth="1"/>
    <col min="6" max="6" width="9.5703125" style="44" customWidth="1"/>
    <col min="7" max="7" width="9" style="44" customWidth="1"/>
    <col min="8" max="8" width="4" style="44" customWidth="1"/>
    <col min="9" max="10" width="9.140625" style="44"/>
    <col min="11" max="11" width="7.28515625" style="44" customWidth="1"/>
    <col min="12" max="16384" width="9.140625" style="44"/>
  </cols>
  <sheetData>
    <row r="1" spans="1:9" ht="11.1" customHeight="1">
      <c r="A1" s="1194" t="s">
        <v>737</v>
      </c>
      <c r="B1" s="1194"/>
      <c r="C1" s="1194"/>
      <c r="D1" s="1194"/>
      <c r="E1" s="1194"/>
      <c r="F1" s="1194"/>
      <c r="G1" s="1194"/>
      <c r="H1" s="1194"/>
    </row>
    <row r="2" spans="1:9" ht="11.1" customHeight="1">
      <c r="A2" s="1194"/>
      <c r="B2" s="1194"/>
      <c r="C2" s="1194"/>
      <c r="D2" s="1194"/>
      <c r="E2" s="1194"/>
      <c r="F2" s="1194"/>
      <c r="G2" s="1194"/>
      <c r="H2" s="1194"/>
    </row>
    <row r="3" spans="1:9" ht="11.1" customHeight="1"/>
    <row r="4" spans="1:9" ht="11.1" customHeight="1">
      <c r="A4" s="1024" t="s">
        <v>612</v>
      </c>
      <c r="B4" s="1024"/>
      <c r="C4" s="1024"/>
      <c r="D4" s="1024"/>
      <c r="E4" s="1024"/>
      <c r="F4" s="1024"/>
      <c r="G4" s="1024"/>
      <c r="H4" s="1024"/>
    </row>
    <row r="5" spans="1:9" ht="11.1" customHeight="1">
      <c r="A5" s="1024" t="s">
        <v>738</v>
      </c>
      <c r="B5" s="1024"/>
      <c r="C5" s="1024"/>
      <c r="D5" s="1024"/>
      <c r="E5" s="1024"/>
      <c r="F5" s="1024"/>
      <c r="G5" s="1024"/>
      <c r="H5" s="1024"/>
    </row>
    <row r="6" spans="1:9" ht="11.1" customHeight="1">
      <c r="A6" s="40"/>
      <c r="B6" s="40"/>
      <c r="C6" s="40"/>
      <c r="D6" s="40"/>
      <c r="E6" s="40"/>
      <c r="F6" s="40"/>
      <c r="G6" s="40"/>
      <c r="H6" s="113" t="s">
        <v>393</v>
      </c>
    </row>
    <row r="7" spans="1:9" ht="11.1" customHeight="1">
      <c r="A7" s="1043" t="s">
        <v>212</v>
      </c>
      <c r="B7" s="1043" t="s">
        <v>345</v>
      </c>
      <c r="C7" s="1020" t="s">
        <v>214</v>
      </c>
      <c r="D7" s="1021"/>
      <c r="E7" s="1021"/>
      <c r="F7" s="1021"/>
      <c r="G7" s="1022"/>
      <c r="H7" s="1043" t="s">
        <v>126</v>
      </c>
    </row>
    <row r="8" spans="1:9" ht="11.1" customHeight="1" thickBot="1">
      <c r="A8" s="1044"/>
      <c r="B8" s="1044"/>
      <c r="C8" s="355">
        <v>2014</v>
      </c>
      <c r="D8" s="355">
        <v>2015</v>
      </c>
      <c r="E8" s="355">
        <v>2016</v>
      </c>
      <c r="F8" s="355">
        <v>2017</v>
      </c>
      <c r="G8" s="355">
        <v>2018</v>
      </c>
      <c r="H8" s="1044"/>
    </row>
    <row r="9" spans="1:9" ht="11.1" customHeight="1" thickTop="1">
      <c r="A9" s="347">
        <v>1</v>
      </c>
      <c r="B9" s="30" t="s">
        <v>325</v>
      </c>
      <c r="C9" s="550">
        <v>608.85599999999999</v>
      </c>
      <c r="D9" s="486">
        <v>621.04</v>
      </c>
      <c r="E9" s="486">
        <v>633.46</v>
      </c>
      <c r="F9" s="486">
        <f>102%*E9</f>
        <v>646.12920000000008</v>
      </c>
      <c r="G9" s="486">
        <v>659.05</v>
      </c>
      <c r="H9" s="349">
        <f t="shared" ref="H9:H14" si="0">(((D9-C9)/C9*100)+((E9-D9)/D9*100)+((F9-E9)/E9*100)+((G9-F9)/F9*100))/4</f>
        <v>2.0001812665235685</v>
      </c>
      <c r="I9" s="559"/>
    </row>
    <row r="10" spans="1:9" ht="11.1" customHeight="1">
      <c r="A10" s="350">
        <v>2</v>
      </c>
      <c r="B10" s="35" t="s">
        <v>326</v>
      </c>
      <c r="C10" s="486">
        <v>122.748</v>
      </c>
      <c r="D10" s="486">
        <v>125.21</v>
      </c>
      <c r="E10" s="486">
        <v>127.71</v>
      </c>
      <c r="F10" s="486">
        <v>130.26499999999999</v>
      </c>
      <c r="G10" s="486">
        <v>132.87</v>
      </c>
      <c r="H10" s="349">
        <f t="shared" si="0"/>
        <v>2.0006942706133382</v>
      </c>
      <c r="I10" s="559"/>
    </row>
    <row r="11" spans="1:9" ht="11.1" customHeight="1">
      <c r="A11" s="350">
        <v>3</v>
      </c>
      <c r="B11" s="35" t="s">
        <v>327</v>
      </c>
      <c r="C11" s="486">
        <v>733.25</v>
      </c>
      <c r="D11" s="486">
        <v>747.91</v>
      </c>
      <c r="E11" s="486">
        <v>762.87</v>
      </c>
      <c r="F11" s="486">
        <v>778.13</v>
      </c>
      <c r="G11" s="486">
        <v>793.69</v>
      </c>
      <c r="H11" s="349">
        <f t="shared" si="0"/>
        <v>1.9998913647064371</v>
      </c>
      <c r="I11" s="559"/>
    </row>
    <row r="12" spans="1:9" ht="11.1" customHeight="1">
      <c r="A12" s="350">
        <v>4</v>
      </c>
      <c r="B12" s="35" t="s">
        <v>328</v>
      </c>
      <c r="C12" s="486">
        <v>165.31</v>
      </c>
      <c r="D12" s="486">
        <v>168.61</v>
      </c>
      <c r="E12" s="486">
        <v>171.99</v>
      </c>
      <c r="F12" s="486">
        <v>175.43</v>
      </c>
      <c r="G12" s="486">
        <v>178.94</v>
      </c>
      <c r="H12" s="349">
        <f t="shared" si="0"/>
        <v>2.0004474639411738</v>
      </c>
      <c r="I12" s="559"/>
    </row>
    <row r="13" spans="1:9" ht="11.1" customHeight="1" thickBot="1">
      <c r="A13" s="352">
        <v>5</v>
      </c>
      <c r="B13" s="353" t="s">
        <v>498</v>
      </c>
      <c r="C13" s="657">
        <v>6.55</v>
      </c>
      <c r="D13" s="657">
        <v>6.68</v>
      </c>
      <c r="E13" s="657">
        <v>6.81</v>
      </c>
      <c r="F13" s="657">
        <v>6.95</v>
      </c>
      <c r="G13" s="657">
        <v>7.09</v>
      </c>
      <c r="H13" s="337">
        <f t="shared" si="0"/>
        <v>2.0002573479382519</v>
      </c>
      <c r="I13" s="559"/>
    </row>
    <row r="14" spans="1:9" ht="11.1" customHeight="1" thickTop="1" thickBot="1">
      <c r="A14" s="1034" t="s">
        <v>224</v>
      </c>
      <c r="B14" s="1035"/>
      <c r="C14" s="658">
        <f>SUM(C9:C13)</f>
        <v>1636.7139999999999</v>
      </c>
      <c r="D14" s="658">
        <f>SUM(D9:D13)</f>
        <v>1669.45</v>
      </c>
      <c r="E14" s="658">
        <f>SUM(E9:E13)</f>
        <v>1702.84</v>
      </c>
      <c r="F14" s="658">
        <f>SUM(F9:F13)</f>
        <v>1736.9042000000002</v>
      </c>
      <c r="G14" s="658">
        <f>SUM(G9:G13)</f>
        <v>1771.64</v>
      </c>
      <c r="H14" s="470">
        <f t="shared" si="0"/>
        <v>2.0001170145954332</v>
      </c>
      <c r="I14" s="559"/>
    </row>
    <row r="15" spans="1:9" ht="11.1" customHeight="1" thickTop="1">
      <c r="A15" s="40"/>
      <c r="B15" s="1195" t="s">
        <v>739</v>
      </c>
      <c r="C15" s="1195"/>
      <c r="D15" s="1195"/>
      <c r="E15" s="1195"/>
      <c r="F15" s="1195"/>
      <c r="G15" s="109"/>
      <c r="H15" s="354"/>
      <c r="I15" s="559"/>
    </row>
    <row r="16" spans="1:9" ht="11.1" customHeight="1">
      <c r="A16" s="40"/>
      <c r="B16" s="475"/>
      <c r="C16" s="475"/>
      <c r="D16" s="475"/>
      <c r="E16" s="475"/>
      <c r="F16" s="475"/>
      <c r="G16" s="475"/>
      <c r="H16" s="481"/>
    </row>
    <row r="17" spans="1:8" ht="11.1" customHeight="1">
      <c r="A17" s="276"/>
      <c r="B17" s="966" t="s">
        <v>499</v>
      </c>
      <c r="C17" s="966"/>
      <c r="D17" s="966"/>
      <c r="E17" s="966"/>
      <c r="F17" s="966"/>
      <c r="G17" s="966"/>
      <c r="H17" s="966"/>
    </row>
    <row r="18" spans="1:8" ht="11.1" customHeight="1">
      <c r="A18" s="276"/>
      <c r="B18" s="439"/>
      <c r="C18" s="439"/>
      <c r="D18" s="439"/>
      <c r="E18" s="439"/>
      <c r="F18" s="439"/>
      <c r="G18" s="439"/>
      <c r="H18" s="439"/>
    </row>
    <row r="19" spans="1:8" ht="11.1" customHeight="1">
      <c r="A19" s="276"/>
      <c r="B19" s="466"/>
      <c r="C19" s="560">
        <v>1636.71</v>
      </c>
      <c r="D19" s="560">
        <v>1669.45</v>
      </c>
      <c r="E19" s="560">
        <v>1702.84</v>
      </c>
      <c r="F19" s="560">
        <v>1736.9</v>
      </c>
      <c r="G19" s="560">
        <v>1754.23</v>
      </c>
      <c r="H19" s="561"/>
    </row>
    <row r="20" spans="1:8" ht="11.1" customHeight="1">
      <c r="A20" s="276"/>
      <c r="B20" s="439"/>
      <c r="C20" s="439"/>
      <c r="D20" s="439"/>
      <c r="E20" s="439"/>
      <c r="F20" s="439"/>
      <c r="G20" s="439"/>
      <c r="H20" s="439"/>
    </row>
    <row r="21" spans="1:8" ht="11.1" customHeight="1">
      <c r="A21" s="276"/>
      <c r="B21" s="439"/>
      <c r="C21" s="439"/>
      <c r="D21" s="439"/>
      <c r="E21" s="439"/>
      <c r="F21" s="439"/>
      <c r="G21" s="439"/>
      <c r="H21" s="439"/>
    </row>
    <row r="22" spans="1:8" ht="11.1" customHeight="1">
      <c r="A22" s="276"/>
      <c r="B22" s="439"/>
      <c r="C22" s="439"/>
      <c r="D22" s="439"/>
      <c r="E22" s="439"/>
      <c r="F22" s="439"/>
      <c r="G22" s="439"/>
      <c r="H22" s="439"/>
    </row>
    <row r="23" spans="1:8" ht="11.1" customHeight="1">
      <c r="A23" s="276"/>
      <c r="B23" s="439"/>
      <c r="C23" s="439"/>
      <c r="D23" s="439"/>
      <c r="E23" s="439"/>
      <c r="F23" s="439"/>
      <c r="G23" s="439"/>
      <c r="H23" s="439"/>
    </row>
    <row r="24" spans="1:8" ht="11.1" customHeight="1">
      <c r="A24" s="276"/>
      <c r="B24" s="439"/>
      <c r="C24" s="439"/>
      <c r="D24" s="439"/>
      <c r="E24" s="439"/>
      <c r="F24" s="439"/>
      <c r="G24" s="449"/>
      <c r="H24" s="439"/>
    </row>
    <row r="25" spans="1:8" ht="11.1" customHeight="1">
      <c r="A25" s="276"/>
      <c r="B25" s="474"/>
      <c r="C25" s="474"/>
      <c r="D25" s="474"/>
      <c r="E25" s="474"/>
      <c r="F25" s="474"/>
      <c r="G25" s="474"/>
      <c r="H25" s="474"/>
    </row>
    <row r="26" spans="1:8" ht="11.1" customHeight="1">
      <c r="A26" s="276"/>
      <c r="B26" s="439"/>
      <c r="C26" s="439"/>
      <c r="D26" s="439"/>
      <c r="E26" s="439"/>
      <c r="F26" s="439"/>
      <c r="G26" s="439"/>
      <c r="H26" s="439"/>
    </row>
    <row r="27" spans="1:8" ht="11.1" customHeight="1">
      <c r="A27" s="276"/>
      <c r="B27" s="439"/>
      <c r="C27" s="439"/>
      <c r="D27" s="439"/>
      <c r="E27" s="439"/>
      <c r="F27" s="439"/>
      <c r="G27" s="439"/>
      <c r="H27" s="439"/>
    </row>
    <row r="28" spans="1:8" ht="11.1" customHeight="1">
      <c r="A28" s="276"/>
      <c r="B28" s="439"/>
      <c r="C28" s="439"/>
      <c r="D28" s="439"/>
      <c r="E28" s="439"/>
      <c r="F28" s="439"/>
      <c r="G28" s="439"/>
      <c r="H28" s="439"/>
    </row>
    <row r="29" spans="1:8" ht="11.1" customHeight="1"/>
    <row r="30" spans="1:8" ht="11.1" customHeight="1"/>
    <row r="31" spans="1:8" ht="11.1" customHeight="1"/>
    <row r="32" spans="1:8" ht="11.1" customHeight="1">
      <c r="A32" s="1196" t="s">
        <v>613</v>
      </c>
      <c r="B32" s="1196"/>
      <c r="C32" s="1196"/>
      <c r="D32" s="1196"/>
      <c r="E32" s="1196"/>
      <c r="F32" s="1196"/>
      <c r="G32" s="1196"/>
      <c r="H32" s="1196"/>
    </row>
    <row r="33" spans="1:10" ht="11.1" customHeight="1">
      <c r="A33" s="1024" t="s">
        <v>738</v>
      </c>
      <c r="B33" s="1024"/>
      <c r="C33" s="1024"/>
      <c r="D33" s="1024"/>
      <c r="E33" s="1024"/>
      <c r="F33" s="1024"/>
      <c r="G33" s="1024"/>
      <c r="H33" s="1024"/>
    </row>
    <row r="34" spans="1:10" ht="11.1" customHeight="1">
      <c r="A34" s="358"/>
      <c r="B34" s="358"/>
      <c r="C34" s="358"/>
      <c r="D34" s="358"/>
      <c r="E34" s="358"/>
      <c r="F34" s="358"/>
      <c r="G34" s="358"/>
      <c r="H34" s="356" t="s">
        <v>257</v>
      </c>
    </row>
    <row r="35" spans="1:10" ht="11.1" customHeight="1">
      <c r="A35" s="1197" t="s">
        <v>212</v>
      </c>
      <c r="B35" s="1197" t="s">
        <v>244</v>
      </c>
      <c r="C35" s="1203" t="s">
        <v>421</v>
      </c>
      <c r="D35" s="1204"/>
      <c r="E35" s="1204"/>
      <c r="F35" s="1204"/>
      <c r="G35" s="1205"/>
      <c r="H35" s="1197" t="s">
        <v>126</v>
      </c>
    </row>
    <row r="36" spans="1:10" ht="11.1" customHeight="1" thickBot="1">
      <c r="A36" s="1198"/>
      <c r="B36" s="1198"/>
      <c r="C36" s="355">
        <v>2014</v>
      </c>
      <c r="D36" s="355">
        <v>2015</v>
      </c>
      <c r="E36" s="355">
        <v>2016</v>
      </c>
      <c r="F36" s="355">
        <v>2017</v>
      </c>
      <c r="G36" s="355">
        <v>2018</v>
      </c>
      <c r="H36" s="1198"/>
    </row>
    <row r="37" spans="1:10" ht="11.1" customHeight="1" thickTop="1">
      <c r="A37" s="359"/>
      <c r="B37" s="360"/>
      <c r="C37" s="361"/>
      <c r="D37" s="361"/>
      <c r="E37" s="360"/>
      <c r="F37" s="360"/>
      <c r="G37" s="360"/>
      <c r="H37" s="360"/>
      <c r="J37" s="467"/>
    </row>
    <row r="38" spans="1:10" ht="11.1" customHeight="1">
      <c r="A38" s="362">
        <v>1</v>
      </c>
      <c r="B38" s="363" t="s">
        <v>245</v>
      </c>
      <c r="C38" s="364">
        <v>2988</v>
      </c>
      <c r="D38" s="364">
        <v>4983.7866720000002</v>
      </c>
      <c r="E38" s="364">
        <v>5033.6245387200006</v>
      </c>
      <c r="F38" s="364">
        <v>5083.9607841072002</v>
      </c>
      <c r="G38" s="364">
        <v>5134.8003919482726</v>
      </c>
      <c r="H38" s="349">
        <f>(((D38-C38)/C38*100)+((E38-D38)/D38*100)+((F38-E38)/E38*100)+((G38-F38)/F38*100))/4</f>
        <v>17.448348995983938</v>
      </c>
      <c r="J38" s="467"/>
    </row>
    <row r="39" spans="1:10" ht="11.1" customHeight="1">
      <c r="A39" s="362">
        <v>2</v>
      </c>
      <c r="B39" s="363" t="s">
        <v>246</v>
      </c>
      <c r="C39" s="364">
        <v>13484</v>
      </c>
      <c r="D39" s="364">
        <v>22489.048827999999</v>
      </c>
      <c r="E39" s="364">
        <v>22713.939316280001</v>
      </c>
      <c r="F39" s="364">
        <v>22941.078709442801</v>
      </c>
      <c r="G39" s="364">
        <v>23170.48949653723</v>
      </c>
      <c r="H39" s="349">
        <f>(((D39-C39)/C39*100)+((E39-D39)/D39*100)+((F39-E39)/E39*100)+((G39-F39)/F39*100))/4</f>
        <v>17.445803967665384</v>
      </c>
      <c r="J39" s="467"/>
    </row>
    <row r="40" spans="1:10" ht="11.1" customHeight="1">
      <c r="A40" s="362">
        <v>3</v>
      </c>
      <c r="B40" s="363" t="s">
        <v>247</v>
      </c>
      <c r="C40" s="364">
        <v>763</v>
      </c>
      <c r="D40" s="364">
        <v>1272.8649600000001</v>
      </c>
      <c r="E40" s="364">
        <v>1285.5936096</v>
      </c>
      <c r="F40" s="364">
        <v>1298.4495456960001</v>
      </c>
      <c r="G40" s="364">
        <v>1311.4340411529602</v>
      </c>
      <c r="H40" s="349">
        <f>(((D40-C40)/C40*100)+((E40-D40)/D40*100)+((F40-E40)/E40*100)+((G40-F40)/F40*100))/4</f>
        <v>17.455929226736572</v>
      </c>
    </row>
    <row r="41" spans="1:10" ht="11.1" customHeight="1" thickBot="1">
      <c r="A41" s="365"/>
      <c r="B41" s="366"/>
      <c r="C41" s="367"/>
      <c r="D41" s="367"/>
      <c r="E41" s="368"/>
      <c r="F41" s="368"/>
      <c r="G41" s="368"/>
      <c r="H41" s="369"/>
    </row>
    <row r="42" spans="1:10" ht="11.1" customHeight="1" thickTop="1" thickBot="1">
      <c r="A42" s="1199" t="s">
        <v>224</v>
      </c>
      <c r="B42" s="1200"/>
      <c r="C42" s="371">
        <f>SUM(C38:C40)</f>
        <v>17235</v>
      </c>
      <c r="D42" s="371">
        <f>SUM(D38:D40)</f>
        <v>28745.70046</v>
      </c>
      <c r="E42" s="371">
        <f>SUM(E38:E40)</f>
        <v>29033.157464600001</v>
      </c>
      <c r="F42" s="371">
        <f>SUM(F38:F40)</f>
        <v>29323.489039246</v>
      </c>
      <c r="G42" s="371">
        <f>SUM(G38:G40)</f>
        <v>29616.723929638461</v>
      </c>
      <c r="H42" s="372">
        <f>((D42-C42)/C42*100+(E42-D42)/D42*100+(F42-E42)/E42*100)+(G42-F42)/F42*100/4</f>
        <v>69.036773774296492</v>
      </c>
    </row>
    <row r="43" spans="1:10" ht="11.1" customHeight="1" thickTop="1">
      <c r="A43" s="370"/>
      <c r="B43" s="357" t="s">
        <v>739</v>
      </c>
      <c r="C43" s="357"/>
      <c r="D43" s="357"/>
      <c r="E43" s="357"/>
      <c r="F43" s="357"/>
      <c r="G43" s="357"/>
      <c r="H43" s="357"/>
    </row>
    <row r="44" spans="1:10" ht="11.1" customHeight="1">
      <c r="A44" s="370"/>
      <c r="B44" s="357"/>
      <c r="C44" s="357"/>
      <c r="D44" s="357"/>
      <c r="E44" s="357"/>
      <c r="F44" s="357"/>
      <c r="G44" s="357"/>
      <c r="H44" s="357"/>
    </row>
    <row r="45" spans="1:10" ht="11.1" customHeight="1">
      <c r="A45" s="370"/>
      <c r="B45" s="966" t="s">
        <v>500</v>
      </c>
      <c r="C45" s="966"/>
      <c r="D45" s="966"/>
      <c r="E45" s="966"/>
      <c r="F45" s="966"/>
      <c r="G45" s="966"/>
      <c r="H45" s="966"/>
    </row>
    <row r="46" spans="1:10" ht="11.1" customHeight="1">
      <c r="A46" s="370"/>
      <c r="B46" s="439"/>
      <c r="C46" s="439"/>
      <c r="D46" s="439"/>
      <c r="E46" s="439"/>
      <c r="F46" s="439"/>
      <c r="G46" s="439"/>
      <c r="H46" s="439"/>
    </row>
    <row r="47" spans="1:10" ht="11.1" customHeight="1">
      <c r="A47" s="370"/>
      <c r="B47" s="439"/>
      <c r="C47" s="439"/>
      <c r="D47" s="439"/>
      <c r="E47" s="439"/>
      <c r="F47" s="439"/>
      <c r="G47" s="439"/>
      <c r="H47" s="439"/>
    </row>
    <row r="48" spans="1:10" ht="11.1" customHeight="1">
      <c r="A48" s="370"/>
      <c r="B48" s="439"/>
      <c r="C48" s="439"/>
      <c r="D48" s="439"/>
      <c r="E48" s="439"/>
      <c r="F48" s="439"/>
      <c r="G48" s="439"/>
      <c r="H48" s="439"/>
    </row>
    <row r="49" spans="1:11" ht="11.1" customHeight="1">
      <c r="A49" s="370"/>
      <c r="B49" s="439"/>
      <c r="C49" s="439"/>
      <c r="D49" s="439"/>
      <c r="E49" s="439"/>
      <c r="F49" s="439"/>
      <c r="G49" s="439"/>
      <c r="H49" s="439"/>
    </row>
    <row r="50" spans="1:11" ht="11.1" customHeight="1">
      <c r="A50" s="370"/>
      <c r="B50" s="439"/>
      <c r="C50" s="439"/>
      <c r="D50" s="439"/>
      <c r="E50" s="439"/>
      <c r="F50" s="439"/>
      <c r="G50" s="439"/>
      <c r="H50" s="439"/>
    </row>
    <row r="51" spans="1:11" ht="11.1" customHeight="1">
      <c r="A51" s="370"/>
      <c r="B51" s="439"/>
      <c r="C51" s="439"/>
      <c r="D51" s="439"/>
      <c r="E51" s="439"/>
      <c r="F51" s="439"/>
      <c r="G51" s="439"/>
      <c r="H51" s="439"/>
    </row>
    <row r="52" spans="1:11" ht="10.5" customHeight="1">
      <c r="A52" s="370"/>
      <c r="B52" s="439"/>
      <c r="C52" s="439"/>
      <c r="D52" s="439"/>
      <c r="E52" s="439"/>
      <c r="F52" s="439"/>
      <c r="G52" s="439"/>
      <c r="H52" s="439"/>
    </row>
    <row r="53" spans="1:11" ht="11.1" customHeight="1">
      <c r="A53" s="370"/>
      <c r="B53" s="439"/>
      <c r="C53" s="439"/>
      <c r="D53" s="439"/>
      <c r="E53" s="439"/>
      <c r="F53" s="439"/>
      <c r="G53" s="439"/>
      <c r="H53" s="439"/>
    </row>
    <row r="54" spans="1:11" ht="11.1" customHeight="1">
      <c r="A54" s="370"/>
      <c r="B54" s="439"/>
      <c r="C54" s="439"/>
      <c r="D54" s="439"/>
      <c r="E54" s="439"/>
      <c r="F54" s="439"/>
      <c r="G54" s="439"/>
      <c r="H54" s="439"/>
    </row>
    <row r="55" spans="1:11" ht="11.1" customHeight="1">
      <c r="A55" s="370"/>
      <c r="B55" s="439"/>
      <c r="C55" s="439"/>
      <c r="D55" s="439"/>
      <c r="E55" s="439"/>
      <c r="F55" s="439"/>
      <c r="G55" s="439"/>
      <c r="H55" s="439"/>
    </row>
    <row r="56" spans="1:11" ht="11.1" customHeight="1">
      <c r="A56" s="370"/>
      <c r="B56" s="439"/>
      <c r="C56" s="439"/>
      <c r="D56" s="439"/>
      <c r="E56" s="439"/>
      <c r="F56" s="439"/>
      <c r="G56" s="439"/>
      <c r="H56" s="439"/>
    </row>
    <row r="57" spans="1:11" ht="11.1" customHeight="1"/>
    <row r="58" spans="1:11" ht="11.1" customHeight="1"/>
    <row r="59" spans="1:11" ht="11.1" customHeight="1"/>
    <row r="60" spans="1:11" ht="11.1" customHeight="1">
      <c r="A60" s="1209" t="s">
        <v>614</v>
      </c>
      <c r="B60" s="1209"/>
      <c r="C60" s="1209"/>
      <c r="D60" s="1209"/>
      <c r="E60" s="1209"/>
      <c r="F60" s="1209"/>
      <c r="G60" s="1209"/>
      <c r="H60" s="1209"/>
    </row>
    <row r="61" spans="1:11" ht="11.1" customHeight="1">
      <c r="A61" s="1024" t="s">
        <v>738</v>
      </c>
      <c r="B61" s="1024"/>
      <c r="C61" s="1024"/>
      <c r="D61" s="1024"/>
      <c r="E61" s="1024"/>
      <c r="F61" s="1024"/>
      <c r="G61" s="1024"/>
      <c r="H61" s="1024"/>
    </row>
    <row r="62" spans="1:11" ht="11.1" customHeight="1">
      <c r="A62" s="375"/>
      <c r="B62" s="375"/>
      <c r="C62" s="375"/>
      <c r="D62" s="375"/>
      <c r="E62" s="375"/>
      <c r="F62" s="375"/>
      <c r="G62" s="375"/>
      <c r="H62" s="373" t="s">
        <v>226</v>
      </c>
    </row>
    <row r="63" spans="1:11" ht="11.1" customHeight="1">
      <c r="A63" s="1206" t="s">
        <v>212</v>
      </c>
      <c r="B63" s="1206" t="s">
        <v>345</v>
      </c>
      <c r="C63" s="1208" t="s">
        <v>421</v>
      </c>
      <c r="D63" s="1208"/>
      <c r="E63" s="1208"/>
      <c r="F63" s="1208"/>
      <c r="G63" s="386"/>
      <c r="H63" s="1206" t="s">
        <v>126</v>
      </c>
      <c r="K63" s="659"/>
    </row>
    <row r="64" spans="1:11" ht="11.1" customHeight="1" thickBot="1">
      <c r="A64" s="1207"/>
      <c r="B64" s="1207"/>
      <c r="C64" s="355">
        <v>2014</v>
      </c>
      <c r="D64" s="355">
        <v>2015</v>
      </c>
      <c r="E64" s="355">
        <v>2016</v>
      </c>
      <c r="F64" s="355">
        <v>2017</v>
      </c>
      <c r="G64" s="387">
        <v>2018</v>
      </c>
      <c r="H64" s="1207"/>
      <c r="K64" s="659"/>
    </row>
    <row r="65" spans="1:11" ht="11.1" customHeight="1" thickTop="1">
      <c r="A65" s="376">
        <v>1</v>
      </c>
      <c r="B65" s="377" t="s">
        <v>325</v>
      </c>
      <c r="C65" s="635">
        <v>88883.368600000002</v>
      </c>
      <c r="D65" s="351">
        <f>(C65/C70)*108613.32</f>
        <v>94216.364748494787</v>
      </c>
      <c r="E65" s="348">
        <f>(C65/C70)*115130.12</f>
        <v>99869.347327362557</v>
      </c>
      <c r="F65" s="348">
        <f>(C65/C70)*122037.93</f>
        <v>105861.51059585762</v>
      </c>
      <c r="G65" s="348">
        <f>(C65/C70)*129360.21</f>
        <v>112213.20487488904</v>
      </c>
      <c r="H65" s="378">
        <f t="shared" ref="H65:H70" si="1">(((D65-C65)/C65*100)+((E65-D65)/D65*100)+((F65-E65)/E65*100)+((G65-F65)/F65*100))/4</f>
        <v>5.9999999740703434</v>
      </c>
      <c r="K65" s="659"/>
    </row>
    <row r="66" spans="1:11" ht="11.1" customHeight="1">
      <c r="A66" s="379">
        <v>2</v>
      </c>
      <c r="B66" s="380" t="s">
        <v>326</v>
      </c>
      <c r="C66" s="351">
        <v>2298.2747410000002</v>
      </c>
      <c r="D66" s="351">
        <f>(C66/C70)*108613.32</f>
        <v>2436.1710711570445</v>
      </c>
      <c r="E66" s="351">
        <f>(C66/C70)*115130.12</f>
        <v>2582.3413533702774</v>
      </c>
      <c r="F66" s="351">
        <f>(C66/C70)*122037.93</f>
        <v>2737.2818973758317</v>
      </c>
      <c r="G66" s="351">
        <f>(C66/C70)*129360.21</f>
        <v>2901.5189054233883</v>
      </c>
      <c r="H66" s="378">
        <f t="shared" si="1"/>
        <v>5.999999974070346</v>
      </c>
      <c r="K66" s="659"/>
    </row>
    <row r="67" spans="1:11" ht="11.1" customHeight="1">
      <c r="A67" s="379">
        <v>3</v>
      </c>
      <c r="B67" s="380" t="s">
        <v>327</v>
      </c>
      <c r="C67" s="351">
        <v>7086.7442810000002</v>
      </c>
      <c r="D67" s="351">
        <f>(C67/C70)*108613.32</f>
        <v>7511.9484620658877</v>
      </c>
      <c r="E67" s="351">
        <f>(C67/C70)*115130.12</f>
        <v>7962.6654251196915</v>
      </c>
      <c r="F67" s="351">
        <f>(C67/C70)*122037.93</f>
        <v>8440.4255442813501</v>
      </c>
      <c r="G67" s="351">
        <f>(C67/C70)*129360.21</f>
        <v>8946.8513674199476</v>
      </c>
      <c r="H67" s="378">
        <f t="shared" si="1"/>
        <v>5.9999999740703451</v>
      </c>
      <c r="K67" s="659"/>
    </row>
    <row r="68" spans="1:11" ht="11.1" customHeight="1">
      <c r="A68" s="379">
        <v>4</v>
      </c>
      <c r="B68" s="380" t="s">
        <v>394</v>
      </c>
      <c r="C68" s="351">
        <v>3927.933348</v>
      </c>
      <c r="D68" s="351">
        <f>(C68/C70)*108613.32</f>
        <v>4163.609085164042</v>
      </c>
      <c r="E68" s="351">
        <f>(C68/C70)*115130.12</f>
        <v>4413.425660941276</v>
      </c>
      <c r="F68" s="351">
        <f>(C68/C70)*122037.93</f>
        <v>4678.2313079336245</v>
      </c>
      <c r="G68" s="351">
        <f>(C68/C70)*129360.21</f>
        <v>4958.9253474134512</v>
      </c>
      <c r="H68" s="378">
        <f t="shared" si="1"/>
        <v>5.9999999740703451</v>
      </c>
      <c r="K68" s="608"/>
    </row>
    <row r="69" spans="1:11" ht="11.1" customHeight="1" thickBot="1">
      <c r="A69" s="381">
        <v>5</v>
      </c>
      <c r="B69" s="382" t="s">
        <v>328</v>
      </c>
      <c r="C69" s="351">
        <v>269.08174639999999</v>
      </c>
      <c r="D69" s="351">
        <f>(C69/C70)*108613.32</f>
        <v>285.22663311822743</v>
      </c>
      <c r="E69" s="351">
        <f>(C69/C70)*115130.12</f>
        <v>302.34023320618036</v>
      </c>
      <c r="F69" s="351">
        <f>(C69/C70)*122037.12</f>
        <v>320.478527431489</v>
      </c>
      <c r="G69" s="351">
        <f>(C69/C70)*129360.21</f>
        <v>339.70950485416387</v>
      </c>
      <c r="H69" s="383">
        <f t="shared" si="1"/>
        <v>5.9999999752394464</v>
      </c>
    </row>
    <row r="70" spans="1:11" ht="11.1" customHeight="1" thickTop="1" thickBot="1">
      <c r="A70" s="1201" t="s">
        <v>224</v>
      </c>
      <c r="B70" s="1202"/>
      <c r="C70" s="388">
        <f>SUM(C65:C69)</f>
        <v>102465.40271640001</v>
      </c>
      <c r="D70" s="388">
        <f>SUM(D65:D69)</f>
        <v>108613.32</v>
      </c>
      <c r="E70" s="388">
        <f>SUM(E65:E69)</f>
        <v>115130.11999999998</v>
      </c>
      <c r="F70" s="388">
        <f>SUM(F65:F69)</f>
        <v>122037.92787287991</v>
      </c>
      <c r="G70" s="388">
        <f>SUM(G65:G69)</f>
        <v>129360.20999999999</v>
      </c>
      <c r="H70" s="389">
        <f t="shared" si="1"/>
        <v>5.999999974070354</v>
      </c>
    </row>
    <row r="71" spans="1:11" ht="11.1" customHeight="1" thickTop="1">
      <c r="A71" s="374"/>
      <c r="B71" s="795" t="s">
        <v>742</v>
      </c>
      <c r="C71" s="384"/>
      <c r="D71" s="384"/>
      <c r="E71" s="384"/>
      <c r="F71" s="384"/>
      <c r="G71" s="384"/>
      <c r="H71" s="384"/>
    </row>
    <row r="72" spans="1:11" ht="11.1" customHeight="1">
      <c r="A72" s="374"/>
      <c r="B72" s="478"/>
      <c r="C72" s="384"/>
      <c r="D72" s="384"/>
      <c r="E72" s="384"/>
      <c r="F72" s="384"/>
      <c r="G72" s="384"/>
      <c r="H72" s="384"/>
    </row>
    <row r="73" spans="1:11" ht="11.1" customHeight="1">
      <c r="A73" s="385"/>
      <c r="B73" s="966" t="s">
        <v>501</v>
      </c>
      <c r="C73" s="966"/>
      <c r="D73" s="966"/>
      <c r="E73" s="966"/>
      <c r="F73" s="966"/>
      <c r="G73" s="966"/>
      <c r="H73" s="966"/>
    </row>
    <row r="74" spans="1:11" ht="11.1" customHeight="1">
      <c r="A74" s="385"/>
      <c r="B74" s="439"/>
      <c r="C74" s="439"/>
      <c r="D74" s="439"/>
      <c r="E74" s="439"/>
      <c r="F74" s="439"/>
      <c r="G74" s="439"/>
      <c r="H74" s="439"/>
    </row>
    <row r="75" spans="1:11" ht="11.1" customHeight="1">
      <c r="A75" s="385"/>
      <c r="B75" s="439"/>
      <c r="C75" s="439"/>
      <c r="D75" s="439"/>
      <c r="E75" s="439"/>
      <c r="F75" s="660"/>
      <c r="G75" s="439"/>
      <c r="H75" s="439"/>
    </row>
    <row r="76" spans="1:11" ht="11.1" customHeight="1">
      <c r="A76" s="385"/>
      <c r="B76" s="439"/>
      <c r="C76" s="439"/>
      <c r="D76" s="794"/>
      <c r="E76" s="439"/>
      <c r="F76" s="439"/>
      <c r="G76" s="439"/>
      <c r="H76" s="439"/>
    </row>
    <row r="77" spans="1:11" ht="11.1" customHeight="1">
      <c r="A77" s="385"/>
      <c r="B77" s="439"/>
      <c r="C77" s="439"/>
      <c r="D77" s="794"/>
      <c r="E77" s="439"/>
      <c r="F77" s="439"/>
      <c r="G77" s="439"/>
      <c r="H77" s="439"/>
    </row>
    <row r="78" spans="1:11" ht="11.1" customHeight="1">
      <c r="A78" s="385"/>
      <c r="B78" s="439"/>
      <c r="C78" s="439"/>
      <c r="D78" s="794"/>
      <c r="E78" s="439"/>
      <c r="F78" s="439"/>
      <c r="G78" s="439"/>
      <c r="H78" s="439"/>
    </row>
    <row r="79" spans="1:11" ht="11.1" customHeight="1">
      <c r="A79" s="385"/>
      <c r="B79" s="439"/>
      <c r="C79" s="439"/>
      <c r="D79" s="794"/>
      <c r="E79" s="439"/>
      <c r="F79" s="439"/>
      <c r="G79" s="439"/>
      <c r="H79" s="439"/>
    </row>
    <row r="80" spans="1:11" ht="11.1" customHeight="1">
      <c r="A80" s="385"/>
      <c r="B80" s="439"/>
      <c r="C80" s="439"/>
      <c r="D80" s="794"/>
      <c r="E80" s="439"/>
      <c r="F80" s="439"/>
      <c r="G80" s="439"/>
      <c r="H80" s="439"/>
    </row>
    <row r="81" spans="1:10" ht="11.1" customHeight="1">
      <c r="A81" s="385"/>
      <c r="B81" s="439"/>
      <c r="C81" s="439"/>
      <c r="D81" s="794"/>
      <c r="E81" s="439"/>
      <c r="F81" s="439"/>
      <c r="G81" s="439"/>
      <c r="H81" s="439"/>
    </row>
    <row r="82" spans="1:10" ht="11.1" customHeight="1">
      <c r="A82" s="385"/>
      <c r="B82" s="439"/>
      <c r="C82" s="439"/>
      <c r="D82" s="794"/>
      <c r="E82" s="439"/>
      <c r="F82" s="439"/>
      <c r="G82" s="439"/>
      <c r="H82" s="439"/>
    </row>
    <row r="83" spans="1:10" ht="11.1" customHeight="1">
      <c r="A83" s="385"/>
      <c r="B83" s="439"/>
      <c r="C83" s="439"/>
      <c r="D83" s="794"/>
      <c r="E83" s="439"/>
      <c r="F83" s="439"/>
      <c r="G83" s="439"/>
      <c r="H83" s="439"/>
    </row>
    <row r="84" spans="1:10" ht="11.1" customHeight="1">
      <c r="A84" s="385"/>
      <c r="B84" s="439"/>
      <c r="C84" s="439"/>
      <c r="D84" s="439"/>
      <c r="E84" s="439"/>
      <c r="F84" s="439"/>
      <c r="G84" s="439"/>
      <c r="H84" s="439"/>
    </row>
    <row r="85" spans="1:10" ht="11.1" customHeight="1">
      <c r="A85" s="1023" t="s">
        <v>615</v>
      </c>
      <c r="B85" s="1023"/>
      <c r="C85" s="1023"/>
      <c r="D85" s="1023"/>
      <c r="E85" s="1023"/>
      <c r="F85" s="1023"/>
      <c r="G85" s="1023"/>
      <c r="H85" s="1023"/>
    </row>
    <row r="86" spans="1:10" ht="11.1" customHeight="1">
      <c r="A86" s="1024" t="s">
        <v>738</v>
      </c>
      <c r="B86" s="1024"/>
      <c r="C86" s="1024"/>
      <c r="D86" s="1024"/>
      <c r="E86" s="1024"/>
      <c r="F86" s="1024"/>
      <c r="G86" s="1024"/>
      <c r="H86" s="1024"/>
    </row>
    <row r="87" spans="1:10" ht="11.1" customHeight="1">
      <c r="A87" s="276"/>
      <c r="B87" s="276"/>
      <c r="C87" s="276"/>
      <c r="D87" s="276"/>
      <c r="E87" s="276"/>
      <c r="F87" s="276"/>
      <c r="G87" s="276"/>
      <c r="H87" s="280" t="s">
        <v>226</v>
      </c>
    </row>
    <row r="88" spans="1:10" ht="11.1" customHeight="1">
      <c r="A88" s="1146" t="s">
        <v>212</v>
      </c>
      <c r="B88" s="1146" t="s">
        <v>345</v>
      </c>
      <c r="C88" s="1020" t="s">
        <v>421</v>
      </c>
      <c r="D88" s="1021"/>
      <c r="E88" s="1021"/>
      <c r="F88" s="1021"/>
      <c r="G88" s="1022"/>
      <c r="H88" s="1043" t="s">
        <v>126</v>
      </c>
    </row>
    <row r="89" spans="1:10" ht="11.1" customHeight="1" thickBot="1">
      <c r="A89" s="1147"/>
      <c r="B89" s="1147"/>
      <c r="C89" s="355">
        <v>2014</v>
      </c>
      <c r="D89" s="355">
        <v>2015</v>
      </c>
      <c r="E89" s="355">
        <v>2016</v>
      </c>
      <c r="F89" s="355">
        <v>2017</v>
      </c>
      <c r="G89" s="355">
        <v>2018</v>
      </c>
      <c r="H89" s="1044"/>
    </row>
    <row r="90" spans="1:10" ht="11.1" customHeight="1" thickTop="1">
      <c r="A90" s="278"/>
      <c r="B90" s="144"/>
      <c r="C90" s="390"/>
      <c r="D90" s="391"/>
      <c r="E90" s="391"/>
      <c r="F90" s="391"/>
      <c r="G90" s="391"/>
      <c r="H90" s="30"/>
      <c r="J90" s="471"/>
    </row>
    <row r="91" spans="1:10" ht="11.1" customHeight="1">
      <c r="A91" s="278">
        <v>1</v>
      </c>
      <c r="B91" s="35" t="s">
        <v>398</v>
      </c>
      <c r="C91" s="390">
        <v>88404.38</v>
      </c>
      <c r="D91" s="390">
        <v>90172.47</v>
      </c>
      <c r="E91" s="390">
        <v>91975.916952</v>
      </c>
      <c r="F91" s="390">
        <v>93815.435291040005</v>
      </c>
      <c r="G91" s="390">
        <v>95691.743996860809</v>
      </c>
      <c r="H91" s="378">
        <f>(((D91-C91)/C91*100)+((E91-D91)/D91*100)+((F91-E91)/E91*100)+((G91-F91)/F91*100))/4</f>
        <v>2.0000000000000191</v>
      </c>
      <c r="J91" s="472"/>
    </row>
    <row r="92" spans="1:10" ht="11.1" customHeight="1">
      <c r="A92" s="278"/>
      <c r="B92" s="35"/>
      <c r="C92" s="390"/>
      <c r="D92" s="390"/>
      <c r="E92" s="390"/>
      <c r="F92" s="390"/>
      <c r="G92" s="390"/>
      <c r="H92" s="349"/>
      <c r="J92" s="472"/>
    </row>
    <row r="93" spans="1:10" ht="11.1" customHeight="1">
      <c r="A93" s="278">
        <v>2</v>
      </c>
      <c r="B93" s="35" t="s">
        <v>399</v>
      </c>
      <c r="C93" s="390">
        <v>1354.21</v>
      </c>
      <c r="D93" s="390">
        <v>1381.29</v>
      </c>
      <c r="E93" s="390">
        <v>1408.9200840000001</v>
      </c>
      <c r="F93" s="390">
        <v>1437.0984856800001</v>
      </c>
      <c r="G93" s="390">
        <v>1465.8404553936</v>
      </c>
      <c r="H93" s="378">
        <f>(((D93-C93)/C93*100)+((E93-D93)/D93*100)+((F93-E93)/E93*100)+((G93-F93)/F93*100))/4</f>
        <v>2.0000000002357581</v>
      </c>
    </row>
    <row r="94" spans="1:10" ht="11.1" customHeight="1">
      <c r="A94" s="278"/>
      <c r="B94" s="35"/>
      <c r="C94" s="393"/>
      <c r="D94" s="393"/>
      <c r="E94" s="393"/>
      <c r="F94" s="393"/>
      <c r="G94" s="393"/>
      <c r="H94" s="35"/>
    </row>
    <row r="95" spans="1:10" ht="11.1" customHeight="1" thickBot="1">
      <c r="A95" s="278"/>
      <c r="B95" s="35"/>
      <c r="C95" s="393"/>
      <c r="D95" s="393"/>
      <c r="E95" s="393"/>
      <c r="F95" s="393"/>
      <c r="G95" s="393"/>
      <c r="H95" s="394"/>
    </row>
    <row r="96" spans="1:10" ht="11.1" customHeight="1" thickTop="1" thickBot="1">
      <c r="A96" s="275"/>
      <c r="B96" s="397" t="s">
        <v>224</v>
      </c>
      <c r="C96" s="398">
        <f>SUM(C91:C93)</f>
        <v>89758.590000000011</v>
      </c>
      <c r="D96" s="398">
        <f>SUM(D91:D93)</f>
        <v>91553.76</v>
      </c>
      <c r="E96" s="398">
        <f>SUM(E91:E93)</f>
        <v>93384.837035999997</v>
      </c>
      <c r="F96" s="398">
        <f>SUM(F91:F93)</f>
        <v>95252.533776720011</v>
      </c>
      <c r="G96" s="398">
        <f>SUM(G91:G93)</f>
        <v>97157.584452254407</v>
      </c>
      <c r="H96" s="399">
        <f>(((D96-C96)/C96*100)+((E96-D96)/D96*100)+((F96-E96)/E96*100)+((G96-F96)/F96*100))/4</f>
        <v>2.000000000000008</v>
      </c>
    </row>
    <row r="97" spans="1:8" ht="11.1" customHeight="1" thickTop="1">
      <c r="A97" s="395"/>
      <c r="B97" s="795" t="s">
        <v>742</v>
      </c>
      <c r="C97" s="392"/>
      <c r="D97" s="392"/>
      <c r="E97" s="392"/>
      <c r="F97" s="392"/>
      <c r="G97" s="392"/>
      <c r="H97" s="392"/>
    </row>
    <row r="98" spans="1:8" ht="11.1" customHeight="1">
      <c r="A98" s="395"/>
      <c r="B98" s="479"/>
      <c r="C98" s="291"/>
      <c r="D98" s="291"/>
      <c r="E98" s="291"/>
      <c r="F98" s="291"/>
      <c r="G98" s="291"/>
      <c r="H98" s="291"/>
    </row>
    <row r="99" spans="1:8" ht="11.1" customHeight="1">
      <c r="A99" s="396"/>
      <c r="B99" s="966" t="s">
        <v>502</v>
      </c>
      <c r="C99" s="966"/>
      <c r="D99" s="966"/>
      <c r="E99" s="966"/>
      <c r="F99" s="966"/>
      <c r="G99" s="966"/>
      <c r="H99" s="966"/>
    </row>
    <row r="100" spans="1:8" ht="11.1" customHeight="1">
      <c r="A100" s="396"/>
      <c r="B100" s="439"/>
      <c r="C100" s="439"/>
      <c r="D100" s="439"/>
      <c r="E100" s="439"/>
      <c r="F100" s="439"/>
      <c r="G100" s="439"/>
      <c r="H100" s="439"/>
    </row>
    <row r="101" spans="1:8" ht="11.1" customHeight="1">
      <c r="A101" s="396"/>
      <c r="B101" s="439"/>
      <c r="C101" s="439"/>
      <c r="D101" s="439"/>
      <c r="E101" s="439"/>
      <c r="F101" s="439"/>
      <c r="G101" s="439"/>
      <c r="H101" s="439"/>
    </row>
    <row r="102" spans="1:8" ht="11.1" customHeight="1">
      <c r="A102" s="396"/>
      <c r="B102" s="439"/>
      <c r="C102" s="439"/>
      <c r="D102" s="439"/>
      <c r="E102" s="439"/>
      <c r="F102" s="439"/>
      <c r="G102" s="439"/>
      <c r="H102" s="439"/>
    </row>
    <row r="103" spans="1:8" ht="11.1" customHeight="1">
      <c r="A103" s="396"/>
      <c r="B103" s="439"/>
      <c r="C103" s="439"/>
      <c r="D103" s="439"/>
      <c r="E103" s="439"/>
      <c r="F103" s="439"/>
      <c r="G103" s="439"/>
      <c r="H103" s="439"/>
    </row>
    <row r="104" spans="1:8" ht="11.1" customHeight="1">
      <c r="A104" s="396"/>
      <c r="B104" s="439"/>
      <c r="C104" s="439"/>
      <c r="D104" s="439"/>
      <c r="E104" s="439"/>
      <c r="F104" s="439"/>
      <c r="G104" s="439"/>
      <c r="H104" s="439"/>
    </row>
    <row r="105" spans="1:8" ht="11.1" customHeight="1">
      <c r="A105" s="396"/>
      <c r="B105" s="439"/>
      <c r="C105" s="439"/>
      <c r="D105" s="439"/>
      <c r="E105" s="439"/>
      <c r="F105" s="439"/>
      <c r="G105" s="439"/>
      <c r="H105" s="439"/>
    </row>
    <row r="106" spans="1:8" ht="11.1" customHeight="1">
      <c r="A106" s="396"/>
      <c r="B106" s="439"/>
      <c r="C106" s="439"/>
      <c r="D106" s="439"/>
      <c r="E106" s="439"/>
      <c r="F106" s="439"/>
      <c r="G106" s="439"/>
      <c r="H106" s="439"/>
    </row>
    <row r="107" spans="1:8" ht="11.1" customHeight="1">
      <c r="A107" s="396"/>
      <c r="B107" s="439"/>
      <c r="C107" s="439"/>
      <c r="D107" s="439"/>
      <c r="E107" s="439"/>
      <c r="F107" s="439"/>
      <c r="G107" s="439"/>
      <c r="H107" s="439"/>
    </row>
    <row r="108" spans="1:8" ht="11.1" customHeight="1">
      <c r="A108" s="396"/>
      <c r="B108" s="439"/>
      <c r="C108" s="439"/>
      <c r="D108" s="439"/>
      <c r="E108" s="439"/>
      <c r="F108" s="439"/>
      <c r="G108" s="439"/>
      <c r="H108" s="439"/>
    </row>
    <row r="109" spans="1:8" ht="11.1" customHeight="1">
      <c r="A109" s="396"/>
      <c r="B109" s="439"/>
      <c r="C109" s="439"/>
      <c r="D109" s="439"/>
      <c r="E109" s="439"/>
      <c r="F109" s="439"/>
      <c r="G109" s="439"/>
      <c r="H109" s="439"/>
    </row>
    <row r="110" spans="1:8" ht="11.1" customHeight="1">
      <c r="A110" s="396"/>
      <c r="B110" s="439"/>
      <c r="C110" s="439"/>
      <c r="D110" s="439"/>
      <c r="E110" s="439"/>
      <c r="F110" s="439"/>
      <c r="G110" s="439"/>
      <c r="H110" s="439"/>
    </row>
    <row r="111" spans="1:8" ht="11.1" customHeight="1"/>
    <row r="112" spans="1:8" ht="11.1" customHeight="1"/>
    <row r="113" spans="1:8" ht="11.1" customHeight="1"/>
    <row r="114" spans="1:8" ht="11.1" customHeight="1">
      <c r="A114" s="1024" t="s">
        <v>616</v>
      </c>
      <c r="B114" s="1024"/>
      <c r="C114" s="1024"/>
      <c r="D114" s="1024"/>
      <c r="E114" s="1024"/>
      <c r="F114" s="1024"/>
      <c r="G114" s="1024"/>
      <c r="H114" s="1024"/>
    </row>
    <row r="115" spans="1:8" ht="11.1" customHeight="1">
      <c r="A115" s="1024" t="s">
        <v>738</v>
      </c>
      <c r="B115" s="1024"/>
      <c r="C115" s="1024"/>
      <c r="D115" s="1024"/>
      <c r="E115" s="1024"/>
      <c r="F115" s="1024"/>
      <c r="G115" s="1024"/>
      <c r="H115" s="1024"/>
    </row>
    <row r="116" spans="1:8" ht="11.1" customHeight="1">
      <c r="A116" s="40"/>
      <c r="B116" s="40"/>
      <c r="C116" s="40"/>
      <c r="D116" s="40"/>
      <c r="E116" s="40"/>
      <c r="F116" s="2"/>
      <c r="G116" s="2"/>
      <c r="H116" s="113" t="s">
        <v>401</v>
      </c>
    </row>
    <row r="117" spans="1:8" ht="11.1" customHeight="1">
      <c r="A117" s="1087" t="s">
        <v>212</v>
      </c>
      <c r="B117" s="1087" t="s">
        <v>345</v>
      </c>
      <c r="C117" s="1191" t="s">
        <v>421</v>
      </c>
      <c r="D117" s="1192"/>
      <c r="E117" s="1192"/>
      <c r="F117" s="1192"/>
      <c r="G117" s="1193"/>
      <c r="H117" s="1087" t="s">
        <v>126</v>
      </c>
    </row>
    <row r="118" spans="1:8" ht="11.1" customHeight="1" thickBot="1">
      <c r="A118" s="1088"/>
      <c r="B118" s="1088"/>
      <c r="C118" s="629">
        <v>2014</v>
      </c>
      <c r="D118" s="629">
        <v>2015</v>
      </c>
      <c r="E118" s="629">
        <v>2016</v>
      </c>
      <c r="F118" s="629">
        <v>2017</v>
      </c>
      <c r="G118" s="262">
        <v>2018</v>
      </c>
      <c r="H118" s="1088"/>
    </row>
    <row r="119" spans="1:8" ht="11.1" customHeight="1" thickTop="1">
      <c r="A119" s="27"/>
      <c r="B119" s="28"/>
      <c r="C119" s="400"/>
      <c r="D119" s="400"/>
      <c r="E119" s="400"/>
      <c r="F119" s="400"/>
      <c r="G119" s="400"/>
      <c r="H119" s="30"/>
    </row>
    <row r="120" spans="1:8" ht="11.1" customHeight="1">
      <c r="A120" s="31">
        <v>1</v>
      </c>
      <c r="B120" s="32" t="s">
        <v>522</v>
      </c>
      <c r="C120" s="401">
        <v>34950.21</v>
      </c>
      <c r="D120" s="401">
        <v>35649.21</v>
      </c>
      <c r="E120" s="401">
        <v>36362.19661128</v>
      </c>
      <c r="F120" s="401">
        <v>37089.440543505603</v>
      </c>
      <c r="G120" s="401">
        <v>37831.229354375719</v>
      </c>
      <c r="H120" s="349">
        <f>(((D120-C120)/C120*100)+((E120-D120)/D120*100)+((F120-E120)/E120*100)+((G120-F120)/F120*100))/4</f>
        <v>1.9999986867033743</v>
      </c>
    </row>
    <row r="121" spans="1:8" ht="11.1" customHeight="1">
      <c r="A121" s="31"/>
      <c r="B121" s="32" t="s">
        <v>523</v>
      </c>
      <c r="C121" s="403"/>
      <c r="D121" s="403"/>
      <c r="E121" s="403"/>
      <c r="F121" s="403"/>
      <c r="G121" s="403"/>
      <c r="H121" s="35"/>
    </row>
    <row r="122" spans="1:8" ht="11.1" customHeight="1">
      <c r="A122" s="31"/>
      <c r="B122" s="586"/>
      <c r="C122" s="402"/>
      <c r="D122" s="402"/>
      <c r="E122" s="402"/>
      <c r="F122" s="402"/>
      <c r="G122" s="402"/>
      <c r="H122" s="144"/>
    </row>
    <row r="123" spans="1:8" ht="11.1" customHeight="1">
      <c r="A123" s="31">
        <v>2</v>
      </c>
      <c r="B123" s="32" t="s">
        <v>402</v>
      </c>
      <c r="C123" s="401">
        <v>1435829.52</v>
      </c>
      <c r="D123" s="401">
        <v>1464546.11</v>
      </c>
      <c r="E123" s="401">
        <v>1493837.0326080001</v>
      </c>
      <c r="F123" s="401">
        <v>1523713.7732601601</v>
      </c>
      <c r="G123" s="401">
        <v>1554188.0487253633</v>
      </c>
      <c r="H123" s="349">
        <f>(((D123-C123)/C123*100)+((E123-D123)/D123*100)+((F123-E123)/E123*100)+((G123-F123)/F123*100))/4</f>
        <v>2.0000000000000018</v>
      </c>
    </row>
    <row r="124" spans="1:8" ht="11.1" customHeight="1">
      <c r="A124" s="31"/>
      <c r="B124" s="32" t="s">
        <v>420</v>
      </c>
      <c r="C124" s="403"/>
      <c r="D124" s="403"/>
      <c r="E124" s="403"/>
      <c r="F124" s="403"/>
      <c r="G124" s="403"/>
      <c r="H124" s="35"/>
    </row>
    <row r="125" spans="1:8" ht="11.1" customHeight="1">
      <c r="A125" s="31"/>
      <c r="B125" s="404"/>
      <c r="C125" s="402"/>
      <c r="D125" s="402"/>
      <c r="E125" s="402"/>
      <c r="F125" s="402"/>
      <c r="G125" s="402"/>
      <c r="H125" s="144"/>
    </row>
    <row r="126" spans="1:8" ht="11.1" customHeight="1">
      <c r="A126" s="31">
        <v>3</v>
      </c>
      <c r="B126" s="32" t="s">
        <v>391</v>
      </c>
      <c r="C126" s="401">
        <v>140729781.61000001</v>
      </c>
      <c r="D126" s="401">
        <v>131300000</v>
      </c>
      <c r="E126" s="401">
        <v>132600000</v>
      </c>
      <c r="F126" s="401">
        <v>133900000</v>
      </c>
      <c r="G126" s="401">
        <v>135200000</v>
      </c>
      <c r="H126" s="349">
        <f>(((D126-C126)/C126*100)+((E126-D126)/D126*100)+((F126-E126)/E126*100)+((G126-F126)/F126*100))/4</f>
        <v>-0.93981619855522347</v>
      </c>
    </row>
    <row r="127" spans="1:8" ht="11.1" customHeight="1" thickBot="1">
      <c r="A127" s="31"/>
      <c r="B127" s="416"/>
      <c r="C127" s="405"/>
      <c r="D127" s="405"/>
      <c r="E127" s="405"/>
      <c r="F127" s="405"/>
      <c r="G127" s="405"/>
      <c r="H127" s="182"/>
    </row>
    <row r="128" spans="1:8" ht="11.1" customHeight="1" thickTop="1">
      <c r="A128" s="480"/>
      <c r="B128" s="795" t="s">
        <v>742</v>
      </c>
      <c r="C128" s="392"/>
      <c r="D128" s="392"/>
      <c r="E128" s="392"/>
      <c r="F128" s="392"/>
      <c r="G128" s="392"/>
      <c r="H128" s="392"/>
    </row>
    <row r="129" spans="1:9" ht="11.1" customHeight="1">
      <c r="A129" s="482"/>
      <c r="B129" s="483"/>
      <c r="C129" s="291"/>
      <c r="D129" s="291"/>
      <c r="E129" s="291"/>
      <c r="F129" s="291"/>
      <c r="G129" s="291"/>
      <c r="H129" s="291"/>
    </row>
    <row r="130" spans="1:9" ht="11.1" customHeight="1">
      <c r="A130" s="406"/>
      <c r="B130" s="966" t="s">
        <v>551</v>
      </c>
      <c r="C130" s="966"/>
      <c r="D130" s="966"/>
      <c r="E130" s="966"/>
      <c r="F130" s="966"/>
      <c r="G130" s="966"/>
      <c r="H130" s="966"/>
    </row>
    <row r="131" spans="1:9" ht="11.1" customHeight="1">
      <c r="A131" s="406"/>
      <c r="B131" s="439"/>
      <c r="C131" s="439"/>
      <c r="D131" s="439"/>
      <c r="E131" s="439"/>
      <c r="F131" s="439"/>
      <c r="G131" s="439"/>
      <c r="H131" s="439"/>
    </row>
    <row r="132" spans="1:9" ht="11.1" customHeight="1">
      <c r="A132" s="406"/>
      <c r="B132" s="439"/>
      <c r="C132" s="439"/>
      <c r="D132" s="439"/>
      <c r="E132" s="439"/>
      <c r="F132" s="439"/>
      <c r="G132" s="439"/>
      <c r="H132" s="439"/>
    </row>
    <row r="133" spans="1:9" ht="11.1" customHeight="1">
      <c r="A133" s="406"/>
      <c r="B133" s="439"/>
      <c r="C133" s="792"/>
      <c r="D133" s="439"/>
      <c r="E133" s="792"/>
      <c r="F133" s="792"/>
      <c r="G133" s="792"/>
      <c r="H133" s="439"/>
      <c r="I133" s="473"/>
    </row>
    <row r="134" spans="1:9" ht="11.1" customHeight="1">
      <c r="A134" s="406"/>
      <c r="B134" s="439"/>
      <c r="C134" s="439"/>
      <c r="D134" s="439"/>
      <c r="E134" s="439"/>
      <c r="F134" s="439"/>
      <c r="G134" s="439"/>
      <c r="H134" s="439"/>
      <c r="I134" s="473"/>
    </row>
    <row r="135" spans="1:9" ht="11.1" customHeight="1">
      <c r="A135" s="406"/>
      <c r="B135" s="439"/>
      <c r="C135" s="439"/>
      <c r="D135" s="439"/>
      <c r="E135" s="439"/>
      <c r="F135" s="439"/>
      <c r="G135" s="439"/>
      <c r="H135" s="439"/>
      <c r="I135" s="473"/>
    </row>
    <row r="136" spans="1:9" ht="11.1" customHeight="1">
      <c r="A136" s="406"/>
      <c r="B136" s="439"/>
      <c r="C136" s="439"/>
      <c r="D136" s="439"/>
      <c r="E136" s="439"/>
      <c r="F136" s="439"/>
      <c r="G136" s="439"/>
      <c r="H136" s="439"/>
    </row>
    <row r="137" spans="1:9" ht="11.1" customHeight="1">
      <c r="A137" s="406"/>
      <c r="B137" s="439"/>
      <c r="C137" s="439"/>
      <c r="D137" s="439"/>
      <c r="E137" s="439"/>
      <c r="F137" s="439"/>
      <c r="G137" s="439"/>
      <c r="H137" s="439"/>
    </row>
    <row r="138" spans="1:9" ht="11.1" customHeight="1">
      <c r="A138" s="406"/>
      <c r="B138" s="439"/>
      <c r="C138" s="439"/>
      <c r="D138" s="439"/>
      <c r="E138" s="439"/>
      <c r="F138" s="439"/>
      <c r="G138" s="439"/>
      <c r="H138" s="439"/>
    </row>
    <row r="139" spans="1:9" ht="11.1" customHeight="1">
      <c r="A139" s="406"/>
      <c r="B139" s="439"/>
      <c r="C139" s="439"/>
      <c r="D139" s="439"/>
      <c r="E139" s="439"/>
      <c r="F139" s="439"/>
      <c r="G139" s="439"/>
      <c r="H139" s="439"/>
    </row>
    <row r="140" spans="1:9" ht="11.1" customHeight="1">
      <c r="A140" s="406"/>
      <c r="B140" s="439"/>
      <c r="C140" s="439"/>
      <c r="D140" s="439"/>
      <c r="E140" s="439"/>
      <c r="F140" s="439"/>
      <c r="G140" s="439"/>
      <c r="H140" s="439"/>
    </row>
    <row r="141" spans="1:9" ht="11.1" customHeight="1"/>
    <row r="142" spans="1:9" ht="11.1" customHeight="1"/>
    <row r="143" spans="1:9" ht="11.1" customHeight="1"/>
    <row r="144" spans="1:9" ht="11.1" customHeight="1">
      <c r="A144" s="1024" t="s">
        <v>565</v>
      </c>
      <c r="B144" s="1024"/>
      <c r="C144" s="1024"/>
      <c r="D144" s="1024"/>
      <c r="E144" s="1024"/>
      <c r="F144" s="1024"/>
      <c r="G144" s="1024"/>
      <c r="H144" s="1024"/>
    </row>
    <row r="145" spans="1:8" ht="11.1" customHeight="1">
      <c r="A145" s="1024" t="s">
        <v>738</v>
      </c>
      <c r="B145" s="1024"/>
      <c r="C145" s="1024"/>
      <c r="D145" s="1024"/>
      <c r="E145" s="1024"/>
      <c r="F145" s="1024"/>
      <c r="G145" s="1024"/>
      <c r="H145" s="1024"/>
    </row>
    <row r="146" spans="1:8" ht="11.1" customHeight="1">
      <c r="A146" s="40"/>
      <c r="B146" s="40"/>
      <c r="C146" s="40"/>
      <c r="D146" s="40"/>
      <c r="E146" s="40"/>
      <c r="F146" s="40"/>
      <c r="G146" s="40"/>
      <c r="H146" s="113" t="s">
        <v>338</v>
      </c>
    </row>
    <row r="147" spans="1:8" ht="11.1" customHeight="1">
      <c r="A147" s="1043" t="s">
        <v>212</v>
      </c>
      <c r="B147" s="1043" t="s">
        <v>213</v>
      </c>
      <c r="C147" s="1020" t="s">
        <v>421</v>
      </c>
      <c r="D147" s="1021"/>
      <c r="E147" s="1021"/>
      <c r="F147" s="1021"/>
      <c r="G147" s="1022"/>
      <c r="H147" s="1043" t="s">
        <v>126</v>
      </c>
    </row>
    <row r="148" spans="1:8" ht="11.1" customHeight="1" thickBot="1">
      <c r="A148" s="1044"/>
      <c r="B148" s="1044"/>
      <c r="C148" s="355">
        <v>2014</v>
      </c>
      <c r="D148" s="355">
        <v>2015</v>
      </c>
      <c r="E148" s="355">
        <v>2016</v>
      </c>
      <c r="F148" s="355">
        <v>2017</v>
      </c>
      <c r="G148" s="355">
        <v>2018</v>
      </c>
      <c r="H148" s="1044"/>
    </row>
    <row r="149" spans="1:8" ht="11.1" customHeight="1" thickTop="1">
      <c r="A149" s="277"/>
      <c r="B149" s="30"/>
      <c r="C149" s="407"/>
      <c r="D149" s="408"/>
      <c r="E149" s="408"/>
      <c r="F149" s="408"/>
      <c r="G149" s="408"/>
      <c r="H149" s="409"/>
    </row>
    <row r="150" spans="1:8" ht="11.1" customHeight="1">
      <c r="A150" s="278">
        <v>1</v>
      </c>
      <c r="B150" s="35" t="s">
        <v>404</v>
      </c>
      <c r="C150" s="410">
        <v>31.46</v>
      </c>
      <c r="D150" s="410">
        <v>32.31</v>
      </c>
      <c r="E150" s="410">
        <v>33.160126594452002</v>
      </c>
      <c r="F150" s="410">
        <v>34.010020639067804</v>
      </c>
      <c r="G150" s="410">
        <v>34.859931054838107</v>
      </c>
      <c r="H150" s="469">
        <f>(((D150-C150)/C150*100)+((E150-D150)/D150*100)+((F150-E150)/E150*100)+((G150-F150)/F150*100))/4</f>
        <v>2.5987499730307491</v>
      </c>
    </row>
    <row r="151" spans="1:8" ht="11.1" customHeight="1">
      <c r="A151" s="278"/>
      <c r="B151" s="35" t="s">
        <v>405</v>
      </c>
      <c r="C151" s="410"/>
      <c r="D151" s="410"/>
      <c r="E151" s="410"/>
      <c r="F151" s="410"/>
      <c r="G151" s="410"/>
      <c r="H151" s="35"/>
    </row>
    <row r="152" spans="1:8" ht="11.1" customHeight="1">
      <c r="A152" s="278"/>
      <c r="B152" s="35" t="s">
        <v>406</v>
      </c>
      <c r="C152" s="410"/>
      <c r="D152" s="410"/>
      <c r="E152" s="410"/>
      <c r="F152" s="410"/>
      <c r="G152" s="410"/>
      <c r="H152" s="35"/>
    </row>
    <row r="153" spans="1:8" ht="11.1" customHeight="1" thickBot="1">
      <c r="A153" s="278"/>
      <c r="B153" s="182"/>
      <c r="C153" s="410"/>
      <c r="D153" s="410"/>
      <c r="E153" s="410"/>
      <c r="F153" s="410"/>
      <c r="G153" s="410"/>
      <c r="H153" s="35"/>
    </row>
    <row r="154" spans="1:8" ht="11.1" customHeight="1" thickTop="1">
      <c r="A154" s="392"/>
      <c r="B154" s="795" t="s">
        <v>742</v>
      </c>
      <c r="C154" s="392"/>
      <c r="D154" s="392"/>
      <c r="E154" s="392"/>
      <c r="F154" s="392"/>
      <c r="G154" s="392"/>
      <c r="H154" s="392"/>
    </row>
    <row r="155" spans="1:8" ht="11.1" customHeight="1">
      <c r="A155" s="291"/>
      <c r="B155" s="291"/>
      <c r="C155" s="291"/>
      <c r="D155" s="291"/>
      <c r="E155" s="291"/>
      <c r="F155" s="291"/>
      <c r="G155" s="291"/>
      <c r="H155" s="291"/>
    </row>
    <row r="156" spans="1:8" ht="11.1" customHeight="1">
      <c r="A156" s="411"/>
      <c r="B156" s="966" t="s">
        <v>552</v>
      </c>
      <c r="C156" s="966"/>
      <c r="D156" s="966"/>
      <c r="E156" s="966"/>
      <c r="F156" s="966"/>
      <c r="G156" s="966"/>
      <c r="H156" s="966"/>
    </row>
    <row r="157" spans="1:8" ht="11.1" customHeight="1">
      <c r="A157" s="411"/>
      <c r="B157" s="439"/>
      <c r="C157" s="439"/>
      <c r="D157" s="439"/>
      <c r="E157" s="439"/>
      <c r="F157" s="439"/>
      <c r="G157" s="439"/>
      <c r="H157" s="439"/>
    </row>
    <row r="158" spans="1:8" ht="11.1" customHeight="1">
      <c r="A158" s="411"/>
      <c r="B158" s="439"/>
      <c r="C158" s="794"/>
      <c r="D158" s="794"/>
      <c r="E158" s="794"/>
      <c r="F158" s="794"/>
      <c r="G158" s="439"/>
      <c r="H158" s="439"/>
    </row>
    <row r="159" spans="1:8" ht="11.1" customHeight="1">
      <c r="A159" s="411"/>
      <c r="B159" s="439"/>
      <c r="C159" s="439"/>
      <c r="D159" s="439"/>
      <c r="E159" s="439"/>
      <c r="F159" s="439"/>
      <c r="G159" s="439"/>
      <c r="H159" s="439"/>
    </row>
    <row r="160" spans="1:8" ht="11.1" customHeight="1">
      <c r="A160" s="411"/>
      <c r="B160" s="439"/>
      <c r="C160" s="439"/>
      <c r="D160" s="439"/>
      <c r="E160" s="439"/>
      <c r="F160" s="439"/>
      <c r="G160" s="439"/>
      <c r="H160" s="439"/>
    </row>
    <row r="161" spans="1:8" ht="11.1" customHeight="1">
      <c r="A161" s="411"/>
      <c r="B161" s="439"/>
      <c r="C161" s="468"/>
      <c r="D161" s="468"/>
      <c r="E161" s="468"/>
      <c r="F161" s="468"/>
      <c r="G161" s="439"/>
      <c r="H161" s="439"/>
    </row>
    <row r="162" spans="1:8" ht="11.1" customHeight="1">
      <c r="A162" s="411"/>
      <c r="B162" s="439"/>
      <c r="C162" s="439"/>
      <c r="D162" s="439"/>
      <c r="E162" s="439"/>
      <c r="F162" s="439"/>
      <c r="G162" s="439"/>
      <c r="H162" s="439"/>
    </row>
    <row r="163" spans="1:8" ht="11.1" customHeight="1">
      <c r="A163" s="411"/>
      <c r="B163" s="439"/>
      <c r="C163" s="439"/>
      <c r="D163" s="439"/>
      <c r="E163" s="439"/>
      <c r="F163" s="439"/>
      <c r="G163" s="439"/>
      <c r="H163" s="439"/>
    </row>
    <row r="164" spans="1:8" ht="11.1" customHeight="1">
      <c r="A164" s="411"/>
      <c r="B164" s="439"/>
      <c r="C164" s="439"/>
      <c r="D164" s="439"/>
      <c r="E164" s="439"/>
      <c r="F164" s="439"/>
      <c r="G164" s="439"/>
      <c r="H164" s="439"/>
    </row>
    <row r="165" spans="1:8" ht="11.1" customHeight="1">
      <c r="A165" s="411"/>
      <c r="B165" s="439"/>
      <c r="C165" s="439"/>
      <c r="D165" s="439"/>
      <c r="E165" s="439"/>
      <c r="F165" s="439"/>
      <c r="G165" s="439"/>
      <c r="H165" s="439"/>
    </row>
    <row r="166" spans="1:8" ht="11.1" customHeight="1">
      <c r="A166" s="411"/>
      <c r="B166" s="439"/>
      <c r="C166" s="439"/>
      <c r="D166" s="439"/>
      <c r="E166" s="439"/>
      <c r="F166" s="439"/>
      <c r="G166" s="439"/>
      <c r="H166" s="439"/>
    </row>
    <row r="167" spans="1:8" ht="11.1" customHeight="1">
      <c r="A167" s="411"/>
      <c r="B167" s="439"/>
      <c r="C167" s="439"/>
      <c r="D167" s="439"/>
      <c r="E167" s="439"/>
      <c r="F167" s="439"/>
      <c r="G167" s="439"/>
      <c r="H167" s="439"/>
    </row>
    <row r="168" spans="1:8" ht="11.1" customHeight="1">
      <c r="A168" s="411"/>
      <c r="B168" s="439"/>
      <c r="C168" s="439"/>
      <c r="D168" s="439"/>
      <c r="E168" s="439"/>
      <c r="F168" s="439"/>
      <c r="G168" s="439"/>
      <c r="H168" s="439"/>
    </row>
    <row r="169" spans="1:8" ht="11.1" customHeight="1">
      <c r="A169" s="411"/>
      <c r="B169" s="439"/>
      <c r="C169" s="439"/>
      <c r="D169" s="439"/>
      <c r="E169" s="439"/>
      <c r="F169" s="439"/>
      <c r="G169" s="439"/>
      <c r="H169" s="439"/>
    </row>
    <row r="170" spans="1:8" ht="11.1" customHeight="1">
      <c r="A170" s="1024" t="s">
        <v>617</v>
      </c>
      <c r="B170" s="1024"/>
      <c r="C170" s="1024"/>
      <c r="D170" s="1024"/>
      <c r="E170" s="1024"/>
      <c r="F170" s="1024"/>
      <c r="G170" s="1024"/>
      <c r="H170" s="1024"/>
    </row>
    <row r="171" spans="1:8" ht="11.1" customHeight="1">
      <c r="A171" s="1024" t="s">
        <v>738</v>
      </c>
      <c r="B171" s="1024"/>
      <c r="C171" s="1024"/>
      <c r="D171" s="1024"/>
      <c r="E171" s="1024"/>
      <c r="F171" s="1024"/>
      <c r="G171" s="1024"/>
      <c r="H171" s="1024"/>
    </row>
    <row r="172" spans="1:8" ht="11.1" customHeight="1">
      <c r="A172" s="40"/>
      <c r="B172" s="40"/>
      <c r="C172" s="40"/>
      <c r="D172" s="40"/>
      <c r="E172" s="40"/>
      <c r="F172" s="40"/>
      <c r="G172" s="40"/>
      <c r="H172" s="113" t="s">
        <v>407</v>
      </c>
    </row>
    <row r="173" spans="1:8" ht="11.1" customHeight="1">
      <c r="A173" s="1087" t="s">
        <v>212</v>
      </c>
      <c r="B173" s="1087" t="s">
        <v>408</v>
      </c>
      <c r="C173" s="1191" t="s">
        <v>421</v>
      </c>
      <c r="D173" s="1192"/>
      <c r="E173" s="1192"/>
      <c r="F173" s="1192"/>
      <c r="G173" s="1193"/>
      <c r="H173" s="1087" t="s">
        <v>126</v>
      </c>
    </row>
    <row r="174" spans="1:8" ht="11.1" customHeight="1" thickBot="1">
      <c r="A174" s="1088"/>
      <c r="B174" s="1088"/>
      <c r="C174" s="629">
        <v>2014</v>
      </c>
      <c r="D174" s="629">
        <v>2015</v>
      </c>
      <c r="E174" s="629">
        <v>2016</v>
      </c>
      <c r="F174" s="629">
        <v>2017</v>
      </c>
      <c r="G174" s="262">
        <v>2018</v>
      </c>
      <c r="H174" s="1088"/>
    </row>
    <row r="175" spans="1:8" ht="11.1" customHeight="1" thickTop="1">
      <c r="A175" s="27"/>
      <c r="B175" s="28"/>
      <c r="C175" s="412"/>
      <c r="D175" s="412"/>
      <c r="E175" s="412"/>
      <c r="F175" s="412"/>
      <c r="G175" s="412"/>
      <c r="H175" s="30"/>
    </row>
    <row r="176" spans="1:8" ht="11.1" customHeight="1">
      <c r="A176" s="31">
        <v>1</v>
      </c>
      <c r="B176" s="32" t="s">
        <v>409</v>
      </c>
      <c r="C176" s="486">
        <v>4439188.8</v>
      </c>
      <c r="D176" s="486">
        <v>5327026.5599999996</v>
      </c>
      <c r="E176" s="486">
        <v>6392431.8700000001</v>
      </c>
      <c r="F176" s="486">
        <v>7670918.25</v>
      </c>
      <c r="G176" s="486">
        <f>F176*120%</f>
        <v>9205101.9000000004</v>
      </c>
      <c r="H176" s="378">
        <f>(((D176-C176)/C176*100)+((E176-D176)/D176*100)+((F176-E176)/E176*100)+((G176-F176)/F176*100))/4</f>
        <v>20.000000014079152</v>
      </c>
    </row>
    <row r="177" spans="1:8" ht="11.1" customHeight="1">
      <c r="A177" s="31"/>
      <c r="B177" s="32" t="s">
        <v>218</v>
      </c>
      <c r="C177" s="413"/>
      <c r="D177" s="413"/>
      <c r="E177" s="413"/>
      <c r="F177" s="413"/>
      <c r="G177" s="413"/>
      <c r="H177" s="35"/>
    </row>
    <row r="178" spans="1:8" ht="11.1" customHeight="1">
      <c r="A178" s="31"/>
      <c r="B178" s="32"/>
      <c r="C178" s="413"/>
      <c r="D178" s="413"/>
      <c r="E178" s="413"/>
      <c r="F178" s="413"/>
      <c r="G178" s="413"/>
      <c r="H178" s="35"/>
    </row>
    <row r="179" spans="1:8" ht="11.1" customHeight="1">
      <c r="A179" s="31">
        <v>2</v>
      </c>
      <c r="B179" s="32" t="s">
        <v>410</v>
      </c>
      <c r="C179" s="487">
        <v>3483642</v>
      </c>
      <c r="D179" s="486">
        <v>4180370.4</v>
      </c>
      <c r="E179" s="486">
        <v>5016444.4800000004</v>
      </c>
      <c r="F179" s="486">
        <v>6019733.3799999999</v>
      </c>
      <c r="G179" s="486">
        <f>F179*120%</f>
        <v>7223680.0559999999</v>
      </c>
      <c r="H179" s="378">
        <f>(((D179-C179)/C179*100)+((E179-D179)/D179*100)+((F179-E179)/E179*100)+((G179-F179)/F179*100))/4</f>
        <v>20.00000001993444</v>
      </c>
    </row>
    <row r="180" spans="1:8" ht="11.1" customHeight="1">
      <c r="A180" s="31"/>
      <c r="B180" s="32" t="s">
        <v>219</v>
      </c>
      <c r="C180" s="413"/>
      <c r="D180" s="413"/>
      <c r="E180" s="413"/>
      <c r="F180" s="413"/>
      <c r="G180" s="413"/>
      <c r="H180" s="35"/>
    </row>
    <row r="181" spans="1:8" ht="11.1" customHeight="1">
      <c r="A181" s="186"/>
      <c r="B181" s="103"/>
      <c r="C181" s="414"/>
      <c r="D181" s="414"/>
      <c r="E181" s="414"/>
      <c r="F181" s="414"/>
      <c r="G181" s="414"/>
      <c r="H181" s="286"/>
    </row>
    <row r="182" spans="1:8" ht="11.1" customHeight="1">
      <c r="A182" s="186">
        <v>3</v>
      </c>
      <c r="B182" s="103" t="s">
        <v>409</v>
      </c>
      <c r="C182" s="488">
        <v>2592000</v>
      </c>
      <c r="D182" s="486">
        <v>3110400</v>
      </c>
      <c r="E182" s="486">
        <v>3732480</v>
      </c>
      <c r="F182" s="486">
        <v>4478976</v>
      </c>
      <c r="G182" s="486">
        <f>F182*120%</f>
        <v>5374771.2000000002</v>
      </c>
      <c r="H182" s="378">
        <f>(((D182-C182)/C182*100)+((E182-D182)/D182*100)+((F182-E182)/E182*100)+((G182-F182)/F182*100))/4</f>
        <v>20</v>
      </c>
    </row>
    <row r="183" spans="1:8" ht="11.1" customHeight="1" thickBot="1">
      <c r="A183" s="415"/>
      <c r="B183" s="416" t="s">
        <v>411</v>
      </c>
      <c r="C183" s="417"/>
      <c r="D183" s="417"/>
      <c r="E183" s="417"/>
      <c r="F183" s="417"/>
      <c r="G183" s="417"/>
      <c r="H183" s="182"/>
    </row>
    <row r="184" spans="1:8" ht="11.1" customHeight="1" thickTop="1">
      <c r="A184" s="418"/>
      <c r="B184" s="357" t="s">
        <v>739</v>
      </c>
      <c r="C184" s="419"/>
      <c r="D184" s="419"/>
      <c r="E184" s="419"/>
      <c r="F184" s="419"/>
      <c r="G184" s="419"/>
      <c r="H184" s="420"/>
    </row>
    <row r="185" spans="1:8" ht="11.1" customHeight="1">
      <c r="A185" s="421"/>
      <c r="B185" s="484"/>
      <c r="C185" s="485"/>
      <c r="D185" s="485"/>
      <c r="E185" s="485"/>
      <c r="F185" s="485"/>
      <c r="G185" s="485"/>
      <c r="H185" s="234"/>
    </row>
    <row r="186" spans="1:8" ht="11.1" customHeight="1">
      <c r="A186" s="421"/>
      <c r="B186" s="966" t="s">
        <v>566</v>
      </c>
      <c r="C186" s="966"/>
      <c r="D186" s="966"/>
      <c r="E186" s="966"/>
      <c r="F186" s="966"/>
      <c r="G186" s="966"/>
      <c r="H186" s="966"/>
    </row>
    <row r="187" spans="1:8" ht="11.1" customHeight="1"/>
    <row r="188" spans="1:8" ht="11.1" customHeight="1"/>
    <row r="189" spans="1:8" ht="11.1" customHeight="1"/>
    <row r="190" spans="1:8" ht="11.1" customHeight="1"/>
    <row r="191" spans="1:8" ht="11.1" customHeight="1"/>
    <row r="192" spans="1:8" ht="11.1" customHeight="1"/>
    <row r="193" spans="1:8" ht="11.1" customHeight="1"/>
    <row r="194" spans="1:8" ht="11.1" customHeight="1"/>
    <row r="195" spans="1:8" ht="11.1" customHeight="1"/>
    <row r="196" spans="1:8" ht="11.1" customHeight="1"/>
    <row r="197" spans="1:8" ht="11.1" customHeight="1">
      <c r="A197" s="1024" t="s">
        <v>618</v>
      </c>
      <c r="B197" s="1024"/>
      <c r="C197" s="1024"/>
      <c r="D197" s="1024"/>
      <c r="E197" s="1024"/>
      <c r="F197" s="1024"/>
      <c r="G197" s="1024"/>
      <c r="H197" s="1024"/>
    </row>
    <row r="198" spans="1:8" ht="11.1" customHeight="1">
      <c r="A198" s="1024" t="s">
        <v>738</v>
      </c>
      <c r="B198" s="1024"/>
      <c r="C198" s="1024"/>
      <c r="D198" s="1024"/>
      <c r="E198" s="1024"/>
      <c r="F198" s="1024"/>
      <c r="G198" s="1024"/>
      <c r="H198" s="1024"/>
    </row>
    <row r="199" spans="1:8" ht="11.1" customHeight="1">
      <c r="A199" s="40"/>
      <c r="B199" s="40"/>
      <c r="C199" s="40"/>
      <c r="D199" s="40"/>
      <c r="E199" s="40"/>
      <c r="F199" s="40"/>
      <c r="G199" s="40"/>
      <c r="H199" s="113" t="s">
        <v>338</v>
      </c>
    </row>
    <row r="200" spans="1:8" ht="11.1" customHeight="1">
      <c r="A200" s="1043" t="s">
        <v>212</v>
      </c>
      <c r="B200" s="1043" t="s">
        <v>213</v>
      </c>
      <c r="C200" s="1020" t="s">
        <v>214</v>
      </c>
      <c r="D200" s="1021"/>
      <c r="E200" s="1021"/>
      <c r="F200" s="1021"/>
      <c r="G200" s="1022"/>
      <c r="H200" s="1043" t="s">
        <v>126</v>
      </c>
    </row>
    <row r="201" spans="1:8" ht="11.1" customHeight="1" thickBot="1">
      <c r="A201" s="1044"/>
      <c r="B201" s="1044"/>
      <c r="C201" s="355">
        <v>2014</v>
      </c>
      <c r="D201" s="355">
        <v>2015</v>
      </c>
      <c r="E201" s="355">
        <v>2016</v>
      </c>
      <c r="F201" s="355">
        <v>2017</v>
      </c>
      <c r="G201" s="355">
        <v>2018</v>
      </c>
      <c r="H201" s="1044"/>
    </row>
    <row r="202" spans="1:8" ht="11.1" customHeight="1" thickTop="1">
      <c r="A202" s="277"/>
      <c r="B202" s="30"/>
      <c r="C202" s="407"/>
      <c r="D202" s="408"/>
      <c r="E202" s="408"/>
      <c r="F202" s="408"/>
      <c r="G202" s="408"/>
      <c r="H202" s="409"/>
    </row>
    <row r="203" spans="1:8" ht="11.1" customHeight="1">
      <c r="A203" s="278">
        <v>1</v>
      </c>
      <c r="B203" s="35" t="s">
        <v>506</v>
      </c>
      <c r="C203" s="410">
        <v>5231.8500000000004</v>
      </c>
      <c r="D203" s="410">
        <v>5493.44</v>
      </c>
      <c r="E203" s="410">
        <v>5768.11</v>
      </c>
      <c r="F203" s="410">
        <v>6056.52</v>
      </c>
      <c r="G203" s="410">
        <v>6359.35</v>
      </c>
      <c r="H203" s="469">
        <f>(((D203-C203)/C203*100)+((E203-D203)/D203*100)+((F203-E203)/E203*100)+((G203-F203)/F203*100))/4</f>
        <v>5.0000149670945824</v>
      </c>
    </row>
    <row r="204" spans="1:8" ht="11.1" customHeight="1">
      <c r="A204" s="278"/>
      <c r="B204" s="35" t="s">
        <v>507</v>
      </c>
      <c r="C204" s="410"/>
      <c r="D204" s="410"/>
      <c r="E204" s="410"/>
      <c r="F204" s="410"/>
      <c r="G204" s="410"/>
      <c r="H204" s="35"/>
    </row>
    <row r="205" spans="1:8" ht="11.1" customHeight="1">
      <c r="A205" s="278"/>
      <c r="B205" s="35"/>
      <c r="C205" s="410"/>
      <c r="D205" s="410"/>
      <c r="E205" s="410"/>
      <c r="F205" s="410"/>
      <c r="G205" s="410"/>
      <c r="H205" s="35"/>
    </row>
    <row r="206" spans="1:8" ht="11.1" customHeight="1" thickBot="1">
      <c r="A206" s="278"/>
      <c r="B206" s="182"/>
      <c r="C206" s="410"/>
      <c r="D206" s="410"/>
      <c r="E206" s="410"/>
      <c r="F206" s="410"/>
      <c r="G206" s="410"/>
      <c r="H206" s="35"/>
    </row>
    <row r="207" spans="1:8" ht="11.1" customHeight="1" thickTop="1">
      <c r="A207" s="392"/>
      <c r="B207" s="795" t="s">
        <v>742</v>
      </c>
      <c r="C207" s="392"/>
      <c r="D207" s="392"/>
      <c r="E207" s="392"/>
      <c r="F207" s="392"/>
      <c r="G207" s="392"/>
      <c r="H207" s="392"/>
    </row>
    <row r="208" spans="1:8" ht="11.1" customHeight="1">
      <c r="A208" s="291"/>
      <c r="B208" s="291"/>
      <c r="C208" s="291"/>
      <c r="D208" s="291"/>
      <c r="E208" s="291"/>
      <c r="F208" s="291"/>
      <c r="G208" s="291"/>
      <c r="H208" s="291"/>
    </row>
    <row r="209" spans="1:8" ht="11.1" customHeight="1">
      <c r="A209" s="411"/>
      <c r="B209" s="966" t="s">
        <v>619</v>
      </c>
      <c r="C209" s="966"/>
      <c r="D209" s="966"/>
      <c r="E209" s="966"/>
      <c r="F209" s="966"/>
      <c r="G209" s="966"/>
      <c r="H209" s="966"/>
    </row>
    <row r="210" spans="1:8" ht="11.1" customHeight="1"/>
    <row r="211" spans="1:8" ht="11.1" customHeight="1"/>
    <row r="212" spans="1:8" ht="11.1" customHeight="1">
      <c r="F212" s="608"/>
      <c r="G212" s="608"/>
    </row>
    <row r="214" spans="1:8" ht="11.1" customHeight="1">
      <c r="A214" s="1024" t="s">
        <v>741</v>
      </c>
      <c r="B214" s="1024"/>
      <c r="C214" s="1024"/>
      <c r="D214" s="1024"/>
      <c r="E214" s="1024"/>
      <c r="F214" s="1024"/>
      <c r="G214" s="1024"/>
      <c r="H214" s="1024"/>
    </row>
    <row r="215" spans="1:8" ht="11.1" customHeight="1">
      <c r="A215" s="1024" t="s">
        <v>738</v>
      </c>
      <c r="B215" s="1024"/>
      <c r="C215" s="1024"/>
      <c r="D215" s="1024"/>
      <c r="E215" s="1024"/>
      <c r="F215" s="1024"/>
      <c r="G215" s="1024"/>
      <c r="H215" s="1024"/>
    </row>
    <row r="216" spans="1:8" ht="11.1" customHeight="1">
      <c r="A216" s="40"/>
      <c r="B216" s="40"/>
      <c r="C216" s="40"/>
      <c r="D216" s="40"/>
      <c r="E216" s="40"/>
      <c r="F216" s="40"/>
      <c r="G216" s="40"/>
      <c r="H216" s="113" t="s">
        <v>338</v>
      </c>
    </row>
    <row r="217" spans="1:8" ht="11.1" customHeight="1">
      <c r="A217" s="1043" t="s">
        <v>212</v>
      </c>
      <c r="B217" s="1043" t="s">
        <v>213</v>
      </c>
      <c r="C217" s="1020" t="s">
        <v>214</v>
      </c>
      <c r="D217" s="1021"/>
      <c r="E217" s="1021"/>
      <c r="F217" s="1021"/>
      <c r="G217" s="1022"/>
      <c r="H217" s="1043" t="s">
        <v>126</v>
      </c>
    </row>
    <row r="218" spans="1:8" ht="11.1" customHeight="1" thickBot="1">
      <c r="A218" s="1044"/>
      <c r="B218" s="1044"/>
      <c r="C218" s="355">
        <v>2014</v>
      </c>
      <c r="D218" s="355">
        <v>2015</v>
      </c>
      <c r="E218" s="355">
        <v>2016</v>
      </c>
      <c r="F218" s="355">
        <v>2017</v>
      </c>
      <c r="G218" s="355">
        <v>2018</v>
      </c>
      <c r="H218" s="1044"/>
    </row>
    <row r="219" spans="1:8" ht="11.1" customHeight="1" thickTop="1">
      <c r="A219" s="277"/>
      <c r="B219" s="30"/>
      <c r="C219" s="407"/>
      <c r="D219" s="408"/>
      <c r="E219" s="408"/>
      <c r="F219" s="408"/>
      <c r="G219" s="408"/>
      <c r="H219" s="409"/>
    </row>
    <row r="220" spans="1:8" ht="11.1" customHeight="1">
      <c r="A220" s="278">
        <v>1</v>
      </c>
      <c r="B220" s="35" t="s">
        <v>740</v>
      </c>
      <c r="C220" s="410">
        <v>36586.959999999999</v>
      </c>
      <c r="D220" s="410">
        <v>38782.18</v>
      </c>
      <c r="E220" s="410">
        <v>41109.11</v>
      </c>
      <c r="F220" s="410">
        <v>43575.65</v>
      </c>
      <c r="G220" s="410">
        <v>46190.19</v>
      </c>
      <c r="H220" s="469">
        <f>(((D220-C220)/C220*100)+((E220-D220)/D220*100)+((F220-E220)/E220*100)+((G220-F220)/F220*100))/4</f>
        <v>5.9999976842337999</v>
      </c>
    </row>
    <row r="221" spans="1:8" ht="11.1" customHeight="1">
      <c r="A221" s="278"/>
      <c r="B221" s="35" t="s">
        <v>507</v>
      </c>
      <c r="C221" s="410"/>
      <c r="D221" s="410"/>
      <c r="E221" s="410"/>
      <c r="F221" s="410"/>
      <c r="G221" s="410"/>
      <c r="H221" s="35"/>
    </row>
    <row r="222" spans="1:8" ht="11.1" customHeight="1">
      <c r="A222" s="278"/>
      <c r="B222" s="35"/>
      <c r="C222" s="410"/>
      <c r="D222" s="410"/>
      <c r="E222" s="410"/>
      <c r="F222" s="410"/>
      <c r="G222" s="410"/>
      <c r="H222" s="35"/>
    </row>
    <row r="223" spans="1:8" ht="11.1" customHeight="1" thickBot="1">
      <c r="A223" s="278"/>
      <c r="B223" s="182"/>
      <c r="C223" s="410"/>
      <c r="D223" s="410"/>
      <c r="E223" s="410"/>
      <c r="F223" s="410"/>
      <c r="G223" s="410"/>
      <c r="H223" s="35"/>
    </row>
    <row r="224" spans="1:8" ht="11.1" customHeight="1" thickTop="1">
      <c r="A224" s="392"/>
      <c r="B224" s="795" t="s">
        <v>742</v>
      </c>
      <c r="C224" s="392"/>
      <c r="D224" s="392"/>
      <c r="E224" s="392"/>
      <c r="F224" s="392"/>
      <c r="G224" s="392"/>
      <c r="H224" s="392"/>
    </row>
    <row r="225" spans="1:8" ht="11.1" customHeight="1">
      <c r="A225" s="291"/>
      <c r="B225" s="291"/>
      <c r="C225" s="291"/>
      <c r="D225" s="291"/>
      <c r="E225" s="291"/>
      <c r="F225" s="291"/>
      <c r="G225" s="291"/>
      <c r="H225" s="291"/>
    </row>
    <row r="226" spans="1:8" ht="11.1" customHeight="1">
      <c r="A226" s="411"/>
      <c r="B226" s="966" t="s">
        <v>619</v>
      </c>
      <c r="C226" s="966"/>
      <c r="D226" s="966"/>
      <c r="E226" s="966"/>
      <c r="F226" s="966"/>
      <c r="G226" s="966"/>
      <c r="H226" s="966"/>
    </row>
    <row r="228" spans="1:8">
      <c r="C228" s="793"/>
      <c r="D228" s="793"/>
      <c r="E228" s="793"/>
      <c r="F228" s="793"/>
    </row>
  </sheetData>
  <mergeCells count="68">
    <mergeCell ref="A114:H114"/>
    <mergeCell ref="A115:H115"/>
    <mergeCell ref="A86:H86"/>
    <mergeCell ref="C88:G88"/>
    <mergeCell ref="H88:H89"/>
    <mergeCell ref="B99:H99"/>
    <mergeCell ref="A88:A89"/>
    <mergeCell ref="B88:B89"/>
    <mergeCell ref="A145:H145"/>
    <mergeCell ref="A147:A148"/>
    <mergeCell ref="B147:B148"/>
    <mergeCell ref="C147:G147"/>
    <mergeCell ref="A117:A118"/>
    <mergeCell ref="B117:B118"/>
    <mergeCell ref="C117:G117"/>
    <mergeCell ref="H117:H118"/>
    <mergeCell ref="A144:H144"/>
    <mergeCell ref="B130:H130"/>
    <mergeCell ref="H147:H148"/>
    <mergeCell ref="H35:H36"/>
    <mergeCell ref="A42:B42"/>
    <mergeCell ref="A70:B70"/>
    <mergeCell ref="B73:H73"/>
    <mergeCell ref="A85:H85"/>
    <mergeCell ref="A35:A36"/>
    <mergeCell ref="B35:B36"/>
    <mergeCell ref="C35:G35"/>
    <mergeCell ref="A63:A64"/>
    <mergeCell ref="B63:B64"/>
    <mergeCell ref="C63:F63"/>
    <mergeCell ref="H63:H64"/>
    <mergeCell ref="A61:H61"/>
    <mergeCell ref="B45:H45"/>
    <mergeCell ref="A60:H60"/>
    <mergeCell ref="A1:H2"/>
    <mergeCell ref="B15:F15"/>
    <mergeCell ref="B17:H17"/>
    <mergeCell ref="A32:H32"/>
    <mergeCell ref="A33:H33"/>
    <mergeCell ref="A4:H4"/>
    <mergeCell ref="A5:H5"/>
    <mergeCell ref="A7:A8"/>
    <mergeCell ref="B7:B8"/>
    <mergeCell ref="C7:G7"/>
    <mergeCell ref="H7:H8"/>
    <mergeCell ref="A14:B14"/>
    <mergeCell ref="B186:H186"/>
    <mergeCell ref="B156:H156"/>
    <mergeCell ref="A170:H170"/>
    <mergeCell ref="A171:H171"/>
    <mergeCell ref="A173:A174"/>
    <mergeCell ref="B173:B174"/>
    <mergeCell ref="C173:G173"/>
    <mergeCell ref="H173:H174"/>
    <mergeCell ref="B209:H209"/>
    <mergeCell ref="A197:H197"/>
    <mergeCell ref="A198:H198"/>
    <mergeCell ref="A200:A201"/>
    <mergeCell ref="B200:B201"/>
    <mergeCell ref="C200:G200"/>
    <mergeCell ref="H200:H201"/>
    <mergeCell ref="B226:H226"/>
    <mergeCell ref="A214:H214"/>
    <mergeCell ref="A215:H215"/>
    <mergeCell ref="A217:A218"/>
    <mergeCell ref="B217:B218"/>
    <mergeCell ref="C217:G217"/>
    <mergeCell ref="H217:H218"/>
  </mergeCells>
  <pageMargins left="0.7" right="0.7" top="0.75" bottom="0.75" header="0.3" footer="0.3"/>
  <pageSetup paperSize="5" orientation="portrait" r:id="rId1"/>
  <rowBreaks count="1" manualBreakCount="1">
    <brk id="84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4"/>
  <sheetViews>
    <sheetView topLeftCell="A54" workbookViewId="0">
      <selection activeCell="L76" sqref="L76"/>
    </sheetView>
  </sheetViews>
  <sheetFormatPr defaultRowHeight="15"/>
  <cols>
    <col min="1" max="1" width="4.42578125" customWidth="1"/>
    <col min="2" max="2" width="9" customWidth="1"/>
    <col min="3" max="3" width="19.5703125" bestFit="1" customWidth="1"/>
    <col min="4" max="4" width="8.28515625" customWidth="1"/>
    <col min="5" max="5" width="8.5703125" customWidth="1"/>
    <col min="6" max="6" width="7.85546875" customWidth="1"/>
    <col min="7" max="7" width="17.85546875" customWidth="1"/>
    <col min="8" max="8" width="8.85546875" customWidth="1"/>
    <col min="9" max="9" width="9.42578125" customWidth="1"/>
  </cols>
  <sheetData>
    <row r="1" spans="1:9" ht="15.75">
      <c r="A1" s="1238" t="s">
        <v>626</v>
      </c>
      <c r="B1" s="1238"/>
      <c r="C1" s="1238"/>
      <c r="D1" s="1238"/>
      <c r="E1" s="1238"/>
      <c r="F1" s="1238"/>
      <c r="G1" s="1238"/>
      <c r="H1" s="1238"/>
      <c r="I1" s="1238"/>
    </row>
    <row r="2" spans="1:9" ht="15.75">
      <c r="A2" s="1238" t="s">
        <v>627</v>
      </c>
      <c r="B2" s="1238"/>
      <c r="C2" s="1238"/>
      <c r="D2" s="1238"/>
      <c r="E2" s="1238"/>
      <c r="F2" s="1238"/>
      <c r="G2" s="1238"/>
      <c r="H2" s="1238"/>
      <c r="I2" s="1238"/>
    </row>
    <row r="3" spans="1:9" ht="15.75">
      <c r="A3" s="687"/>
      <c r="B3" s="687"/>
      <c r="C3" s="687"/>
      <c r="D3" s="687"/>
      <c r="E3" s="687"/>
      <c r="F3" s="687"/>
      <c r="G3" s="687"/>
      <c r="H3" s="687"/>
      <c r="I3" s="687"/>
    </row>
    <row r="4" spans="1:9" ht="15.75">
      <c r="A4" s="1239" t="s">
        <v>212</v>
      </c>
      <c r="B4" s="1241" t="s">
        <v>301</v>
      </c>
      <c r="C4" s="1213" t="s">
        <v>214</v>
      </c>
      <c r="D4" s="1214"/>
      <c r="E4" s="1214"/>
      <c r="F4" s="1214"/>
      <c r="G4" s="1214"/>
      <c r="H4" s="1214"/>
      <c r="I4" s="1214"/>
    </row>
    <row r="5" spans="1:9" ht="16.5" thickBot="1">
      <c r="A5" s="1240"/>
      <c r="B5" s="1242"/>
      <c r="C5" s="688">
        <v>2010</v>
      </c>
      <c r="D5" s="688"/>
      <c r="E5" s="688">
        <v>2011</v>
      </c>
      <c r="F5" s="688"/>
      <c r="G5" s="688"/>
      <c r="H5" s="688">
        <v>2012</v>
      </c>
      <c r="I5" s="688"/>
    </row>
    <row r="6" spans="1:9" ht="16.5" thickTop="1">
      <c r="A6" s="689">
        <v>1</v>
      </c>
      <c r="B6" s="690" t="s">
        <v>129</v>
      </c>
      <c r="C6" s="691">
        <v>132640.79999999999</v>
      </c>
      <c r="D6" s="691"/>
      <c r="E6" s="691">
        <v>141863.4</v>
      </c>
      <c r="F6" s="691"/>
      <c r="G6" s="691"/>
      <c r="H6" s="691">
        <v>144168.4</v>
      </c>
      <c r="I6" s="691"/>
    </row>
    <row r="7" spans="1:9" ht="15.75">
      <c r="A7" s="692">
        <v>2</v>
      </c>
      <c r="B7" s="693" t="s">
        <v>156</v>
      </c>
      <c r="C7" s="694">
        <f>533.4+82.4+1631.1+21.8</f>
        <v>2268.6999999999998</v>
      </c>
      <c r="D7" s="694"/>
      <c r="E7" s="694">
        <v>2762.3</v>
      </c>
      <c r="F7" s="694"/>
      <c r="G7" s="694"/>
      <c r="H7" s="694">
        <v>3935.3</v>
      </c>
      <c r="I7" s="694"/>
    </row>
    <row r="8" spans="1:9" ht="15.75">
      <c r="A8" s="696">
        <v>3</v>
      </c>
      <c r="B8" s="693" t="s">
        <v>130</v>
      </c>
      <c r="C8" s="694">
        <v>2530.1</v>
      </c>
      <c r="D8" s="694"/>
      <c r="E8" s="694">
        <v>2074.6</v>
      </c>
      <c r="F8" s="694"/>
      <c r="G8" s="694"/>
      <c r="H8" s="694">
        <v>1585</v>
      </c>
      <c r="I8" s="694"/>
    </row>
    <row r="9" spans="1:9" ht="15.75">
      <c r="A9" s="696">
        <v>4</v>
      </c>
      <c r="B9" s="693" t="s">
        <v>137</v>
      </c>
      <c r="C9" s="694">
        <f>220.85+285.7+13.73+136.4</f>
        <v>656.68</v>
      </c>
      <c r="D9" s="694"/>
      <c r="E9" s="694">
        <v>771.90000000000009</v>
      </c>
      <c r="F9" s="694"/>
      <c r="G9" s="694"/>
      <c r="H9" s="694">
        <v>1777.1</v>
      </c>
      <c r="I9" s="694"/>
    </row>
    <row r="10" spans="1:9" ht="15.75">
      <c r="A10" s="696">
        <v>5</v>
      </c>
      <c r="B10" s="693" t="s">
        <v>136</v>
      </c>
      <c r="C10" s="694">
        <f>552.82+5</f>
        <v>557.82000000000005</v>
      </c>
      <c r="D10" s="694"/>
      <c r="E10" s="694">
        <v>1690</v>
      </c>
      <c r="F10" s="694"/>
      <c r="G10" s="694"/>
      <c r="H10" s="694">
        <v>1664.9</v>
      </c>
      <c r="I10" s="694"/>
    </row>
    <row r="11" spans="1:9" ht="15.75">
      <c r="A11" s="696">
        <v>6</v>
      </c>
      <c r="B11" s="693" t="s">
        <v>154</v>
      </c>
      <c r="C11" s="694">
        <v>233.63</v>
      </c>
      <c r="D11" s="694"/>
      <c r="E11" s="694">
        <v>253.9</v>
      </c>
      <c r="F11" s="694"/>
      <c r="G11" s="694"/>
      <c r="H11" s="694">
        <v>533.4</v>
      </c>
      <c r="I11" s="694"/>
    </row>
    <row r="12" spans="1:9" ht="15.75">
      <c r="A12" s="696">
        <v>7</v>
      </c>
      <c r="B12" s="693" t="s">
        <v>133</v>
      </c>
      <c r="C12" s="694">
        <v>742.1</v>
      </c>
      <c r="D12" s="694"/>
      <c r="E12" s="694">
        <v>790.8</v>
      </c>
      <c r="F12" s="694"/>
      <c r="G12" s="694"/>
      <c r="H12" s="694">
        <v>944.6</v>
      </c>
      <c r="I12" s="694"/>
    </row>
    <row r="13" spans="1:9" ht="15.75">
      <c r="A13" s="696">
        <v>8</v>
      </c>
      <c r="B13" s="693" t="s">
        <v>138</v>
      </c>
      <c r="C13" s="694">
        <v>123</v>
      </c>
      <c r="D13" s="694"/>
      <c r="E13" s="694">
        <v>190.9</v>
      </c>
      <c r="F13" s="694"/>
      <c r="G13" s="694"/>
      <c r="H13" s="694">
        <v>228.2</v>
      </c>
      <c r="I13" s="694"/>
    </row>
    <row r="14" spans="1:9" ht="15.75">
      <c r="A14" s="696">
        <v>9</v>
      </c>
      <c r="B14" s="693" t="s">
        <v>132</v>
      </c>
      <c r="C14" s="694">
        <v>61.7</v>
      </c>
      <c r="D14" s="694"/>
      <c r="E14" s="694">
        <v>135.88</v>
      </c>
      <c r="F14" s="694"/>
      <c r="G14" s="694"/>
      <c r="H14" s="694">
        <v>262.2</v>
      </c>
      <c r="I14" s="694"/>
    </row>
    <row r="15" spans="1:9" ht="16.5" thickBot="1">
      <c r="A15" s="697">
        <v>10</v>
      </c>
      <c r="B15" s="698" t="s">
        <v>239</v>
      </c>
      <c r="C15" s="699">
        <f>140239.85-139814.53</f>
        <v>425.32000000000698</v>
      </c>
      <c r="D15" s="699"/>
      <c r="E15" s="699">
        <v>751.85</v>
      </c>
      <c r="F15" s="699"/>
      <c r="G15" s="699"/>
      <c r="H15" s="699">
        <v>809.40000000000396</v>
      </c>
      <c r="I15" s="699"/>
    </row>
    <row r="16" spans="1:9" ht="17.25" thickTop="1" thickBot="1">
      <c r="A16" s="1231" t="s">
        <v>224</v>
      </c>
      <c r="B16" s="1232"/>
      <c r="C16" s="700">
        <f>SUM(C6:C15)</f>
        <v>140239.85000000003</v>
      </c>
      <c r="D16" s="700"/>
      <c r="E16" s="700">
        <f>SUM(E6:E15)</f>
        <v>151285.52999999997</v>
      </c>
      <c r="F16" s="700"/>
      <c r="G16" s="700"/>
      <c r="H16" s="700">
        <f>SUM(H6:H15)</f>
        <v>155908.5</v>
      </c>
      <c r="I16" s="700"/>
    </row>
    <row r="17" spans="1:9" ht="15.75" thickTop="1">
      <c r="A17" s="236"/>
      <c r="B17" s="236"/>
      <c r="C17" s="237"/>
      <c r="D17" s="237"/>
      <c r="E17" s="237"/>
      <c r="F17" s="237"/>
      <c r="G17" s="237"/>
      <c r="H17" s="237"/>
      <c r="I17" s="237"/>
    </row>
    <row r="18" spans="1:9">
      <c r="A18" s="238"/>
      <c r="B18" s="966"/>
      <c r="C18" s="966"/>
      <c r="D18" s="966"/>
      <c r="E18" s="966"/>
      <c r="F18" s="966"/>
      <c r="G18" s="966"/>
      <c r="H18" s="966"/>
      <c r="I18" s="966"/>
    </row>
    <row r="21" spans="1:9" ht="15.75">
      <c r="A21" s="1233" t="s">
        <v>628</v>
      </c>
      <c r="B21" s="1233"/>
      <c r="C21" s="1233"/>
      <c r="D21" s="1233"/>
      <c r="E21" s="1233"/>
      <c r="F21" s="1233"/>
      <c r="G21" s="1233"/>
      <c r="H21" s="1233"/>
      <c r="I21" s="1233"/>
    </row>
    <row r="22" spans="1:9" ht="15.75">
      <c r="A22" s="1233" t="s">
        <v>582</v>
      </c>
      <c r="B22" s="1233"/>
      <c r="C22" s="1233"/>
      <c r="D22" s="1233"/>
      <c r="E22" s="1233"/>
      <c r="F22" s="1233"/>
      <c r="G22" s="1233"/>
      <c r="H22" s="1233"/>
      <c r="I22" s="1233"/>
    </row>
    <row r="23" spans="1:9" ht="15.75">
      <c r="A23" s="701"/>
      <c r="B23" s="701"/>
      <c r="C23" s="701"/>
      <c r="D23" s="701"/>
      <c r="E23" s="701"/>
      <c r="F23" s="701"/>
      <c r="G23" s="701"/>
      <c r="H23" s="701"/>
      <c r="I23" s="701"/>
    </row>
    <row r="24" spans="1:9" ht="15.75">
      <c r="A24" s="1234" t="s">
        <v>212</v>
      </c>
      <c r="B24" s="1236" t="s">
        <v>223</v>
      </c>
      <c r="C24" s="1213" t="s">
        <v>214</v>
      </c>
      <c r="D24" s="1214"/>
      <c r="E24" s="1214"/>
      <c r="F24" s="1214"/>
      <c r="G24" s="1214"/>
      <c r="H24" s="1214"/>
      <c r="I24" s="1214"/>
    </row>
    <row r="25" spans="1:9" ht="16.5" thickBot="1">
      <c r="A25" s="1235"/>
      <c r="B25" s="1237"/>
      <c r="C25" s="688">
        <v>2010</v>
      </c>
      <c r="D25" s="688"/>
      <c r="E25" s="688">
        <v>2011</v>
      </c>
      <c r="F25" s="688"/>
      <c r="G25" s="688"/>
      <c r="H25" s="688">
        <v>2012</v>
      </c>
      <c r="I25" s="688"/>
    </row>
    <row r="26" spans="1:9" ht="16.5" thickTop="1">
      <c r="A26" s="702"/>
      <c r="B26" s="703"/>
      <c r="C26" s="704"/>
      <c r="D26" s="704"/>
      <c r="E26" s="704"/>
      <c r="F26" s="704"/>
      <c r="G26" s="704"/>
      <c r="H26" s="704"/>
      <c r="I26" s="704"/>
    </row>
    <row r="27" spans="1:9" ht="15.75">
      <c r="A27" s="705">
        <v>1</v>
      </c>
      <c r="B27" s="706" t="s">
        <v>235</v>
      </c>
      <c r="C27" s="707">
        <v>15424.6</v>
      </c>
      <c r="D27" s="707"/>
      <c r="E27" s="707">
        <v>13894.3</v>
      </c>
      <c r="F27" s="707"/>
      <c r="G27" s="707"/>
      <c r="H27" s="707">
        <v>14164.4</v>
      </c>
      <c r="I27" s="707"/>
    </row>
    <row r="28" spans="1:9" ht="15.75">
      <c r="A28" s="705">
        <v>2</v>
      </c>
      <c r="B28" s="706" t="s">
        <v>236</v>
      </c>
      <c r="C28" s="707">
        <v>7344.9</v>
      </c>
      <c r="D28" s="707"/>
      <c r="E28" s="707">
        <v>6986.3</v>
      </c>
      <c r="F28" s="707"/>
      <c r="G28" s="707"/>
      <c r="H28" s="707">
        <v>11041.7</v>
      </c>
      <c r="I28" s="707"/>
    </row>
    <row r="29" spans="1:9" ht="15.75">
      <c r="A29" s="705">
        <v>3</v>
      </c>
      <c r="B29" s="708" t="s">
        <v>237</v>
      </c>
      <c r="C29" s="707">
        <v>8532.2000000000007</v>
      </c>
      <c r="D29" s="707"/>
      <c r="E29" s="707">
        <v>1511.5</v>
      </c>
      <c r="F29" s="707"/>
      <c r="G29" s="707"/>
      <c r="H29" s="707">
        <v>2138.1</v>
      </c>
      <c r="I29" s="707"/>
    </row>
    <row r="30" spans="1:9" ht="15.75">
      <c r="A30" s="705">
        <v>4</v>
      </c>
      <c r="B30" s="706" t="s">
        <v>234</v>
      </c>
      <c r="C30" s="707">
        <v>137</v>
      </c>
      <c r="D30" s="707"/>
      <c r="E30" s="707">
        <v>335.2</v>
      </c>
      <c r="F30" s="707"/>
      <c r="G30" s="707"/>
      <c r="H30" s="707">
        <v>1599.8</v>
      </c>
      <c r="I30" s="707"/>
    </row>
    <row r="31" spans="1:9" ht="15.75">
      <c r="A31" s="705">
        <v>5</v>
      </c>
      <c r="B31" s="708" t="s">
        <v>238</v>
      </c>
      <c r="C31" s="707">
        <v>4639.6000000000004</v>
      </c>
      <c r="D31" s="707"/>
      <c r="E31" s="707">
        <v>477.9</v>
      </c>
      <c r="F31" s="707"/>
      <c r="G31" s="707"/>
      <c r="H31" s="707">
        <v>411.8</v>
      </c>
      <c r="I31" s="707"/>
    </row>
    <row r="32" spans="1:9" ht="15.75">
      <c r="A32" s="705">
        <v>6</v>
      </c>
      <c r="B32" s="706" t="s">
        <v>233</v>
      </c>
      <c r="C32" s="707">
        <v>967</v>
      </c>
      <c r="D32" s="707"/>
      <c r="E32" s="707">
        <v>339.5</v>
      </c>
      <c r="F32" s="707"/>
      <c r="G32" s="707"/>
      <c r="H32" s="707">
        <v>308.89999999999998</v>
      </c>
      <c r="I32" s="707"/>
    </row>
    <row r="33" spans="1:9" ht="15.75">
      <c r="A33" s="705">
        <v>7</v>
      </c>
      <c r="B33" s="708" t="s">
        <v>239</v>
      </c>
      <c r="C33" s="707">
        <v>0</v>
      </c>
      <c r="D33" s="707"/>
      <c r="E33" s="707">
        <v>6.2</v>
      </c>
      <c r="F33" s="707"/>
      <c r="G33" s="707"/>
      <c r="H33" s="707">
        <v>50.2</v>
      </c>
      <c r="I33" s="707"/>
    </row>
    <row r="34" spans="1:9" ht="16.5" thickBot="1">
      <c r="A34" s="709"/>
      <c r="B34" s="710"/>
      <c r="C34" s="711"/>
      <c r="D34" s="711"/>
      <c r="E34" s="711" t="s">
        <v>240</v>
      </c>
      <c r="F34" s="711"/>
      <c r="G34" s="711"/>
      <c r="H34" s="711" t="s">
        <v>240</v>
      </c>
      <c r="I34" s="711"/>
    </row>
    <row r="35" spans="1:9" ht="17.25" thickTop="1" thickBot="1">
      <c r="A35" s="1228" t="s">
        <v>224</v>
      </c>
      <c r="B35" s="1229"/>
      <c r="C35" s="712">
        <f>SUM(C27:C33)</f>
        <v>37045.300000000003</v>
      </c>
      <c r="D35" s="712"/>
      <c r="E35" s="712">
        <f>SUM(E27:E33)</f>
        <v>23550.9</v>
      </c>
      <c r="F35" s="712"/>
      <c r="G35" s="712"/>
      <c r="H35" s="712">
        <f>SUM(H27:H33)</f>
        <v>29714.899999999998</v>
      </c>
      <c r="I35" s="712"/>
    </row>
    <row r="36" spans="1:9" ht="15.75" thickTop="1">
      <c r="A36" s="147"/>
      <c r="B36" s="147"/>
      <c r="C36" s="147"/>
      <c r="D36" s="147"/>
      <c r="E36" s="147"/>
      <c r="F36" s="147"/>
      <c r="G36" s="147"/>
      <c r="H36" s="147"/>
      <c r="I36" s="147"/>
    </row>
    <row r="37" spans="1:9">
      <c r="A37" s="159"/>
      <c r="B37" s="966"/>
      <c r="C37" s="966"/>
      <c r="D37" s="966"/>
      <c r="E37" s="966"/>
      <c r="F37" s="966"/>
      <c r="G37" s="966"/>
      <c r="H37" s="966"/>
      <c r="I37" s="966"/>
    </row>
    <row r="39" spans="1:9" ht="15.75">
      <c r="A39" s="1230" t="s">
        <v>635</v>
      </c>
      <c r="B39" s="1230"/>
      <c r="C39" s="1230"/>
      <c r="D39" s="1230"/>
      <c r="E39" s="1230"/>
      <c r="F39" s="1230"/>
      <c r="G39" s="1230"/>
      <c r="H39" s="1230"/>
      <c r="I39" s="1230"/>
    </row>
    <row r="40" spans="1:9" ht="15.75">
      <c r="A40" s="1230" t="s">
        <v>634</v>
      </c>
      <c r="B40" s="1230"/>
      <c r="C40" s="1230"/>
      <c r="D40" s="1230"/>
      <c r="E40" s="1230"/>
      <c r="F40" s="1230"/>
      <c r="G40" s="1230"/>
      <c r="H40" s="1230"/>
      <c r="I40" s="1230"/>
    </row>
    <row r="41" spans="1:9" ht="15.75">
      <c r="A41" s="713"/>
      <c r="B41" s="713"/>
      <c r="C41" s="713"/>
      <c r="D41" s="713"/>
      <c r="E41" s="713"/>
      <c r="F41" s="713"/>
      <c r="G41" s="713"/>
      <c r="H41" s="713"/>
      <c r="I41" s="713"/>
    </row>
    <row r="42" spans="1:9" ht="15.75">
      <c r="A42" s="1222" t="s">
        <v>212</v>
      </c>
      <c r="B42" s="1210" t="s">
        <v>301</v>
      </c>
      <c r="C42" s="1213" t="s">
        <v>214</v>
      </c>
      <c r="D42" s="1214"/>
      <c r="E42" s="1214"/>
      <c r="F42" s="1214"/>
      <c r="G42" s="1214"/>
      <c r="H42" s="1214"/>
      <c r="I42" s="1214"/>
    </row>
    <row r="43" spans="1:9" ht="16.5" thickBot="1">
      <c r="A43" s="1224"/>
      <c r="B43" s="1212"/>
      <c r="C43" s="688">
        <v>2010</v>
      </c>
      <c r="D43" s="688"/>
      <c r="E43" s="688">
        <v>2011</v>
      </c>
      <c r="F43" s="688"/>
      <c r="G43" s="688"/>
      <c r="H43" s="688">
        <v>2012</v>
      </c>
      <c r="I43" s="688"/>
    </row>
    <row r="44" spans="1:9" ht="16.5" thickTop="1">
      <c r="A44" s="714">
        <v>1</v>
      </c>
      <c r="B44" s="715" t="s">
        <v>128</v>
      </c>
      <c r="C44" s="716">
        <v>15801.399999999998</v>
      </c>
      <c r="D44" s="716"/>
      <c r="E44" s="716">
        <v>12325.1</v>
      </c>
      <c r="F44" s="716"/>
      <c r="G44" s="716"/>
      <c r="H44" s="716">
        <v>15479</v>
      </c>
      <c r="I44" s="716"/>
    </row>
    <row r="45" spans="1:9" ht="15.75">
      <c r="A45" s="717">
        <v>2</v>
      </c>
      <c r="B45" s="718" t="s">
        <v>141</v>
      </c>
      <c r="C45" s="719">
        <v>40381.599999999999</v>
      </c>
      <c r="D45" s="719"/>
      <c r="E45" s="719">
        <v>5566.5</v>
      </c>
      <c r="F45" s="719"/>
      <c r="G45" s="719"/>
      <c r="H45" s="719">
        <v>5664.1</v>
      </c>
      <c r="I45" s="719"/>
    </row>
    <row r="46" spans="1:9" ht="15.75">
      <c r="A46" s="717">
        <v>3</v>
      </c>
      <c r="B46" s="718" t="s">
        <v>139</v>
      </c>
      <c r="C46" s="719">
        <v>20572.400000000001</v>
      </c>
      <c r="D46" s="719"/>
      <c r="E46" s="719">
        <v>28024.400000000001</v>
      </c>
      <c r="F46" s="719"/>
      <c r="G46" s="719"/>
      <c r="H46" s="719">
        <v>24370.7</v>
      </c>
      <c r="I46" s="719"/>
    </row>
    <row r="47" spans="1:9" ht="15.75">
      <c r="A47" s="717">
        <v>4</v>
      </c>
      <c r="B47" s="718" t="s">
        <v>140</v>
      </c>
      <c r="C47" s="719">
        <v>6547.7</v>
      </c>
      <c r="D47" s="719"/>
      <c r="E47" s="719">
        <v>9906.9</v>
      </c>
      <c r="F47" s="719"/>
      <c r="G47" s="719"/>
      <c r="H47" s="719">
        <v>11134.6</v>
      </c>
      <c r="I47" s="719"/>
    </row>
    <row r="48" spans="1:9" ht="15.75">
      <c r="A48" s="717">
        <v>5</v>
      </c>
      <c r="B48" s="718" t="s">
        <v>631</v>
      </c>
      <c r="C48" s="719">
        <v>1491.9</v>
      </c>
      <c r="D48" s="719"/>
      <c r="E48" s="719">
        <v>608.1</v>
      </c>
      <c r="F48" s="719"/>
      <c r="G48" s="719"/>
      <c r="H48" s="719">
        <v>1095.9000000000001</v>
      </c>
      <c r="I48" s="719"/>
    </row>
    <row r="49" spans="1:9" ht="15.75">
      <c r="A49" s="717">
        <v>6</v>
      </c>
      <c r="B49" s="718" t="s">
        <v>303</v>
      </c>
      <c r="C49" s="719">
        <v>2691</v>
      </c>
      <c r="D49" s="719"/>
      <c r="E49" s="719">
        <v>7080.3</v>
      </c>
      <c r="F49" s="719"/>
      <c r="G49" s="719"/>
      <c r="H49" s="719">
        <v>4642.2</v>
      </c>
      <c r="I49" s="719"/>
    </row>
    <row r="50" spans="1:9" ht="15.75">
      <c r="A50" s="717">
        <v>7</v>
      </c>
      <c r="B50" s="718" t="s">
        <v>630</v>
      </c>
      <c r="C50" s="719">
        <v>3072.5</v>
      </c>
      <c r="D50" s="719"/>
      <c r="E50" s="719">
        <v>1932.1</v>
      </c>
      <c r="F50" s="719"/>
      <c r="G50" s="719"/>
      <c r="H50" s="719">
        <v>3158.6</v>
      </c>
      <c r="I50" s="719"/>
    </row>
    <row r="51" spans="1:9" ht="15.75">
      <c r="A51" s="717">
        <v>8</v>
      </c>
      <c r="B51" s="718" t="s">
        <v>632</v>
      </c>
      <c r="C51" s="719">
        <v>1024.2</v>
      </c>
      <c r="D51" s="719"/>
      <c r="E51" s="719">
        <v>918.6</v>
      </c>
      <c r="F51" s="719"/>
      <c r="G51" s="719"/>
      <c r="H51" s="719">
        <v>1687.9</v>
      </c>
      <c r="I51" s="719"/>
    </row>
    <row r="52" spans="1:9" ht="15.75">
      <c r="A52" s="717">
        <v>9</v>
      </c>
      <c r="B52" s="718" t="s">
        <v>633</v>
      </c>
      <c r="C52" s="719">
        <v>2022.7</v>
      </c>
      <c r="D52" s="719"/>
      <c r="E52" s="719">
        <v>17103.7</v>
      </c>
      <c r="F52" s="719"/>
      <c r="G52" s="719"/>
      <c r="H52" s="719">
        <v>1290.9000000000001</v>
      </c>
      <c r="I52" s="719"/>
    </row>
    <row r="53" spans="1:9" ht="15.75">
      <c r="A53" s="720">
        <v>10</v>
      </c>
      <c r="B53" s="718" t="s">
        <v>629</v>
      </c>
      <c r="C53" s="719">
        <v>1889.2</v>
      </c>
      <c r="D53" s="719"/>
      <c r="E53" s="719">
        <v>1073.2</v>
      </c>
      <c r="F53" s="719"/>
      <c r="G53" s="719"/>
      <c r="H53" s="719">
        <v>1722.8</v>
      </c>
      <c r="I53" s="719"/>
    </row>
    <row r="54" spans="1:9" ht="16.5" thickBot="1">
      <c r="A54" s="720">
        <v>11</v>
      </c>
      <c r="B54" s="721" t="s">
        <v>239</v>
      </c>
      <c r="C54" s="722">
        <v>10071.6</v>
      </c>
      <c r="D54" s="722"/>
      <c r="E54" s="722">
        <v>16832.7</v>
      </c>
      <c r="F54" s="722"/>
      <c r="G54" s="722"/>
      <c r="H54" s="722">
        <v>11488</v>
      </c>
      <c r="I54" s="722"/>
    </row>
    <row r="55" spans="1:9" ht="17.25" thickTop="1" thickBot="1">
      <c r="A55" s="1225" t="s">
        <v>224</v>
      </c>
      <c r="B55" s="1226"/>
      <c r="C55" s="723">
        <f>SUM(C44:C54)</f>
        <v>105566.19999999998</v>
      </c>
      <c r="D55" s="723"/>
      <c r="E55" s="723">
        <f>SUM(E44:E54)</f>
        <v>101371.59999999999</v>
      </c>
      <c r="F55" s="723"/>
      <c r="G55" s="723"/>
      <c r="H55" s="723">
        <f>SUM(H44:H54)</f>
        <v>81734.7</v>
      </c>
      <c r="I55" s="723"/>
    </row>
    <row r="56" spans="1:9" ht="16.5" thickTop="1">
      <c r="A56" s="713"/>
      <c r="B56" s="713"/>
      <c r="C56" s="713"/>
      <c r="D56" s="713"/>
      <c r="E56" s="713"/>
      <c r="F56" s="713"/>
      <c r="G56" s="713"/>
      <c r="H56" s="713"/>
      <c r="I56" s="713"/>
    </row>
    <row r="57" spans="1:9" ht="16.5">
      <c r="A57" s="713"/>
      <c r="B57" s="1227"/>
      <c r="C57" s="1227"/>
      <c r="D57" s="1227"/>
      <c r="E57" s="1227"/>
      <c r="F57" s="1227"/>
      <c r="G57" s="1227"/>
      <c r="H57" s="1227"/>
      <c r="I57" s="1227"/>
    </row>
    <row r="60" spans="1:9" ht="15.75">
      <c r="A60" s="736" t="s">
        <v>636</v>
      </c>
      <c r="B60" s="736"/>
      <c r="C60" s="736"/>
      <c r="D60" s="736"/>
      <c r="E60" s="736"/>
      <c r="F60" s="736"/>
      <c r="G60" s="736"/>
      <c r="H60" s="736"/>
      <c r="I60" s="736"/>
    </row>
    <row r="61" spans="1:9" ht="15.75">
      <c r="A61" s="736" t="s">
        <v>581</v>
      </c>
      <c r="B61" s="736"/>
      <c r="C61" s="736"/>
      <c r="D61" s="736"/>
      <c r="E61" s="736"/>
      <c r="F61" s="736"/>
      <c r="G61" s="736"/>
      <c r="H61" s="736"/>
      <c r="I61" s="736"/>
    </row>
    <row r="62" spans="1:9" ht="15.75">
      <c r="A62" s="713"/>
      <c r="B62" s="713"/>
      <c r="C62" s="713"/>
      <c r="D62" s="713"/>
      <c r="E62" s="713"/>
      <c r="F62" s="713"/>
      <c r="G62" s="713"/>
      <c r="H62" s="713"/>
      <c r="I62" s="713"/>
    </row>
    <row r="63" spans="1:9" ht="18.75">
      <c r="A63" s="1222" t="s">
        <v>212</v>
      </c>
      <c r="B63" s="1210" t="s">
        <v>637</v>
      </c>
      <c r="C63" s="1215" t="s">
        <v>638</v>
      </c>
      <c r="D63" s="1216"/>
      <c r="E63" s="1216"/>
      <c r="F63" s="1217" t="s">
        <v>639</v>
      </c>
      <c r="G63" s="1216"/>
      <c r="H63" s="1216"/>
      <c r="I63" s="1218"/>
    </row>
    <row r="64" spans="1:9" ht="15.75">
      <c r="A64" s="1223"/>
      <c r="B64" s="1211"/>
      <c r="C64" s="734" t="s">
        <v>649</v>
      </c>
      <c r="D64" s="1213" t="s">
        <v>648</v>
      </c>
      <c r="E64" s="1214"/>
      <c r="F64" s="1220" t="s">
        <v>649</v>
      </c>
      <c r="G64" s="1221"/>
      <c r="H64" s="1213" t="s">
        <v>648</v>
      </c>
      <c r="I64" s="1219"/>
    </row>
    <row r="65" spans="1:9" ht="16.5" thickBot="1">
      <c r="A65" s="1224"/>
      <c r="B65" s="1212"/>
      <c r="C65" s="735"/>
      <c r="D65" s="733" t="s">
        <v>646</v>
      </c>
      <c r="E65" s="740" t="s">
        <v>647</v>
      </c>
      <c r="F65" s="762"/>
      <c r="G65" s="763"/>
      <c r="H65" s="733" t="s">
        <v>646</v>
      </c>
      <c r="I65" s="733" t="s">
        <v>647</v>
      </c>
    </row>
    <row r="66" spans="1:9" ht="16.5" thickTop="1">
      <c r="A66" s="724">
        <v>1</v>
      </c>
      <c r="B66" s="725">
        <v>2010</v>
      </c>
      <c r="C66" s="726">
        <v>5239140323</v>
      </c>
      <c r="D66" s="726">
        <v>98.8</v>
      </c>
      <c r="E66" s="741">
        <v>91.61</v>
      </c>
      <c r="F66" s="744" t="s">
        <v>520</v>
      </c>
      <c r="G66" s="737">
        <f>SUM(G67:G68)</f>
        <v>9466408000</v>
      </c>
      <c r="H66" s="726">
        <v>68.260000000000005</v>
      </c>
      <c r="I66" s="726">
        <v>52.71</v>
      </c>
    </row>
    <row r="67" spans="1:9" ht="15.75">
      <c r="A67" s="745"/>
      <c r="B67" s="746"/>
      <c r="C67" s="747"/>
      <c r="D67" s="747"/>
      <c r="E67" s="748"/>
      <c r="F67" s="749" t="s">
        <v>640</v>
      </c>
      <c r="G67" s="750">
        <v>7216408000</v>
      </c>
      <c r="H67" s="751">
        <v>70.760000000000005</v>
      </c>
      <c r="I67" s="751">
        <v>53.33</v>
      </c>
    </row>
    <row r="68" spans="1:9" ht="15.75">
      <c r="A68" s="745"/>
      <c r="B68" s="746"/>
      <c r="C68" s="747"/>
      <c r="D68" s="747"/>
      <c r="E68" s="748"/>
      <c r="F68" s="749" t="s">
        <v>641</v>
      </c>
      <c r="G68" s="752">
        <v>2250000000</v>
      </c>
      <c r="H68" s="751">
        <v>60.15</v>
      </c>
      <c r="I68" s="751">
        <v>50.72</v>
      </c>
    </row>
    <row r="69" spans="1:9" ht="15.75">
      <c r="A69" s="729">
        <v>2</v>
      </c>
      <c r="B69" s="731" t="s">
        <v>642</v>
      </c>
      <c r="C69" s="730">
        <v>9004427500</v>
      </c>
      <c r="D69" s="730">
        <v>37.049999999999997</v>
      </c>
      <c r="E69" s="757">
        <v>31.71</v>
      </c>
      <c r="F69" s="761" t="s">
        <v>520</v>
      </c>
      <c r="G69" s="755">
        <f>SUM(G70:G71)</f>
        <v>9368966000</v>
      </c>
      <c r="H69" s="730">
        <v>91.45</v>
      </c>
      <c r="I69" s="730">
        <v>73.14</v>
      </c>
    </row>
    <row r="70" spans="1:9" ht="15.75">
      <c r="A70" s="729"/>
      <c r="B70" s="731"/>
      <c r="C70" s="727"/>
      <c r="D70" s="727"/>
      <c r="E70" s="742"/>
      <c r="F70" s="749" t="s">
        <v>640</v>
      </c>
      <c r="G70" s="738">
        <v>8460866000</v>
      </c>
      <c r="H70" s="727">
        <v>90.53</v>
      </c>
      <c r="I70" s="727">
        <v>70.86</v>
      </c>
    </row>
    <row r="71" spans="1:9" ht="15.75">
      <c r="A71" s="729"/>
      <c r="B71" s="731"/>
      <c r="C71" s="727"/>
      <c r="D71" s="727"/>
      <c r="E71" s="742"/>
      <c r="F71" s="749" t="s">
        <v>641</v>
      </c>
      <c r="G71" s="753">
        <v>908100000</v>
      </c>
      <c r="H71" s="727">
        <v>100</v>
      </c>
      <c r="I71" s="727">
        <v>94.35</v>
      </c>
    </row>
    <row r="72" spans="1:9" ht="15.75">
      <c r="A72" s="758">
        <v>3</v>
      </c>
      <c r="B72" s="759" t="s">
        <v>643</v>
      </c>
      <c r="C72" s="756">
        <v>12050320000</v>
      </c>
      <c r="D72" s="756">
        <v>100</v>
      </c>
      <c r="E72" s="760">
        <v>87.93</v>
      </c>
      <c r="F72" s="761" t="s">
        <v>520</v>
      </c>
      <c r="G72" s="755">
        <f>SUM(G73:G74)</f>
        <v>12396936000</v>
      </c>
      <c r="H72" s="756">
        <v>93.22</v>
      </c>
      <c r="I72" s="756">
        <v>81.12</v>
      </c>
    </row>
    <row r="73" spans="1:9" ht="15.75">
      <c r="A73" s="728"/>
      <c r="B73" s="732"/>
      <c r="C73" s="695"/>
      <c r="D73" s="695"/>
      <c r="E73" s="743"/>
      <c r="F73" s="749" t="s">
        <v>640</v>
      </c>
      <c r="G73" s="739">
        <v>9445361000</v>
      </c>
      <c r="H73" s="695">
        <v>91.77</v>
      </c>
      <c r="I73" s="695">
        <v>81.38</v>
      </c>
    </row>
    <row r="74" spans="1:9" ht="15.75">
      <c r="A74" s="728"/>
      <c r="B74" s="732"/>
      <c r="C74" s="695"/>
      <c r="D74" s="695"/>
      <c r="E74" s="743"/>
      <c r="F74" s="749" t="s">
        <v>641</v>
      </c>
      <c r="G74" s="754">
        <v>2951575000</v>
      </c>
      <c r="H74" s="695">
        <v>97.88</v>
      </c>
      <c r="I74" s="695">
        <v>80.3</v>
      </c>
    </row>
    <row r="75" spans="1:9" ht="15.75">
      <c r="A75" s="758">
        <v>4</v>
      </c>
      <c r="B75" s="759" t="s">
        <v>644</v>
      </c>
      <c r="C75" s="756">
        <v>13280735960</v>
      </c>
      <c r="D75" s="756">
        <v>99.72</v>
      </c>
      <c r="E75" s="760">
        <v>86.96</v>
      </c>
      <c r="F75" s="761" t="s">
        <v>520</v>
      </c>
      <c r="G75" s="755">
        <f>SUM(G76:G77)</f>
        <v>11826017000</v>
      </c>
      <c r="H75" s="756">
        <v>99.72</v>
      </c>
      <c r="I75" s="756">
        <v>86.96</v>
      </c>
    </row>
    <row r="76" spans="1:9" ht="15.75">
      <c r="A76" s="758"/>
      <c r="B76" s="759"/>
      <c r="C76" s="695"/>
      <c r="D76" s="695"/>
      <c r="E76" s="743"/>
      <c r="F76" s="749" t="s">
        <v>640</v>
      </c>
      <c r="G76" s="739">
        <v>10582915000</v>
      </c>
      <c r="H76" s="695">
        <v>92.28</v>
      </c>
      <c r="I76" s="695">
        <v>87.6</v>
      </c>
    </row>
    <row r="77" spans="1:9" ht="15.75">
      <c r="A77" s="758"/>
      <c r="B77" s="759"/>
      <c r="C77" s="695"/>
      <c r="D77" s="695"/>
      <c r="E77" s="743"/>
      <c r="F77" s="749" t="s">
        <v>641</v>
      </c>
      <c r="G77" s="754">
        <v>1243102000</v>
      </c>
      <c r="H77" s="695">
        <v>91.37</v>
      </c>
      <c r="I77" s="695">
        <v>86.23</v>
      </c>
    </row>
    <row r="78" spans="1:9" ht="15.75">
      <c r="A78" s="758">
        <v>5</v>
      </c>
      <c r="B78" s="759" t="s">
        <v>645</v>
      </c>
      <c r="C78" s="756">
        <v>18994771660</v>
      </c>
      <c r="D78" s="756">
        <v>73.56</v>
      </c>
      <c r="E78" s="760">
        <v>65.13</v>
      </c>
      <c r="F78" s="761" t="s">
        <v>520</v>
      </c>
      <c r="G78" s="755">
        <f>SUM(G79:G80)</f>
        <v>19890335000</v>
      </c>
      <c r="H78" s="756">
        <v>75.760000000000005</v>
      </c>
      <c r="I78" s="756">
        <v>71.040000000000006</v>
      </c>
    </row>
    <row r="79" spans="1:9" ht="15.75">
      <c r="A79" s="728"/>
      <c r="B79" s="732"/>
      <c r="C79" s="695"/>
      <c r="D79" s="695"/>
      <c r="E79" s="743"/>
      <c r="F79" s="749" t="s">
        <v>640</v>
      </c>
      <c r="G79" s="739">
        <v>8340785000</v>
      </c>
      <c r="H79" s="695">
        <v>94.04</v>
      </c>
      <c r="I79" s="695">
        <v>83.75</v>
      </c>
    </row>
    <row r="80" spans="1:9" ht="15.75">
      <c r="A80" s="728"/>
      <c r="B80" s="695"/>
      <c r="C80" s="695"/>
      <c r="D80" s="695"/>
      <c r="E80" s="743"/>
      <c r="F80" s="749" t="s">
        <v>641</v>
      </c>
      <c r="G80" s="739">
        <v>11549550000</v>
      </c>
      <c r="H80" s="695">
        <v>62.55</v>
      </c>
      <c r="I80" s="695">
        <v>61.87</v>
      </c>
    </row>
    <row r="81" spans="1:9">
      <c r="A81" s="287"/>
      <c r="B81" s="287"/>
      <c r="C81" s="234"/>
      <c r="D81" s="234"/>
      <c r="E81" s="234"/>
      <c r="F81" s="234"/>
      <c r="G81" s="234"/>
      <c r="H81" s="234"/>
      <c r="I81" s="234"/>
    </row>
    <row r="82" spans="1:9">
      <c r="A82" s="106"/>
      <c r="B82" s="106"/>
      <c r="C82" s="106"/>
      <c r="D82" s="106"/>
      <c r="E82" s="288"/>
      <c r="F82" s="288"/>
      <c r="G82" s="288"/>
      <c r="H82" s="288"/>
      <c r="I82" s="288"/>
    </row>
    <row r="83" spans="1:9">
      <c r="A83" s="40"/>
      <c r="B83" s="966"/>
      <c r="C83" s="966"/>
      <c r="D83" s="966"/>
      <c r="E83" s="966"/>
      <c r="F83" s="966"/>
      <c r="G83" s="966"/>
      <c r="H83" s="966"/>
      <c r="I83" s="966"/>
    </row>
    <row r="84" spans="1:9">
      <c r="A84" s="44"/>
      <c r="B84" s="44"/>
      <c r="C84" s="44"/>
      <c r="D84" s="44"/>
      <c r="E84" s="44"/>
      <c r="F84" s="44"/>
      <c r="G84" s="44"/>
      <c r="H84" s="44"/>
      <c r="I84" s="44"/>
    </row>
  </sheetData>
  <mergeCells count="29">
    <mergeCell ref="A1:I1"/>
    <mergeCell ref="A2:I2"/>
    <mergeCell ref="A4:A5"/>
    <mergeCell ref="B4:B5"/>
    <mergeCell ref="C4:I4"/>
    <mergeCell ref="A16:B16"/>
    <mergeCell ref="B18:I18"/>
    <mergeCell ref="A21:I21"/>
    <mergeCell ref="A22:I22"/>
    <mergeCell ref="A24:A25"/>
    <mergeCell ref="B24:B25"/>
    <mergeCell ref="C24:I24"/>
    <mergeCell ref="A63:A65"/>
    <mergeCell ref="A55:B55"/>
    <mergeCell ref="B57:I57"/>
    <mergeCell ref="A35:B35"/>
    <mergeCell ref="B37:I37"/>
    <mergeCell ref="A39:I39"/>
    <mergeCell ref="A40:I40"/>
    <mergeCell ref="A42:A43"/>
    <mergeCell ref="B42:B43"/>
    <mergeCell ref="C42:I42"/>
    <mergeCell ref="B83:I83"/>
    <mergeCell ref="B63:B65"/>
    <mergeCell ref="D64:E64"/>
    <mergeCell ref="C63:E63"/>
    <mergeCell ref="F63:I63"/>
    <mergeCell ref="H64:I64"/>
    <mergeCell ref="F64:G6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J1" sqref="J1"/>
    </sheetView>
  </sheetViews>
  <sheetFormatPr defaultRowHeight="15"/>
  <cols>
    <col min="1" max="5" width="15.5703125" bestFit="1" customWidth="1"/>
    <col min="6" max="6" width="8.5703125" customWidth="1"/>
  </cols>
  <sheetData>
    <row r="1" spans="1:10" ht="21.75" thickTop="1">
      <c r="A1" s="766">
        <v>141863.4</v>
      </c>
      <c r="B1" s="766">
        <v>144168.4</v>
      </c>
      <c r="C1" s="766">
        <v>145597.20000000001</v>
      </c>
      <c r="D1" s="766">
        <v>84336.3</v>
      </c>
      <c r="E1" s="766">
        <v>107209.1</v>
      </c>
      <c r="F1">
        <f>(B1-A1)/A1*100</f>
        <v>1.6248024508083128</v>
      </c>
      <c r="G1">
        <f>(C1-B1)/B1*100</f>
        <v>0.99106322883517994</v>
      </c>
      <c r="H1">
        <f>(D1-C1)/C1*100</f>
        <v>-42.07560310225746</v>
      </c>
      <c r="I1">
        <f>(E1-D1)/D1*100</f>
        <v>27.120943176307239</v>
      </c>
      <c r="J1">
        <f>SUM(F1:I1)/4</f>
        <v>-3.0846985615766824</v>
      </c>
    </row>
    <row r="2" spans="1:10" ht="21">
      <c r="A2" s="767">
        <v>2762.3</v>
      </c>
      <c r="B2" s="767">
        <v>3935.3</v>
      </c>
      <c r="C2" s="767">
        <v>5569.1</v>
      </c>
      <c r="D2" s="767">
        <v>6957.6</v>
      </c>
      <c r="E2" s="767">
        <v>6469.4</v>
      </c>
      <c r="F2">
        <f t="shared" ref="F2:F10" si="0">(B2-A2)/A2*100</f>
        <v>42.464612822647787</v>
      </c>
      <c r="G2">
        <f t="shared" ref="G2:I10" si="1">(C2-B2)/B2*100</f>
        <v>41.516529870657891</v>
      </c>
      <c r="H2">
        <f t="shared" si="1"/>
        <v>24.932215259198074</v>
      </c>
      <c r="I2">
        <f t="shared" si="1"/>
        <v>-7.016787397953328</v>
      </c>
      <c r="J2">
        <f t="shared" ref="J2:J10" si="2">SUM(F2:I2)/4</f>
        <v>25.474142638637609</v>
      </c>
    </row>
    <row r="3" spans="1:10" ht="21">
      <c r="A3" s="767">
        <v>2074.6</v>
      </c>
      <c r="B3" s="767">
        <v>1585</v>
      </c>
      <c r="C3" s="767">
        <v>2325.6</v>
      </c>
      <c r="D3" s="767">
        <v>3422.9</v>
      </c>
      <c r="E3" s="767">
        <v>3243.4</v>
      </c>
      <c r="F3">
        <f t="shared" si="0"/>
        <v>-23.599730068446924</v>
      </c>
      <c r="G3">
        <f t="shared" si="1"/>
        <v>46.725552050473176</v>
      </c>
      <c r="H3">
        <f t="shared" si="1"/>
        <v>47.183522531819754</v>
      </c>
      <c r="I3">
        <f t="shared" si="1"/>
        <v>-5.2440912676385514</v>
      </c>
      <c r="J3">
        <f t="shared" si="2"/>
        <v>16.266313311551865</v>
      </c>
    </row>
    <row r="4" spans="1:10" ht="21">
      <c r="A4" s="768">
        <v>771.9</v>
      </c>
      <c r="B4" s="767">
        <v>1777.1</v>
      </c>
      <c r="C4" s="767">
        <v>1918.1</v>
      </c>
      <c r="D4" s="767">
        <v>2147.1</v>
      </c>
      <c r="E4" s="767">
        <v>1746.6</v>
      </c>
      <c r="F4">
        <f t="shared" si="0"/>
        <v>130.22412229563415</v>
      </c>
      <c r="G4">
        <f t="shared" si="1"/>
        <v>7.9342749423217604</v>
      </c>
      <c r="H4">
        <f t="shared" si="1"/>
        <v>11.938897867681561</v>
      </c>
      <c r="I4">
        <f t="shared" si="1"/>
        <v>-18.653066927483582</v>
      </c>
      <c r="J4">
        <f t="shared" si="2"/>
        <v>32.86105704453847</v>
      </c>
    </row>
    <row r="5" spans="1:10" ht="21">
      <c r="A5" s="767">
        <v>1690</v>
      </c>
      <c r="B5" s="767">
        <v>1664.9</v>
      </c>
      <c r="C5" s="767">
        <v>2564.5</v>
      </c>
      <c r="D5" s="767">
        <v>2717.9</v>
      </c>
      <c r="E5" s="767">
        <v>2182.3000000000002</v>
      </c>
      <c r="F5">
        <f t="shared" si="0"/>
        <v>-1.4852071005917107</v>
      </c>
      <c r="G5">
        <f t="shared" si="1"/>
        <v>54.033275271788085</v>
      </c>
      <c r="H5">
        <f t="shared" si="1"/>
        <v>5.9816728407096935</v>
      </c>
      <c r="I5">
        <f t="shared" si="1"/>
        <v>-19.706390963611607</v>
      </c>
      <c r="J5">
        <f t="shared" si="2"/>
        <v>9.7058375120736144</v>
      </c>
    </row>
    <row r="6" spans="1:10" ht="21">
      <c r="A6" s="768">
        <v>790.8</v>
      </c>
      <c r="B6" s="768">
        <v>944.6</v>
      </c>
      <c r="C6" s="768">
        <v>448.3</v>
      </c>
      <c r="D6" s="768">
        <v>415.3</v>
      </c>
      <c r="E6" s="768">
        <v>240.4</v>
      </c>
      <c r="F6">
        <f t="shared" si="0"/>
        <v>19.448659585230157</v>
      </c>
      <c r="G6">
        <f t="shared" si="1"/>
        <v>-52.54075799280119</v>
      </c>
      <c r="H6">
        <f t="shared" si="1"/>
        <v>-7.3611420923488726</v>
      </c>
      <c r="I6">
        <f t="shared" si="1"/>
        <v>-42.114134360703105</v>
      </c>
      <c r="J6">
        <f t="shared" si="2"/>
        <v>-20.641843715155751</v>
      </c>
    </row>
    <row r="7" spans="1:10" ht="21">
      <c r="A7" s="768">
        <v>253.9</v>
      </c>
      <c r="B7" s="768">
        <v>533.4</v>
      </c>
      <c r="C7" s="768">
        <v>709.3</v>
      </c>
      <c r="D7" s="767">
        <v>1138.8</v>
      </c>
      <c r="E7" s="768">
        <v>481.3</v>
      </c>
      <c r="F7">
        <f t="shared" si="0"/>
        <v>110.08270972823946</v>
      </c>
      <c r="G7">
        <f t="shared" si="1"/>
        <v>32.977127859017621</v>
      </c>
      <c r="H7">
        <f t="shared" si="1"/>
        <v>60.552657549696889</v>
      </c>
      <c r="I7">
        <f t="shared" si="1"/>
        <v>-57.736213558131368</v>
      </c>
      <c r="J7">
        <f t="shared" si="2"/>
        <v>36.469070394705646</v>
      </c>
    </row>
    <row r="8" spans="1:10" ht="21">
      <c r="A8" s="768">
        <v>190.9</v>
      </c>
      <c r="B8" s="768">
        <v>228.2</v>
      </c>
      <c r="C8" s="768">
        <v>71.2</v>
      </c>
      <c r="D8" s="768">
        <v>142.19999999999999</v>
      </c>
      <c r="E8" s="768">
        <v>5</v>
      </c>
      <c r="F8">
        <f t="shared" si="0"/>
        <v>19.539025667888936</v>
      </c>
      <c r="G8">
        <f t="shared" si="1"/>
        <v>-68.799298860648562</v>
      </c>
      <c r="H8">
        <f t="shared" si="1"/>
        <v>99.719101123595479</v>
      </c>
      <c r="I8">
        <f t="shared" si="1"/>
        <v>-96.483825597749657</v>
      </c>
      <c r="J8">
        <f t="shared" si="2"/>
        <v>-11.506249416728451</v>
      </c>
    </row>
    <row r="9" spans="1:10" ht="21">
      <c r="A9" s="768">
        <v>135.9</v>
      </c>
      <c r="B9" s="768">
        <v>262.2</v>
      </c>
      <c r="C9" s="768">
        <v>295.89999999999998</v>
      </c>
      <c r="D9" s="768">
        <v>280.7</v>
      </c>
      <c r="E9" s="768">
        <v>293.10000000000002</v>
      </c>
      <c r="F9">
        <f t="shared" si="0"/>
        <v>92.935982339955842</v>
      </c>
      <c r="G9">
        <f t="shared" si="1"/>
        <v>12.852784134248662</v>
      </c>
      <c r="H9">
        <f t="shared" si="1"/>
        <v>-5.136870564379854</v>
      </c>
      <c r="I9">
        <f t="shared" si="1"/>
        <v>4.4175276095475713</v>
      </c>
      <c r="J9">
        <f t="shared" si="2"/>
        <v>26.267355879843059</v>
      </c>
    </row>
    <row r="10" spans="1:10" ht="21.75" thickBot="1">
      <c r="A10" s="769">
        <v>751.9</v>
      </c>
      <c r="B10" s="769">
        <v>809.4</v>
      </c>
      <c r="C10" s="769">
        <v>879.4</v>
      </c>
      <c r="D10" s="769">
        <v>906.6</v>
      </c>
      <c r="E10" s="769">
        <v>751.2</v>
      </c>
      <c r="F10">
        <f t="shared" si="0"/>
        <v>7.6472935230748771</v>
      </c>
      <c r="G10">
        <f t="shared" si="1"/>
        <v>8.648381517173215</v>
      </c>
      <c r="H10">
        <f t="shared" si="1"/>
        <v>3.0930179667955477</v>
      </c>
      <c r="I10">
        <f t="shared" si="1"/>
        <v>-17.140966247518197</v>
      </c>
      <c r="J10">
        <f t="shared" si="2"/>
        <v>0.56193168988136044</v>
      </c>
    </row>
    <row r="11" spans="1:10" ht="22.5" thickTop="1" thickBot="1">
      <c r="A11" s="770">
        <v>151285.5</v>
      </c>
      <c r="B11" s="770">
        <v>155908.5</v>
      </c>
      <c r="C11" s="770">
        <v>160378.6</v>
      </c>
      <c r="D11" s="770">
        <v>102465.4</v>
      </c>
      <c r="E11" s="770">
        <v>122621.8</v>
      </c>
      <c r="F11">
        <f>(B11-A11)/A11*100</f>
        <v>3.055811693784269</v>
      </c>
      <c r="G11">
        <f>(C11-B11)/B11*100</f>
        <v>2.8671304002026865</v>
      </c>
      <c r="H11">
        <f>(D11-C11)/C11*100</f>
        <v>-36.110303993176153</v>
      </c>
      <c r="I11">
        <f>(E11-D11)/D11*100</f>
        <v>19.671420791798997</v>
      </c>
      <c r="J11">
        <f>SUM(F11:I11)/4</f>
        <v>-2.6289852768475503</v>
      </c>
    </row>
    <row r="12" spans="1:10" ht="15.75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selection activeCell="C16" sqref="C16"/>
    </sheetView>
  </sheetViews>
  <sheetFormatPr defaultRowHeight="15.75"/>
  <cols>
    <col min="1" max="1" width="6.7109375" style="839" customWidth="1"/>
    <col min="2" max="2" width="14" style="839" customWidth="1"/>
    <col min="3" max="3" width="13.7109375" style="839" customWidth="1"/>
    <col min="4" max="7" width="10.42578125" style="839" bestFit="1" customWidth="1"/>
    <col min="8" max="8" width="9.85546875" style="839" bestFit="1" customWidth="1"/>
    <col min="9" max="9" width="14.28515625" customWidth="1"/>
    <col min="10" max="10" width="8.5703125" customWidth="1"/>
    <col min="11" max="11" width="8" customWidth="1"/>
    <col min="12" max="12" width="8.28515625" customWidth="1"/>
    <col min="13" max="13" width="7.7109375" customWidth="1"/>
    <col min="14" max="14" width="8.28515625" style="802" customWidth="1"/>
    <col min="15" max="15" width="8" style="802" customWidth="1"/>
    <col min="16" max="16" width="10.85546875" customWidth="1"/>
    <col min="17" max="17" width="16.42578125" customWidth="1"/>
  </cols>
  <sheetData>
    <row r="1" spans="1:17">
      <c r="A1" s="1245" t="s">
        <v>751</v>
      </c>
      <c r="B1" s="1245"/>
      <c r="C1" s="1245"/>
      <c r="D1" s="1245"/>
      <c r="E1" s="1245"/>
      <c r="F1" s="1245"/>
      <c r="G1" s="1245"/>
      <c r="H1" s="1245"/>
      <c r="I1" s="1250" t="s">
        <v>752</v>
      </c>
      <c r="J1" s="1253" t="s">
        <v>768</v>
      </c>
      <c r="K1" s="1253"/>
      <c r="L1" s="1253"/>
      <c r="M1" s="1253"/>
      <c r="N1" s="1253"/>
      <c r="O1" s="1253"/>
      <c r="P1" s="1253"/>
      <c r="Q1" s="1254"/>
    </row>
    <row r="2" spans="1:17">
      <c r="A2" s="1233" t="s">
        <v>735</v>
      </c>
      <c r="B2" s="1233"/>
      <c r="C2" s="1233"/>
      <c r="D2" s="1233"/>
      <c r="E2" s="1233"/>
      <c r="F2" s="1233"/>
      <c r="G2" s="1233"/>
      <c r="H2" s="1233"/>
      <c r="I2" s="1251"/>
      <c r="J2" s="1255"/>
      <c r="K2" s="1255"/>
      <c r="L2" s="1255"/>
      <c r="M2" s="1255"/>
      <c r="N2" s="1255"/>
      <c r="O2" s="1255"/>
      <c r="P2" s="1255"/>
      <c r="Q2" s="1256"/>
    </row>
    <row r="3" spans="1:17" s="802" customFormat="1">
      <c r="A3" s="818"/>
      <c r="B3" s="818"/>
      <c r="C3" s="818"/>
      <c r="D3" s="818"/>
      <c r="E3" s="818"/>
      <c r="F3" s="818"/>
      <c r="G3" s="818"/>
      <c r="H3" s="818"/>
      <c r="I3" s="1251"/>
      <c r="J3" s="1257" t="s">
        <v>771</v>
      </c>
      <c r="K3" s="1257"/>
      <c r="L3" s="1257"/>
      <c r="M3" s="1257"/>
      <c r="N3" s="1257"/>
      <c r="O3" s="1257"/>
      <c r="P3" s="1257"/>
      <c r="Q3" s="1258"/>
    </row>
    <row r="4" spans="1:17" ht="24.75" customHeight="1">
      <c r="A4" s="822"/>
      <c r="B4" s="822"/>
      <c r="C4" s="822"/>
      <c r="D4" s="822"/>
      <c r="E4" s="822"/>
      <c r="F4" s="823"/>
      <c r="G4" s="824"/>
      <c r="H4" s="825" t="s">
        <v>226</v>
      </c>
      <c r="I4" s="1251"/>
      <c r="J4" s="1259" t="s">
        <v>753</v>
      </c>
      <c r="K4" s="1260"/>
      <c r="L4" s="1259" t="s">
        <v>754</v>
      </c>
      <c r="M4" s="1260"/>
      <c r="N4" s="1259" t="s">
        <v>770</v>
      </c>
      <c r="O4" s="1260"/>
      <c r="P4" s="1261" t="s">
        <v>755</v>
      </c>
      <c r="Q4" s="1263" t="s">
        <v>756</v>
      </c>
    </row>
    <row r="5" spans="1:17" ht="21.75" customHeight="1">
      <c r="A5" s="1246" t="s">
        <v>212</v>
      </c>
      <c r="B5" s="1248" t="s">
        <v>223</v>
      </c>
      <c r="C5" s="840" t="s">
        <v>748</v>
      </c>
      <c r="D5" s="1213" t="s">
        <v>750</v>
      </c>
      <c r="E5" s="1214"/>
      <c r="F5" s="1214"/>
      <c r="G5" s="1219"/>
      <c r="H5" s="1210" t="s">
        <v>126</v>
      </c>
      <c r="I5" s="1252"/>
      <c r="J5" s="846" t="s">
        <v>757</v>
      </c>
      <c r="K5" s="846" t="s">
        <v>758</v>
      </c>
      <c r="L5" s="846" t="s">
        <v>757</v>
      </c>
      <c r="M5" s="846" t="s">
        <v>758</v>
      </c>
      <c r="N5" s="846" t="s">
        <v>757</v>
      </c>
      <c r="O5" s="846" t="s">
        <v>758</v>
      </c>
      <c r="P5" s="1262"/>
      <c r="Q5" s="1264"/>
    </row>
    <row r="6" spans="1:17" ht="16.5" thickBot="1">
      <c r="A6" s="1247"/>
      <c r="B6" s="1249"/>
      <c r="C6" s="841" t="s">
        <v>749</v>
      </c>
      <c r="D6" s="826">
        <v>2012</v>
      </c>
      <c r="E6" s="826">
        <v>2013</v>
      </c>
      <c r="F6" s="826">
        <v>2014</v>
      </c>
      <c r="G6" s="826">
        <v>2015</v>
      </c>
      <c r="H6" s="1212"/>
      <c r="I6" s="847">
        <v>1</v>
      </c>
      <c r="J6" s="848">
        <v>27</v>
      </c>
      <c r="K6" s="848">
        <v>28</v>
      </c>
      <c r="L6" s="848">
        <v>29</v>
      </c>
      <c r="M6" s="848">
        <v>30</v>
      </c>
      <c r="N6" s="848">
        <v>29</v>
      </c>
      <c r="O6" s="848">
        <v>30</v>
      </c>
      <c r="P6" s="849">
        <v>32</v>
      </c>
      <c r="Q6" s="850">
        <v>33</v>
      </c>
    </row>
    <row r="7" spans="1:17" ht="17.25" thickTop="1">
      <c r="A7" s="827">
        <v>1</v>
      </c>
      <c r="B7" s="828" t="s">
        <v>121</v>
      </c>
      <c r="C7" s="842">
        <v>1.2</v>
      </c>
      <c r="D7" s="829">
        <v>0</v>
      </c>
      <c r="E7" s="829">
        <v>2.4</v>
      </c>
      <c r="F7" s="829">
        <v>38.4</v>
      </c>
      <c r="G7" s="829">
        <v>83.7</v>
      </c>
      <c r="H7" s="830" t="e">
        <f t="shared" ref="H7:H16" si="0">((E7-D7)/D7*100+(G7-E7)/E7*100)/2</f>
        <v>#DIV/0!</v>
      </c>
      <c r="I7" s="851" t="s">
        <v>759</v>
      </c>
      <c r="J7" s="852">
        <f t="shared" ref="J7:Q7" si="1">SUM(J8:J28)</f>
        <v>6</v>
      </c>
      <c r="K7" s="852">
        <f>SUM(K8:K28)</f>
        <v>599</v>
      </c>
      <c r="L7" s="852">
        <f t="shared" si="1"/>
        <v>2</v>
      </c>
      <c r="M7" s="852">
        <f t="shared" si="1"/>
        <v>27</v>
      </c>
      <c r="N7" s="852">
        <f t="shared" ref="N7:O7" si="2">SUM(N8:N28)</f>
        <v>8</v>
      </c>
      <c r="O7" s="852">
        <f t="shared" si="2"/>
        <v>626</v>
      </c>
      <c r="P7" s="853">
        <f t="shared" si="1"/>
        <v>11554.590000000002</v>
      </c>
      <c r="Q7" s="854">
        <f t="shared" si="1"/>
        <v>18794502</v>
      </c>
    </row>
    <row r="8" spans="1:17" ht="16.5">
      <c r="A8" s="831">
        <v>2</v>
      </c>
      <c r="B8" s="832" t="s">
        <v>122</v>
      </c>
      <c r="C8" s="843">
        <v>0.5</v>
      </c>
      <c r="D8" s="833">
        <v>0</v>
      </c>
      <c r="E8" s="833">
        <v>0</v>
      </c>
      <c r="F8" s="833">
        <v>0</v>
      </c>
      <c r="G8" s="833">
        <v>11.8</v>
      </c>
      <c r="H8" s="695" t="e">
        <f t="shared" si="0"/>
        <v>#DIV/0!</v>
      </c>
      <c r="I8" s="855" t="s">
        <v>760</v>
      </c>
      <c r="J8" s="856">
        <f>[1]dps!AI7</f>
        <v>0</v>
      </c>
      <c r="K8" s="856">
        <v>2</v>
      </c>
      <c r="L8" s="856">
        <f>[1]dps!AK7</f>
        <v>0</v>
      </c>
      <c r="M8" s="856">
        <v>12</v>
      </c>
      <c r="N8" s="856">
        <f>L8+J8</f>
        <v>0</v>
      </c>
      <c r="O8" s="856">
        <f t="shared" ref="O8:O15" si="3">M8+K8</f>
        <v>14</v>
      </c>
      <c r="P8" s="857">
        <v>83.7</v>
      </c>
      <c r="Q8" s="858">
        <v>263900</v>
      </c>
    </row>
    <row r="9" spans="1:17" ht="16.5">
      <c r="A9" s="831">
        <v>3</v>
      </c>
      <c r="B9" s="832" t="s">
        <v>184</v>
      </c>
      <c r="C9" s="843">
        <v>1</v>
      </c>
      <c r="D9" s="833">
        <v>9.15</v>
      </c>
      <c r="E9" s="833">
        <v>8.64</v>
      </c>
      <c r="F9" s="833">
        <v>8.6</v>
      </c>
      <c r="G9" s="833">
        <v>2.2000000000000002</v>
      </c>
      <c r="H9" s="695">
        <f t="shared" si="0"/>
        <v>-40.055403764420156</v>
      </c>
      <c r="I9" s="855" t="s">
        <v>761</v>
      </c>
      <c r="J9" s="856">
        <f>[1]bdg!AI7</f>
        <v>0</v>
      </c>
      <c r="K9" s="856">
        <f>[1]bdg!AJ7</f>
        <v>0</v>
      </c>
      <c r="L9" s="856">
        <f>[1]bdg!AK7</f>
        <v>0</v>
      </c>
      <c r="M9" s="856">
        <v>5</v>
      </c>
      <c r="N9" s="856">
        <f t="shared" ref="N9:N15" si="4">L9+J9</f>
        <v>0</v>
      </c>
      <c r="O9" s="856">
        <f t="shared" si="3"/>
        <v>5</v>
      </c>
      <c r="P9" s="857">
        <v>11.8</v>
      </c>
      <c r="Q9" s="858">
        <v>25960</v>
      </c>
    </row>
    <row r="10" spans="1:17" ht="16.5">
      <c r="A10" s="831">
        <v>4</v>
      </c>
      <c r="B10" s="832" t="s">
        <v>120</v>
      </c>
      <c r="C10" s="843">
        <v>4</v>
      </c>
      <c r="D10" s="833">
        <v>0</v>
      </c>
      <c r="E10" s="833">
        <v>0</v>
      </c>
      <c r="F10" s="833">
        <v>8.8000000000000007</v>
      </c>
      <c r="G10" s="833">
        <v>14</v>
      </c>
      <c r="H10" s="695" t="e">
        <f t="shared" si="0"/>
        <v>#DIV/0!</v>
      </c>
      <c r="I10" s="855" t="s">
        <v>762</v>
      </c>
      <c r="J10" s="856">
        <v>3</v>
      </c>
      <c r="K10" s="856">
        <v>15</v>
      </c>
      <c r="L10" s="856">
        <f>[1]Tab!AK7</f>
        <v>0</v>
      </c>
      <c r="M10" s="856">
        <f>[1]Tab!AL7</f>
        <v>0</v>
      </c>
      <c r="N10" s="856">
        <f t="shared" si="4"/>
        <v>3</v>
      </c>
      <c r="O10" s="856">
        <f t="shared" si="3"/>
        <v>15</v>
      </c>
      <c r="P10" s="857">
        <v>2.2000000000000002</v>
      </c>
      <c r="Q10" s="860">
        <v>5060</v>
      </c>
    </row>
    <row r="11" spans="1:17" ht="16.5">
      <c r="A11" s="831">
        <v>5</v>
      </c>
      <c r="B11" s="832" t="s">
        <v>125</v>
      </c>
      <c r="C11" s="843">
        <v>100</v>
      </c>
      <c r="D11" s="833">
        <v>5421.82</v>
      </c>
      <c r="E11" s="833">
        <v>3307.37</v>
      </c>
      <c r="F11" s="833">
        <f>1896.6+4347</f>
        <v>6243.6</v>
      </c>
      <c r="G11" s="833">
        <v>9827.5</v>
      </c>
      <c r="H11" s="695">
        <f t="shared" si="0"/>
        <v>79.070260942373608</v>
      </c>
      <c r="I11" s="855" t="s">
        <v>763</v>
      </c>
      <c r="J11" s="856">
        <v>1</v>
      </c>
      <c r="K11" s="856">
        <v>19</v>
      </c>
      <c r="L11" s="856">
        <f>[1]Jbr!AK7</f>
        <v>0</v>
      </c>
      <c r="M11" s="856">
        <f>[1]Jbr!AL7</f>
        <v>0</v>
      </c>
      <c r="N11" s="856">
        <f t="shared" si="4"/>
        <v>1</v>
      </c>
      <c r="O11" s="856">
        <f t="shared" si="3"/>
        <v>19</v>
      </c>
      <c r="P11" s="857">
        <v>14</v>
      </c>
      <c r="Q11" s="859">
        <v>7000</v>
      </c>
    </row>
    <row r="12" spans="1:17" ht="16.5">
      <c r="A12" s="831">
        <v>6</v>
      </c>
      <c r="B12" s="832" t="s">
        <v>124</v>
      </c>
      <c r="C12" s="843">
        <v>10.42</v>
      </c>
      <c r="D12" s="833">
        <v>481</v>
      </c>
      <c r="E12" s="833">
        <v>920.3</v>
      </c>
      <c r="F12" s="833">
        <v>1430.52</v>
      </c>
      <c r="G12" s="833">
        <v>1438.69</v>
      </c>
      <c r="H12" s="695">
        <f t="shared" si="0"/>
        <v>73.829466256935561</v>
      </c>
      <c r="I12" s="855" t="s">
        <v>764</v>
      </c>
      <c r="J12" s="856">
        <f>[1]bllg!AI7</f>
        <v>0</v>
      </c>
      <c r="K12" s="856">
        <v>193</v>
      </c>
      <c r="L12" s="856">
        <f>[1]bllg!AK7</f>
        <v>0</v>
      </c>
      <c r="M12" s="856">
        <f>[1]bllg!AL7</f>
        <v>0</v>
      </c>
      <c r="N12" s="856">
        <f t="shared" si="4"/>
        <v>0</v>
      </c>
      <c r="O12" s="856">
        <f t="shared" si="3"/>
        <v>193</v>
      </c>
      <c r="P12" s="857">
        <v>9827.5</v>
      </c>
      <c r="Q12" s="859">
        <v>14859200</v>
      </c>
    </row>
    <row r="13" spans="1:17" ht="16.5">
      <c r="A13" s="831">
        <v>7</v>
      </c>
      <c r="B13" s="832" t="s">
        <v>123</v>
      </c>
      <c r="C13" s="843">
        <v>2</v>
      </c>
      <c r="D13" s="833">
        <v>18.75</v>
      </c>
      <c r="E13" s="833">
        <v>144</v>
      </c>
      <c r="F13" s="833">
        <v>72</v>
      </c>
      <c r="G13" s="833">
        <v>91.7</v>
      </c>
      <c r="H13" s="695">
        <f t="shared" si="0"/>
        <v>315.84027777777777</v>
      </c>
      <c r="I13" s="855" t="s">
        <v>765</v>
      </c>
      <c r="J13" s="856">
        <v>0</v>
      </c>
      <c r="K13" s="856">
        <v>338</v>
      </c>
      <c r="L13" s="856">
        <f>[1]Krg!AK7</f>
        <v>0</v>
      </c>
      <c r="M13" s="856">
        <f>[1]Krg!AL7</f>
        <v>0</v>
      </c>
      <c r="N13" s="856">
        <f t="shared" si="4"/>
        <v>0</v>
      </c>
      <c r="O13" s="856">
        <f t="shared" si="3"/>
        <v>338</v>
      </c>
      <c r="P13" s="857">
        <v>1438.69</v>
      </c>
      <c r="Q13" s="859">
        <v>2877382</v>
      </c>
    </row>
    <row r="14" spans="1:17" ht="16.5">
      <c r="A14" s="831">
        <v>8</v>
      </c>
      <c r="B14" s="832" t="s">
        <v>195</v>
      </c>
      <c r="C14" s="843">
        <v>0.02</v>
      </c>
      <c r="D14" s="833">
        <v>584</v>
      </c>
      <c r="E14" s="833">
        <v>600</v>
      </c>
      <c r="F14" s="833">
        <v>87.6</v>
      </c>
      <c r="G14" s="833">
        <v>85</v>
      </c>
      <c r="H14" s="695">
        <f t="shared" si="0"/>
        <v>-41.546803652968038</v>
      </c>
      <c r="I14" s="855" t="s">
        <v>766</v>
      </c>
      <c r="J14" s="856">
        <v>2</v>
      </c>
      <c r="K14" s="856">
        <v>32</v>
      </c>
      <c r="L14" s="856">
        <v>1</v>
      </c>
      <c r="M14" s="856">
        <v>1</v>
      </c>
      <c r="N14" s="856">
        <f t="shared" si="4"/>
        <v>3</v>
      </c>
      <c r="O14" s="856">
        <f t="shared" si="3"/>
        <v>33</v>
      </c>
      <c r="P14" s="857">
        <v>89.1</v>
      </c>
      <c r="Q14" s="859">
        <v>318000</v>
      </c>
    </row>
    <row r="15" spans="1:17" ht="17.25" thickBot="1">
      <c r="A15" s="834">
        <v>9</v>
      </c>
      <c r="B15" s="835" t="s">
        <v>198</v>
      </c>
      <c r="C15" s="844">
        <v>0</v>
      </c>
      <c r="D15" s="833">
        <v>0</v>
      </c>
      <c r="E15" s="833">
        <v>0</v>
      </c>
      <c r="F15" s="833"/>
      <c r="G15" s="833"/>
      <c r="H15" s="836" t="e">
        <f t="shared" si="0"/>
        <v>#DIV/0!</v>
      </c>
      <c r="I15" s="855" t="s">
        <v>767</v>
      </c>
      <c r="J15" s="856">
        <f>[1]gnr!AI7</f>
        <v>0</v>
      </c>
      <c r="K15" s="856">
        <f>[1]gnr!AJ7</f>
        <v>0</v>
      </c>
      <c r="L15" s="856">
        <v>1</v>
      </c>
      <c r="M15" s="856">
        <v>9</v>
      </c>
      <c r="N15" s="856">
        <f t="shared" si="4"/>
        <v>1</v>
      </c>
      <c r="O15" s="856">
        <f t="shared" si="3"/>
        <v>9</v>
      </c>
      <c r="P15" s="857">
        <v>87.6</v>
      </c>
      <c r="Q15" s="859">
        <v>438000</v>
      </c>
    </row>
    <row r="16" spans="1:17" ht="18" thickTop="1" thickBot="1">
      <c r="A16" s="1243" t="s">
        <v>224</v>
      </c>
      <c r="B16" s="1244"/>
      <c r="C16" s="845">
        <f>SUM(C7:C15)</f>
        <v>119.14</v>
      </c>
      <c r="D16" s="837">
        <f>SUM(D7:D15)</f>
        <v>6514.7199999999993</v>
      </c>
      <c r="E16" s="837">
        <f>SUM(E7:E15)</f>
        <v>4982.71</v>
      </c>
      <c r="F16" s="837">
        <f>SUM(F7:F15)</f>
        <v>7889.52</v>
      </c>
      <c r="G16" s="837">
        <f>SUM(G7:G15)</f>
        <v>11554.590000000002</v>
      </c>
      <c r="H16" s="838">
        <f t="shared" si="0"/>
        <v>54.188779373976374</v>
      </c>
      <c r="I16" s="864" t="s">
        <v>769</v>
      </c>
      <c r="J16" s="861">
        <v>0</v>
      </c>
      <c r="K16" s="862">
        <v>0</v>
      </c>
      <c r="L16" s="862">
        <v>0</v>
      </c>
      <c r="M16" s="862">
        <v>0</v>
      </c>
      <c r="N16" s="862">
        <v>0</v>
      </c>
      <c r="O16" s="862">
        <v>0</v>
      </c>
      <c r="P16" s="863">
        <v>0</v>
      </c>
      <c r="Q16" s="863">
        <v>0</v>
      </c>
    </row>
    <row r="17" spans="1:8" ht="16.5" thickTop="1">
      <c r="A17" s="822"/>
      <c r="B17" s="822"/>
      <c r="C17" s="822"/>
      <c r="D17" s="822"/>
      <c r="E17" s="822"/>
      <c r="F17" s="822"/>
      <c r="G17" s="824"/>
      <c r="H17" s="824"/>
    </row>
  </sheetData>
  <mergeCells count="15">
    <mergeCell ref="I1:I5"/>
    <mergeCell ref="J1:Q2"/>
    <mergeCell ref="J3:Q3"/>
    <mergeCell ref="J4:K4"/>
    <mergeCell ref="L4:M4"/>
    <mergeCell ref="P4:P5"/>
    <mergeCell ref="Q4:Q5"/>
    <mergeCell ref="N4:O4"/>
    <mergeCell ref="A16:B16"/>
    <mergeCell ref="A1:H1"/>
    <mergeCell ref="A2:H2"/>
    <mergeCell ref="A5:A6"/>
    <mergeCell ref="B5:B6"/>
    <mergeCell ref="D5:G5"/>
    <mergeCell ref="H5:H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sqref="A1:H12"/>
    </sheetView>
  </sheetViews>
  <sheetFormatPr defaultRowHeight="12.75"/>
  <cols>
    <col min="1" max="1" width="3.140625" style="865" customWidth="1"/>
    <col min="2" max="2" width="23.28515625" style="865" customWidth="1"/>
    <col min="3" max="3" width="9.85546875" style="865" customWidth="1"/>
    <col min="4" max="4" width="13.7109375" style="865" customWidth="1"/>
    <col min="5" max="5" width="10.28515625" style="865" customWidth="1"/>
    <col min="6" max="6" width="13.42578125" style="865" customWidth="1"/>
    <col min="7" max="7" width="7.7109375" style="865" customWidth="1"/>
    <col min="8" max="8" width="7.28515625" style="865" customWidth="1"/>
    <col min="9" max="16384" width="9.140625" style="865"/>
  </cols>
  <sheetData>
    <row r="1" spans="1:8">
      <c r="A1" s="1265" t="s">
        <v>828</v>
      </c>
      <c r="B1" s="1265"/>
      <c r="C1" s="1265"/>
      <c r="D1" s="1265"/>
      <c r="E1" s="1265"/>
      <c r="F1" s="1265"/>
      <c r="G1" s="1265"/>
      <c r="H1" s="1265"/>
    </row>
    <row r="2" spans="1:8">
      <c r="A2" s="1265"/>
      <c r="B2" s="1265"/>
      <c r="C2" s="1265"/>
      <c r="D2" s="1265"/>
      <c r="E2" s="1265"/>
      <c r="F2" s="1265"/>
      <c r="G2" s="1265"/>
      <c r="H2" s="1265"/>
    </row>
    <row r="3" spans="1:8">
      <c r="A3" s="866"/>
      <c r="B3" s="866"/>
      <c r="C3" s="866"/>
      <c r="D3" s="866"/>
      <c r="E3" s="866"/>
      <c r="F3" s="866"/>
      <c r="G3" s="866"/>
      <c r="H3" s="866"/>
    </row>
    <row r="4" spans="1:8">
      <c r="A4" s="1268" t="s">
        <v>772</v>
      </c>
      <c r="B4" s="1268" t="s">
        <v>773</v>
      </c>
      <c r="C4" s="1269" t="s">
        <v>791</v>
      </c>
      <c r="D4" s="1269"/>
      <c r="E4" s="1270" t="s">
        <v>792</v>
      </c>
      <c r="F4" s="1271"/>
      <c r="G4" s="1272" t="s">
        <v>774</v>
      </c>
      <c r="H4" s="1273"/>
    </row>
    <row r="5" spans="1:8" ht="22.5" customHeight="1">
      <c r="A5" s="1268"/>
      <c r="B5" s="1268"/>
      <c r="C5" s="900" t="s">
        <v>775</v>
      </c>
      <c r="D5" s="900" t="s">
        <v>776</v>
      </c>
      <c r="E5" s="900" t="s">
        <v>775</v>
      </c>
      <c r="F5" s="900" t="s">
        <v>776</v>
      </c>
      <c r="G5" s="900" t="s">
        <v>775</v>
      </c>
      <c r="H5" s="901" t="s">
        <v>776</v>
      </c>
    </row>
    <row r="6" spans="1:8">
      <c r="A6" s="867" t="s">
        <v>777</v>
      </c>
      <c r="B6" s="868" t="s">
        <v>117</v>
      </c>
      <c r="C6" s="869">
        <f>C7+C8</f>
        <v>118241.09999999999</v>
      </c>
      <c r="D6" s="869">
        <f>D7+D8</f>
        <v>2212020864.4000001</v>
      </c>
      <c r="E6" s="870">
        <f>E7+E8</f>
        <v>106251.7</v>
      </c>
      <c r="F6" s="869">
        <f>F7+F8</f>
        <v>1681945975.3000002</v>
      </c>
      <c r="G6" s="871">
        <f>(E6-C6)/C6*100</f>
        <v>-10.139790648091058</v>
      </c>
      <c r="H6" s="871">
        <f>(F6-D6)/D6*100</f>
        <v>-23.963376549966682</v>
      </c>
    </row>
    <row r="7" spans="1:8">
      <c r="A7" s="872"/>
      <c r="B7" s="873" t="s">
        <v>778</v>
      </c>
      <c r="C7" s="874">
        <v>116909.2</v>
      </c>
      <c r="D7" s="875">
        <v>2186933044.4000001</v>
      </c>
      <c r="E7" s="876">
        <v>104967.5</v>
      </c>
      <c r="F7" s="874">
        <v>1656198648.9000001</v>
      </c>
      <c r="G7" s="877">
        <f>(E7-C7)/C7*100</f>
        <v>-10.214508353491425</v>
      </c>
      <c r="H7" s="877">
        <f t="shared" ref="H7:H12" si="0">(F7-D7)/D7*100</f>
        <v>-24.268433679715631</v>
      </c>
    </row>
    <row r="8" spans="1:8">
      <c r="A8" s="878"/>
      <c r="B8" s="879" t="s">
        <v>779</v>
      </c>
      <c r="C8" s="880">
        <f t="shared" ref="C8:E8" si="1">SUM(C9:C12)</f>
        <v>1331.8999999999999</v>
      </c>
      <c r="D8" s="880">
        <f t="shared" ref="D8:F8" si="2">SUM(D9:D12)</f>
        <v>25087820</v>
      </c>
      <c r="E8" s="881">
        <f t="shared" si="1"/>
        <v>1284.2</v>
      </c>
      <c r="F8" s="880">
        <f t="shared" si="2"/>
        <v>25747326.400000002</v>
      </c>
      <c r="G8" s="877">
        <f t="shared" ref="G8:G12" si="3">(E8-C8)/C8*100</f>
        <v>-3.5813499511975238</v>
      </c>
      <c r="H8" s="877">
        <f t="shared" si="0"/>
        <v>2.6287911823347039</v>
      </c>
    </row>
    <row r="9" spans="1:8">
      <c r="A9" s="878"/>
      <c r="B9" s="882" t="s">
        <v>780</v>
      </c>
      <c r="C9" s="883">
        <v>105.4</v>
      </c>
      <c r="D9" s="883">
        <v>1327600</v>
      </c>
      <c r="E9" s="884">
        <v>83.6</v>
      </c>
      <c r="F9" s="885">
        <v>1108379.6000000001</v>
      </c>
      <c r="G9" s="886">
        <f t="shared" si="3"/>
        <v>-20.683111954459214</v>
      </c>
      <c r="H9" s="886">
        <f t="shared" si="0"/>
        <v>-16.512533895751723</v>
      </c>
    </row>
    <row r="10" spans="1:8">
      <c r="A10" s="872"/>
      <c r="B10" s="887" t="s">
        <v>781</v>
      </c>
      <c r="C10" s="885">
        <v>928.6</v>
      </c>
      <c r="D10" s="888">
        <v>18520900</v>
      </c>
      <c r="E10" s="884">
        <v>836.9</v>
      </c>
      <c r="F10" s="885">
        <v>17509586.800000001</v>
      </c>
      <c r="G10" s="886">
        <f t="shared" si="3"/>
        <v>-9.8750807667456435</v>
      </c>
      <c r="H10" s="886">
        <f t="shared" si="0"/>
        <v>-5.460389073965084</v>
      </c>
    </row>
    <row r="11" spans="1:8">
      <c r="A11" s="872"/>
      <c r="B11" s="887" t="s">
        <v>782</v>
      </c>
      <c r="C11" s="885">
        <v>280.10000000000002</v>
      </c>
      <c r="D11" s="888">
        <v>5042820</v>
      </c>
      <c r="E11" s="884">
        <v>356.5</v>
      </c>
      <c r="F11" s="885">
        <v>6957600</v>
      </c>
      <c r="G11" s="886">
        <f t="shared" si="3"/>
        <v>27.275972866833264</v>
      </c>
      <c r="H11" s="886">
        <f t="shared" si="0"/>
        <v>37.970421311885019</v>
      </c>
    </row>
    <row r="12" spans="1:8">
      <c r="A12" s="872"/>
      <c r="B12" s="887" t="s">
        <v>783</v>
      </c>
      <c r="C12" s="889">
        <v>17.8</v>
      </c>
      <c r="D12" s="889">
        <v>196500</v>
      </c>
      <c r="E12" s="884">
        <v>7.2</v>
      </c>
      <c r="F12" s="885">
        <v>171760</v>
      </c>
      <c r="G12" s="886">
        <f t="shared" si="3"/>
        <v>-59.550561797752813</v>
      </c>
      <c r="H12" s="886">
        <f t="shared" si="0"/>
        <v>-12.590330788804071</v>
      </c>
    </row>
    <row r="13" spans="1:8" ht="6" customHeight="1">
      <c r="A13" s="872"/>
      <c r="B13" s="887"/>
      <c r="C13" s="885"/>
      <c r="D13" s="888"/>
      <c r="E13" s="884"/>
      <c r="F13" s="888"/>
      <c r="G13" s="886"/>
      <c r="H13" s="886"/>
    </row>
    <row r="14" spans="1:8">
      <c r="A14" s="867" t="s">
        <v>784</v>
      </c>
      <c r="B14" s="890" t="s">
        <v>116</v>
      </c>
      <c r="C14" s="902">
        <f>C15+C16</f>
        <v>102465.4</v>
      </c>
      <c r="D14" s="891">
        <f t="shared" ref="D14:F14" si="4">D15+D16</f>
        <v>690750525</v>
      </c>
      <c r="E14" s="892">
        <f t="shared" si="4"/>
        <v>122621.7</v>
      </c>
      <c r="F14" s="891">
        <f t="shared" si="4"/>
        <v>586018946</v>
      </c>
      <c r="G14" s="893">
        <f>(E14-C14)/C14*100</f>
        <v>19.671323197879484</v>
      </c>
      <c r="H14" s="893">
        <f>(F14-D14)/D14*100</f>
        <v>-15.161997741514565</v>
      </c>
    </row>
    <row r="15" spans="1:8">
      <c r="A15" s="872"/>
      <c r="B15" s="873" t="s">
        <v>785</v>
      </c>
      <c r="C15" s="874">
        <v>84931.05</v>
      </c>
      <c r="D15" s="875">
        <v>173333490.80000001</v>
      </c>
      <c r="E15" s="876">
        <v>107921.5</v>
      </c>
      <c r="F15" s="874">
        <v>168524638</v>
      </c>
      <c r="G15" s="877">
        <f>(E15-C15)/C15*100</f>
        <v>27.069546414414987</v>
      </c>
      <c r="H15" s="877">
        <f>(F15-D15)/D15*100</f>
        <v>-2.7743356334689424</v>
      </c>
    </row>
    <row r="16" spans="1:8">
      <c r="A16" s="872"/>
      <c r="B16" s="873" t="s">
        <v>786</v>
      </c>
      <c r="C16" s="894">
        <f t="shared" ref="C16:F16" si="5">SUM(C17:C20)</f>
        <v>17534.349999999999</v>
      </c>
      <c r="D16" s="894">
        <f t="shared" si="5"/>
        <v>517417034.19999999</v>
      </c>
      <c r="E16" s="895">
        <f t="shared" si="5"/>
        <v>14700.2</v>
      </c>
      <c r="F16" s="894">
        <f t="shared" si="5"/>
        <v>417494308</v>
      </c>
      <c r="G16" s="877">
        <f t="shared" ref="G16:H20" si="6">(E16-C16)/C16*100</f>
        <v>-16.163416379848687</v>
      </c>
      <c r="H16" s="877">
        <f t="shared" si="6"/>
        <v>-19.311835443240611</v>
      </c>
    </row>
    <row r="17" spans="1:9">
      <c r="A17" s="872"/>
      <c r="B17" s="887" t="s">
        <v>787</v>
      </c>
      <c r="C17" s="885">
        <v>3554</v>
      </c>
      <c r="D17" s="888">
        <v>215008250</v>
      </c>
      <c r="E17" s="884">
        <v>3287.5</v>
      </c>
      <c r="F17" s="885">
        <v>158480930</v>
      </c>
      <c r="G17" s="886">
        <f t="shared" si="6"/>
        <v>-7.4985931344963426</v>
      </c>
      <c r="H17" s="886">
        <f t="shared" si="6"/>
        <v>-26.29076791239406</v>
      </c>
    </row>
    <row r="18" spans="1:9">
      <c r="A18" s="872"/>
      <c r="B18" s="887" t="s">
        <v>788</v>
      </c>
      <c r="C18" s="885">
        <v>9297.0499999999993</v>
      </c>
      <c r="D18" s="888">
        <v>198033964.19999999</v>
      </c>
      <c r="E18" s="884">
        <v>6480.7</v>
      </c>
      <c r="F18" s="885">
        <v>143381778</v>
      </c>
      <c r="G18" s="886">
        <f t="shared" si="6"/>
        <v>-30.292942384950059</v>
      </c>
      <c r="H18" s="886">
        <f t="shared" si="6"/>
        <v>-27.597380288163713</v>
      </c>
    </row>
    <row r="19" spans="1:9">
      <c r="A19" s="872"/>
      <c r="B19" s="887" t="s">
        <v>789</v>
      </c>
      <c r="C19" s="885">
        <v>324.5</v>
      </c>
      <c r="D19" s="888">
        <v>8114400</v>
      </c>
      <c r="E19" s="884">
        <v>245</v>
      </c>
      <c r="F19" s="885">
        <v>6822600</v>
      </c>
      <c r="G19" s="886">
        <f t="shared" si="6"/>
        <v>-24.499229583975346</v>
      </c>
      <c r="H19" s="886">
        <f t="shared" si="6"/>
        <v>-15.919846199349305</v>
      </c>
    </row>
    <row r="20" spans="1:9">
      <c r="A20" s="872"/>
      <c r="B20" s="896" t="s">
        <v>790</v>
      </c>
      <c r="C20" s="897">
        <v>4358.8</v>
      </c>
      <c r="D20" s="898">
        <v>96260420</v>
      </c>
      <c r="E20" s="884">
        <v>4687</v>
      </c>
      <c r="F20" s="885">
        <v>108809000</v>
      </c>
      <c r="G20" s="899">
        <f t="shared" si="6"/>
        <v>7.5295953014591133</v>
      </c>
      <c r="H20" s="899">
        <f t="shared" si="6"/>
        <v>13.036074432253672</v>
      </c>
    </row>
    <row r="21" spans="1:9" ht="15" customHeight="1" thickBot="1">
      <c r="A21" s="1266" t="s">
        <v>520</v>
      </c>
      <c r="B21" s="1267"/>
      <c r="C21" s="903">
        <f>C6+C14</f>
        <v>220706.5</v>
      </c>
      <c r="D21" s="903">
        <f>D6+D14</f>
        <v>2902771389.4000001</v>
      </c>
      <c r="E21" s="904">
        <f>E6+E14</f>
        <v>228873.4</v>
      </c>
      <c r="F21" s="903">
        <f>F6+F14</f>
        <v>2267964921.3000002</v>
      </c>
      <c r="G21" s="905">
        <f>(E21-C21)/C21*100</f>
        <v>3.7003441221712974</v>
      </c>
      <c r="H21" s="905">
        <f>(F21-D21)/D21*100</f>
        <v>-21.868979087299525</v>
      </c>
    </row>
    <row r="22" spans="1:9" ht="13.5" thickTop="1"/>
    <row r="23" spans="1:9">
      <c r="C23" s="966" t="s">
        <v>793</v>
      </c>
      <c r="D23" s="966"/>
      <c r="E23" s="966"/>
      <c r="F23" s="966"/>
      <c r="G23" s="966"/>
      <c r="H23" s="966"/>
      <c r="I23" s="966"/>
    </row>
  </sheetData>
  <mergeCells count="9">
    <mergeCell ref="A1:H1"/>
    <mergeCell ref="A2:H2"/>
    <mergeCell ref="A21:B21"/>
    <mergeCell ref="C23:I23"/>
    <mergeCell ref="A4:A5"/>
    <mergeCell ref="B4:B5"/>
    <mergeCell ref="C4:D4"/>
    <mergeCell ref="E4:F4"/>
    <mergeCell ref="G4:H4"/>
  </mergeCells>
  <pageMargins left="0.7" right="0.7" top="0.75" bottom="0.75" header="0.3" footer="0.3"/>
  <pageSetup paperSize="5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Daftar isi</vt:lpstr>
      <vt:lpstr>dataUMUM</vt:lpstr>
      <vt:lpstr>dataUMUM2</vt:lpstr>
      <vt:lpstr>dataSTAT</vt:lpstr>
      <vt:lpstr>dataSASARAN</vt:lpstr>
      <vt:lpstr>Sheet1</vt:lpstr>
      <vt:lpstr>Sheet2</vt:lpstr>
      <vt:lpstr>Sheet3</vt:lpstr>
      <vt:lpstr>tambahan tabel</vt:lpstr>
      <vt:lpstr>Sheet4</vt:lpstr>
      <vt:lpstr>Sheet5</vt:lpstr>
      <vt:lpstr>Sheet6</vt:lpstr>
      <vt:lpstr>'Daftar isi'!Print_Area</vt:lpstr>
      <vt:lpstr>dataSASARAN!Print_Area</vt:lpstr>
      <vt:lpstr>dataSTAT!Print_Area</vt:lpstr>
      <vt:lpstr>dataUMUM!Print_Area</vt:lpstr>
    </vt:vector>
  </TitlesOfParts>
  <Company>NONE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CHANGE_ME</dc:creator>
  <cp:lastModifiedBy>USER_PC</cp:lastModifiedBy>
  <cp:lastPrinted>2016-04-13T03:00:21Z</cp:lastPrinted>
  <dcterms:created xsi:type="dcterms:W3CDTF">2013-02-08T20:36:52Z</dcterms:created>
  <dcterms:modified xsi:type="dcterms:W3CDTF">2017-01-14T14:40:28Z</dcterms:modified>
</cp:coreProperties>
</file>