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360" windowHeight="6930" firstSheet="3" activeTab="4"/>
  </bookViews>
  <sheets>
    <sheet name="Sheet1" sheetId="1" r:id="rId1"/>
    <sheet name="DKP Bali" sheetId="2" r:id="rId2"/>
    <sheet name="Tujuan Utama" sheetId="4" r:id="rId3"/>
    <sheet name="Penjelasan" sheetId="3" r:id="rId4"/>
    <sheet name="DataPendukung" sheetId="6" r:id="rId5"/>
  </sheets>
  <definedNames>
    <definedName name="_xlnm.Print_Area" localSheetId="4">DataPendukung!$A$1:$AJ$776</definedName>
    <definedName name="_xlnm.Print_Titles" localSheetId="3">Penjelasan!$3:$4</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6" i="3" l="1"/>
  <c r="M9" i="3"/>
  <c r="M5" i="3"/>
  <c r="F772" i="6"/>
  <c r="D772" i="6"/>
  <c r="G772" i="6" s="1"/>
  <c r="C772" i="6"/>
  <c r="G771" i="6"/>
  <c r="G770" i="6"/>
  <c r="G769" i="6"/>
  <c r="E769" i="6"/>
  <c r="G768" i="6"/>
  <c r="G767" i="6"/>
  <c r="E767" i="6"/>
  <c r="G766" i="6"/>
  <c r="G765" i="6"/>
  <c r="G764" i="6"/>
  <c r="G763" i="6"/>
  <c r="E763" i="6"/>
  <c r="E772" i="6" s="1"/>
  <c r="H741" i="6"/>
  <c r="G741" i="6"/>
  <c r="E741" i="6"/>
  <c r="D741" i="6"/>
  <c r="C741" i="6"/>
  <c r="H740" i="6"/>
  <c r="H739" i="6"/>
  <c r="H738" i="6"/>
  <c r="H737" i="6"/>
  <c r="H736" i="6"/>
  <c r="F736" i="6"/>
  <c r="F741" i="6" s="1"/>
  <c r="H735" i="6"/>
  <c r="H734" i="6"/>
  <c r="H733" i="6"/>
  <c r="H732" i="6"/>
  <c r="G720" i="6"/>
  <c r="F720" i="6"/>
  <c r="E720" i="6"/>
  <c r="D720" i="6"/>
  <c r="H720" i="6" s="1"/>
  <c r="C720" i="6"/>
  <c r="H718" i="6"/>
  <c r="H717" i="6"/>
  <c r="H716" i="6"/>
  <c r="H715" i="6"/>
  <c r="D715" i="6"/>
  <c r="A715" i="6"/>
  <c r="A716" i="6" s="1"/>
  <c r="A717" i="6" s="1"/>
  <c r="A718" i="6" s="1"/>
  <c r="H714" i="6"/>
  <c r="H713" i="6"/>
  <c r="H712" i="6"/>
  <c r="F712" i="6"/>
  <c r="E712" i="6"/>
  <c r="D712" i="6"/>
  <c r="A712" i="6"/>
  <c r="A713" i="6" s="1"/>
  <c r="H711" i="6"/>
  <c r="C694" i="6"/>
  <c r="C719" i="6" s="1"/>
  <c r="H693" i="6"/>
  <c r="G693" i="6"/>
  <c r="G694" i="6" s="1"/>
  <c r="G719" i="6" s="1"/>
  <c r="H692" i="6"/>
  <c r="F691" i="6"/>
  <c r="F694" i="6" s="1"/>
  <c r="F719" i="6" s="1"/>
  <c r="E691" i="6"/>
  <c r="D691" i="6"/>
  <c r="H691" i="6" s="1"/>
  <c r="H690" i="6"/>
  <c r="H689" i="6"/>
  <c r="F689" i="6"/>
  <c r="E689" i="6"/>
  <c r="D689" i="6"/>
  <c r="H688" i="6"/>
  <c r="F688" i="6"/>
  <c r="E688" i="6"/>
  <c r="D688" i="6"/>
  <c r="H687" i="6"/>
  <c r="F687" i="6"/>
  <c r="E687" i="6"/>
  <c r="D687" i="6"/>
  <c r="H686" i="6"/>
  <c r="E686" i="6"/>
  <c r="E694" i="6" s="1"/>
  <c r="E719" i="6" s="1"/>
  <c r="D686" i="6"/>
  <c r="D694" i="6" s="1"/>
  <c r="H685" i="6"/>
  <c r="H684" i="6"/>
  <c r="D660" i="6"/>
  <c r="C660" i="6"/>
  <c r="G659" i="6"/>
  <c r="E659" i="6"/>
  <c r="H659" i="6" s="1"/>
  <c r="G658" i="6"/>
  <c r="E658" i="6"/>
  <c r="H658" i="6" s="1"/>
  <c r="G657" i="6"/>
  <c r="H657" i="6" s="1"/>
  <c r="E657" i="6"/>
  <c r="H656" i="6"/>
  <c r="G655" i="6"/>
  <c r="G660" i="6" s="1"/>
  <c r="F655" i="6"/>
  <c r="E655" i="6"/>
  <c r="H655" i="6" s="1"/>
  <c r="H654" i="6"/>
  <c r="G653" i="6"/>
  <c r="F653" i="6"/>
  <c r="H653" i="6" s="1"/>
  <c r="E653" i="6"/>
  <c r="G652" i="6"/>
  <c r="F652" i="6"/>
  <c r="F660" i="6" s="1"/>
  <c r="E652" i="6"/>
  <c r="H651" i="6"/>
  <c r="E651" i="6"/>
  <c r="H650" i="6"/>
  <c r="G629" i="6"/>
  <c r="E629" i="6"/>
  <c r="D629" i="6"/>
  <c r="C629" i="6"/>
  <c r="H628" i="6"/>
  <c r="H627" i="6"/>
  <c r="F627" i="6"/>
  <c r="H626" i="6"/>
  <c r="H625" i="6"/>
  <c r="H624" i="6"/>
  <c r="F623" i="6"/>
  <c r="F629" i="6" s="1"/>
  <c r="G602" i="6"/>
  <c r="F602" i="6"/>
  <c r="E602" i="6"/>
  <c r="D602" i="6"/>
  <c r="H602" i="6" s="1"/>
  <c r="C602" i="6"/>
  <c r="H601" i="6"/>
  <c r="H600" i="6"/>
  <c r="H599" i="6"/>
  <c r="H598" i="6"/>
  <c r="H597" i="6"/>
  <c r="H596" i="6"/>
  <c r="H595" i="6"/>
  <c r="H594" i="6"/>
  <c r="H593" i="6"/>
  <c r="F571" i="6"/>
  <c r="H570" i="6"/>
  <c r="H569" i="6"/>
  <c r="H568" i="6"/>
  <c r="H567" i="6"/>
  <c r="G566" i="6"/>
  <c r="G571" i="6" s="1"/>
  <c r="F566" i="6"/>
  <c r="E566" i="6"/>
  <c r="E571" i="6" s="1"/>
  <c r="D566" i="6"/>
  <c r="H566" i="6" s="1"/>
  <c r="C566" i="6"/>
  <c r="C571" i="6" s="1"/>
  <c r="H565" i="6"/>
  <c r="H564" i="6"/>
  <c r="G544" i="6"/>
  <c r="F544" i="6"/>
  <c r="E544" i="6"/>
  <c r="D544" i="6"/>
  <c r="H544" i="6" s="1"/>
  <c r="C544" i="6"/>
  <c r="H543" i="6"/>
  <c r="H542" i="6"/>
  <c r="H541" i="6"/>
  <c r="H540" i="6"/>
  <c r="H539" i="6"/>
  <c r="H538" i="6"/>
  <c r="H537" i="6"/>
  <c r="H536" i="6"/>
  <c r="H535" i="6"/>
  <c r="G516" i="6"/>
  <c r="F516" i="6"/>
  <c r="E516" i="6"/>
  <c r="D516" i="6"/>
  <c r="H516" i="6" s="1"/>
  <c r="C516" i="6"/>
  <c r="H515" i="6"/>
  <c r="H514" i="6"/>
  <c r="H513" i="6"/>
  <c r="H512" i="6"/>
  <c r="H511" i="6"/>
  <c r="H510" i="6"/>
  <c r="H509" i="6"/>
  <c r="H508" i="6"/>
  <c r="H507" i="6"/>
  <c r="G488" i="6"/>
  <c r="E488" i="6"/>
  <c r="D488" i="6"/>
  <c r="C488" i="6"/>
  <c r="H487" i="6"/>
  <c r="H486" i="6"/>
  <c r="H485" i="6"/>
  <c r="H484" i="6"/>
  <c r="H483" i="6"/>
  <c r="H482" i="6"/>
  <c r="H481" i="6"/>
  <c r="H480" i="6"/>
  <c r="H479" i="6"/>
  <c r="F479" i="6"/>
  <c r="H478" i="6"/>
  <c r="F477" i="6"/>
  <c r="H477" i="6" s="1"/>
  <c r="E461" i="6"/>
  <c r="H461" i="6" s="1"/>
  <c r="D461" i="6"/>
  <c r="G460" i="6"/>
  <c r="F460" i="6"/>
  <c r="E460" i="6"/>
  <c r="D460" i="6"/>
  <c r="H460" i="6" s="1"/>
  <c r="H459" i="6"/>
  <c r="H458" i="6"/>
  <c r="G457" i="6"/>
  <c r="G456" i="6" s="1"/>
  <c r="G462" i="6" s="1"/>
  <c r="F457" i="6"/>
  <c r="E457" i="6"/>
  <c r="E456" i="6" s="1"/>
  <c r="E462" i="6" s="1"/>
  <c r="D457" i="6"/>
  <c r="H457" i="6" s="1"/>
  <c r="F456" i="6"/>
  <c r="D456" i="6"/>
  <c r="D462" i="6" s="1"/>
  <c r="C456" i="6"/>
  <c r="H455" i="6"/>
  <c r="G455" i="6"/>
  <c r="F455" i="6"/>
  <c r="F447" i="6" s="1"/>
  <c r="E455" i="6"/>
  <c r="H454" i="6"/>
  <c r="H453" i="6"/>
  <c r="H452" i="6"/>
  <c r="H451" i="6"/>
  <c r="H450" i="6"/>
  <c r="H449" i="6"/>
  <c r="H448" i="6"/>
  <c r="G447" i="6"/>
  <c r="E447" i="6"/>
  <c r="D447" i="6"/>
  <c r="H447" i="6" s="1"/>
  <c r="C447" i="6"/>
  <c r="C462" i="6" s="1"/>
  <c r="H430" i="6"/>
  <c r="G429" i="6"/>
  <c r="F429" i="6"/>
  <c r="H429" i="6" s="1"/>
  <c r="E429" i="6"/>
  <c r="H428" i="6"/>
  <c r="H427" i="6"/>
  <c r="G426" i="6"/>
  <c r="E426" i="6"/>
  <c r="D426" i="6"/>
  <c r="C426" i="6"/>
  <c r="H425" i="6"/>
  <c r="G424" i="6"/>
  <c r="G421" i="6" s="1"/>
  <c r="F424" i="6"/>
  <c r="E424" i="6"/>
  <c r="H424" i="6" s="1"/>
  <c r="H423" i="6"/>
  <c r="H422" i="6"/>
  <c r="F421" i="6"/>
  <c r="E421" i="6"/>
  <c r="D421" i="6"/>
  <c r="H421" i="6" s="1"/>
  <c r="C421" i="6"/>
  <c r="H420" i="6"/>
  <c r="H419" i="6"/>
  <c r="H418" i="6"/>
  <c r="G417" i="6"/>
  <c r="F417" i="6"/>
  <c r="E417" i="6"/>
  <c r="D417" i="6"/>
  <c r="H417" i="6" s="1"/>
  <c r="C417" i="6"/>
  <c r="H416" i="6"/>
  <c r="G397" i="6"/>
  <c r="D397" i="6"/>
  <c r="C397" i="6"/>
  <c r="H396" i="6"/>
  <c r="H395" i="6"/>
  <c r="F395" i="6"/>
  <c r="E395" i="6"/>
  <c r="E394" i="6"/>
  <c r="H394" i="6" s="1"/>
  <c r="Q393" i="6"/>
  <c r="R393" i="6" s="1"/>
  <c r="P393" i="6"/>
  <c r="O393" i="6"/>
  <c r="F393" i="6"/>
  <c r="E393" i="6"/>
  <c r="H393" i="6" s="1"/>
  <c r="R392" i="6"/>
  <c r="F392" i="6"/>
  <c r="E392" i="6"/>
  <c r="H392" i="6" s="1"/>
  <c r="R391" i="6"/>
  <c r="F391" i="6"/>
  <c r="E391" i="6"/>
  <c r="H391" i="6" s="1"/>
  <c r="R390" i="6"/>
  <c r="F390" i="6"/>
  <c r="E390" i="6"/>
  <c r="H390" i="6" s="1"/>
  <c r="R389" i="6"/>
  <c r="F389" i="6"/>
  <c r="E389" i="6"/>
  <c r="H389" i="6" s="1"/>
  <c r="R388" i="6"/>
  <c r="F388" i="6"/>
  <c r="F397" i="6" s="1"/>
  <c r="E388" i="6"/>
  <c r="H388" i="6" s="1"/>
  <c r="R387" i="6"/>
  <c r="R386" i="6"/>
  <c r="R385" i="6"/>
  <c r="R384" i="6"/>
  <c r="G368" i="6"/>
  <c r="F368" i="6"/>
  <c r="E368" i="6"/>
  <c r="D368" i="6"/>
  <c r="H368" i="6" s="1"/>
  <c r="C368" i="6"/>
  <c r="S367" i="6"/>
  <c r="R367" i="6"/>
  <c r="Q367" i="6"/>
  <c r="Q368" i="6" s="1"/>
  <c r="P367" i="6"/>
  <c r="P368" i="6" s="1"/>
  <c r="T368" i="6" s="1"/>
  <c r="O367" i="6"/>
  <c r="S366" i="6"/>
  <c r="S368" i="6" s="1"/>
  <c r="R366" i="6"/>
  <c r="R368" i="6" s="1"/>
  <c r="Q366" i="6"/>
  <c r="P366" i="6"/>
  <c r="T366" i="6" s="1"/>
  <c r="O366" i="6"/>
  <c r="O368" i="6" s="1"/>
  <c r="H366" i="6"/>
  <c r="T365" i="6"/>
  <c r="H365" i="6"/>
  <c r="T364" i="6"/>
  <c r="H364" i="6"/>
  <c r="T363" i="6"/>
  <c r="H363" i="6"/>
  <c r="T362" i="6"/>
  <c r="H362" i="6"/>
  <c r="T361" i="6"/>
  <c r="H361" i="6"/>
  <c r="T360" i="6"/>
  <c r="H360" i="6"/>
  <c r="T359" i="6"/>
  <c r="T358" i="6"/>
  <c r="H341" i="6"/>
  <c r="G340" i="6"/>
  <c r="F340" i="6"/>
  <c r="E340" i="6"/>
  <c r="H340" i="6" s="1"/>
  <c r="H339" i="6"/>
  <c r="H338" i="6"/>
  <c r="G338" i="6"/>
  <c r="H337" i="6"/>
  <c r="G337" i="6"/>
  <c r="F337" i="6"/>
  <c r="F336" i="6" s="1"/>
  <c r="F342" i="6" s="1"/>
  <c r="G336" i="6"/>
  <c r="D336" i="6"/>
  <c r="C336" i="6"/>
  <c r="S335" i="6"/>
  <c r="R335" i="6"/>
  <c r="Q335" i="6"/>
  <c r="T335" i="6" s="1"/>
  <c r="P335" i="6"/>
  <c r="O335" i="6"/>
  <c r="G335" i="6"/>
  <c r="G327" i="6" s="1"/>
  <c r="E335" i="6"/>
  <c r="H335" i="6" s="1"/>
  <c r="T334" i="6"/>
  <c r="H334" i="6"/>
  <c r="T333" i="6"/>
  <c r="H333" i="6"/>
  <c r="T332" i="6"/>
  <c r="H332" i="6"/>
  <c r="T331" i="6"/>
  <c r="H331" i="6"/>
  <c r="T330" i="6"/>
  <c r="H330" i="6"/>
  <c r="T329" i="6"/>
  <c r="H329" i="6"/>
  <c r="T328" i="6"/>
  <c r="T327" i="6"/>
  <c r="F327" i="6"/>
  <c r="E327" i="6"/>
  <c r="D327" i="6"/>
  <c r="C327" i="6"/>
  <c r="T326" i="6"/>
  <c r="T311" i="6"/>
  <c r="T310" i="6"/>
  <c r="Q309" i="6"/>
  <c r="T309" i="6" s="1"/>
  <c r="G309" i="6"/>
  <c r="E309" i="6"/>
  <c r="S308" i="6"/>
  <c r="T308" i="6" s="1"/>
  <c r="T307" i="6"/>
  <c r="R306" i="6"/>
  <c r="Q306" i="6"/>
  <c r="P306" i="6"/>
  <c r="O306" i="6"/>
  <c r="G306" i="6"/>
  <c r="F306" i="6"/>
  <c r="E306" i="6"/>
  <c r="D306" i="6"/>
  <c r="C306" i="6"/>
  <c r="T304" i="6"/>
  <c r="G304" i="6"/>
  <c r="T303" i="6"/>
  <c r="T302" i="6"/>
  <c r="G302" i="6"/>
  <c r="T301" i="6"/>
  <c r="S301" i="6"/>
  <c r="R301" i="6"/>
  <c r="Q301" i="6"/>
  <c r="Q299" i="6" s="1"/>
  <c r="G301" i="6"/>
  <c r="F301" i="6"/>
  <c r="E301" i="6"/>
  <c r="D301" i="6"/>
  <c r="C301" i="6"/>
  <c r="T300" i="6"/>
  <c r="S299" i="6"/>
  <c r="R299" i="6"/>
  <c r="P299" i="6"/>
  <c r="O299" i="6"/>
  <c r="G297" i="6"/>
  <c r="G342" i="6" s="1"/>
  <c r="F297" i="6"/>
  <c r="E297" i="6"/>
  <c r="D297" i="6"/>
  <c r="D342" i="6" s="1"/>
  <c r="C297" i="6"/>
  <c r="C342" i="6" s="1"/>
  <c r="S282" i="6"/>
  <c r="R282" i="6"/>
  <c r="Q282" i="6"/>
  <c r="P282" i="6"/>
  <c r="T282" i="6" s="1"/>
  <c r="O282" i="6"/>
  <c r="T281" i="6"/>
  <c r="T280" i="6"/>
  <c r="G280" i="6"/>
  <c r="E280" i="6"/>
  <c r="D280" i="6"/>
  <c r="C280" i="6"/>
  <c r="T279" i="6"/>
  <c r="H279" i="6"/>
  <c r="F279" i="6"/>
  <c r="T278" i="6"/>
  <c r="F278" i="6"/>
  <c r="H278" i="6" s="1"/>
  <c r="T277" i="6"/>
  <c r="H277" i="6"/>
  <c r="T276" i="6"/>
  <c r="H276" i="6"/>
  <c r="F276" i="6"/>
  <c r="T275" i="6"/>
  <c r="F275" i="6"/>
  <c r="H275" i="6" s="1"/>
  <c r="T274" i="6"/>
  <c r="H274" i="6"/>
  <c r="F274" i="6"/>
  <c r="T273" i="6"/>
  <c r="F273" i="6"/>
  <c r="H273" i="6" s="1"/>
  <c r="T272" i="6"/>
  <c r="H272" i="6"/>
  <c r="F272" i="6"/>
  <c r="T271" i="6"/>
  <c r="F271" i="6"/>
  <c r="F280" i="6" s="1"/>
  <c r="T270" i="6"/>
  <c r="S252" i="6"/>
  <c r="R252" i="6"/>
  <c r="Q252" i="6"/>
  <c r="P252" i="6"/>
  <c r="O252" i="6"/>
  <c r="G251" i="6"/>
  <c r="E251" i="6"/>
  <c r="D251" i="6"/>
  <c r="C251" i="6"/>
  <c r="H250" i="6"/>
  <c r="H249" i="6"/>
  <c r="H248" i="6"/>
  <c r="H247" i="6"/>
  <c r="H246" i="6"/>
  <c r="H245" i="6"/>
  <c r="H244" i="6"/>
  <c r="H243" i="6"/>
  <c r="G242" i="6"/>
  <c r="F242" i="6"/>
  <c r="F251" i="6" s="1"/>
  <c r="H241" i="6"/>
  <c r="F240" i="6"/>
  <c r="H240" i="6" s="1"/>
  <c r="S222" i="6"/>
  <c r="R222" i="6"/>
  <c r="Q222" i="6"/>
  <c r="P222" i="6"/>
  <c r="T222" i="6" s="1"/>
  <c r="O222" i="6"/>
  <c r="T221" i="6"/>
  <c r="T220" i="6"/>
  <c r="G220" i="6"/>
  <c r="E220" i="6"/>
  <c r="D220" i="6"/>
  <c r="H220" i="6" s="1"/>
  <c r="C220" i="6"/>
  <c r="T219" i="6"/>
  <c r="H219" i="6"/>
  <c r="T218" i="6"/>
  <c r="H218" i="6"/>
  <c r="F218" i="6"/>
  <c r="T217" i="6"/>
  <c r="F217" i="6"/>
  <c r="H217" i="6" s="1"/>
  <c r="T216" i="6"/>
  <c r="H216" i="6"/>
  <c r="F216" i="6"/>
  <c r="T215" i="6"/>
  <c r="F215" i="6"/>
  <c r="H215" i="6" s="1"/>
  <c r="T214" i="6"/>
  <c r="H214" i="6"/>
  <c r="F214" i="6"/>
  <c r="T213" i="6"/>
  <c r="F213" i="6"/>
  <c r="H213" i="6" s="1"/>
  <c r="T212" i="6"/>
  <c r="H212" i="6"/>
  <c r="F212" i="6"/>
  <c r="T211" i="6"/>
  <c r="F211" i="6"/>
  <c r="F220" i="6" s="1"/>
  <c r="F16" i="6" s="1"/>
  <c r="F15" i="6" s="1"/>
  <c r="T210" i="6"/>
  <c r="G192" i="6"/>
  <c r="E192" i="6"/>
  <c r="D192" i="6"/>
  <c r="C192" i="6"/>
  <c r="S191" i="6"/>
  <c r="R191" i="6"/>
  <c r="Q191" i="6"/>
  <c r="P191" i="6"/>
  <c r="P192" i="6" s="1"/>
  <c r="O191" i="6"/>
  <c r="O192" i="6" s="1"/>
  <c r="H191" i="6"/>
  <c r="O190" i="6"/>
  <c r="F190" i="6"/>
  <c r="H190" i="6" s="1"/>
  <c r="T189" i="6"/>
  <c r="F189" i="6"/>
  <c r="H189" i="6" s="1"/>
  <c r="T188" i="6"/>
  <c r="F188" i="6"/>
  <c r="H188" i="6" s="1"/>
  <c r="T187" i="6"/>
  <c r="F187" i="6"/>
  <c r="H187" i="6" s="1"/>
  <c r="T186" i="6"/>
  <c r="M186" i="6"/>
  <c r="M187" i="6" s="1"/>
  <c r="M188" i="6" s="1"/>
  <c r="M189" i="6" s="1"/>
  <c r="F186" i="6"/>
  <c r="H186" i="6" s="1"/>
  <c r="T185" i="6"/>
  <c r="H185" i="6"/>
  <c r="F185" i="6"/>
  <c r="T184" i="6"/>
  <c r="M184" i="6"/>
  <c r="H184" i="6"/>
  <c r="F184" i="6"/>
  <c r="S183" i="6"/>
  <c r="R183" i="6"/>
  <c r="T183" i="6" s="1"/>
  <c r="Q183" i="6"/>
  <c r="M183" i="6"/>
  <c r="F183" i="6"/>
  <c r="H183" i="6" s="1"/>
  <c r="S182" i="6"/>
  <c r="R182" i="6"/>
  <c r="T182" i="6" s="1"/>
  <c r="R164" i="6"/>
  <c r="R190" i="6" s="1"/>
  <c r="P164" i="6"/>
  <c r="P190" i="6" s="1"/>
  <c r="O164" i="6"/>
  <c r="T163" i="6"/>
  <c r="S163" i="6"/>
  <c r="S164" i="6" s="1"/>
  <c r="S190" i="6" s="1"/>
  <c r="G163" i="6"/>
  <c r="E163" i="6"/>
  <c r="D163" i="6"/>
  <c r="C163" i="6"/>
  <c r="T162" i="6"/>
  <c r="Q161" i="6"/>
  <c r="T161" i="6" s="1"/>
  <c r="H161" i="6"/>
  <c r="T160" i="6"/>
  <c r="H160" i="6"/>
  <c r="T159" i="6"/>
  <c r="R159" i="6"/>
  <c r="Q159" i="6"/>
  <c r="H159" i="6"/>
  <c r="T158" i="6"/>
  <c r="R158" i="6"/>
  <c r="Q158" i="6"/>
  <c r="H158" i="6"/>
  <c r="T157" i="6"/>
  <c r="R157" i="6"/>
  <c r="Q157" i="6"/>
  <c r="H157" i="6"/>
  <c r="T156" i="6"/>
  <c r="Q156" i="6"/>
  <c r="H156" i="6"/>
  <c r="T155" i="6"/>
  <c r="H155" i="6"/>
  <c r="Q154" i="6"/>
  <c r="Q164" i="6" s="1"/>
  <c r="Q190" i="6" s="1"/>
  <c r="F154" i="6"/>
  <c r="H154" i="6" s="1"/>
  <c r="E154" i="6"/>
  <c r="P131" i="6"/>
  <c r="O131" i="6"/>
  <c r="G131" i="6"/>
  <c r="E131" i="6"/>
  <c r="D131" i="6"/>
  <c r="C131" i="6"/>
  <c r="T130" i="6"/>
  <c r="H130" i="6"/>
  <c r="T129" i="6"/>
  <c r="H129" i="6"/>
  <c r="T128" i="6"/>
  <c r="H128" i="6"/>
  <c r="T127" i="6"/>
  <c r="H127" i="6"/>
  <c r="S126" i="6"/>
  <c r="S131" i="6" s="1"/>
  <c r="R126" i="6"/>
  <c r="T126" i="6" s="1"/>
  <c r="Q126" i="6"/>
  <c r="Q131" i="6" s="1"/>
  <c r="H126" i="6"/>
  <c r="F125" i="6"/>
  <c r="H125" i="6" s="1"/>
  <c r="H124" i="6"/>
  <c r="H123" i="6"/>
  <c r="H122" i="6"/>
  <c r="F104" i="6"/>
  <c r="E104" i="6"/>
  <c r="D104" i="6"/>
  <c r="C104" i="6"/>
  <c r="H103" i="6"/>
  <c r="G103" i="6"/>
  <c r="H102" i="6"/>
  <c r="G102" i="6"/>
  <c r="H101" i="6"/>
  <c r="G101" i="6"/>
  <c r="S100" i="6"/>
  <c r="R100" i="6"/>
  <c r="Q100" i="6"/>
  <c r="P100" i="6"/>
  <c r="T100" i="6" s="1"/>
  <c r="O100" i="6"/>
  <c r="H100" i="6"/>
  <c r="G100" i="6"/>
  <c r="T99" i="6"/>
  <c r="G99" i="6"/>
  <c r="H99" i="6" s="1"/>
  <c r="T98" i="6"/>
  <c r="H98" i="6"/>
  <c r="G98" i="6"/>
  <c r="T97" i="6"/>
  <c r="G97" i="6"/>
  <c r="H97" i="6" s="1"/>
  <c r="T96" i="6"/>
  <c r="H96" i="6"/>
  <c r="G96" i="6"/>
  <c r="T95" i="6"/>
  <c r="G95" i="6"/>
  <c r="G104" i="6" s="1"/>
  <c r="T94" i="6"/>
  <c r="S75" i="6"/>
  <c r="R75" i="6"/>
  <c r="Q75" i="6"/>
  <c r="P75" i="6"/>
  <c r="T75" i="6" s="1"/>
  <c r="O75" i="6"/>
  <c r="F75" i="6"/>
  <c r="E75" i="6"/>
  <c r="D75" i="6"/>
  <c r="C75" i="6"/>
  <c r="T74" i="6"/>
  <c r="G74" i="6"/>
  <c r="H74" i="6" s="1"/>
  <c r="T73" i="6"/>
  <c r="H73" i="6"/>
  <c r="G73" i="6"/>
  <c r="T72" i="6"/>
  <c r="G72" i="6"/>
  <c r="H72" i="6" s="1"/>
  <c r="T71" i="6"/>
  <c r="H71" i="6"/>
  <c r="G71" i="6"/>
  <c r="T70" i="6"/>
  <c r="G70" i="6"/>
  <c r="H70" i="6" s="1"/>
  <c r="T69" i="6"/>
  <c r="H69" i="6"/>
  <c r="G69" i="6"/>
  <c r="T68" i="6"/>
  <c r="G68" i="6"/>
  <c r="H68" i="6" s="1"/>
  <c r="T67" i="6"/>
  <c r="H67" i="6"/>
  <c r="G67" i="6"/>
  <c r="T66" i="6"/>
  <c r="G66" i="6"/>
  <c r="G75" i="6" s="1"/>
  <c r="F49" i="6"/>
  <c r="E49" i="6"/>
  <c r="D49" i="6"/>
  <c r="C49" i="6"/>
  <c r="G48" i="6"/>
  <c r="H48" i="6" s="1"/>
  <c r="G47" i="6"/>
  <c r="H47" i="6" s="1"/>
  <c r="S46" i="6"/>
  <c r="Q46" i="6"/>
  <c r="P46" i="6"/>
  <c r="O46" i="6"/>
  <c r="G46" i="6"/>
  <c r="H46" i="6" s="1"/>
  <c r="T45" i="6"/>
  <c r="H45" i="6"/>
  <c r="G45" i="6"/>
  <c r="T44" i="6"/>
  <c r="R44" i="6"/>
  <c r="H44" i="6"/>
  <c r="G44" i="6"/>
  <c r="T43" i="6"/>
  <c r="G43" i="6"/>
  <c r="H43" i="6" s="1"/>
  <c r="X42" i="6"/>
  <c r="T42" i="6"/>
  <c r="R42" i="6"/>
  <c r="H42" i="6"/>
  <c r="G42" i="6"/>
  <c r="T41" i="6"/>
  <c r="R41" i="6"/>
  <c r="H41" i="6"/>
  <c r="G41" i="6"/>
  <c r="T40" i="6"/>
  <c r="R40" i="6"/>
  <c r="H40" i="6"/>
  <c r="G40" i="6"/>
  <c r="T39" i="6"/>
  <c r="R39" i="6"/>
  <c r="T38" i="6"/>
  <c r="R38" i="6"/>
  <c r="R46" i="6" s="1"/>
  <c r="T37" i="6"/>
  <c r="R37" i="6"/>
  <c r="Z18" i="6"/>
  <c r="X18" i="6"/>
  <c r="H18" i="6"/>
  <c r="H17" i="6"/>
  <c r="G16" i="6"/>
  <c r="G15" i="6" s="1"/>
  <c r="E16" i="6"/>
  <c r="H16" i="6" s="1"/>
  <c r="Y15" i="6"/>
  <c r="R15" i="6"/>
  <c r="Q15" i="6"/>
  <c r="P15" i="6"/>
  <c r="O15" i="6"/>
  <c r="E15" i="6"/>
  <c r="D15" i="6"/>
  <c r="H15" i="6" s="1"/>
  <c r="C15" i="6"/>
  <c r="Y14" i="6"/>
  <c r="S14" i="6"/>
  <c r="S15" i="6" s="1"/>
  <c r="H14" i="6"/>
  <c r="Y13" i="6"/>
  <c r="S13" i="6"/>
  <c r="G13" i="6"/>
  <c r="E13" i="6"/>
  <c r="E12" i="6" s="1"/>
  <c r="Y12" i="6"/>
  <c r="S12" i="6"/>
  <c r="G12" i="6"/>
  <c r="D12" i="6"/>
  <c r="C12" i="6"/>
  <c r="AI11" i="6"/>
  <c r="AH11" i="6"/>
  <c r="AG11" i="6"/>
  <c r="AF11" i="6"/>
  <c r="AE11" i="6"/>
  <c r="AD11" i="6"/>
  <c r="S11" i="6"/>
  <c r="H11" i="6"/>
  <c r="AJ10" i="6"/>
  <c r="Y10" i="6"/>
  <c r="S10" i="6"/>
  <c r="H10" i="6"/>
  <c r="AJ9" i="6"/>
  <c r="Y9" i="6"/>
  <c r="Y18" i="6" s="1"/>
  <c r="S9" i="6"/>
  <c r="G9" i="6"/>
  <c r="F9" i="6"/>
  <c r="E9" i="6"/>
  <c r="D9" i="6"/>
  <c r="H9" i="6" s="1"/>
  <c r="C9" i="6"/>
  <c r="AJ8" i="6"/>
  <c r="S8" i="6"/>
  <c r="AJ7" i="6"/>
  <c r="AJ11" i="6" s="1"/>
  <c r="S7" i="6"/>
  <c r="AJ6" i="6"/>
  <c r="S6" i="6"/>
  <c r="H104" i="6" l="1"/>
  <c r="R192" i="6"/>
  <c r="D719" i="6"/>
  <c r="H719" i="6" s="1"/>
  <c r="H694" i="6"/>
  <c r="T46" i="6"/>
  <c r="H75" i="6"/>
  <c r="T190" i="6"/>
  <c r="S192" i="6"/>
  <c r="H251" i="6"/>
  <c r="H280" i="6"/>
  <c r="T299" i="6"/>
  <c r="H327" i="6"/>
  <c r="H629" i="6"/>
  <c r="Q192" i="6"/>
  <c r="T192" i="6" s="1"/>
  <c r="H192" i="6"/>
  <c r="R131" i="6"/>
  <c r="T131" i="6" s="1"/>
  <c r="T191" i="6"/>
  <c r="T367" i="6"/>
  <c r="F488" i="6"/>
  <c r="H488" i="6" s="1"/>
  <c r="F131" i="6"/>
  <c r="H131" i="6" s="1"/>
  <c r="F163" i="6"/>
  <c r="H163" i="6" s="1"/>
  <c r="E336" i="6"/>
  <c r="E342" i="6" s="1"/>
  <c r="F426" i="6"/>
  <c r="H426" i="6" s="1"/>
  <c r="H456" i="6"/>
  <c r="D571" i="6"/>
  <c r="H571" i="6" s="1"/>
  <c r="H652" i="6"/>
  <c r="G49" i="6"/>
  <c r="H49" i="6" s="1"/>
  <c r="F192" i="6"/>
  <c r="F13" i="6" s="1"/>
  <c r="E660" i="6"/>
  <c r="H660" i="6" s="1"/>
  <c r="H66" i="6"/>
  <c r="H95" i="6"/>
  <c r="T154" i="6"/>
  <c r="H211" i="6"/>
  <c r="H242" i="6"/>
  <c r="S306" i="6"/>
  <c r="T306" i="6" s="1"/>
  <c r="H623" i="6"/>
  <c r="T164" i="6"/>
  <c r="E397" i="6"/>
  <c r="H397" i="6" s="1"/>
  <c r="H271" i="6"/>
  <c r="H336" i="6" l="1"/>
  <c r="H13" i="6"/>
  <c r="F12" i="6"/>
  <c r="H12" i="6" s="1"/>
  <c r="F462" i="6"/>
  <c r="H462" i="6" s="1"/>
</calcChain>
</file>

<file path=xl/comments1.xml><?xml version="1.0" encoding="utf-8"?>
<comments xmlns="http://schemas.openxmlformats.org/spreadsheetml/2006/main">
  <authors>
    <author>USER</author>
  </authors>
  <commentList>
    <comment ref="G39" authorId="0">
      <text>
        <r>
          <rPr>
            <b/>
            <sz val="8"/>
            <color indexed="81"/>
            <rFont val="Tahoma"/>
            <family val="2"/>
          </rPr>
          <t>USER:</t>
        </r>
        <r>
          <rPr>
            <sz val="8"/>
            <color indexed="81"/>
            <rFont val="Tahoma"/>
            <family val="2"/>
          </rPr>
          <t xml:space="preserve">
Jangan diinput, ini formula!</t>
        </r>
      </text>
    </comment>
    <comment ref="G40" authorId="0">
      <text>
        <r>
          <rPr>
            <b/>
            <sz val="8"/>
            <color indexed="81"/>
            <rFont val="Tahoma"/>
            <family val="2"/>
          </rPr>
          <t>USER:</t>
        </r>
        <r>
          <rPr>
            <sz val="8"/>
            <color indexed="81"/>
            <rFont val="Tahoma"/>
            <family val="2"/>
          </rPr>
          <t xml:space="preserve">
Jangan diinput, ini formula!</t>
        </r>
      </text>
    </comment>
    <comment ref="G65" authorId="0">
      <text>
        <r>
          <rPr>
            <b/>
            <sz val="8"/>
            <color indexed="81"/>
            <rFont val="Tahoma"/>
            <family val="2"/>
          </rPr>
          <t>USER:</t>
        </r>
        <r>
          <rPr>
            <sz val="8"/>
            <color indexed="81"/>
            <rFont val="Tahoma"/>
            <family val="2"/>
          </rPr>
          <t xml:space="preserve">
Jangan diinput, ini formula!</t>
        </r>
      </text>
    </comment>
  </commentList>
</comments>
</file>

<file path=xl/sharedStrings.xml><?xml version="1.0" encoding="utf-8"?>
<sst xmlns="http://schemas.openxmlformats.org/spreadsheetml/2006/main" count="1188" uniqueCount="505">
  <si>
    <t>DATA KAJIAN INDEKS KESEHATAN LAUT BALI (OHI+ BALI)</t>
  </si>
  <si>
    <t>TUJUAN</t>
  </si>
  <si>
    <t>DATA</t>
  </si>
  <si>
    <t>INDIKATOR</t>
  </si>
  <si>
    <t>SPASIAL</t>
  </si>
  <si>
    <t>TUBULAR</t>
  </si>
  <si>
    <t>NO</t>
  </si>
  <si>
    <t>UTAMA</t>
  </si>
  <si>
    <t>TURUNAN</t>
  </si>
  <si>
    <t>MATA PENCAHARIAN</t>
  </si>
  <si>
    <t>EKONOMI</t>
  </si>
  <si>
    <t>PARIWISATA</t>
  </si>
  <si>
    <t>REKREASI</t>
  </si>
  <si>
    <t>SPESIES UNIK</t>
  </si>
  <si>
    <t>TEMPAT SPESIAL YG BERTAHAN</t>
  </si>
  <si>
    <t xml:space="preserve">jenis dan lokasi peneluran penyu, lokasi dan frekuensi kemunculan mola2, hiu paus, manta, </t>
  </si>
  <si>
    <t>status perlindungan (IUCN)</t>
  </si>
  <si>
    <t>spesies karang endemik (euphyllia baliensis)</t>
  </si>
  <si>
    <t>lokasi (koordinat) habitat</t>
  </si>
  <si>
    <t xml:space="preserve">nyepi laut di Lembongan; petik laut di Jembrana;  </t>
  </si>
  <si>
    <t>KETAHANAN</t>
  </si>
  <si>
    <t>TEKANAN</t>
  </si>
  <si>
    <t xml:space="preserve">strategi &amp; rencana kerja perlindungan pantai, mekanisme koordinasi antar sektor, partisipasi para pihak dlm rapat koordinasi, kebijakan/peraturan perlindungan pantai/ICM, anggaran </t>
  </si>
  <si>
    <t>lokasi (koordinat) abrasi dan panjangnya, lokasi pembuatan sengkedan pantai</t>
  </si>
  <si>
    <t>SENSE OF PLACE (GEDE HENDRAWAN, RAKA ANGGA, AYU PRATIWI-FKP UNUD)</t>
  </si>
  <si>
    <t>PELUANG PERIKANAN TRADISONAL (NENGAH BAGUS-DKP BALI)</t>
  </si>
  <si>
    <t>PERLINDUNGAN PANTAI (IB BADRAKA, IDA AYU PUTRI ARI-DLH BALI)</t>
  </si>
  <si>
    <t>PARIWISATA &amp; REKREASI (HANGGAR, IWAN - CI INDONESIA)</t>
  </si>
  <si>
    <t>AIR BERSIH (REAGEN SAPTORY-BBPPBL GONDOL)</t>
  </si>
  <si>
    <t>KEANEKARAGAMAN HAYATI (PERMANA YUDIARSO, BARMAWI-BPSPL)</t>
  </si>
  <si>
    <t>PRODUK ALAMI (DERTA, AYUB -REEFCHECK)</t>
  </si>
  <si>
    <t>PENYIMPANAN KARBON (KOMANG IWAN, AMANDANGI-BPOL)</t>
  </si>
  <si>
    <t>PENYEDIAAN PANGAN (NYOMAN SUDARTA, EFENDI-ATLI)</t>
  </si>
  <si>
    <t>SUMBER DATA</t>
  </si>
  <si>
    <t>CPUE: PPN Pengambengan + Pel Benoa, DKP Bali</t>
  </si>
  <si>
    <t>PERIKANAN TANGKAP</t>
  </si>
  <si>
    <t>PERIKANAN BUDIDAYA</t>
  </si>
  <si>
    <t xml:space="preserve">jumlah penangkapan per unit usaha (CPUE), biomassa (kajian stok), PDRB perikanan tangkap, </t>
  </si>
  <si>
    <t>perikanan budidaya, produksi rumput laut</t>
  </si>
  <si>
    <t>DKP BALI</t>
  </si>
  <si>
    <t xml:space="preserve">data statistik perikanan, nilai produksi, jumlah nelayan, rumah tangga perikanan (RTP), </t>
  </si>
  <si>
    <t>data kesehatan terumbu karang Bali, produksi rumput laut (luas), data ekspor ikan hias, lokasi penangkapan ikan hias, pembuatan komoditi mangrove</t>
  </si>
  <si>
    <t>DKP Bali, Balai Perubahan Iklim (MIC)</t>
  </si>
  <si>
    <t>biodiversitas karbon pesisir (mangrove), status karbon pesisir (mangrove), penyimpanan karbon di padang lamun Sanur (BPSPL)</t>
  </si>
  <si>
    <t>RTP, jumlah usaha wisata bahari (water sport, sport fishing, dolpin tour, seawalker), jumlah pekerja wisata bahari (pemandu selam, pemandu/pelatih selancar, kapten kapal)</t>
  </si>
  <si>
    <t>Dinas pariwisata, dinas perhubungan</t>
  </si>
  <si>
    <t>pendapatan</t>
  </si>
  <si>
    <t>MATA PENCAHARIAN &amp; EKONOMI (GEDE SUDIARTA, MADE KAWAN, SANG AYU PUTRI SURYANI-WARMADEWA)</t>
  </si>
  <si>
    <t>tingkat pemanfaatan ruang alam utk kegiatan pariwisata, nilai ekonomi pariwisata dari jasa ekosistem, tingkat kenyamanan pariwisata</t>
  </si>
  <si>
    <t>dinas pariwisata, kajian teknis RZWP3K Bali (DKP Bali)</t>
  </si>
  <si>
    <t>penyu, paus, lumba2, mola2, manta, dugong</t>
  </si>
  <si>
    <t>data kemunculan whale shark, jumlah spesies karang Bali, jumlah spesies ikan karang, jenis mangrove, jenis lamun, jenis rumput laut, jenis kerang, jenis ikan konsumsi, jumlah spesies pari, jumlah spesies nudibranch, jumlah spesies kuda laut</t>
  </si>
  <si>
    <t>lokasi dan luasan mangrove, lokasi lamun,  luasan dan lokasi terumbu karang</t>
  </si>
  <si>
    <t>SPESIES  KUNCI</t>
  </si>
  <si>
    <t>HABITAT KUNCI</t>
  </si>
  <si>
    <t>kepadatan microplankton, indeks keseragaman plankton, tingkat pencemaran (fisik biologi kimia), mikrobiologi, sampah</t>
  </si>
  <si>
    <t>DLH Bali, UNUD, Warmadewa</t>
  </si>
  <si>
    <t>KECENDERUNGAN</t>
  </si>
  <si>
    <t>JUMLAH HASIL TANGKAPAN</t>
  </si>
  <si>
    <t>NILAI EKONOMI HASIL TANGKAPAN</t>
  </si>
  <si>
    <t>JUMLAH EKPORT</t>
  </si>
  <si>
    <t>NILAI EKSPORT</t>
  </si>
  <si>
    <t>NILAI STOK IKAN KONSUMSI</t>
  </si>
  <si>
    <t xml:space="preserve">KKP, </t>
  </si>
  <si>
    <t xml:space="preserve">KKP, Ketentuan alat tangkap, artisanal fishing, </t>
  </si>
  <si>
    <t>JUMLAH RTP BUDIDAYA</t>
  </si>
  <si>
    <t>JUMLAH HASIL BUDIDAYA</t>
  </si>
  <si>
    <t>JENIS KOMODITAS</t>
  </si>
  <si>
    <t>NILAI EKONOMI HASIL BUDIDAYA</t>
  </si>
  <si>
    <t>JUMLAH RTP/PP-perusahaan perikanan</t>
  </si>
  <si>
    <t>JENIS &amp; LUAS BUDIDAYA</t>
  </si>
  <si>
    <t>RTP TRADISIONAL</t>
  </si>
  <si>
    <t>JARAK KE LOKASI TANGKAP</t>
  </si>
  <si>
    <t>KEBIJAKAN PERLINDUNGAN AREAL TANGKAP (KKP)</t>
  </si>
  <si>
    <t>KEBIJAKAN PEMBATASAN ALAT TANGKAP (JUMLAH &amp; SPEC)</t>
  </si>
  <si>
    <t>KEBIJAKAN PERLINDUNGAN AREAL TANGKAP (RZWP3K-PERLINDUNGAN DAERAH TAMBAT KAPAL)</t>
  </si>
  <si>
    <t>KEMUDAHAN AKSES KE LOKASI PENANGKAPAN</t>
  </si>
  <si>
    <t>PENGGUNAAN ALAT TANGKAP RAMAH LINGKUNGAN</t>
  </si>
  <si>
    <t>NTN (NILAI TUKAR NELAYAN)</t>
  </si>
  <si>
    <t>JENIS-JENIS IKAN HIAS</t>
  </si>
  <si>
    <t>JUMLAH EKSPOR IKAN HIAS</t>
  </si>
  <si>
    <t>JUMLAH SATUAN (VOLUME) EKSPOR KARANG</t>
  </si>
  <si>
    <t>NILAI EKONOMI KARANG</t>
  </si>
  <si>
    <t>NILAI EKONOMI IKAN</t>
  </si>
  <si>
    <t>METODE PEMANENAN IKAN</t>
  </si>
  <si>
    <t>METODE PEMANENAN KARANG</t>
  </si>
  <si>
    <t>LUAS &amp; KONDISI TUTUPAN KARANG HIDUP</t>
  </si>
  <si>
    <t>JENIS KARANG</t>
  </si>
  <si>
    <t>JENIS LAMUN</t>
  </si>
  <si>
    <t>LUAS &amp; KONDISI TUTUPAN PADANG LAMUN</t>
  </si>
  <si>
    <t>LUAS &amp; KONDISI TUTPAN MANGROVE</t>
  </si>
  <si>
    <t>JENIS MANGROVE</t>
  </si>
  <si>
    <t>JENIS-JENIS PEKERJAAN TERKAIT LAUT</t>
  </si>
  <si>
    <t>JUMLAH PEKERJA BERDASARKAN JENIS PEKERJAAN</t>
  </si>
  <si>
    <t>PERKEMBANGAN PENDAPATAN MASING-MASING JENIS PEKERJAAN</t>
  </si>
  <si>
    <t>PENDAPATAN PERKAPITA MASING-MASING JENIS PEKERJAAN</t>
  </si>
  <si>
    <t>NILAI EKONOMI WISATA LUMBA-LUMBA</t>
  </si>
  <si>
    <t xml:space="preserve">JUMLAH WISATAWAN </t>
  </si>
  <si>
    <t>LAMA TINGGAL</t>
  </si>
  <si>
    <t>TINGKAT ISIAN KAMAR (OCCUPANCY)</t>
  </si>
  <si>
    <t>JUMLAH &amp; SEBARAN DESTINASI PARIWISATA</t>
  </si>
  <si>
    <t>PELUANG PERIKANAN TRADISONAL (DKP BALI)</t>
  </si>
  <si>
    <t>PENJELASAN</t>
  </si>
  <si>
    <t>Jumlah Rumah Tangga Sasaran menurut kategori miskin untuk perikanan tangkap 4.695 KK (Data PPLS, 2011)</t>
  </si>
  <si>
    <t>Potensi lestari perikanan tangkap di laut (147.278,8 ton/th) dan tingkat pemanfaatan perikanan tangkap (104.967,5 ton/th atau sekitar 71,3%)</t>
  </si>
  <si>
    <t>Luas wilayah perairan yang telah dan akan diusulkan sebagai kawasan konservasi perairan adalah 63.261,56 Ha. Tersebar di Kabupaten Buleleng (TNBB,  KKP Buleleng Barat, Tengah dan Timur), di Kabupaten Jembrana (KKP Jembrana, Kawasan Taman Pesisir Perancak, KKP Melaya, TNBB); di Kabupaten Karangasem (Blok Tulamben Kubu, Blok Amed Seraya, Blok Padangbai Candidasa); di Kabupaten Badung (Peninsula Nusa Dua-Uluwatu, Kawasan Taman Pulau Kecil Pulau Pudut, TAHURA Ngurah Rai); di Kabupaten Klungkung (KKP Nusa Penida); di Kota Denpasar (TAHURA Ngurah Rai)</t>
  </si>
  <si>
    <t>SKB antara Gubernur Jawa Timur dan Gubernur Bali Nomor : 238 Tahun 1992 / 674 Tahun 1992 tentang Pengaturan / Pengendalian Penggunaan Purse Seine di Selat Bali tanggal 19 Nopember 1992 (berisi pengaturan jumlah, ukuran panjang jaring maksimal, serta ukuran mata jaring bagian kantong 1 (satu) inch)</t>
  </si>
  <si>
    <t>Jumlah RTP Perikanan Tangkap pada tahun 2015 sebanyak 20.491 buah. Pertumbuhan selama 5 tahun terakhir (2011 - 2015) sebesar (-0.47%)</t>
  </si>
  <si>
    <t>Perubahan orientasi lapangan kerja pada generasi muda</t>
  </si>
  <si>
    <t>Menurun</t>
  </si>
  <si>
    <t>Meningkat</t>
  </si>
  <si>
    <t>Peningkatan ketahanan karena kesadaran masyarakat pesisir meningkat (IUU Fishing menurun; Satgas 115 KKP; POKMASWAS dan Sosialisasi Peraturan-UU)</t>
  </si>
  <si>
    <t>Penerapan di lapangan tidak konsisten</t>
  </si>
  <si>
    <t>Penangkapan melebihi kapasitas (mata jaring&lt; 1 inch; ukuran jaring 100X350 m; lampu kapasitas besar &gt; 3000 watt; perubahan iklim global)</t>
  </si>
  <si>
    <t>Sosialisasi yang intensif dan berkelanjutan</t>
  </si>
  <si>
    <t>Sosialisasi peraturan perundang-undangan (Jenis ikan terancam punah; penggunaan alat tangkap ramah lingkungan; aspek penegakan hukum bidang kelautan dan perikanan</t>
  </si>
  <si>
    <t>Izin ekspor ikan hias</t>
  </si>
  <si>
    <t>PELUANG PERIKANAN TRADISIONAL</t>
  </si>
  <si>
    <t>TUJUAN UTAMA</t>
  </si>
  <si>
    <t xml:space="preserve">MATA PENCAHARIAN &amp; EKONOMI (GEDE SUDIARTA, MADE KAWAN, </t>
  </si>
  <si>
    <t>SANG AYU PUTRI SURYANI-WARMADEWA)</t>
  </si>
  <si>
    <t>SENSE OF PLACE (GEDE HENDRAWAN, RAKA ANGGA, AYU PRATIWI-</t>
  </si>
  <si>
    <t>FKP UNUD)</t>
  </si>
  <si>
    <t>PRODUKSI PERIKANAN</t>
  </si>
  <si>
    <t>Jumlah Nelayan pada tahun 2015 sebanyak 39.182 jiwa. Pertumbuhan selama 5 tahun terakhir (2011 - 2015) sebesar (-0.82%)</t>
  </si>
  <si>
    <t>Jumlah armada perikanan tangkap (jukung, motor tempel, kapal &lt; 10 GT) pada tahun 2015 sebanyak 16.617 buah. Pertumbuhan selama 5 tahun terakhir (2011 - 2015) sebesar (2,67%)</t>
  </si>
  <si>
    <t>Jumlah unit penangkapan ikan pada tahun 2015 sebanyak 39.512 unit. Pertumbuhan selama 5 tahun terakhir (2011 - 2015) sebesar (5,91%)</t>
  </si>
  <si>
    <t>Jumlah produksi ikan olahan perikanan tangkap di laut pada tahun 2015 sebanyak 34.857,7 ton. Pertumbuhan selama 5 tahun terakhir (2011 - 2015) sebesar (11,15%)</t>
  </si>
  <si>
    <t>Jumlah produksi perikanan tangkap laut pada tahun 2015 sebanyak 106.251,7  ton. Pertumbuhan selama 5 tahun terakhir (2011 - 2015) sebesar (3,10%)</t>
  </si>
  <si>
    <t>KELEMBAGAAN</t>
  </si>
  <si>
    <t>Jumlah Kelompok Masyarakat Pengawas (POKMASWAS) di Provinsi Bali sebanyak 58 Kelompok</t>
  </si>
  <si>
    <t>Sarana dan prasarana perikanan tangkap / pelabuhan berupa Pelabuhan Benoa; PPN Pengambengan; PPI/TPI Kedonganan; PPI/TPI Kusamba; PPI Sangsit; PPI Karangdadi; TPI (Serangan, Tanjung Benoa, Air Kuning, Yeh Sumbul, Tejakula, Amed, Batununggul)</t>
  </si>
  <si>
    <t>NTN (Penghasilan bersih / biaya)Provinsi Bali tahun 2016 rata-rata sebesar 111,14 diatas NTN rata-rata Nasional sebesar 108,24; Pertumbuhan Desember 2016-2015 sebesar 4,58; Pertumbuhan Desember 2016 - rata-rata 2015 sebesar 1,10</t>
  </si>
  <si>
    <t>Jumlah Kelompok Nelayan di Provinsi Bali sebanyak 649 Kelompok (anggota 18.974 orang)</t>
  </si>
  <si>
    <t>Jumlah kelompok pengolah hasil perikanan sebanyak 138 Kelompok.  Unit Pengolah Hasil Perikanan sebanyak 818 Unit dan Unit Pemasaran Hasil Perikanan di Provinsi Bali sebanyak 3.800 Unit</t>
  </si>
  <si>
    <t>Dari 716 Desa/Kelurahan yang ada di Provinsi Bali, terdapat 171 Desa  Pesisir sedangkan yang berpotensi sebagai daerah/desa nelayan adalah sebanyak 130 Desa</t>
  </si>
  <si>
    <t xml:space="preserve">Peningkatan kapasitas PK Motor Tempel </t>
  </si>
  <si>
    <t>Mengalami fluktuasi tergantung harga ikan, musim, pasar tradisional dan distribusi hasil perikanan</t>
  </si>
  <si>
    <t>Terjadi ketika iklim/cuaca tidak mendukung nelayan untuk beroperasi</t>
  </si>
  <si>
    <t>Semakin meningkatnya pengelolaan pelabuhan / TPI</t>
  </si>
  <si>
    <t>SDM belum mendukung baik dari segi jumlah maupun kompetensi</t>
  </si>
  <si>
    <t>Sulitnya Informasi dan akses data kepada nelayan tradisional</t>
  </si>
  <si>
    <t>Rencana tata ruang laut yang disusun berdasarkan aspirasi masyarakat pesisir dan stakeholder terkait</t>
  </si>
  <si>
    <t>Implementasi batas pada wilayah perairan laut masih sulit bagi nelayan tradisional</t>
  </si>
  <si>
    <t>Indikasi semakin menurunnya minat generasi muda bergerak di bidang perikanan tradisional</t>
  </si>
  <si>
    <t>Semakin berkurang dengan berkembangnya luasan Kawasan Konservasi Perairan</t>
  </si>
  <si>
    <t xml:space="preserve">Penegakan hukum terhadap IUU Fishing </t>
  </si>
  <si>
    <t>Luas Kawasan Konservasi Perairan meningkat dan pengelolaannya semakin optimal</t>
  </si>
  <si>
    <t>Diversifikasi jenis olahan</t>
  </si>
  <si>
    <t>Luas Kawasan Konservasi Perairan meningkat dan pengelolaannya semakin optimal.</t>
  </si>
  <si>
    <t>Sosialisasi dan tingkat kesadaran masyarakat terhadap KKP maih rendah.</t>
  </si>
  <si>
    <t>Aktivitas pariwisata bahari yang belum ditata secara optimal terkait daya dukung ekosistem perairan.</t>
  </si>
  <si>
    <t xml:space="preserve">Pembinaan terhadap kelembagaan terkait nelayan tradisional semakin intensif; </t>
  </si>
  <si>
    <t>Pemberian kartu nelayan, asuransi nelayan, KUR dan bantuan sarana pendukung lainnya</t>
  </si>
  <si>
    <t>-</t>
  </si>
  <si>
    <t>Dalam penyusunan kajian akademis RZWP3K Provinsi Bali (0-12mil) sampai penyusunan Raperda pada tahun 2017</t>
  </si>
  <si>
    <t>Akses data daerah penangkapan ikan bagi nelayan tradisional masih sangat minim dan perlu dioptimalkan</t>
  </si>
  <si>
    <t>Rentan terhadap perubahan / penurunan jumlah RTP</t>
  </si>
  <si>
    <t>Kecenderungan peningkatan konsumsi ikan</t>
  </si>
  <si>
    <t xml:space="preserve"> KEBIJAKAN PERLINDUNGAN AREAL TANGKAP</t>
  </si>
  <si>
    <t>SKB antara Gubernur Jawa Timur dan Gubernur Bali Nomor : 238 Tahun 1992 / 674 Tahun 1992 tentang Pengaturan / Pengendalian Penggunaan Purse Seine di Selat Bali tanggal 19 Nopember 1992</t>
  </si>
  <si>
    <t>Permen Kelautan dan Perikanan No. 1 Tahun 2015 tentang Penangkapan Lobster, Kepiting dan Rajungan</t>
  </si>
  <si>
    <t xml:space="preserve"> JUMLAH, JENIS &amp; SPESIFIKASI ALAT TANGKAP</t>
  </si>
  <si>
    <t>SARANA DAN PRASARANA</t>
  </si>
  <si>
    <t>KAWASAN KONSERVASI PERAIRAN</t>
  </si>
  <si>
    <t>RZWP3K</t>
  </si>
  <si>
    <t xml:space="preserve">KEBIJAKAN PEMBATASAN ALAT TANGKAP </t>
  </si>
  <si>
    <t xml:space="preserve">Permen Kelautan dan Perikanan No. 1 Tahun 2015 tentang Penangkapan Lobster, Kepiting dan Rajungan; SE MenKP Nomor 18/MEN-KP/I/2015 tentang Penangkapan Lobster, Kepiting dan Rajungan ((Lobster &gt; 8 cm - &gt; 300gr; Kepiting &gt; 15 cm -&gt;350gr; Rajungan &gt; 10 cm - &gt; 55 gr)
</t>
  </si>
  <si>
    <t xml:space="preserve">Penangkapan sering dibawah ukuran yang ditetapkan
</t>
  </si>
  <si>
    <t>VI. STATISTIK PERIKANAN  TAHUN 2011 - 2015</t>
  </si>
  <si>
    <t xml:space="preserve">Tabel 8. PERTUMBUHAN NILAI PRODUKSI PERIKANAN </t>
  </si>
  <si>
    <t>IX. STATISTIK SUMBERDAYA KELAUTAN TAHUN 2011 - 2015</t>
  </si>
  <si>
    <t>Tabel 33. PRODUKSI IKAN HIAS PER JENIS IKAN</t>
  </si>
  <si>
    <t>MENURUT KABUPATEN/KOTA,TAHUN 2011 - 2015</t>
  </si>
  <si>
    <t>MENURUT KABUPATEN/KOTA TAHUN 2015</t>
  </si>
  <si>
    <t>Sat : Rp 1000,-</t>
  </si>
  <si>
    <t>Sat : 1.000 ekor</t>
  </si>
  <si>
    <t xml:space="preserve">Tabel 5. PERTUMBUHAN PENDUDUK, RTP. TANGKAP, RTP. BUDIDAYA, NELAYAN, </t>
  </si>
  <si>
    <t>Kab./Kota</t>
  </si>
  <si>
    <t>Tahun</t>
  </si>
  <si>
    <t>%</t>
  </si>
  <si>
    <t>Tabel 41.  LUASAN MANGROVE, TERUMBU KARANG DAN PADANG LAMUN MENURUT KABUPATEN/KOTA</t>
  </si>
  <si>
    <t>Kab./</t>
  </si>
  <si>
    <t>Jenis Ikan</t>
  </si>
  <si>
    <t>Jumlah</t>
  </si>
  <si>
    <t>PEMBUDIDAYA IKAN DAN KONSUMSI IKAN PERKAPITA,TAHUN 2011 - 2015</t>
  </si>
  <si>
    <t>PROVINSI BALI TAHUN 2015</t>
  </si>
  <si>
    <t>Kota</t>
  </si>
  <si>
    <t>Koi</t>
  </si>
  <si>
    <t>Manvis</t>
  </si>
  <si>
    <t>Mas Koki</t>
  </si>
  <si>
    <t>Lobster</t>
  </si>
  <si>
    <t>Plati</t>
  </si>
  <si>
    <t>Lainnya</t>
  </si>
  <si>
    <t>Sat : Jiwa/Buah/Kg</t>
  </si>
  <si>
    <t>Denpasar</t>
  </si>
  <si>
    <t>Sat : Ha</t>
  </si>
  <si>
    <t>Uraian</t>
  </si>
  <si>
    <t>Badung</t>
  </si>
  <si>
    <t>Mangrove</t>
  </si>
  <si>
    <t>Terumbu Karang</t>
  </si>
  <si>
    <t>Padang Lamun</t>
  </si>
  <si>
    <t>Tabanan</t>
  </si>
  <si>
    <t>Jml. Penduduk* (000 jiwa)</t>
  </si>
  <si>
    <t>Jembrana</t>
  </si>
  <si>
    <t>Buleleng</t>
  </si>
  <si>
    <t>a</t>
  </si>
  <si>
    <t>Laki-laki  ( 000 jiwa)</t>
  </si>
  <si>
    <t>Karangasem</t>
  </si>
  <si>
    <t>b</t>
  </si>
  <si>
    <t>Perempuan  (000 jiwa)</t>
  </si>
  <si>
    <t>Sub Jumlah</t>
  </si>
  <si>
    <t>Jumlah RTP.</t>
  </si>
  <si>
    <t>Klungkung</t>
  </si>
  <si>
    <t>RTP.Tangkap</t>
  </si>
  <si>
    <t>Gianyar</t>
  </si>
  <si>
    <t>RTP. Budidaya</t>
  </si>
  <si>
    <t>Bangli</t>
  </si>
  <si>
    <t>Jml. Pembud &amp; Nel.</t>
  </si>
  <si>
    <t>Nelayan</t>
  </si>
  <si>
    <t xml:space="preserve">                                          ________________ Buku  Statistik Perikanan Provinsi Bali          40</t>
  </si>
  <si>
    <t>Pembudidaya Ikan</t>
  </si>
  <si>
    <t xml:space="preserve">                                          ________________ Buku  Statistik Perikanan Provinsi Bali          13</t>
  </si>
  <si>
    <t>Konsumsi ikan/kapita/Th</t>
  </si>
  <si>
    <t>*Sumber : BPS Provinsi Bali (Angka Proyeksi)</t>
  </si>
  <si>
    <t xml:space="preserve">     </t>
  </si>
  <si>
    <t>Sumber : Dokumen Final RZWP3K Provinsi Bali Tahun 2013</t>
  </si>
  <si>
    <t xml:space="preserve">                                          ________________ Buku  Statistik Perikanan Provinsi Bali          10</t>
  </si>
  <si>
    <t xml:space="preserve">                                          ________________ Buku  Statistik Perikanan Provinsi Bali          50</t>
  </si>
  <si>
    <t>LUAS LAHAN GARAM MENURUT</t>
  </si>
  <si>
    <t>KABUPATEN/KOTA PROVINSI BALI TAHUN 2014</t>
  </si>
  <si>
    <t>Sat : ha</t>
  </si>
  <si>
    <t>Tabel 22. PERTUMBUHAN NILAI PRODUKSI PERIKANAN TANGKAP (LAUT &amp; PU)</t>
  </si>
  <si>
    <t>Sat : Rp1000,-</t>
  </si>
  <si>
    <t xml:space="preserve">Tabel 6. PERTUMBUHAN RUMAH TANGGA/PERUSAHAAN PERIKANAN </t>
  </si>
  <si>
    <t>Sat : Buah</t>
  </si>
  <si>
    <t xml:space="preserve">                                          ________________ Buku  Statistik Perikanan Provinsi Bali          29</t>
  </si>
  <si>
    <t xml:space="preserve">                                          ________________ Buku  Statistik Perikanan Provinsi Bali          11</t>
  </si>
  <si>
    <t xml:space="preserve">Tabel  7. PERTUMBUHAN PRODUKSI PERIKANAN </t>
  </si>
  <si>
    <t>Tabel 29. PERTUMBUHAN NILAI PRODUKSI PERIKANAN BUDIDAYA</t>
  </si>
  <si>
    <t>Sat : Ton</t>
  </si>
  <si>
    <t xml:space="preserve">                                          ________________ Buku  Statistik Perikanan Provinsi Bali          12</t>
  </si>
  <si>
    <t xml:space="preserve">                                          ________________ Buku  Statistik Perikanan Provinsi Bali          36</t>
  </si>
  <si>
    <t>Tabel 30. PERTUMBUHAN NILAI PRODUKSI PERIKANAN BUDIDAYA</t>
  </si>
  <si>
    <t>Tabel 9. PERTUMBUHAN NELAYAN DAN PEMBUDIDAYA IKAN</t>
  </si>
  <si>
    <t>MENURUT JENIS BUDIDAYA TAHUN 2011 - 2015</t>
  </si>
  <si>
    <t>Sat :  Rp1000</t>
  </si>
  <si>
    <t>Sat : Jiwa</t>
  </si>
  <si>
    <t>Jenis Budidaya</t>
  </si>
  <si>
    <t>Laut</t>
  </si>
  <si>
    <t>Tambak</t>
  </si>
  <si>
    <t>Kolam</t>
  </si>
  <si>
    <t>Sawah</t>
  </si>
  <si>
    <t>Japung</t>
  </si>
  <si>
    <t>Saluran Irigasi *)</t>
  </si>
  <si>
    <t xml:space="preserve">                                          ________________ Buku  Statistik Perikanan Provinsi Bali          37</t>
  </si>
  <si>
    <t>Keterangan *) : Berdasarkan Keputusan Direktorat Jenderal Perikanan Budidaya, untuk Budidaya di Saluran Irigasi Tahun 2011 dan untuk selanjutnya dimasukkan ke dalam Budidaya di Kolam</t>
  </si>
  <si>
    <t xml:space="preserve">                                          ________________ Buku  Statistik Perikanan Provinsi Bali          14</t>
  </si>
  <si>
    <t>Tabel 10.  PERTUMBUHAN UNIT PENGOLAHAN IKAN (UPI) SKALA KECIL,MENENGAH</t>
  </si>
  <si>
    <t>MENURUT KABUPATEN/KOTA, TAHUN 2011 - 2015</t>
  </si>
  <si>
    <t>Sat : Unit</t>
  </si>
  <si>
    <t>Tabel 31. PERTUMBUHAN PRODUKSI BENIH PERIKANAN BUDIDAYA</t>
  </si>
  <si>
    <t>MENURUT SUMBER BENIH,TAHUN 2011 - 2015</t>
  </si>
  <si>
    <t>Sat : Ekor</t>
  </si>
  <si>
    <t>BBI</t>
  </si>
  <si>
    <t>BBUG</t>
  </si>
  <si>
    <t>Hatchery</t>
  </si>
  <si>
    <t>UPR</t>
  </si>
  <si>
    <t>HSRT</t>
  </si>
  <si>
    <t xml:space="preserve">                                          ________________ Buku  Statistik Perikanan Provinsi Bali          15</t>
  </si>
  <si>
    <t xml:space="preserve">                                          ________________ Buku  Statistik Perikanan Provinsi Bali          38</t>
  </si>
  <si>
    <t>VII. STATISTIK PERIKANAN  TANGKAP TAHUN 2011 - 2015</t>
  </si>
  <si>
    <t>Tabel 12.  PERTUMBUHAN PERLAKUAN TERHADAP PRODUKSI PERIKANAN TANGKAP</t>
  </si>
  <si>
    <t>Tabel 35. PERTUMBUHAN NILAI EKSPOR KOMODITI PERIKANAN</t>
  </si>
  <si>
    <t>MENURUT JENIS PERLAKUAN, TAHUN 2011 - 2015</t>
  </si>
  <si>
    <t>PROVINSI BALI TAHUN 2011 - 2015</t>
  </si>
  <si>
    <t>Sat : US$</t>
  </si>
  <si>
    <t>Komoditas</t>
  </si>
  <si>
    <t>Konsumsi segar</t>
  </si>
  <si>
    <t>Tuna  Segar</t>
  </si>
  <si>
    <t>Kering/Asin</t>
  </si>
  <si>
    <t>Tuna  Beku</t>
  </si>
  <si>
    <t>Asap/panggang</t>
  </si>
  <si>
    <t>Tuna Olahan</t>
  </si>
  <si>
    <t>Pemindangan</t>
  </si>
  <si>
    <t>Setuhuk/Marlin</t>
  </si>
  <si>
    <t>Pembekuan</t>
  </si>
  <si>
    <t>Meka/Swordfish</t>
  </si>
  <si>
    <t>Pengalengan</t>
  </si>
  <si>
    <t>Kerapu</t>
  </si>
  <si>
    <t>Penepungan</t>
  </si>
  <si>
    <t>Napoleon</t>
  </si>
  <si>
    <t>Lain-lain</t>
  </si>
  <si>
    <t>Kakap</t>
  </si>
  <si>
    <t xml:space="preserve"> </t>
  </si>
  <si>
    <t>Kepiting</t>
  </si>
  <si>
    <t xml:space="preserve">                                          ________________ Buku  Statistik Perikanan Provinsi Bali          17</t>
  </si>
  <si>
    <t xml:space="preserve">                                          ________________ Buku  Statistik Perikanan Provinsi Bali          43</t>
  </si>
  <si>
    <t>Tabel 13. PERTUMBUHAN RUMAH TANGGA/PERUSAHAAN PERIKANAN TANGKAP (LAUT &amp; PU)</t>
  </si>
  <si>
    <t>PROVINSI BALI TAHUN 2011 - 2015 (Lanjutan)</t>
  </si>
  <si>
    <t>MENURUT KABUPATEN/KOTA TAHUN 2011 - 2015</t>
  </si>
  <si>
    <t>Udang</t>
  </si>
  <si>
    <t>Hiu/Sirip Hiu</t>
  </si>
  <si>
    <t>Rumput Laut</t>
  </si>
  <si>
    <t>Ikan Kaleng</t>
  </si>
  <si>
    <t>Ikan Hias Laut *)</t>
  </si>
  <si>
    <t>Nener*)</t>
  </si>
  <si>
    <t>Lainnya*)</t>
  </si>
  <si>
    <t>Jumlah (Ton)</t>
  </si>
  <si>
    <t>Bangli*</t>
  </si>
  <si>
    <t>Jumlah  (Ekor)   *)</t>
  </si>
  <si>
    <t xml:space="preserve">Jumlah </t>
  </si>
  <si>
    <t xml:space="preserve">                                          ________________ Buku  Statistik Perikanan Provinsi Bali          18</t>
  </si>
  <si>
    <t xml:space="preserve">                                          ________________ Buku  Statistik Perikanan Provinsi Bali          44</t>
  </si>
  <si>
    <t>Ket* : Kabupaten Bangli hanya di PU</t>
  </si>
  <si>
    <t>Tabel 36.  PERTUMBUHAN VOLUME EKSPOR KOMODITI PERIKANAN (BAHAN MAKANAN)</t>
  </si>
  <si>
    <t>Tabel 14. PERTUMBUHAN NELAYAN PERIKANAN TANGKAP (LAUT &amp; PU)</t>
  </si>
  <si>
    <t>PROVINSI BALI PER BULAN TAHUN 2011 - 2015</t>
  </si>
  <si>
    <t>Bulan</t>
  </si>
  <si>
    <t>Januari</t>
  </si>
  <si>
    <t>Februari</t>
  </si>
  <si>
    <t>Maret</t>
  </si>
  <si>
    <t>April</t>
  </si>
  <si>
    <t xml:space="preserve">Mei </t>
  </si>
  <si>
    <t>Juni</t>
  </si>
  <si>
    <t>Juli</t>
  </si>
  <si>
    <t xml:space="preserve">Agustus </t>
  </si>
  <si>
    <t>September</t>
  </si>
  <si>
    <t>Oktober</t>
  </si>
  <si>
    <t>Nopember</t>
  </si>
  <si>
    <t>Desember</t>
  </si>
  <si>
    <t xml:space="preserve">                                          ________________ Buku  Statistik Perikanan Provinsi Bali          19</t>
  </si>
  <si>
    <t xml:space="preserve">                                          ________________ Buku  Statistik Perikanan Provinsi Bali          45</t>
  </si>
  <si>
    <t>Tabel 15. PERTUMBUHAN PERAHU/KAPAL MOTOR MENURUT JENIS DAN UKURAN</t>
  </si>
  <si>
    <t xml:space="preserve">Tabel 37.  PERTUMBUHAN VOLUME EKSPOR KOMODITI PERIKANAN </t>
  </si>
  <si>
    <t>PERAHU/KAPAL, TAHUN 2011 - 2015</t>
  </si>
  <si>
    <t>(BUKAN BAHAN MAKANAN) PER BULAN TAHUN 2011 - 2015</t>
  </si>
  <si>
    <t>Armada</t>
  </si>
  <si>
    <t>Jukung</t>
  </si>
  <si>
    <t>Motor Tempel</t>
  </si>
  <si>
    <t>Kapal Motor</t>
  </si>
  <si>
    <t xml:space="preserve">     &lt; 5 GT.</t>
  </si>
  <si>
    <t xml:space="preserve">     5 - 10 GT</t>
  </si>
  <si>
    <t xml:space="preserve">  10 - 20 GT</t>
  </si>
  <si>
    <t xml:space="preserve">  20 - 30 GT</t>
  </si>
  <si>
    <t xml:space="preserve">  30 - 50 GT</t>
  </si>
  <si>
    <t xml:space="preserve">  50 - 100 GT</t>
  </si>
  <si>
    <t xml:space="preserve">  100 - 200 GT</t>
  </si>
  <si>
    <t xml:space="preserve">  &gt; 200 GT.</t>
  </si>
  <si>
    <t xml:space="preserve">                                          ________________ Buku  Statistik Perikanan Provinsi Bali          20</t>
  </si>
  <si>
    <t xml:space="preserve">                                          ________________ Buku  Statistik Perikanan Provinsi Bali          46</t>
  </si>
  <si>
    <t>Tabel 38.  PERTUMBUHAN NILAI EKSPOR KOMODITAS PERIKANAN (BAHAN MAKANAN)</t>
  </si>
  <si>
    <t>Tabel 16. PERTUMBUHAN UNIT PENANGKAPAN IKAN  (LAUT &amp; PU)</t>
  </si>
  <si>
    <t>PER BULAN TAHUN 2011 - 2015</t>
  </si>
  <si>
    <t xml:space="preserve">                                          ________________ Buku  Statistik Perikanan Provinsi Bali          21</t>
  </si>
  <si>
    <t xml:space="preserve">                                          ________________ Buku  Statistik Perikanan Provinsi Bali          47</t>
  </si>
  <si>
    <t>Tabel 17. PERTUMBUHAN UNIT PENANGKAPAN IKAN (LAUT &amp; PU)</t>
  </si>
  <si>
    <t>MENURUT JENIS ALAT TANGKAP, TAHUN 2011 - 2015</t>
  </si>
  <si>
    <t>Tabel 39.  PERTUMBUHAN VOLUME DAN NILAI EKSPOR KOMODITAS PERIKANAN</t>
  </si>
  <si>
    <t>Alat Tangkap</t>
  </si>
  <si>
    <t>MENURUT KOMODITAS UTAMA, TAHUN 2011 - 2015</t>
  </si>
  <si>
    <t>Sat : Ton/US$</t>
  </si>
  <si>
    <t>Pukat Kantong</t>
  </si>
  <si>
    <t xml:space="preserve"> - Payang</t>
  </si>
  <si>
    <t xml:space="preserve"> - Pukat Pantai</t>
  </si>
  <si>
    <t>Volume (Ton)</t>
  </si>
  <si>
    <t xml:space="preserve"> - Pukat Cincin</t>
  </si>
  <si>
    <t>Jaring Insang</t>
  </si>
  <si>
    <t>Tuna, Tongkol, Cakalang</t>
  </si>
  <si>
    <t xml:space="preserve"> - J I. Hanyut</t>
  </si>
  <si>
    <t>Ikan lainnya</t>
  </si>
  <si>
    <t xml:space="preserve"> - J   Klitik</t>
  </si>
  <si>
    <t xml:space="preserve"> - J I. Tetap</t>
  </si>
  <si>
    <t>Lainnya (rumput laut)</t>
  </si>
  <si>
    <t xml:space="preserve"> - J Tiga Lapis</t>
  </si>
  <si>
    <t>Jaring Angkat</t>
  </si>
  <si>
    <t>Nilai (US$)</t>
  </si>
  <si>
    <t xml:space="preserve"> - Bagan  Apung</t>
  </si>
  <si>
    <t xml:space="preserve"> - Bagan Tancap</t>
  </si>
  <si>
    <t xml:space="preserve"> - Serok</t>
  </si>
  <si>
    <t xml:space="preserve"> - Anco</t>
  </si>
  <si>
    <t xml:space="preserve">                                          ________________ Buku  Statistik Perikanan Provinsi Bali          22</t>
  </si>
  <si>
    <t xml:space="preserve">                                          ________________ Buku  Statistik Perikanan Provinsi Bali          48</t>
  </si>
  <si>
    <t>Tabel 11. PERTUMBUHAN UNIT PENGOLAHAN DAN PEMASARAN</t>
  </si>
  <si>
    <t>Tabel 17. PERTUMBUHAN UNIT PENANGKAPAN IKAN (LAUT &amp; PU) MENURUT JENIS  ALAT</t>
  </si>
  <si>
    <t>NONKONSUMSI MENURUT KABUPATEN/KOTA,TAHUN 2011 - 2015</t>
  </si>
  <si>
    <t>MENURUT JENIS ALAT TANGKAP, TAHUN 2011 - 2015 (lanjutan)</t>
  </si>
  <si>
    <t>Pancing</t>
  </si>
  <si>
    <t xml:space="preserve"> - Rawai Tuna</t>
  </si>
  <si>
    <t xml:space="preserve"> -</t>
  </si>
  <si>
    <t xml:space="preserve"> - R. Hanyut  T.</t>
  </si>
  <si>
    <t xml:space="preserve"> - Rawai Tetap</t>
  </si>
  <si>
    <t xml:space="preserve"> - Rawai Tetap Dasar</t>
  </si>
  <si>
    <t xml:space="preserve"> - P. Tonda </t>
  </si>
  <si>
    <t xml:space="preserve"> - P. Ulur</t>
  </si>
  <si>
    <t xml:space="preserve"> - P. Cumi</t>
  </si>
  <si>
    <t xml:space="preserve"> - P. Lainnya</t>
  </si>
  <si>
    <t>Lain Lain</t>
  </si>
  <si>
    <t xml:space="preserve"> - Bubu</t>
  </si>
  <si>
    <t xml:space="preserve">                                          ________________ Buku  Statistik Perikanan Provinsi Bali          16</t>
  </si>
  <si>
    <t xml:space="preserve"> - Perangkap L. ( Sero)</t>
  </si>
  <si>
    <t xml:space="preserve"> - A. Rumput Laut</t>
  </si>
  <si>
    <t xml:space="preserve"> - Jala tebar</t>
  </si>
  <si>
    <t xml:space="preserve"> - Garpu/Tombak</t>
  </si>
  <si>
    <t xml:space="preserve">                                          ________________ Buku  Statistik Perikanan Provinsi Bali          23</t>
  </si>
  <si>
    <t>Tabel 32. PERTUMBUHAN PRODUKSI BENIH PERIKANAN BUDIDAYA</t>
  </si>
  <si>
    <t>Tabel 18.  PERTUMBUHAN PRODUKSI IKAN OLAHAN PERIKANAN TANGKAP DI LAUT</t>
  </si>
  <si>
    <t>MENURUT JENIS IKAN TAHUN 2011 - 2015</t>
  </si>
  <si>
    <t>MENURUT JENIS OLAHAN, TAHUN 2011 - 2015</t>
  </si>
  <si>
    <t>Sat : 1000 ekor</t>
  </si>
  <si>
    <t>Mas</t>
  </si>
  <si>
    <t>Tawes</t>
  </si>
  <si>
    <t>Nila</t>
  </si>
  <si>
    <t>Gurami</t>
  </si>
  <si>
    <t>Lele</t>
  </si>
  <si>
    <t>Nener</t>
  </si>
  <si>
    <t xml:space="preserve">                                          ________________ Buku  Statistik Perikanan Provinsi Bali          24</t>
  </si>
  <si>
    <t xml:space="preserve">                                          ________________ Buku  Statistik Perikanan Provinsi Bali          39</t>
  </si>
  <si>
    <t xml:space="preserve">Tabel 40. PERTUMBUHAN VOLUME IMPORT </t>
  </si>
  <si>
    <t>MENURUT KOMODITAS TAHUN 2013 - 2015</t>
  </si>
  <si>
    <t>Tabel 19. PERTUMBUHAN PRODUKSI PERIKANAN TANGKAP (LAUT &amp; PU)</t>
  </si>
  <si>
    <t>Lemuru</t>
  </si>
  <si>
    <t>Salmon</t>
  </si>
  <si>
    <t>Cumi - cumi</t>
  </si>
  <si>
    <t>Mackerel</t>
  </si>
  <si>
    <t>Udang Lobster</t>
  </si>
  <si>
    <t>Udang Windu Beku</t>
  </si>
  <si>
    <t>Tiram</t>
  </si>
  <si>
    <t>Slengseng</t>
  </si>
  <si>
    <t>Tenggiri</t>
  </si>
  <si>
    <t xml:space="preserve">         ________________ Buku  Statistik Perikanan Provinsi Bali          49</t>
  </si>
  <si>
    <t xml:space="preserve">                                          ________________ Buku  Statistik Perikanan Provinsi Bali          25</t>
  </si>
  <si>
    <t>Tabel 20. PERTUMBUHAN PRODUKSI PERIKANAN TANGKAP (LAUT &amp; PU)</t>
  </si>
  <si>
    <t>Pukat Tarik</t>
  </si>
  <si>
    <t xml:space="preserve"> - Bagan Apung</t>
  </si>
  <si>
    <t xml:space="preserve">                                          ________________ Buku  Statistik Perikanan Provinsi Bali          26</t>
  </si>
  <si>
    <t>Tabel 20. PERTUMBUHAN PRODUKSI PERIKANAN TANGKAP MENURUT (LAUT DAN PU)</t>
  </si>
  <si>
    <t>JENIS ALAT TANGKAP, TAHUN 2011 - 2015 (Lanjutan)</t>
  </si>
  <si>
    <t xml:space="preserve"> - Perangkap L (sero)</t>
  </si>
  <si>
    <t xml:space="preserve"> - A Rum Laut</t>
  </si>
  <si>
    <t xml:space="preserve"> - Jala Tebar</t>
  </si>
  <si>
    <t xml:space="preserve"> - Garpu Tombak dll</t>
  </si>
  <si>
    <t xml:space="preserve">                                          ________________ Buku  Statistik Perikanan Provinsi Bali          27</t>
  </si>
  <si>
    <t>Tabel 21. PERTUMBUHAN PRODUKSI 10 BESAR</t>
  </si>
  <si>
    <t>PERIKANAN TANGKAP LAUT, TAHUN 2011 - 2015</t>
  </si>
  <si>
    <t>Nama Ikan</t>
  </si>
  <si>
    <t>Tuna</t>
  </si>
  <si>
    <t>Tongkol</t>
  </si>
  <si>
    <t>Cakalang</t>
  </si>
  <si>
    <t>Ikan Terbang</t>
  </si>
  <si>
    <t>Layang</t>
  </si>
  <si>
    <t>Kakap Merah</t>
  </si>
  <si>
    <t>Teri</t>
  </si>
  <si>
    <t>Selar</t>
  </si>
  <si>
    <t>Tembang</t>
  </si>
  <si>
    <t xml:space="preserve">                                          ________________ Buku  Statistik Perikanan Provinsi Bali          28</t>
  </si>
  <si>
    <t>VIII. STATISTIK PERIKANAN BUDIDAYA TAHUN 2011 - 2015</t>
  </si>
  <si>
    <t xml:space="preserve">Tabel 23. PERTUMBUHAN RUMAH TANGGA/PERUSAHAAN PERIKANAN </t>
  </si>
  <si>
    <t>BUDIDAYA MENURUT KABUPATEN/KOTA, TAHUN 2011 - 2015</t>
  </si>
  <si>
    <t xml:space="preserve">                                          ________________ Buku  Statistik Perikanan Provinsi Bali          30</t>
  </si>
  <si>
    <t>Tabel 24.  PERTUMBUHAN PEMBUDIDAYA IKAN  PERIKANAN BUDIDAYA</t>
  </si>
  <si>
    <t xml:space="preserve">                                          ________________ Buku  Statistik Perikanan Provinsi Bali          31</t>
  </si>
  <si>
    <t>Tabel 25. PERTUMBUHAN LUAS PEMELIHARAAN PERIKANAN BUDIDAYA</t>
  </si>
  <si>
    <t>MENURUT JENIS BUDIDAYA, TAHUN 2011 - 2015</t>
  </si>
  <si>
    <t>Sat : Ha.</t>
  </si>
  <si>
    <t>Bud. di Laut</t>
  </si>
  <si>
    <t>Bud.  Tambak</t>
  </si>
  <si>
    <t>Bud. Air Tawar</t>
  </si>
  <si>
    <t xml:space="preserve"> - Kolam</t>
  </si>
  <si>
    <t xml:space="preserve"> - Sawah</t>
  </si>
  <si>
    <t xml:space="preserve"> - Jaka Apung</t>
  </si>
  <si>
    <t xml:space="preserve"> - Saluran Irigasi *)</t>
  </si>
  <si>
    <t xml:space="preserve">                                          ________________ Buku  Statistik Perikanan Provinsi Bali          32</t>
  </si>
  <si>
    <t>Tabel 26. PERTUMBUHAN PRODUKSI PERIKANAN BUDIDAYA</t>
  </si>
  <si>
    <t xml:space="preserve">                                          ________________ Buku  Statistik Perikanan Provinsi Bali          33</t>
  </si>
  <si>
    <t>Tabel 27. PERTUMBUHAN PRODUKSI PERIKANAN BUDIDAYA</t>
  </si>
  <si>
    <t>Saluran Irigasi*)</t>
  </si>
  <si>
    <t xml:space="preserve">                                          ________________ Buku  Statistik Perikanan Provinsi Bali          34</t>
  </si>
  <si>
    <t>Tabel 28. PERTUMBUHAN PRODUKSI 10 BESAR</t>
  </si>
  <si>
    <t>PERIKANAN BUDIDAYA,TAHUN 2011 - 2015</t>
  </si>
  <si>
    <t>Udang Vaname</t>
  </si>
  <si>
    <t>Bandeng</t>
  </si>
  <si>
    <t>Udang Galah</t>
  </si>
  <si>
    <t xml:space="preserve">                                          ________________ Buku  Statistik Perikanan Provinsi Bali          35</t>
  </si>
  <si>
    <t>IX. STATISTIK EKSPOR HASIL PERIKANAN TAHUN 2011 - 2015</t>
  </si>
  <si>
    <t>Tabel 34. PERTUMBUHAN VOLUME EKSPOR KOMODITAS PERIKANAN</t>
  </si>
  <si>
    <t xml:space="preserve">                                          ________________ Buku  Statistik Perikanan Provinsi Bali          41</t>
  </si>
  <si>
    <t>Tabel 34. PERTUMBUHAN VOLUME EKSPOR KOMODITI PERIKANAN</t>
  </si>
  <si>
    <t xml:space="preserve">                                          ________________ Buku  Statistik Perikanan Provinsi Bali          42</t>
  </si>
  <si>
    <t>Tabel 42.  PERKEMBANGAN PRODUKSI GARAM MENURUT KABUPATEN/KOTA</t>
  </si>
  <si>
    <t>PROVINSI BALI TAHUN 2012-2015</t>
  </si>
  <si>
    <t>Luas Lahan</t>
  </si>
  <si>
    <t>Potensi (Ha)</t>
  </si>
  <si>
    <t xml:space="preserve">        ________________ Buku  Statistik Perikanan Provinsi Bali          51</t>
  </si>
  <si>
    <t>Tabel 43.  PERKEMBANGAN NILAI PRODUKSI GARAM MENURUT KABUPATEN/KOTA</t>
  </si>
  <si>
    <t>PROVINSI BALI TAHUN 2012-2014</t>
  </si>
  <si>
    <t>Sat : Rp.1000</t>
  </si>
  <si>
    <t xml:space="preserve">            ________________ Buku  Statistik Perikanan Provinsi Bali          52</t>
  </si>
  <si>
    <t>Refference Point</t>
  </si>
  <si>
    <t>Harapan</t>
  </si>
  <si>
    <t>Sumber</t>
  </si>
  <si>
    <t>Data</t>
  </si>
  <si>
    <t>Resolusi</t>
  </si>
  <si>
    <t>DATA SPASIAL</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</si>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</sst>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_(* \(#,##0.00\);_(* &quot;-&quot;??_);_(@_)"/>
    <numFmt numFmtId="165" formatCode="_(* #,##0_);_(* \(#,##0\);_(* &quot;-&quot;??_);_(@_)"/>
    <numFmt numFmtId="166" formatCode="#,##0.0"/>
    <numFmt numFmtId="167" formatCode="_(* #,##0.0_);_(* \(#,##0.0\);_(* &quot;-&quot;??_);_(@_)"/>
    <numFmt numFmtId="168" formatCode="_(* #,##0.0_);_(* \(#,##0.0\);_(* &quot;-&quot;_);_(@_)"/>
    <numFmt numFmtId="169" formatCode="_(* #,##0.000_);_(* \(#,##0.000\);_(* &quot;-&quot;??_);_(@_)"/>
    <numFmt numFmtId="170" formatCode="#,##0.0_);\(#,##0.0\)"/>
    <numFmt numFmtId="171" formatCode="_(* #,##0.00_);_(* \(#,##0.00\);_(* &quot;-&quot;_);_(@_)"/>
    <numFmt numFmtId="172" formatCode="_(* #,##0_);_(* \(#,##0\);_(* &quot;-&quot;_);_(@_)"/>
  </numFmts>
  <fonts count="42">
    <font>
      <sz val="11"/>
      <color theme="1"/>
      <name val="Calibri"/>
      <family val="2"/>
      <scheme val="minor"/>
    </font>
    <font>
      <sz val="11"/>
      <color theme="1"/>
      <name val="Arial Black"/>
      <family val="2"/>
    </font>
    <font>
      <sz val="14"/>
      <color theme="1"/>
      <name val="Aharoni"/>
      <charset val="177"/>
    </font>
    <font>
      <b/>
      <sz val="11"/>
      <color theme="1"/>
      <name val="Baskerville Old Face"/>
      <family val="1"/>
    </font>
    <font>
      <b/>
      <sz val="11"/>
      <color theme="1"/>
      <name val="Calibri"/>
      <family val="2"/>
      <scheme val="minor"/>
    </font>
    <font>
      <b/>
      <sz val="11"/>
      <color theme="1"/>
      <name val="Arial Black"/>
      <family val="2"/>
    </font>
    <font>
      <sz val="11"/>
      <color theme="1"/>
      <name val="Baskerville Old Face"/>
      <family val="1"/>
    </font>
    <font>
      <sz val="12"/>
      <color theme="1"/>
      <name val="Arial"/>
      <family val="2"/>
    </font>
    <font>
      <b/>
      <sz val="12"/>
      <color theme="1"/>
      <name val="Arial"/>
      <family val="2"/>
    </font>
    <font>
      <sz val="11"/>
      <color theme="1"/>
      <name val="Calibri"/>
      <family val="2"/>
      <scheme val="minor"/>
    </font>
    <font>
      <b/>
      <sz val="11"/>
      <color indexed="12"/>
      <name val="Calibri"/>
      <family val="2"/>
      <scheme val="minor"/>
    </font>
    <font>
      <b/>
      <sz val="7"/>
      <color rgb="FF0000FF"/>
      <name val="Calibri"/>
      <family val="2"/>
      <scheme val="minor"/>
    </font>
    <font>
      <b/>
      <sz val="7"/>
      <color indexed="12"/>
      <name val="Calibri"/>
      <family val="2"/>
      <scheme val="minor"/>
    </font>
    <font>
      <b/>
      <sz val="10"/>
      <color indexed="12"/>
      <name val="Tahoma"/>
      <family val="2"/>
    </font>
    <font>
      <sz val="7"/>
      <color theme="1"/>
      <name val="Calibri"/>
      <family val="2"/>
      <scheme val="minor"/>
    </font>
    <font>
      <sz val="7"/>
      <name val="Calibri"/>
      <family val="2"/>
      <scheme val="minor"/>
    </font>
    <font>
      <i/>
      <sz val="7"/>
      <color indexed="12"/>
      <name val="Calibri"/>
      <family val="2"/>
      <scheme val="minor"/>
    </font>
    <font>
      <b/>
      <sz val="7"/>
      <color theme="1"/>
      <name val="Calibri"/>
      <family val="2"/>
      <scheme val="minor"/>
    </font>
    <font>
      <sz val="10"/>
      <name val="Arial"/>
      <family val="2"/>
    </font>
    <font>
      <b/>
      <sz val="7"/>
      <name val="Calibri"/>
      <family val="2"/>
      <scheme val="minor"/>
    </font>
    <font>
      <sz val="6"/>
      <name val="Calibri"/>
      <family val="2"/>
      <scheme val="minor"/>
    </font>
    <font>
      <b/>
      <i/>
      <sz val="7"/>
      <name val="Calibri"/>
      <family val="2"/>
      <scheme val="minor"/>
    </font>
    <font>
      <i/>
      <sz val="7"/>
      <name val="Calibri"/>
      <family val="2"/>
      <scheme val="minor"/>
    </font>
    <font>
      <i/>
      <sz val="7"/>
      <color rgb="FF0000FF"/>
      <name val="Forte"/>
      <family val="4"/>
    </font>
    <font>
      <b/>
      <i/>
      <sz val="6"/>
      <name val="Calibri"/>
      <family val="2"/>
      <scheme val="minor"/>
    </font>
    <font>
      <i/>
      <sz val="7"/>
      <color rgb="FF0000FF"/>
      <name val="Calibri"/>
      <family val="2"/>
      <scheme val="minor"/>
    </font>
    <font>
      <sz val="6"/>
      <color indexed="12"/>
      <name val="Calibri"/>
      <family val="2"/>
      <scheme val="minor"/>
    </font>
    <font>
      <sz val="7"/>
      <color indexed="12"/>
      <name val="Calibri"/>
      <family val="2"/>
      <scheme val="minor"/>
    </font>
    <font>
      <sz val="7"/>
      <color rgb="FFFF0000"/>
      <name val="Calibri"/>
      <family val="2"/>
      <scheme val="minor"/>
    </font>
    <font>
      <sz val="10"/>
      <name val="Tahoma"/>
      <family val="2"/>
    </font>
    <font>
      <sz val="7"/>
      <name val="Tahoma"/>
      <family val="2"/>
    </font>
    <font>
      <sz val="5"/>
      <color theme="1"/>
      <name val="Calibri"/>
      <family val="2"/>
      <scheme val="minor"/>
    </font>
    <font>
      <sz val="8"/>
      <color indexed="12"/>
      <name val="Tahoma"/>
      <family val="2"/>
    </font>
    <font>
      <i/>
      <sz val="8"/>
      <color indexed="12"/>
      <name val="Tahoma"/>
      <family val="2"/>
    </font>
    <font>
      <b/>
      <i/>
      <sz val="7"/>
      <color theme="1"/>
      <name val="Calibri"/>
      <family val="2"/>
      <scheme val="minor"/>
    </font>
    <font>
      <sz val="5"/>
      <name val="Calibri"/>
      <family val="2"/>
      <scheme val="minor"/>
    </font>
    <font>
      <sz val="8"/>
      <color theme="1"/>
      <name val="Calibri"/>
      <family val="2"/>
      <scheme val="minor"/>
    </font>
    <font>
      <b/>
      <sz val="6"/>
      <name val="Calibri"/>
      <family val="2"/>
      <scheme val="minor"/>
    </font>
    <font>
      <b/>
      <sz val="8"/>
      <color indexed="81"/>
      <name val="Tahoma"/>
      <family val="2"/>
    </font>
    <font>
      <sz val="8"/>
      <color indexed="81"/>
      <name val="Tahoma"/>
      <family val="2"/>
    </font>
    <font>
      <b/>
      <sz val="14"/>
      <name val="Calibri"/>
      <family val="2"/>
      <scheme val="minor"/>
    </font>
    <font>
      <sz val="1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C0C0C0"/>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bottom style="thin">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style="thin">
        <color indexed="64"/>
      </right>
      <top style="double">
        <color indexed="64"/>
      </top>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6">
    <xf numFmtId="0" fontId="0" fillId="0" borderId="0"/>
    <xf numFmtId="0" fontId="18" fillId="0" borderId="0"/>
    <xf numFmtId="0" fontId="18" fillId="0" borderId="0"/>
    <xf numFmtId="0" fontId="18" fillId="0" borderId="0"/>
    <xf numFmtId="164" fontId="9"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172" fontId="18" fillId="0" borderId="0" applyFont="0" applyFill="0" applyBorder="0" applyAlignment="0" applyProtection="0"/>
    <xf numFmtId="172"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cellStyleXfs>
  <cellXfs count="835">
    <xf numFmtId="0" fontId="0" fillId="0" borderId="0" xfId="0"/>
    <xf numFmtId="0" fontId="0" fillId="0" borderId="0" xfId="0"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xf>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0" fillId="0" borderId="0" xfId="0" applyAlignment="1">
      <alignment vertical="center"/>
    </xf>
    <xf numFmtId="0" fontId="4" fillId="0" borderId="1" xfId="0" applyFont="1" applyBorder="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6" xfId="0" applyFont="1" applyBorder="1" applyAlignment="1">
      <alignment vertical="center" wrapText="1"/>
    </xf>
    <xf numFmtId="0" fontId="0" fillId="0" borderId="5" xfId="0" applyFont="1" applyBorder="1" applyAlignment="1">
      <alignment vertical="top" wrapText="1"/>
    </xf>
    <xf numFmtId="0" fontId="0" fillId="0" borderId="9" xfId="0" applyFont="1" applyBorder="1" applyAlignment="1">
      <alignment vertical="top" wrapText="1"/>
    </xf>
    <xf numFmtId="0" fontId="0" fillId="0" borderId="0" xfId="0" applyAlignment="1">
      <alignment vertical="center"/>
    </xf>
    <xf numFmtId="0" fontId="0" fillId="0" borderId="6" xfId="0" applyFont="1" applyBorder="1" applyAlignment="1">
      <alignment vertical="top" wrapText="1"/>
    </xf>
    <xf numFmtId="0" fontId="0" fillId="0" borderId="6" xfId="0" applyBorder="1" applyAlignment="1">
      <alignment vertical="top"/>
    </xf>
    <xf numFmtId="0" fontId="4" fillId="0" borderId="0" xfId="0" applyFont="1" applyAlignment="1">
      <alignment vertical="center"/>
    </xf>
    <xf numFmtId="0" fontId="0" fillId="0" borderId="0" xfId="0" applyAlignment="1">
      <alignment vertical="center"/>
    </xf>
    <xf numFmtId="0" fontId="0" fillId="0" borderId="0" xfId="0" applyAlignment="1">
      <alignment vertical="top"/>
    </xf>
    <xf numFmtId="0" fontId="6" fillId="0" borderId="0" xfId="0" applyFont="1" applyAlignment="1">
      <alignment vertical="top"/>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vertical="top"/>
    </xf>
    <xf numFmtId="0" fontId="8" fillId="0" borderId="0" xfId="0" applyFont="1" applyAlignment="1">
      <alignment vertical="center"/>
    </xf>
    <xf numFmtId="0" fontId="0" fillId="0" borderId="7"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9" xfId="0" applyBorder="1" applyAlignment="1">
      <alignment vertical="top" wrapText="1"/>
    </xf>
    <xf numFmtId="0" fontId="0" fillId="0" borderId="8" xfId="0" applyBorder="1" applyAlignment="1">
      <alignment vertical="top" wrapText="1"/>
    </xf>
    <xf numFmtId="0" fontId="0" fillId="0" borderId="9" xfId="0" applyFont="1" applyBorder="1" applyAlignment="1">
      <alignment vertical="center" wrapText="1"/>
    </xf>
    <xf numFmtId="0" fontId="0" fillId="0" borderId="9" xfId="0" applyBorder="1" applyAlignment="1">
      <alignment vertical="center"/>
    </xf>
    <xf numFmtId="0" fontId="5" fillId="0" borderId="10" xfId="0" applyFont="1" applyBorder="1" applyAlignment="1">
      <alignment horizontal="center" vertical="center" wrapText="1"/>
    </xf>
    <xf numFmtId="0" fontId="5" fillId="0" borderId="12" xfId="0" applyFont="1" applyBorder="1" applyAlignment="1">
      <alignment horizontal="center" vertical="center" wrapText="1"/>
    </xf>
    <xf numFmtId="0" fontId="0" fillId="0" borderId="10" xfId="0" applyFont="1" applyBorder="1" applyAlignment="1">
      <alignment vertical="top" wrapText="1"/>
    </xf>
    <xf numFmtId="0" fontId="0" fillId="0" borderId="11" xfId="0" applyBorder="1" applyAlignment="1">
      <alignment vertical="top" wrapText="1"/>
    </xf>
    <xf numFmtId="0" fontId="0" fillId="0" borderId="14" xfId="0" applyFont="1" applyBorder="1" applyAlignment="1">
      <alignment vertical="top" wrapText="1"/>
    </xf>
    <xf numFmtId="0" fontId="0" fillId="0" borderId="15" xfId="0" applyBorder="1" applyAlignment="1">
      <alignment vertical="top" wrapText="1"/>
    </xf>
    <xf numFmtId="0" fontId="0" fillId="0" borderId="16" xfId="0" applyFont="1" applyBorder="1" applyAlignment="1">
      <alignment vertical="top" wrapText="1"/>
    </xf>
    <xf numFmtId="0" fontId="0" fillId="0" borderId="17" xfId="0" applyBorder="1" applyAlignment="1">
      <alignment vertical="top" wrapText="1"/>
    </xf>
    <xf numFmtId="0" fontId="0" fillId="0" borderId="19" xfId="0" applyFont="1"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1" xfId="0" applyBorder="1" applyAlignment="1">
      <alignment horizontal="left" vertical="top" wrapText="1"/>
    </xf>
    <xf numFmtId="0" fontId="0" fillId="0" borderId="23" xfId="0" applyBorder="1" applyAlignment="1">
      <alignment vertical="top" wrapText="1"/>
    </xf>
    <xf numFmtId="0" fontId="4"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0" fillId="0" borderId="10" xfId="0" applyBorder="1" applyAlignment="1">
      <alignment vertical="top" wrapText="1"/>
    </xf>
    <xf numFmtId="0" fontId="0" fillId="0" borderId="14" xfId="0" applyBorder="1" applyAlignment="1">
      <alignment vertical="top" wrapText="1"/>
    </xf>
    <xf numFmtId="0" fontId="0" fillId="0" borderId="16" xfId="0" applyBorder="1" applyAlignment="1">
      <alignment vertical="top" wrapText="1"/>
    </xf>
    <xf numFmtId="0" fontId="0" fillId="0" borderId="19" xfId="0" applyBorder="1" applyAlignment="1">
      <alignment vertical="top" wrapText="1"/>
    </xf>
    <xf numFmtId="0" fontId="0" fillId="0" borderId="14"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vertical="top" wrapText="1"/>
    </xf>
    <xf numFmtId="0" fontId="0" fillId="0" borderId="20" xfId="0" applyBorder="1" applyAlignment="1">
      <alignment horizontal="left" vertical="top" wrapText="1"/>
    </xf>
    <xf numFmtId="0" fontId="0" fillId="0" borderId="21" xfId="0" applyBorder="1" applyAlignment="1">
      <alignment horizontal="left" vertical="top"/>
    </xf>
    <xf numFmtId="0" fontId="0" fillId="0" borderId="22" xfId="0" applyBorder="1" applyAlignment="1">
      <alignment vertical="top" wrapText="1"/>
    </xf>
    <xf numFmtId="0" fontId="0" fillId="0" borderId="0" xfId="0" applyAlignment="1">
      <alignment vertical="center"/>
    </xf>
    <xf numFmtId="0" fontId="0" fillId="0" borderId="17" xfId="0" applyBorder="1" applyAlignment="1">
      <alignment horizontal="left" vertical="top" wrapText="1"/>
    </xf>
    <xf numFmtId="0" fontId="0" fillId="0" borderId="9" xfId="0" applyBorder="1" applyAlignment="1">
      <alignment horizontal="center" vertical="center"/>
    </xf>
    <xf numFmtId="0" fontId="0" fillId="0" borderId="0" xfId="0" applyAlignment="1">
      <alignment vertical="center"/>
    </xf>
    <xf numFmtId="0" fontId="0" fillId="0" borderId="18" xfId="0" applyBorder="1" applyAlignment="1">
      <alignment horizontal="left" vertical="top" wrapText="1"/>
    </xf>
    <xf numFmtId="0" fontId="0" fillId="0" borderId="8" xfId="0" applyFont="1" applyBorder="1" applyAlignment="1">
      <alignment vertical="top" wrapText="1"/>
    </xf>
    <xf numFmtId="0" fontId="0" fillId="0" borderId="2" xfId="0" applyBorder="1" applyAlignment="1">
      <alignment vertical="top"/>
    </xf>
    <xf numFmtId="0" fontId="0" fillId="0" borderId="3" xfId="0" applyBorder="1" applyAlignment="1">
      <alignment vertical="top"/>
    </xf>
    <xf numFmtId="0" fontId="0" fillId="0" borderId="9" xfId="0" applyBorder="1" applyAlignment="1">
      <alignment vertical="top"/>
    </xf>
    <xf numFmtId="0" fontId="0" fillId="0" borderId="2" xfId="0" applyFont="1" applyBorder="1" applyAlignment="1">
      <alignment vertical="top" wrapText="1"/>
    </xf>
    <xf numFmtId="0" fontId="0" fillId="0" borderId="4" xfId="0" applyBorder="1" applyAlignment="1">
      <alignment vertical="top"/>
    </xf>
    <xf numFmtId="0" fontId="0" fillId="0" borderId="4"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0" fontId="0" fillId="0" borderId="3" xfId="0" applyFont="1" applyBorder="1" applyAlignment="1">
      <alignment vertical="top" wrapText="1"/>
    </xf>
    <xf numFmtId="0" fontId="0" fillId="0" borderId="8" xfId="0" applyBorder="1" applyAlignment="1">
      <alignment horizontal="right" vertical="top"/>
    </xf>
    <xf numFmtId="0" fontId="0" fillId="0" borderId="3" xfId="0" applyBorder="1" applyAlignment="1">
      <alignment horizontal="center" vertical="top"/>
    </xf>
    <xf numFmtId="0" fontId="0" fillId="0" borderId="6" xfId="0" applyFont="1" applyBorder="1" applyAlignment="1">
      <alignment horizontal="left" vertical="top" wrapText="1"/>
    </xf>
    <xf numFmtId="0" fontId="0" fillId="0" borderId="6" xfId="0" applyBorder="1" applyAlignment="1">
      <alignment horizontal="right" vertical="top"/>
    </xf>
    <xf numFmtId="0" fontId="0" fillId="0" borderId="16" xfId="0" applyBorder="1" applyAlignment="1">
      <alignment horizontal="left" vertical="top" wrapText="1"/>
    </xf>
    <xf numFmtId="0" fontId="0" fillId="0" borderId="7" xfId="0" applyFont="1" applyBorder="1" applyAlignment="1">
      <alignment vertical="top" wrapText="1"/>
    </xf>
    <xf numFmtId="0" fontId="0" fillId="0" borderId="13" xfId="0" applyBorder="1" applyAlignment="1">
      <alignment horizontal="left" vertical="top" wrapText="1"/>
    </xf>
    <xf numFmtId="0" fontId="0" fillId="0" borderId="22" xfId="0" applyFont="1" applyBorder="1" applyAlignment="1">
      <alignment vertical="top" wrapText="1"/>
    </xf>
    <xf numFmtId="0" fontId="0" fillId="0" borderId="9" xfId="0" applyBorder="1" applyAlignment="1">
      <alignment horizontal="center" vertical="top"/>
    </xf>
    <xf numFmtId="0" fontId="0" fillId="0" borderId="3" xfId="0" applyBorder="1" applyAlignment="1">
      <alignment horizontal="right" vertical="top"/>
    </xf>
    <xf numFmtId="0" fontId="0" fillId="0" borderId="3" xfId="0" applyFont="1" applyBorder="1" applyAlignment="1">
      <alignment horizontal="left" vertical="top" wrapText="1"/>
    </xf>
    <xf numFmtId="0" fontId="0" fillId="0" borderId="0" xfId="0" applyAlignment="1">
      <alignment vertical="center"/>
    </xf>
    <xf numFmtId="0" fontId="0" fillId="0" borderId="7" xfId="0" applyBorder="1" applyAlignment="1">
      <alignment horizontal="right" vertical="top"/>
    </xf>
    <xf numFmtId="0" fontId="0" fillId="0" borderId="4" xfId="0" applyBorder="1" applyAlignment="1">
      <alignment horizontal="center" vertical="top"/>
    </xf>
    <xf numFmtId="0" fontId="0" fillId="0" borderId="4" xfId="0" applyFont="1" applyBorder="1" applyAlignment="1">
      <alignment horizontal="left" vertical="top" wrapText="1"/>
    </xf>
    <xf numFmtId="0" fontId="0" fillId="0" borderId="12" xfId="0" applyFont="1" applyBorder="1" applyAlignment="1">
      <alignment horizontal="left" vertical="top" wrapText="1"/>
    </xf>
    <xf numFmtId="0" fontId="0" fillId="0" borderId="8" xfId="0" applyBorder="1" applyAlignment="1">
      <alignment horizontal="center" vertical="center"/>
    </xf>
    <xf numFmtId="0" fontId="0" fillId="0" borderId="8" xfId="0" applyFont="1" applyBorder="1" applyAlignment="1">
      <alignment vertical="center" wrapText="1"/>
    </xf>
    <xf numFmtId="0" fontId="0" fillId="0" borderId="8" xfId="0" applyBorder="1" applyAlignment="1">
      <alignment vertical="top"/>
    </xf>
    <xf numFmtId="0" fontId="0" fillId="0" borderId="4" xfId="0" applyBorder="1" applyAlignment="1">
      <alignment horizontal="center" vertical="center"/>
    </xf>
    <xf numFmtId="0" fontId="0" fillId="0" borderId="12" xfId="0" applyBorder="1" applyAlignment="1">
      <alignment horizontal="left" vertical="top" wrapText="1"/>
    </xf>
    <xf numFmtId="0" fontId="0" fillId="0" borderId="0" xfId="0" applyAlignment="1">
      <alignment vertical="center"/>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vertical="center" wrapText="1"/>
    </xf>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0" borderId="15" xfId="0" applyBorder="1" applyAlignment="1">
      <alignment horizontal="left" vertical="top" wrapText="1"/>
    </xf>
    <xf numFmtId="0" fontId="0" fillId="0" borderId="13" xfId="0" applyBorder="1" applyAlignment="1">
      <alignment horizontal="left" vertical="top"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8" xfId="0" applyFont="1" applyBorder="1" applyAlignment="1">
      <alignment horizontal="left" vertical="center" wrapText="1"/>
    </xf>
    <xf numFmtId="0" fontId="0" fillId="0" borderId="3" xfId="0" applyFont="1" applyBorder="1" applyAlignment="1">
      <alignment horizontal="left" vertical="center" wrapText="1"/>
    </xf>
    <xf numFmtId="0" fontId="0" fillId="0" borderId="9" xfId="0" applyFont="1" applyBorder="1" applyAlignment="1">
      <alignment horizontal="left" vertical="center" wrapText="1"/>
    </xf>
    <xf numFmtId="0" fontId="0" fillId="0" borderId="8" xfId="0" applyFont="1" applyBorder="1" applyAlignment="1">
      <alignment horizontal="left" vertical="top" wrapText="1"/>
    </xf>
    <xf numFmtId="0" fontId="0" fillId="0" borderId="3" xfId="0" applyFont="1" applyBorder="1" applyAlignment="1">
      <alignment horizontal="left" vertical="top" wrapText="1"/>
    </xf>
    <xf numFmtId="0" fontId="0" fillId="0" borderId="9" xfId="0" applyFont="1" applyBorder="1" applyAlignment="1">
      <alignment horizontal="left" vertical="top" wrapText="1"/>
    </xf>
    <xf numFmtId="0" fontId="0" fillId="0" borderId="18" xfId="0" applyBorder="1" applyAlignment="1">
      <alignment horizontal="left" vertical="top" wrapText="1"/>
    </xf>
    <xf numFmtId="0" fontId="10" fillId="2" borderId="0" xfId="0" applyFont="1" applyFill="1" applyAlignment="1">
      <alignment horizontal="center" vertical="center"/>
    </xf>
    <xf numFmtId="0" fontId="11" fillId="0" borderId="0" xfId="0" applyFont="1" applyAlignment="1">
      <alignment horizontal="center" vertical="center"/>
    </xf>
    <xf numFmtId="0" fontId="10" fillId="0" borderId="0" xfId="0" applyFont="1" applyFill="1" applyAlignment="1">
      <alignment horizontal="center" vertical="center"/>
    </xf>
    <xf numFmtId="4" fontId="12" fillId="0" borderId="0" xfId="0" applyNumberFormat="1"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left" vertical="center"/>
    </xf>
    <xf numFmtId="0" fontId="14" fillId="0" borderId="0" xfId="0" applyFont="1" applyAlignment="1">
      <alignment vertical="center"/>
    </xf>
    <xf numFmtId="0" fontId="14" fillId="0" borderId="0" xfId="0" applyFont="1" applyAlignment="1">
      <alignment horizontal="right" vertical="center"/>
    </xf>
    <xf numFmtId="0" fontId="0" fillId="0" borderId="0" xfId="0" applyFill="1" applyAlignment="1">
      <alignment vertical="center"/>
    </xf>
    <xf numFmtId="4" fontId="15" fillId="0" borderId="0" xfId="0" applyNumberFormat="1" applyFont="1" applyAlignment="1">
      <alignment vertical="center"/>
    </xf>
    <xf numFmtId="4" fontId="16" fillId="0" borderId="0" xfId="0" applyNumberFormat="1" applyFont="1" applyAlignment="1">
      <alignment horizontal="right" vertical="center"/>
    </xf>
    <xf numFmtId="0" fontId="17" fillId="3" borderId="1" xfId="0" applyFont="1" applyFill="1" applyBorder="1" applyAlignment="1">
      <alignment horizontal="center" vertical="center"/>
    </xf>
    <xf numFmtId="0" fontId="12" fillId="0" borderId="0" xfId="1" applyFont="1" applyAlignment="1">
      <alignment horizontal="center" vertical="center"/>
    </xf>
    <xf numFmtId="0" fontId="12" fillId="0" borderId="0" xfId="1" applyFont="1" applyFill="1" applyAlignment="1">
      <alignment horizontal="center" vertical="center"/>
    </xf>
    <xf numFmtId="0" fontId="17" fillId="4" borderId="2" xfId="0" applyFont="1" applyFill="1" applyBorder="1" applyAlignment="1">
      <alignment horizontal="center" vertical="center"/>
    </xf>
    <xf numFmtId="0" fontId="19" fillId="4" borderId="2" xfId="0" applyFont="1" applyFill="1" applyBorder="1" applyAlignment="1">
      <alignment horizontal="center" wrapText="1"/>
    </xf>
    <xf numFmtId="0" fontId="19" fillId="4" borderId="24" xfId="0" applyFont="1" applyFill="1" applyBorder="1" applyAlignment="1">
      <alignment horizontal="center" vertical="center"/>
    </xf>
    <xf numFmtId="0" fontId="19" fillId="4" borderId="25" xfId="0" applyFont="1" applyFill="1" applyBorder="1" applyAlignment="1">
      <alignment horizontal="center" vertical="center"/>
    </xf>
    <xf numFmtId="0" fontId="19" fillId="4" borderId="26" xfId="0" applyFont="1" applyFill="1" applyBorder="1" applyAlignment="1">
      <alignment horizontal="center" vertical="center"/>
    </xf>
    <xf numFmtId="0" fontId="19" fillId="4" borderId="2" xfId="0" applyFont="1" applyFill="1" applyBorder="1" applyAlignment="1">
      <alignment horizontal="center" vertical="center"/>
    </xf>
    <xf numFmtId="0" fontId="17" fillId="3" borderId="2" xfId="0" applyFont="1" applyFill="1" applyBorder="1" applyAlignment="1">
      <alignment horizontal="center" vertical="center"/>
    </xf>
    <xf numFmtId="0" fontId="17" fillId="3" borderId="2" xfId="0" applyFont="1" applyFill="1" applyBorder="1" applyAlignment="1">
      <alignment horizontal="center" vertical="center"/>
    </xf>
    <xf numFmtId="0" fontId="12" fillId="0" borderId="0" xfId="2" applyFont="1" applyAlignment="1">
      <alignment horizontal="center" vertical="center"/>
    </xf>
    <xf numFmtId="0" fontId="12" fillId="0" borderId="0" xfId="2" applyFont="1" applyFill="1" applyAlignment="1">
      <alignment horizontal="center" vertical="center"/>
    </xf>
    <xf numFmtId="0" fontId="17" fillId="4" borderId="27" xfId="0" applyFont="1" applyFill="1" applyBorder="1" applyAlignment="1">
      <alignment horizontal="center" vertical="center"/>
    </xf>
    <xf numFmtId="0" fontId="19" fillId="4" borderId="27" xfId="0" applyFont="1" applyFill="1" applyBorder="1" applyAlignment="1">
      <alignment horizontal="center" wrapText="1"/>
    </xf>
    <xf numFmtId="0" fontId="19" fillId="4" borderId="27" xfId="3" applyFont="1" applyFill="1" applyBorder="1" applyAlignment="1">
      <alignment horizontal="center" vertical="center"/>
    </xf>
    <xf numFmtId="0" fontId="19" fillId="4" borderId="27" xfId="0" applyFont="1" applyFill="1" applyBorder="1" applyAlignment="1">
      <alignment vertical="center"/>
    </xf>
    <xf numFmtId="0" fontId="19" fillId="4" borderId="27" xfId="0" applyFont="1" applyFill="1" applyBorder="1" applyAlignment="1">
      <alignment horizontal="center" vertical="center"/>
    </xf>
    <xf numFmtId="0" fontId="15" fillId="0" borderId="0" xfId="0" applyFont="1" applyAlignment="1">
      <alignment vertical="center"/>
    </xf>
    <xf numFmtId="0" fontId="16" fillId="0" borderId="28" xfId="0" applyFont="1" applyBorder="1" applyAlignment="1">
      <alignment horizontal="right" vertical="center"/>
    </xf>
    <xf numFmtId="0" fontId="14" fillId="0" borderId="29" xfId="0" applyFont="1" applyBorder="1" applyAlignment="1">
      <alignment horizontal="center" vertical="center"/>
    </xf>
    <xf numFmtId="0" fontId="14" fillId="0" borderId="29" xfId="0" applyFont="1" applyBorder="1" applyAlignment="1">
      <alignment vertical="center"/>
    </xf>
    <xf numFmtId="165" fontId="14" fillId="0" borderId="29" xfId="4" applyNumberFormat="1" applyFont="1" applyBorder="1" applyAlignment="1">
      <alignment vertical="center"/>
    </xf>
    <xf numFmtId="165" fontId="14" fillId="5" borderId="29" xfId="4" applyNumberFormat="1" applyFont="1" applyFill="1" applyBorder="1" applyAlignment="1">
      <alignment vertical="center"/>
    </xf>
    <xf numFmtId="164" fontId="14" fillId="0" borderId="29" xfId="4" applyFont="1" applyBorder="1" applyAlignment="1">
      <alignment vertical="center"/>
    </xf>
    <xf numFmtId="0" fontId="15" fillId="0" borderId="0" xfId="1" applyFont="1" applyAlignment="1">
      <alignment vertical="center"/>
    </xf>
    <xf numFmtId="0" fontId="15" fillId="0" borderId="0" xfId="1" applyFont="1" applyAlignment="1">
      <alignment horizontal="right" vertical="center"/>
    </xf>
    <xf numFmtId="0" fontId="15" fillId="0" borderId="0" xfId="1" applyFont="1" applyFill="1" applyAlignment="1">
      <alignment horizontal="right" vertical="center"/>
    </xf>
    <xf numFmtId="3" fontId="15" fillId="0" borderId="29" xfId="0" applyNumberFormat="1" applyFont="1" applyBorder="1" applyAlignment="1">
      <alignment horizontal="center" vertical="center"/>
    </xf>
    <xf numFmtId="4" fontId="20" fillId="0" borderId="29" xfId="0" applyNumberFormat="1" applyFont="1" applyBorder="1" applyAlignment="1">
      <alignment vertical="center"/>
    </xf>
    <xf numFmtId="164" fontId="15" fillId="0" borderId="29" xfId="4" applyNumberFormat="1" applyFont="1" applyBorder="1" applyAlignment="1">
      <alignment vertical="center"/>
    </xf>
    <xf numFmtId="164" fontId="15" fillId="0" borderId="29" xfId="4" applyNumberFormat="1" applyFont="1" applyFill="1" applyBorder="1" applyAlignment="1">
      <alignment vertical="center"/>
    </xf>
    <xf numFmtId="164" fontId="15" fillId="0" borderId="6" xfId="4" applyNumberFormat="1" applyFont="1" applyBorder="1" applyAlignment="1">
      <alignment vertical="center"/>
    </xf>
    <xf numFmtId="4" fontId="15" fillId="0" borderId="6" xfId="0" applyNumberFormat="1" applyFont="1" applyBorder="1" applyAlignment="1">
      <alignment vertical="center"/>
    </xf>
    <xf numFmtId="0" fontId="19" fillId="4" borderId="2"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5" xfId="0" applyFont="1" applyFill="1" applyBorder="1" applyAlignment="1">
      <alignment horizontal="center" vertical="center"/>
    </xf>
    <xf numFmtId="0" fontId="19" fillId="3" borderId="26" xfId="0" applyFont="1" applyFill="1" applyBorder="1" applyAlignment="1">
      <alignment horizontal="center" vertical="center"/>
    </xf>
    <xf numFmtId="0" fontId="14" fillId="0" borderId="6" xfId="0" applyFont="1" applyBorder="1" applyAlignment="1">
      <alignment horizontal="center" vertical="center"/>
    </xf>
    <xf numFmtId="0" fontId="14" fillId="0" borderId="6" xfId="0" applyFont="1" applyBorder="1" applyAlignment="1">
      <alignment vertical="center"/>
    </xf>
    <xf numFmtId="165" fontId="14" fillId="0" borderId="6" xfId="4" applyNumberFormat="1" applyFont="1" applyBorder="1" applyAlignment="1">
      <alignment vertical="center"/>
    </xf>
    <xf numFmtId="165" fontId="14" fillId="5" borderId="6" xfId="4" applyNumberFormat="1" applyFont="1" applyFill="1" applyBorder="1" applyAlignment="1">
      <alignment vertical="center"/>
    </xf>
    <xf numFmtId="164" fontId="14" fillId="0" borderId="6" xfId="4" applyFont="1" applyBorder="1" applyAlignment="1">
      <alignment vertical="center"/>
    </xf>
    <xf numFmtId="0" fontId="17" fillId="4" borderId="2" xfId="1" applyFont="1" applyFill="1" applyBorder="1" applyAlignment="1">
      <alignment horizontal="center" vertical="center"/>
    </xf>
    <xf numFmtId="0" fontId="19" fillId="4" borderId="2" xfId="1" applyFont="1" applyFill="1" applyBorder="1" applyAlignment="1">
      <alignment horizontal="center" vertical="center"/>
    </xf>
    <xf numFmtId="0" fontId="19" fillId="4" borderId="10" xfId="0" applyFont="1" applyFill="1" applyBorder="1" applyAlignment="1">
      <alignment horizontal="center" vertical="center"/>
    </xf>
    <xf numFmtId="0" fontId="19" fillId="0" borderId="0" xfId="0" applyFont="1" applyFill="1" applyBorder="1" applyAlignment="1">
      <alignment horizontal="center" vertical="center"/>
    </xf>
    <xf numFmtId="3" fontId="15" fillId="0" borderId="6" xfId="0" applyNumberFormat="1" applyFont="1" applyBorder="1" applyAlignment="1">
      <alignment horizontal="center" vertical="center"/>
    </xf>
    <xf numFmtId="4" fontId="20" fillId="0" borderId="6" xfId="0" applyNumberFormat="1" applyFont="1" applyBorder="1" applyAlignment="1">
      <alignment vertical="center"/>
    </xf>
    <xf numFmtId="164" fontId="15" fillId="0" borderId="6" xfId="4" applyNumberFormat="1" applyFont="1" applyFill="1" applyBorder="1" applyAlignment="1">
      <alignment vertical="center"/>
    </xf>
    <xf numFmtId="0" fontId="19" fillId="4" borderId="27" xfId="0" applyFont="1" applyFill="1" applyBorder="1" applyAlignment="1">
      <alignment horizontal="center" vertical="center"/>
    </xf>
    <xf numFmtId="0" fontId="19" fillId="4" borderId="30" xfId="0" applyFont="1" applyFill="1" applyBorder="1" applyAlignment="1">
      <alignment horizontal="center" vertical="center"/>
    </xf>
    <xf numFmtId="0" fontId="17" fillId="4" borderId="27" xfId="1" applyFont="1" applyFill="1" applyBorder="1" applyAlignment="1">
      <alignment horizontal="center" vertical="center"/>
    </xf>
    <xf numFmtId="0" fontId="19" fillId="4" borderId="27" xfId="1" applyFont="1" applyFill="1" applyBorder="1" applyAlignment="1">
      <alignment horizontal="center" vertical="center"/>
    </xf>
    <xf numFmtId="0" fontId="19" fillId="4" borderId="31" xfId="0" applyFont="1" applyFill="1" applyBorder="1" applyAlignment="1">
      <alignment horizontal="center" vertical="center"/>
    </xf>
    <xf numFmtId="0" fontId="19" fillId="0" borderId="6" xfId="0" applyFont="1" applyBorder="1" applyAlignment="1">
      <alignment horizontal="center" vertical="center"/>
    </xf>
    <xf numFmtId="0" fontId="19" fillId="0" borderId="6" xfId="0" applyFont="1" applyBorder="1" applyAlignment="1">
      <alignment vertical="center"/>
    </xf>
    <xf numFmtId="166" fontId="21" fillId="0" borderId="6" xfId="0" applyNumberFormat="1" applyFont="1" applyBorder="1" applyAlignment="1">
      <alignment vertical="center"/>
    </xf>
    <xf numFmtId="4" fontId="21" fillId="0" borderId="6" xfId="0" applyNumberFormat="1" applyFont="1" applyBorder="1" applyAlignment="1">
      <alignment vertical="center"/>
    </xf>
    <xf numFmtId="167" fontId="15" fillId="0" borderId="20" xfId="4" applyNumberFormat="1" applyFont="1" applyBorder="1" applyAlignment="1">
      <alignment vertical="center"/>
    </xf>
    <xf numFmtId="167" fontId="15" fillId="0" borderId="6" xfId="4" applyNumberFormat="1" applyFont="1" applyBorder="1" applyAlignment="1">
      <alignment vertical="center"/>
    </xf>
    <xf numFmtId="167" fontId="15" fillId="0" borderId="21" xfId="4" applyNumberFormat="1" applyFont="1" applyFill="1" applyBorder="1" applyAlignment="1">
      <alignment vertical="center"/>
    </xf>
    <xf numFmtId="167" fontId="15" fillId="0" borderId="14" xfId="4" applyNumberFormat="1" applyFont="1" applyFill="1" applyBorder="1" applyAlignment="1">
      <alignment vertical="center"/>
    </xf>
    <xf numFmtId="3" fontId="15" fillId="0" borderId="21" xfId="0" applyNumberFormat="1" applyFont="1" applyBorder="1" applyAlignment="1">
      <alignment horizontal="center" vertical="center"/>
    </xf>
    <xf numFmtId="0" fontId="15" fillId="0" borderId="9" xfId="0" applyFont="1" applyBorder="1" applyAlignment="1">
      <alignment horizontal="center" vertical="center"/>
    </xf>
    <xf numFmtId="0" fontId="15" fillId="0" borderId="9" xfId="0" applyFont="1" applyBorder="1" applyAlignment="1">
      <alignment vertical="center"/>
    </xf>
    <xf numFmtId="166" fontId="14" fillId="0" borderId="9" xfId="0" applyNumberFormat="1" applyFont="1" applyBorder="1" applyAlignment="1">
      <alignment vertical="center"/>
    </xf>
    <xf numFmtId="166" fontId="15" fillId="0" borderId="9" xfId="0" applyNumberFormat="1" applyFont="1" applyBorder="1" applyAlignment="1">
      <alignment vertical="center"/>
    </xf>
    <xf numFmtId="166" fontId="15" fillId="5" borderId="9" xfId="0" applyNumberFormat="1" applyFont="1" applyFill="1" applyBorder="1" applyAlignment="1">
      <alignment vertical="center"/>
    </xf>
    <xf numFmtId="4" fontId="15" fillId="0" borderId="9" xfId="0" applyNumberFormat="1" applyFont="1" applyBorder="1" applyAlignment="1">
      <alignment vertical="center"/>
    </xf>
    <xf numFmtId="0" fontId="15" fillId="0" borderId="6" xfId="0" applyFont="1" applyBorder="1" applyAlignment="1">
      <alignment horizontal="center" vertical="center"/>
    </xf>
    <xf numFmtId="0" fontId="15" fillId="0" borderId="6" xfId="0" applyFont="1" applyBorder="1" applyAlignment="1">
      <alignment vertical="center"/>
    </xf>
    <xf numFmtId="166" fontId="14" fillId="0" borderId="6" xfId="0" applyNumberFormat="1" applyFont="1" applyBorder="1" applyAlignment="1">
      <alignment vertical="center"/>
    </xf>
    <xf numFmtId="166" fontId="15" fillId="0" borderId="6" xfId="0" applyNumberFormat="1" applyFont="1" applyBorder="1" applyAlignment="1">
      <alignment vertical="center"/>
    </xf>
    <xf numFmtId="166" fontId="15" fillId="5" borderId="6" xfId="0" applyNumberFormat="1" applyFont="1" applyFill="1" applyBorder="1" applyAlignment="1">
      <alignment vertical="center"/>
    </xf>
    <xf numFmtId="4" fontId="19" fillId="6" borderId="32" xfId="0" applyNumberFormat="1" applyFont="1" applyFill="1" applyBorder="1" applyAlignment="1">
      <alignment horizontal="center" vertical="center"/>
    </xf>
    <xf numFmtId="4" fontId="19" fillId="6" borderId="33" xfId="0" applyNumberFormat="1" applyFont="1" applyFill="1" applyBorder="1" applyAlignment="1">
      <alignment horizontal="center" vertical="center"/>
    </xf>
    <xf numFmtId="4" fontId="19" fillId="6" borderId="34" xfId="0" applyNumberFormat="1" applyFont="1" applyFill="1" applyBorder="1" applyAlignment="1">
      <alignment vertical="center"/>
    </xf>
    <xf numFmtId="3" fontId="21" fillId="0" borderId="6" xfId="0" applyNumberFormat="1" applyFont="1" applyBorder="1" applyAlignment="1">
      <alignment vertical="center"/>
    </xf>
    <xf numFmtId="167" fontId="15" fillId="0" borderId="0" xfId="4" applyNumberFormat="1" applyFont="1" applyFill="1" applyBorder="1" applyAlignment="1">
      <alignment vertical="center"/>
    </xf>
    <xf numFmtId="4" fontId="15" fillId="0" borderId="0" xfId="0" applyNumberFormat="1" applyFont="1" applyFill="1" applyAlignment="1">
      <alignment vertical="center"/>
    </xf>
    <xf numFmtId="4" fontId="22" fillId="0" borderId="0" xfId="0" applyNumberFormat="1" applyFont="1" applyAlignment="1">
      <alignment horizontal="right" vertical="center"/>
    </xf>
    <xf numFmtId="3" fontId="15" fillId="0" borderId="6" xfId="0" applyNumberFormat="1" applyFont="1" applyBorder="1" applyAlignment="1">
      <alignment vertical="center"/>
    </xf>
    <xf numFmtId="3" fontId="15" fillId="0" borderId="6" xfId="0" applyNumberFormat="1" applyFont="1" applyFill="1" applyBorder="1" applyAlignment="1">
      <alignment vertical="center"/>
    </xf>
    <xf numFmtId="0" fontId="17" fillId="3" borderId="34" xfId="0" applyFont="1" applyFill="1" applyBorder="1" applyAlignment="1">
      <alignment horizontal="center" vertical="center"/>
    </xf>
    <xf numFmtId="165" fontId="17" fillId="3" borderId="34" xfId="4" applyNumberFormat="1" applyFont="1" applyFill="1" applyBorder="1" applyAlignment="1">
      <alignment vertical="center"/>
    </xf>
    <xf numFmtId="164" fontId="17" fillId="3" borderId="34" xfId="4" applyFont="1" applyFill="1" applyBorder="1" applyAlignment="1">
      <alignment vertical="center"/>
    </xf>
    <xf numFmtId="167" fontId="15" fillId="0" borderId="20" xfId="4" applyNumberFormat="1" applyFont="1" applyFill="1" applyBorder="1" applyAlignment="1">
      <alignment vertical="center"/>
    </xf>
    <xf numFmtId="167" fontId="15" fillId="0" borderId="6" xfId="4" applyNumberFormat="1" applyFont="1" applyFill="1" applyBorder="1" applyAlignment="1">
      <alignment vertical="center"/>
    </xf>
    <xf numFmtId="0" fontId="23" fillId="0" borderId="0" xfId="0" applyFont="1" applyAlignment="1">
      <alignment horizontal="center" vertical="center"/>
    </xf>
    <xf numFmtId="0" fontId="19" fillId="0" borderId="7" xfId="0" applyFont="1" applyBorder="1" applyAlignment="1">
      <alignment horizontal="center" vertical="center"/>
    </xf>
    <xf numFmtId="0" fontId="19" fillId="0" borderId="7" xfId="0" applyFont="1" applyBorder="1" applyAlignment="1">
      <alignment vertical="center"/>
    </xf>
    <xf numFmtId="4" fontId="19" fillId="0" borderId="7" xfId="0" applyNumberFormat="1" applyFont="1" applyBorder="1" applyAlignment="1">
      <alignment vertical="center"/>
    </xf>
    <xf numFmtId="4" fontId="19" fillId="0" borderId="7" xfId="0" applyNumberFormat="1" applyFont="1" applyFill="1" applyBorder="1" applyAlignment="1">
      <alignment vertical="center"/>
    </xf>
    <xf numFmtId="0" fontId="23" fillId="0" borderId="0" xfId="0" applyFont="1" applyAlignment="1">
      <alignment horizontal="center" vertical="center"/>
    </xf>
    <xf numFmtId="0" fontId="15" fillId="4" borderId="35" xfId="1" applyFont="1" applyFill="1" applyBorder="1" applyAlignment="1">
      <alignment horizontal="center" vertical="center"/>
    </xf>
    <xf numFmtId="0" fontId="15" fillId="4" borderId="33" xfId="1" applyFont="1" applyFill="1" applyBorder="1" applyAlignment="1">
      <alignment horizontal="center" vertical="center"/>
    </xf>
    <xf numFmtId="4" fontId="15" fillId="4" borderId="35" xfId="1" applyNumberFormat="1" applyFont="1" applyFill="1" applyBorder="1" applyAlignment="1">
      <alignment vertical="center"/>
    </xf>
    <xf numFmtId="4" fontId="15" fillId="4" borderId="34" xfId="1" applyNumberFormat="1" applyFont="1" applyFill="1" applyBorder="1" applyAlignment="1">
      <alignment vertical="center"/>
    </xf>
    <xf numFmtId="4" fontId="15" fillId="4" borderId="33" xfId="1" applyNumberFormat="1" applyFont="1" applyFill="1" applyBorder="1" applyAlignment="1">
      <alignment vertical="center"/>
    </xf>
    <xf numFmtId="4" fontId="15" fillId="0" borderId="0" xfId="1" applyNumberFormat="1" applyFont="1" applyFill="1" applyBorder="1" applyAlignment="1">
      <alignment vertical="center"/>
    </xf>
    <xf numFmtId="0" fontId="24" fillId="0" borderId="0" xfId="0" applyFont="1" applyAlignment="1">
      <alignment horizontal="left" vertical="center"/>
    </xf>
    <xf numFmtId="0" fontId="19" fillId="0" borderId="0" xfId="0" applyFont="1" applyAlignment="1">
      <alignment horizontal="left" vertical="center"/>
    </xf>
    <xf numFmtId="0" fontId="22" fillId="0" borderId="0" xfId="1" applyFont="1" applyAlignment="1">
      <alignment vertical="center"/>
    </xf>
    <xf numFmtId="0" fontId="12" fillId="0" borderId="0" xfId="1" applyFont="1" applyAlignment="1">
      <alignment horizontal="center" vertical="center"/>
    </xf>
    <xf numFmtId="0" fontId="22" fillId="0" borderId="0" xfId="1" applyFont="1" applyAlignment="1">
      <alignment horizontal="right" vertical="center"/>
    </xf>
    <xf numFmtId="0" fontId="12" fillId="0" borderId="0" xfId="2" applyFont="1" applyAlignment="1">
      <alignment horizontal="center" vertical="center"/>
    </xf>
    <xf numFmtId="0" fontId="19" fillId="0" borderId="0" xfId="0" applyFont="1" applyFill="1" applyBorder="1" applyAlignment="1">
      <alignment vertical="center"/>
    </xf>
    <xf numFmtId="0" fontId="12" fillId="0" borderId="0" xfId="5" applyFont="1" applyAlignment="1">
      <alignment horizontal="center" vertical="center"/>
    </xf>
    <xf numFmtId="0" fontId="19" fillId="4" borderId="36" xfId="0" applyFont="1" applyFill="1" applyBorder="1" applyAlignment="1">
      <alignment horizontal="center" vertical="center"/>
    </xf>
    <xf numFmtId="164" fontId="15" fillId="0" borderId="37" xfId="4" applyNumberFormat="1" applyFont="1" applyBorder="1" applyAlignment="1">
      <alignment vertical="center"/>
    </xf>
    <xf numFmtId="164" fontId="15" fillId="0" borderId="0" xfId="4" applyFont="1" applyFill="1" applyBorder="1" applyAlignment="1">
      <alignment vertical="center"/>
    </xf>
    <xf numFmtId="0" fontId="15" fillId="0" borderId="0" xfId="5" applyFont="1" applyAlignment="1">
      <alignment vertical="center"/>
    </xf>
    <xf numFmtId="0" fontId="16" fillId="0" borderId="28" xfId="5" applyFont="1" applyBorder="1" applyAlignment="1">
      <alignment horizontal="right" vertical="center"/>
    </xf>
    <xf numFmtId="164" fontId="15" fillId="0" borderId="20" xfId="4" applyNumberFormat="1" applyFont="1" applyBorder="1" applyAlignment="1">
      <alignment vertical="center"/>
    </xf>
    <xf numFmtId="0" fontId="17" fillId="4" borderId="2" xfId="5" applyFont="1" applyFill="1" applyBorder="1" applyAlignment="1">
      <alignment horizontal="center" vertical="center"/>
    </xf>
    <xf numFmtId="0" fontId="19" fillId="4" borderId="2" xfId="5" applyFont="1" applyFill="1" applyBorder="1" applyAlignment="1">
      <alignment horizontal="center" vertical="center"/>
    </xf>
    <xf numFmtId="0" fontId="17" fillId="4" borderId="27" xfId="5" applyFont="1" applyFill="1" applyBorder="1" applyAlignment="1">
      <alignment horizontal="center" vertical="center"/>
    </xf>
    <xf numFmtId="0" fontId="19" fillId="4" borderId="27" xfId="5" applyFont="1" applyFill="1" applyBorder="1" applyAlignment="1">
      <alignment horizontal="center" vertical="center"/>
    </xf>
    <xf numFmtId="0" fontId="25" fillId="0" borderId="28" xfId="0" applyFont="1" applyBorder="1" applyAlignment="1">
      <alignment horizontal="right" vertical="center"/>
    </xf>
    <xf numFmtId="0" fontId="15" fillId="0" borderId="29" xfId="5" applyFont="1" applyBorder="1" applyAlignment="1">
      <alignment horizontal="center" vertical="center"/>
    </xf>
    <xf numFmtId="0" fontId="15" fillId="0" borderId="29" xfId="5" applyFont="1" applyBorder="1" applyAlignment="1">
      <alignment vertical="center"/>
    </xf>
    <xf numFmtId="166" fontId="15" fillId="0" borderId="29" xfId="5" applyNumberFormat="1" applyFont="1" applyBorder="1" applyAlignment="1">
      <alignment vertical="center"/>
    </xf>
    <xf numFmtId="166" fontId="15" fillId="0" borderId="38" xfId="5" applyNumberFormat="1" applyFont="1" applyBorder="1" applyAlignment="1">
      <alignment vertical="center"/>
    </xf>
    <xf numFmtId="164" fontId="15" fillId="0" borderId="38" xfId="5" applyNumberFormat="1" applyFont="1" applyBorder="1" applyAlignment="1">
      <alignment vertical="center"/>
    </xf>
    <xf numFmtId="4" fontId="15" fillId="0" borderId="29" xfId="0" applyNumberFormat="1" applyFont="1" applyBorder="1" applyAlignment="1">
      <alignment vertical="center"/>
    </xf>
    <xf numFmtId="0" fontId="17" fillId="3" borderId="24" xfId="0" applyFont="1" applyFill="1" applyBorder="1" applyAlignment="1">
      <alignment horizontal="center" vertical="center"/>
    </xf>
    <xf numFmtId="0" fontId="17" fillId="3" borderId="25" xfId="0" applyFont="1" applyFill="1" applyBorder="1" applyAlignment="1">
      <alignment horizontal="center" vertical="center"/>
    </xf>
    <xf numFmtId="0" fontId="17" fillId="3" borderId="26" xfId="0" applyFont="1" applyFill="1" applyBorder="1" applyAlignment="1">
      <alignment horizontal="center" vertical="center"/>
    </xf>
    <xf numFmtId="168" fontId="0" fillId="0" borderId="0" xfId="0" applyNumberFormat="1" applyAlignment="1">
      <alignment vertical="center"/>
    </xf>
    <xf numFmtId="0" fontId="15" fillId="0" borderId="6" xfId="5" applyFont="1" applyBorder="1" applyAlignment="1">
      <alignment horizontal="center" vertical="center"/>
    </xf>
    <xf numFmtId="0" fontId="15" fillId="0" borderId="6" xfId="5" applyFont="1" applyBorder="1" applyAlignment="1">
      <alignment vertical="center"/>
    </xf>
    <xf numFmtId="166" fontId="15" fillId="0" borderId="6" xfId="5" applyNumberFormat="1" applyFont="1" applyBorder="1" applyAlignment="1">
      <alignment vertical="center"/>
    </xf>
    <xf numFmtId="164" fontId="15" fillId="0" borderId="6" xfId="5" applyNumberFormat="1" applyFont="1" applyBorder="1" applyAlignment="1">
      <alignment vertical="center"/>
    </xf>
    <xf numFmtId="0" fontId="17" fillId="3" borderId="27" xfId="0" applyFont="1" applyFill="1" applyBorder="1" applyAlignment="1">
      <alignment horizontal="center" vertical="center"/>
    </xf>
    <xf numFmtId="0" fontId="17" fillId="3" borderId="30" xfId="0" applyFont="1" applyFill="1" applyBorder="1" applyAlignment="1">
      <alignment horizontal="center" vertical="center"/>
    </xf>
    <xf numFmtId="165" fontId="14" fillId="0" borderId="29" xfId="4" applyNumberFormat="1" applyFont="1" applyFill="1" applyBorder="1" applyAlignment="1">
      <alignment vertical="center"/>
    </xf>
    <xf numFmtId="164" fontId="0" fillId="0" borderId="0" xfId="4" applyFont="1"/>
    <xf numFmtId="165" fontId="14" fillId="0" borderId="6" xfId="4" applyNumberFormat="1" applyFont="1" applyFill="1" applyBorder="1" applyAlignment="1">
      <alignment vertical="center"/>
    </xf>
    <xf numFmtId="164" fontId="0" fillId="0" borderId="0" xfId="0" applyNumberFormat="1"/>
    <xf numFmtId="0" fontId="14" fillId="0" borderId="39" xfId="0" applyFont="1" applyBorder="1" applyAlignment="1">
      <alignment horizontal="center" vertical="center"/>
    </xf>
    <xf numFmtId="0" fontId="14" fillId="0" borderId="39" xfId="0" applyFont="1" applyBorder="1" applyAlignment="1">
      <alignment vertical="center"/>
    </xf>
    <xf numFmtId="169" fontId="15" fillId="0" borderId="40" xfId="4" applyNumberFormat="1" applyFont="1" applyBorder="1" applyAlignment="1">
      <alignment vertical="center"/>
    </xf>
    <xf numFmtId="169" fontId="15" fillId="0" borderId="39" xfId="4" applyNumberFormat="1" applyFont="1" applyBorder="1" applyAlignment="1">
      <alignment vertical="center"/>
    </xf>
    <xf numFmtId="169" fontId="15" fillId="4" borderId="35" xfId="1" applyNumberFormat="1" applyFont="1" applyFill="1" applyBorder="1" applyAlignment="1">
      <alignment vertical="center"/>
    </xf>
    <xf numFmtId="169" fontId="15" fillId="4" borderId="34" xfId="1" applyNumberFormat="1" applyFont="1" applyFill="1" applyBorder="1" applyAlignment="1">
      <alignment vertical="center"/>
    </xf>
    <xf numFmtId="0" fontId="15" fillId="0" borderId="0" xfId="1" applyFont="1" applyFill="1" applyBorder="1" applyAlignment="1">
      <alignment vertical="center"/>
    </xf>
    <xf numFmtId="0" fontId="15" fillId="0" borderId="8" xfId="5" applyFont="1" applyBorder="1" applyAlignment="1">
      <alignment horizontal="center" vertical="center"/>
    </xf>
    <xf numFmtId="0" fontId="15" fillId="0" borderId="8" xfId="5" applyFont="1" applyBorder="1" applyAlignment="1">
      <alignment vertical="center"/>
    </xf>
    <xf numFmtId="166" fontId="15" fillId="0" borderId="8" xfId="5" applyNumberFormat="1" applyFont="1" applyBorder="1" applyAlignment="1">
      <alignment vertical="center"/>
    </xf>
    <xf numFmtId="166" fontId="15" fillId="0" borderId="9" xfId="5" applyNumberFormat="1" applyFont="1" applyBorder="1" applyAlignment="1">
      <alignment vertical="center"/>
    </xf>
    <xf numFmtId="164" fontId="15" fillId="0" borderId="9" xfId="5" applyNumberFormat="1" applyFont="1" applyBorder="1" applyAlignment="1">
      <alignment vertical="center"/>
    </xf>
    <xf numFmtId="0" fontId="15"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15" fillId="4" borderId="35" xfId="5" applyFont="1" applyFill="1" applyBorder="1" applyAlignment="1">
      <alignment horizontal="center" vertical="center"/>
    </xf>
    <xf numFmtId="0" fontId="15" fillId="4" borderId="33" xfId="5" applyFont="1" applyFill="1" applyBorder="1" applyAlignment="1">
      <alignment horizontal="center" vertical="center"/>
    </xf>
    <xf numFmtId="166" fontId="15" fillId="4" borderId="34" xfId="5" applyNumberFormat="1" applyFont="1" applyFill="1" applyBorder="1" applyAlignment="1">
      <alignment vertical="center"/>
    </xf>
    <xf numFmtId="4" fontId="15" fillId="4" borderId="34" xfId="0" applyNumberFormat="1" applyFont="1" applyFill="1" applyBorder="1" applyAlignment="1">
      <alignment vertical="center"/>
    </xf>
    <xf numFmtId="0" fontId="0" fillId="0" borderId="0" xfId="0" applyFill="1" applyBorder="1" applyAlignment="1">
      <alignment vertical="center"/>
    </xf>
    <xf numFmtId="166" fontId="15" fillId="0" borderId="0" xfId="5" applyNumberFormat="1" applyFont="1" applyAlignment="1">
      <alignment vertical="center"/>
    </xf>
    <xf numFmtId="165" fontId="14" fillId="0" borderId="39" xfId="4" applyNumberFormat="1" applyFont="1" applyBorder="1" applyAlignment="1">
      <alignment vertical="center"/>
    </xf>
    <xf numFmtId="165" fontId="14" fillId="0" borderId="39" xfId="4" applyNumberFormat="1" applyFont="1" applyFill="1" applyBorder="1" applyAlignment="1">
      <alignment vertical="center"/>
    </xf>
    <xf numFmtId="0" fontId="17" fillId="3" borderId="31" xfId="0" applyFont="1" applyFill="1" applyBorder="1" applyAlignment="1">
      <alignment horizontal="center" vertical="center"/>
    </xf>
    <xf numFmtId="0" fontId="17" fillId="3" borderId="41" xfId="0" applyFont="1" applyFill="1" applyBorder="1" applyAlignment="1">
      <alignment horizontal="center" vertical="center"/>
    </xf>
    <xf numFmtId="165" fontId="17" fillId="3" borderId="27" xfId="4" applyNumberFormat="1" applyFont="1" applyFill="1" applyBorder="1" applyAlignment="1">
      <alignment vertical="center"/>
    </xf>
    <xf numFmtId="4" fontId="19" fillId="4" borderId="34" xfId="0" applyNumberFormat="1" applyFont="1" applyFill="1" applyBorder="1" applyAlignment="1">
      <alignment vertical="center"/>
    </xf>
    <xf numFmtId="170" fontId="23" fillId="0" borderId="0" xfId="0" applyNumberFormat="1" applyFont="1" applyAlignment="1">
      <alignment horizontal="center" vertical="center"/>
    </xf>
    <xf numFmtId="170" fontId="23" fillId="0" borderId="0" xfId="4" applyNumberFormat="1" applyFont="1" applyAlignment="1">
      <alignment horizontal="center" vertical="center"/>
    </xf>
    <xf numFmtId="170" fontId="0" fillId="0" borderId="0" xfId="0" applyNumberFormat="1" applyAlignment="1">
      <alignment vertical="center"/>
    </xf>
    <xf numFmtId="0" fontId="12" fillId="0" borderId="0" xfId="1" applyFont="1" applyFill="1" applyBorder="1" applyAlignment="1">
      <alignment horizontal="center" vertical="center"/>
    </xf>
    <xf numFmtId="0" fontId="12" fillId="0" borderId="0" xfId="1" applyFont="1" applyFill="1" applyBorder="1" applyAlignment="1">
      <alignment horizontal="center" vertical="center"/>
    </xf>
    <xf numFmtId="0" fontId="12" fillId="0" borderId="0" xfId="2" applyFont="1" applyFill="1" applyBorder="1" applyAlignment="1">
      <alignment horizontal="center" vertical="center"/>
    </xf>
    <xf numFmtId="0" fontId="12" fillId="0" borderId="0" xfId="2" applyFont="1" applyFill="1" applyBorder="1" applyAlignment="1">
      <alignment horizontal="center" vertical="center"/>
    </xf>
    <xf numFmtId="0" fontId="22" fillId="0" borderId="0" xfId="1" applyFont="1" applyFill="1" applyBorder="1" applyAlignment="1">
      <alignment horizontal="right" vertical="center"/>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9" fillId="0" borderId="0" xfId="0" applyFont="1" applyFill="1" applyBorder="1" applyAlignment="1">
      <alignment horizontal="center" vertical="center"/>
    </xf>
    <xf numFmtId="0" fontId="25" fillId="0" borderId="0" xfId="0" applyFont="1" applyAlignment="1">
      <alignment vertical="center"/>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165" fontId="15" fillId="0" borderId="0" xfId="4" applyNumberFormat="1" applyFont="1" applyFill="1" applyBorder="1" applyAlignment="1">
      <alignment vertical="center"/>
    </xf>
    <xf numFmtId="167" fontId="0" fillId="0" borderId="0" xfId="4" applyNumberFormat="1" applyFont="1" applyAlignment="1">
      <alignment vertical="center"/>
    </xf>
    <xf numFmtId="0" fontId="19" fillId="4" borderId="30" xfId="3" applyFont="1" applyFill="1" applyBorder="1" applyAlignment="1">
      <alignment horizontal="center" vertical="center"/>
    </xf>
    <xf numFmtId="167" fontId="14" fillId="0" borderId="29" xfId="4" applyNumberFormat="1" applyFont="1" applyBorder="1" applyAlignment="1">
      <alignment vertical="center"/>
    </xf>
    <xf numFmtId="167" fontId="14" fillId="0" borderId="29" xfId="4" applyNumberFormat="1" applyFont="1" applyFill="1" applyBorder="1" applyAlignment="1">
      <alignment vertical="center"/>
    </xf>
    <xf numFmtId="0" fontId="15" fillId="0" borderId="29" xfId="0" applyFont="1" applyBorder="1" applyAlignment="1">
      <alignment horizontal="center" vertical="center"/>
    </xf>
    <xf numFmtId="0" fontId="15" fillId="0" borderId="29" xfId="0" applyFont="1" applyBorder="1" applyAlignment="1">
      <alignment vertical="center"/>
    </xf>
    <xf numFmtId="166" fontId="15" fillId="0" borderId="29" xfId="0" applyNumberFormat="1" applyFont="1" applyBorder="1" applyAlignment="1">
      <alignment vertical="center"/>
    </xf>
    <xf numFmtId="166" fontId="15" fillId="0" borderId="29" xfId="0" applyNumberFormat="1" applyFont="1" applyFill="1" applyBorder="1" applyAlignment="1">
      <alignment vertical="center"/>
    </xf>
    <xf numFmtId="170" fontId="15" fillId="0" borderId="29" xfId="0" applyNumberFormat="1" applyFont="1" applyFill="1" applyBorder="1" applyAlignment="1">
      <alignment vertical="center"/>
    </xf>
    <xf numFmtId="167" fontId="14" fillId="0" borderId="6" xfId="4" applyNumberFormat="1" applyFont="1" applyBorder="1" applyAlignment="1">
      <alignment vertical="center"/>
    </xf>
    <xf numFmtId="167" fontId="14" fillId="0" borderId="6" xfId="4" applyNumberFormat="1" applyFont="1" applyFill="1" applyBorder="1" applyAlignment="1">
      <alignment vertical="center"/>
    </xf>
    <xf numFmtId="166" fontId="15" fillId="0" borderId="6" xfId="0" applyNumberFormat="1" applyFont="1" applyFill="1" applyBorder="1" applyAlignment="1">
      <alignment vertical="center"/>
    </xf>
    <xf numFmtId="170" fontId="15" fillId="0" borderId="6" xfId="0" applyNumberFormat="1" applyFont="1" applyFill="1" applyBorder="1" applyAlignment="1">
      <alignment vertical="center"/>
    </xf>
    <xf numFmtId="0" fontId="15" fillId="0" borderId="0" xfId="1" applyFont="1" applyFill="1" applyBorder="1" applyAlignment="1">
      <alignment horizontal="center" vertical="center"/>
    </xf>
    <xf numFmtId="165" fontId="15" fillId="0" borderId="0" xfId="1" applyNumberFormat="1" applyFont="1" applyFill="1" applyBorder="1" applyAlignment="1">
      <alignment vertical="center"/>
    </xf>
    <xf numFmtId="0" fontId="15" fillId="0" borderId="8" xfId="0" applyFont="1" applyBorder="1" applyAlignment="1">
      <alignment horizontal="center" vertical="center"/>
    </xf>
    <xf numFmtId="0" fontId="15" fillId="0" borderId="8" xfId="0" applyFont="1" applyBorder="1" applyAlignment="1">
      <alignment vertical="center"/>
    </xf>
    <xf numFmtId="167" fontId="17" fillId="3" borderId="34" xfId="4" applyNumberFormat="1" applyFont="1" applyFill="1" applyBorder="1" applyAlignment="1">
      <alignment vertical="center"/>
    </xf>
    <xf numFmtId="0" fontId="15" fillId="4" borderId="35" xfId="0" applyFont="1" applyFill="1" applyBorder="1" applyAlignment="1">
      <alignment horizontal="center" vertical="center"/>
    </xf>
    <xf numFmtId="0" fontId="15" fillId="4" borderId="33" xfId="0" applyFont="1" applyFill="1" applyBorder="1" applyAlignment="1">
      <alignment horizontal="center" vertical="center"/>
    </xf>
    <xf numFmtId="166" fontId="15" fillId="4" borderId="34" xfId="0" applyNumberFormat="1" applyFont="1" applyFill="1" applyBorder="1" applyAlignment="1">
      <alignment vertical="center"/>
    </xf>
    <xf numFmtId="166" fontId="15" fillId="0" borderId="0" xfId="0" applyNumberFormat="1" applyFont="1" applyAlignment="1">
      <alignment vertical="center"/>
    </xf>
    <xf numFmtId="0" fontId="12" fillId="0" borderId="0" xfId="6" applyFont="1" applyAlignment="1">
      <alignment horizontal="center" vertical="center"/>
    </xf>
    <xf numFmtId="0" fontId="15" fillId="0" borderId="0" xfId="6" applyFont="1" applyAlignment="1">
      <alignment vertical="center"/>
    </xf>
    <xf numFmtId="0" fontId="16" fillId="0" borderId="28" xfId="6" applyFont="1" applyBorder="1" applyAlignment="1">
      <alignment horizontal="right" vertical="center"/>
    </xf>
    <xf numFmtId="0" fontId="25" fillId="0" borderId="0" xfId="0" applyFont="1" applyAlignment="1">
      <alignment horizontal="right" vertical="center"/>
    </xf>
    <xf numFmtId="0" fontId="17" fillId="4" borderId="2" xfId="6" applyFont="1" applyFill="1" applyBorder="1" applyAlignment="1">
      <alignment horizontal="center" vertical="center"/>
    </xf>
    <xf numFmtId="0" fontId="19" fillId="4" borderId="2" xfId="6" applyFont="1" applyFill="1" applyBorder="1" applyAlignment="1">
      <alignment horizontal="center" vertical="center" wrapText="1"/>
    </xf>
    <xf numFmtId="0" fontId="19" fillId="4" borderId="2" xfId="6" applyFont="1" applyFill="1" applyBorder="1" applyAlignment="1">
      <alignment horizontal="center" vertical="center"/>
    </xf>
    <xf numFmtId="0" fontId="17" fillId="4" borderId="27" xfId="6" applyFont="1" applyFill="1" applyBorder="1" applyAlignment="1">
      <alignment horizontal="center" vertical="center"/>
    </xf>
    <xf numFmtId="0" fontId="19" fillId="4" borderId="27" xfId="6" applyFont="1" applyFill="1" applyBorder="1" applyAlignment="1">
      <alignment horizontal="center" vertical="center" wrapText="1"/>
    </xf>
    <xf numFmtId="0" fontId="19" fillId="4" borderId="27" xfId="6" applyFont="1" applyFill="1" applyBorder="1" applyAlignment="1">
      <alignment horizontal="center" vertical="center"/>
    </xf>
    <xf numFmtId="0" fontId="15" fillId="0" borderId="29" xfId="6" applyFont="1" applyBorder="1" applyAlignment="1">
      <alignment horizontal="center" vertical="center"/>
    </xf>
    <xf numFmtId="0" fontId="15" fillId="0" borderId="29" xfId="6" applyFont="1" applyBorder="1" applyAlignment="1">
      <alignment vertical="center"/>
    </xf>
    <xf numFmtId="166" fontId="15" fillId="0" borderId="29" xfId="6" applyNumberFormat="1" applyFont="1" applyBorder="1" applyAlignment="1">
      <alignment vertical="center"/>
    </xf>
    <xf numFmtId="166" fontId="15" fillId="0" borderId="29" xfId="6" applyNumberFormat="1" applyFont="1" applyFill="1" applyBorder="1" applyAlignment="1">
      <alignment vertical="center"/>
    </xf>
    <xf numFmtId="168" fontId="15" fillId="0" borderId="29" xfId="6" applyNumberFormat="1" applyFont="1" applyFill="1" applyBorder="1" applyAlignment="1">
      <alignment vertical="center"/>
    </xf>
    <xf numFmtId="0" fontId="15" fillId="0" borderId="6" xfId="6" applyFont="1" applyBorder="1" applyAlignment="1">
      <alignment horizontal="center" vertical="center"/>
    </xf>
    <xf numFmtId="0" fontId="15" fillId="0" borderId="6" xfId="6" applyFont="1" applyBorder="1" applyAlignment="1">
      <alignment vertical="center"/>
    </xf>
    <xf numFmtId="166" fontId="15" fillId="0" borderId="6" xfId="6" applyNumberFormat="1" applyFont="1" applyBorder="1" applyAlignment="1">
      <alignment vertical="center"/>
    </xf>
    <xf numFmtId="166" fontId="15" fillId="0" borderId="6" xfId="6" applyNumberFormat="1" applyFont="1" applyFill="1" applyBorder="1" applyAlignment="1">
      <alignment vertical="center"/>
    </xf>
    <xf numFmtId="168" fontId="15" fillId="0" borderId="6" xfId="6" applyNumberFormat="1" applyFont="1" applyFill="1" applyBorder="1" applyAlignment="1">
      <alignment vertical="center"/>
    </xf>
    <xf numFmtId="164" fontId="15" fillId="0" borderId="0" xfId="4" applyNumberFormat="1" applyFont="1" applyFill="1" applyBorder="1" applyAlignment="1">
      <alignment horizontal="center" vertical="center"/>
    </xf>
    <xf numFmtId="165" fontId="14" fillId="0" borderId="9" xfId="4" applyNumberFormat="1" applyFont="1" applyFill="1" applyBorder="1" applyAlignment="1">
      <alignment vertical="center"/>
    </xf>
    <xf numFmtId="0" fontId="15" fillId="4" borderId="35" xfId="6" applyFont="1" applyFill="1" applyBorder="1" applyAlignment="1">
      <alignment horizontal="center" vertical="center"/>
    </xf>
    <xf numFmtId="0" fontId="15" fillId="4" borderId="33" xfId="6" applyFont="1" applyFill="1" applyBorder="1" applyAlignment="1">
      <alignment horizontal="center" vertical="center"/>
    </xf>
    <xf numFmtId="166" fontId="15" fillId="4" borderId="34" xfId="6" applyNumberFormat="1" applyFont="1" applyFill="1" applyBorder="1" applyAlignment="1">
      <alignment vertical="center"/>
    </xf>
    <xf numFmtId="4" fontId="15" fillId="0" borderId="0" xfId="6" applyNumberFormat="1" applyFont="1" applyBorder="1" applyAlignment="1">
      <alignment vertical="center"/>
    </xf>
    <xf numFmtId="165" fontId="14" fillId="0" borderId="27" xfId="4" applyNumberFormat="1" applyFont="1" applyFill="1" applyBorder="1" applyAlignment="1">
      <alignment vertical="center"/>
    </xf>
    <xf numFmtId="0" fontId="26" fillId="0" borderId="0" xfId="0" applyFont="1" applyBorder="1" applyAlignment="1">
      <alignment horizontal="left" vertical="center" wrapText="1"/>
    </xf>
    <xf numFmtId="169" fontId="15" fillId="0" borderId="0" xfId="4" applyNumberFormat="1" applyFont="1" applyFill="1" applyBorder="1" applyAlignment="1">
      <alignment horizontal="center" vertical="center"/>
    </xf>
    <xf numFmtId="0" fontId="17" fillId="3" borderId="4" xfId="0" applyFont="1" applyFill="1" applyBorder="1" applyAlignment="1">
      <alignment horizontal="center" vertical="center"/>
    </xf>
    <xf numFmtId="165" fontId="17" fillId="3" borderId="4" xfId="4" applyNumberFormat="1" applyFont="1" applyFill="1" applyBorder="1" applyAlignment="1">
      <alignment vertical="center"/>
    </xf>
    <xf numFmtId="4" fontId="19" fillId="4" borderId="42" xfId="0" applyNumberFormat="1" applyFont="1" applyFill="1" applyBorder="1" applyAlignment="1">
      <alignment vertical="center"/>
    </xf>
    <xf numFmtId="0" fontId="27" fillId="0" borderId="0" xfId="0" applyFont="1" applyBorder="1" applyAlignment="1">
      <alignment horizontal="center" vertical="center"/>
    </xf>
    <xf numFmtId="0" fontId="16" fillId="0" borderId="0" xfId="0" applyFont="1" applyAlignment="1">
      <alignment horizontal="right" vertical="center"/>
    </xf>
    <xf numFmtId="169" fontId="15" fillId="0" borderId="0" xfId="1" applyNumberFormat="1" applyFont="1" applyFill="1" applyBorder="1" applyAlignment="1">
      <alignment horizontal="right" vertical="center"/>
    </xf>
    <xf numFmtId="0" fontId="26" fillId="0" borderId="0" xfId="0" applyFont="1" applyBorder="1" applyAlignment="1">
      <alignment horizontal="left" vertical="center" wrapText="1"/>
    </xf>
    <xf numFmtId="0" fontId="12" fillId="0" borderId="0" xfId="7" applyFont="1" applyAlignment="1">
      <alignment horizontal="center" vertical="center"/>
    </xf>
    <xf numFmtId="0" fontId="26" fillId="0" borderId="0" xfId="0" applyFont="1" applyBorder="1" applyAlignment="1">
      <alignment vertical="center" wrapText="1"/>
    </xf>
    <xf numFmtId="0" fontId="15" fillId="0" borderId="0" xfId="7" applyFont="1" applyAlignment="1">
      <alignment vertical="center"/>
    </xf>
    <xf numFmtId="0" fontId="16" fillId="0" borderId="0" xfId="7" applyFont="1" applyAlignment="1">
      <alignment horizontal="right" vertical="center"/>
    </xf>
    <xf numFmtId="0" fontId="17" fillId="4" borderId="2" xfId="7" applyFont="1" applyFill="1" applyBorder="1" applyAlignment="1">
      <alignment horizontal="center" vertical="center"/>
    </xf>
    <xf numFmtId="0" fontId="19" fillId="4" borderId="2" xfId="7" applyFont="1" applyFill="1" applyBorder="1" applyAlignment="1">
      <alignment horizontal="center" vertical="center"/>
    </xf>
    <xf numFmtId="0" fontId="17" fillId="4" borderId="27" xfId="7" applyFont="1" applyFill="1" applyBorder="1" applyAlignment="1">
      <alignment horizontal="center" vertical="center"/>
    </xf>
    <xf numFmtId="0" fontId="19" fillId="4" borderId="27" xfId="7" applyFont="1" applyFill="1" applyBorder="1" applyAlignment="1">
      <alignment horizontal="center" vertical="center"/>
    </xf>
    <xf numFmtId="0" fontId="12" fillId="0" borderId="0" xfId="8" applyFont="1" applyAlignment="1">
      <alignment horizontal="center" vertical="center"/>
    </xf>
    <xf numFmtId="0" fontId="15" fillId="0" borderId="29" xfId="7" applyFont="1" applyBorder="1" applyAlignment="1">
      <alignment horizontal="center" vertical="center"/>
    </xf>
    <xf numFmtId="0" fontId="15" fillId="0" borderId="29" xfId="7" applyFont="1" applyBorder="1" applyAlignment="1">
      <alignment horizontal="left" vertical="center"/>
    </xf>
    <xf numFmtId="166" fontId="15" fillId="0" borderId="29" xfId="7" applyNumberFormat="1" applyFont="1" applyBorder="1" applyAlignment="1">
      <alignment vertical="center"/>
    </xf>
    <xf numFmtId="0" fontId="15" fillId="0" borderId="6" xfId="7" applyFont="1" applyBorder="1" applyAlignment="1">
      <alignment horizontal="center" vertical="center"/>
    </xf>
    <xf numFmtId="0" fontId="15" fillId="0" borderId="6" xfId="7" applyFont="1" applyBorder="1" applyAlignment="1">
      <alignment horizontal="left" vertical="center"/>
    </xf>
    <xf numFmtId="166" fontId="15" fillId="0" borderId="6" xfId="7" applyNumberFormat="1" applyFont="1" applyBorder="1" applyAlignment="1">
      <alignment vertical="center"/>
    </xf>
    <xf numFmtId="0" fontId="15" fillId="0" borderId="0" xfId="8" applyFont="1" applyAlignment="1">
      <alignment vertical="center"/>
    </xf>
    <xf numFmtId="0" fontId="16" fillId="0" borderId="28" xfId="8" applyFont="1" applyBorder="1" applyAlignment="1">
      <alignment horizontal="right" vertical="center"/>
    </xf>
    <xf numFmtId="0" fontId="17" fillId="4" borderId="2" xfId="8" applyFont="1" applyFill="1" applyBorder="1" applyAlignment="1">
      <alignment horizontal="center" vertical="center"/>
    </xf>
    <xf numFmtId="0" fontId="19" fillId="4" borderId="2" xfId="8" applyFont="1" applyFill="1" applyBorder="1" applyAlignment="1">
      <alignment horizontal="center" vertical="center"/>
    </xf>
    <xf numFmtId="0" fontId="17" fillId="4" borderId="27" xfId="8" applyFont="1" applyFill="1" applyBorder="1" applyAlignment="1">
      <alignment horizontal="center" vertical="center"/>
    </xf>
    <xf numFmtId="0" fontId="19" fillId="4" borderId="27" xfId="8" applyFont="1" applyFill="1" applyBorder="1" applyAlignment="1">
      <alignment horizontal="center" vertical="center"/>
    </xf>
    <xf numFmtId="0" fontId="15" fillId="0" borderId="29" xfId="8" applyFont="1" applyBorder="1" applyAlignment="1">
      <alignment horizontal="center" vertical="center"/>
    </xf>
    <xf numFmtId="0" fontId="15" fillId="0" borderId="29" xfId="8" applyFont="1" applyBorder="1" applyAlignment="1">
      <alignment vertical="center"/>
    </xf>
    <xf numFmtId="165" fontId="15" fillId="0" borderId="29" xfId="4" applyNumberFormat="1" applyFont="1" applyBorder="1" applyAlignment="1">
      <alignment vertical="center"/>
    </xf>
    <xf numFmtId="165" fontId="15" fillId="0" borderId="29" xfId="4" applyNumberFormat="1" applyFont="1" applyFill="1" applyBorder="1" applyAlignment="1">
      <alignment vertical="center"/>
    </xf>
    <xf numFmtId="165" fontId="15" fillId="0" borderId="6" xfId="4" applyNumberFormat="1" applyFont="1" applyBorder="1" applyAlignment="1">
      <alignment vertical="center"/>
    </xf>
    <xf numFmtId="0" fontId="15" fillId="0" borderId="6" xfId="8" applyFont="1" applyBorder="1" applyAlignment="1">
      <alignment horizontal="center" vertical="center"/>
    </xf>
    <xf numFmtId="0" fontId="15" fillId="0" borderId="6" xfId="8" applyFont="1" applyBorder="1" applyAlignment="1">
      <alignment vertical="center"/>
    </xf>
    <xf numFmtId="165" fontId="15" fillId="0" borderId="6" xfId="4" applyNumberFormat="1" applyFont="1" applyFill="1" applyBorder="1" applyAlignment="1">
      <alignment vertical="center"/>
    </xf>
    <xf numFmtId="0" fontId="15" fillId="0" borderId="20" xfId="8" applyFont="1" applyBorder="1" applyAlignment="1">
      <alignment horizontal="center" vertical="center"/>
    </xf>
    <xf numFmtId="0" fontId="15" fillId="0" borderId="8" xfId="7" applyFont="1" applyBorder="1" applyAlignment="1">
      <alignment horizontal="center" vertical="center"/>
    </xf>
    <xf numFmtId="0" fontId="15" fillId="0" borderId="8" xfId="7" applyFont="1" applyBorder="1" applyAlignment="1">
      <alignment horizontal="left" vertical="center"/>
    </xf>
    <xf numFmtId="166" fontId="15" fillId="0" borderId="8" xfId="7" applyNumberFormat="1" applyFont="1" applyBorder="1" applyAlignment="1">
      <alignment vertical="center"/>
    </xf>
    <xf numFmtId="0" fontId="15" fillId="0" borderId="14" xfId="8" applyFont="1" applyBorder="1" applyAlignment="1">
      <alignment horizontal="center" vertical="center"/>
    </xf>
    <xf numFmtId="0" fontId="15" fillId="0" borderId="27" xfId="8" applyFont="1" applyBorder="1" applyAlignment="1">
      <alignment vertical="center"/>
    </xf>
    <xf numFmtId="165" fontId="15" fillId="0" borderId="3" xfId="4" applyNumberFormat="1" applyFont="1" applyBorder="1" applyAlignment="1">
      <alignment horizontal="right" vertical="center"/>
    </xf>
    <xf numFmtId="165" fontId="15" fillId="0" borderId="3" xfId="4" applyNumberFormat="1" applyFont="1" applyFill="1" applyBorder="1" applyAlignment="1">
      <alignment vertical="center"/>
    </xf>
    <xf numFmtId="0" fontId="19" fillId="4" borderId="35" xfId="7" applyFont="1" applyFill="1" applyBorder="1" applyAlignment="1">
      <alignment horizontal="center" vertical="center"/>
    </xf>
    <xf numFmtId="0" fontId="19" fillId="4" borderId="33" xfId="7" applyFont="1" applyFill="1" applyBorder="1" applyAlignment="1">
      <alignment horizontal="center" vertical="center"/>
    </xf>
    <xf numFmtId="166" fontId="19" fillId="4" borderId="34" xfId="7" applyNumberFormat="1" applyFont="1" applyFill="1" applyBorder="1" applyAlignment="1">
      <alignment vertical="center"/>
    </xf>
    <xf numFmtId="0" fontId="19" fillId="4" borderId="35" xfId="8" applyFont="1" applyFill="1" applyBorder="1" applyAlignment="1">
      <alignment horizontal="center" vertical="center"/>
    </xf>
    <xf numFmtId="0" fontId="19" fillId="4" borderId="33" xfId="8" applyFont="1" applyFill="1" applyBorder="1" applyAlignment="1">
      <alignment horizontal="center" vertical="center"/>
    </xf>
    <xf numFmtId="165" fontId="19" fillId="4" borderId="34" xfId="4" applyNumberFormat="1" applyFont="1" applyFill="1" applyBorder="1" applyAlignment="1">
      <alignment vertical="center"/>
    </xf>
    <xf numFmtId="0" fontId="16" fillId="0" borderId="0" xfId="1" applyFont="1" applyAlignment="1">
      <alignment horizontal="right" vertical="center"/>
    </xf>
    <xf numFmtId="0" fontId="15" fillId="0" borderId="29" xfId="1" applyFont="1" applyBorder="1" applyAlignment="1">
      <alignment horizontal="center" vertical="center"/>
    </xf>
    <xf numFmtId="0" fontId="15" fillId="0" borderId="29" xfId="1" applyFont="1" applyBorder="1" applyAlignment="1">
      <alignment horizontal="left" vertical="center"/>
    </xf>
    <xf numFmtId="166" fontId="15" fillId="0" borderId="29" xfId="1" applyNumberFormat="1" applyFont="1" applyBorder="1" applyAlignment="1">
      <alignment vertical="center"/>
    </xf>
    <xf numFmtId="0" fontId="15" fillId="0" borderId="6" xfId="1" applyFont="1" applyBorder="1" applyAlignment="1">
      <alignment horizontal="center" vertical="center"/>
    </xf>
    <xf numFmtId="0" fontId="15" fillId="0" borderId="6" xfId="1" applyFont="1" applyBorder="1" applyAlignment="1">
      <alignment horizontal="left" vertical="center"/>
    </xf>
    <xf numFmtId="166" fontId="15" fillId="0" borderId="6" xfId="1" applyNumberFormat="1" applyFont="1" applyBorder="1" applyAlignment="1">
      <alignment vertical="center"/>
    </xf>
    <xf numFmtId="0" fontId="15" fillId="0" borderId="21" xfId="1" applyFont="1" applyBorder="1" applyAlignment="1">
      <alignment horizontal="left" vertical="center"/>
    </xf>
    <xf numFmtId="0" fontId="15" fillId="0" borderId="27" xfId="1" applyFont="1" applyBorder="1"/>
    <xf numFmtId="0" fontId="15" fillId="0" borderId="0" xfId="1" applyFont="1"/>
    <xf numFmtId="4" fontId="15" fillId="0" borderId="3" xfId="1" applyNumberFormat="1" applyFont="1" applyBorder="1" applyAlignment="1">
      <alignment vertical="center"/>
    </xf>
    <xf numFmtId="4" fontId="28" fillId="0" borderId="3" xfId="1" applyNumberFormat="1" applyFont="1" applyBorder="1" applyAlignment="1">
      <alignment vertical="center"/>
    </xf>
    <xf numFmtId="4" fontId="15" fillId="0" borderId="8" xfId="1" applyNumberFormat="1" applyFont="1" applyBorder="1" applyAlignment="1">
      <alignment vertical="center"/>
    </xf>
    <xf numFmtId="166" fontId="15" fillId="4" borderId="34" xfId="1" applyNumberFormat="1" applyFont="1" applyFill="1" applyBorder="1" applyAlignment="1">
      <alignment vertical="center"/>
    </xf>
    <xf numFmtId="3" fontId="15" fillId="0" borderId="3" xfId="0" applyNumberFormat="1" applyFont="1" applyBorder="1" applyAlignment="1">
      <alignment horizontal="center" vertical="center"/>
    </xf>
    <xf numFmtId="4" fontId="20" fillId="0" borderId="3" xfId="0" applyNumberFormat="1" applyFont="1" applyBorder="1" applyAlignment="1">
      <alignment vertical="center"/>
    </xf>
    <xf numFmtId="4" fontId="15" fillId="0" borderId="3" xfId="0" applyNumberFormat="1" applyFont="1" applyBorder="1" applyAlignment="1">
      <alignment vertical="center"/>
    </xf>
    <xf numFmtId="4" fontId="19" fillId="4" borderId="35" xfId="0" applyNumberFormat="1" applyFont="1" applyFill="1" applyBorder="1" applyAlignment="1">
      <alignment horizontal="center" vertical="center"/>
    </xf>
    <xf numFmtId="4" fontId="19" fillId="4" borderId="33" xfId="0" applyNumberFormat="1" applyFont="1" applyFill="1" applyBorder="1" applyAlignment="1">
      <alignment horizontal="center" vertical="center"/>
    </xf>
    <xf numFmtId="4" fontId="17" fillId="4" borderId="2" xfId="0" applyNumberFormat="1" applyFont="1" applyFill="1" applyBorder="1" applyAlignment="1">
      <alignment horizontal="center" vertical="center"/>
    </xf>
    <xf numFmtId="4" fontId="19" fillId="4" borderId="2" xfId="0" applyNumberFormat="1" applyFont="1" applyFill="1" applyBorder="1" applyAlignment="1">
      <alignment horizontal="center" vertical="center"/>
    </xf>
    <xf numFmtId="4" fontId="17" fillId="4" borderId="27" xfId="0" applyNumberFormat="1" applyFont="1" applyFill="1" applyBorder="1" applyAlignment="1">
      <alignment horizontal="center" vertical="center"/>
    </xf>
    <xf numFmtId="4" fontId="19" fillId="4" borderId="27" xfId="0" applyNumberFormat="1" applyFont="1" applyFill="1" applyBorder="1" applyAlignment="1">
      <alignment horizontal="center" vertical="center"/>
    </xf>
    <xf numFmtId="166" fontId="15" fillId="0" borderId="38" xfId="0" applyNumberFormat="1" applyFont="1" applyBorder="1" applyAlignment="1">
      <alignment vertical="center"/>
    </xf>
    <xf numFmtId="167" fontId="15" fillId="0" borderId="38" xfId="4" applyNumberFormat="1" applyFont="1" applyBorder="1" applyAlignment="1">
      <alignment vertical="center"/>
    </xf>
    <xf numFmtId="4" fontId="15" fillId="0" borderId="8" xfId="0" applyNumberFormat="1" applyFont="1" applyBorder="1" applyAlignment="1">
      <alignment vertical="center"/>
    </xf>
    <xf numFmtId="2" fontId="0" fillId="0" borderId="0" xfId="0" applyNumberFormat="1" applyAlignment="1">
      <alignment vertical="center"/>
    </xf>
    <xf numFmtId="4" fontId="15" fillId="4" borderId="35" xfId="0" applyNumberFormat="1" applyFont="1" applyFill="1" applyBorder="1" applyAlignment="1">
      <alignment horizontal="center" vertical="center"/>
    </xf>
    <xf numFmtId="4" fontId="15" fillId="4" borderId="33" xfId="0" applyNumberFormat="1" applyFont="1" applyFill="1" applyBorder="1" applyAlignment="1">
      <alignment horizontal="center" vertical="center"/>
    </xf>
    <xf numFmtId="166" fontId="15" fillId="0" borderId="8" xfId="0" applyNumberFormat="1" applyFont="1" applyBorder="1" applyAlignment="1">
      <alignment vertical="center"/>
    </xf>
    <xf numFmtId="166" fontId="15" fillId="0" borderId="3" xfId="0" applyNumberFormat="1" applyFont="1" applyBorder="1" applyAlignment="1">
      <alignment vertical="center"/>
    </xf>
    <xf numFmtId="167" fontId="15" fillId="0" borderId="3" xfId="4" applyNumberFormat="1" applyFont="1" applyBorder="1" applyAlignment="1">
      <alignment vertical="center"/>
    </xf>
    <xf numFmtId="0" fontId="19" fillId="4" borderId="35" xfId="0" applyFont="1" applyFill="1" applyBorder="1" applyAlignment="1">
      <alignment horizontal="center" vertical="center"/>
    </xf>
    <xf numFmtId="0" fontId="19" fillId="4" borderId="33" xfId="0" applyFont="1" applyFill="1" applyBorder="1" applyAlignment="1">
      <alignment horizontal="center" vertical="center"/>
    </xf>
    <xf numFmtId="166" fontId="19" fillId="4" borderId="34" xfId="0" applyNumberFormat="1" applyFont="1" applyFill="1" applyBorder="1" applyAlignment="1">
      <alignment vertical="center"/>
    </xf>
    <xf numFmtId="4" fontId="29" fillId="0" borderId="0" xfId="0" applyNumberFormat="1" applyFont="1" applyBorder="1"/>
    <xf numFmtId="0" fontId="29" fillId="0" borderId="0" xfId="0" applyFont="1"/>
    <xf numFmtId="4" fontId="30" fillId="0" borderId="0" xfId="0" applyNumberFormat="1" applyFont="1"/>
    <xf numFmtId="0" fontId="29" fillId="0" borderId="0" xfId="0" applyFont="1" applyAlignment="1">
      <alignment vertical="center"/>
    </xf>
    <xf numFmtId="0" fontId="31" fillId="0" borderId="0" xfId="0" applyFont="1" applyAlignment="1">
      <alignment vertical="center"/>
    </xf>
    <xf numFmtId="0" fontId="32" fillId="0" borderId="0" xfId="0" applyFont="1" applyBorder="1" applyAlignment="1">
      <alignment horizontal="center" vertical="center"/>
    </xf>
    <xf numFmtId="0" fontId="33" fillId="0" borderId="0" xfId="0" applyFont="1" applyAlignment="1">
      <alignment horizontal="right" vertical="center"/>
    </xf>
    <xf numFmtId="171" fontId="15" fillId="0" borderId="29" xfId="0" applyNumberFormat="1" applyFont="1" applyBorder="1" applyAlignment="1">
      <alignment vertical="center"/>
    </xf>
    <xf numFmtId="4" fontId="15" fillId="0" borderId="29" xfId="9" applyNumberFormat="1" applyFont="1" applyBorder="1" applyAlignment="1">
      <alignment vertical="center"/>
    </xf>
    <xf numFmtId="167" fontId="15" fillId="0" borderId="38" xfId="0" applyNumberFormat="1" applyFont="1" applyBorder="1" applyAlignment="1">
      <alignment vertical="center"/>
    </xf>
    <xf numFmtId="165" fontId="0" fillId="0" borderId="0" xfId="0" applyNumberFormat="1"/>
    <xf numFmtId="171" fontId="15" fillId="0" borderId="6" xfId="0" applyNumberFormat="1" applyFont="1" applyBorder="1" applyAlignment="1">
      <alignment vertical="center"/>
    </xf>
    <xf numFmtId="167" fontId="15" fillId="0" borderId="6" xfId="0" applyNumberFormat="1" applyFont="1" applyBorder="1" applyAlignment="1">
      <alignment vertical="center"/>
    </xf>
    <xf numFmtId="4" fontId="15" fillId="0" borderId="6" xfId="0" applyNumberFormat="1" applyFont="1" applyBorder="1" applyAlignment="1">
      <alignment horizontal="right" vertical="center"/>
    </xf>
    <xf numFmtId="171" fontId="15" fillId="0" borderId="8" xfId="0" applyNumberFormat="1" applyFont="1" applyBorder="1" applyAlignment="1">
      <alignment vertical="center"/>
    </xf>
    <xf numFmtId="4" fontId="15" fillId="0" borderId="8" xfId="0" applyNumberFormat="1" applyFont="1" applyBorder="1" applyAlignment="1">
      <alignment horizontal="right" vertical="center"/>
    </xf>
    <xf numFmtId="167" fontId="15" fillId="0" borderId="9" xfId="0" applyNumberFormat="1" applyFont="1" applyBorder="1" applyAlignment="1">
      <alignment vertical="center"/>
    </xf>
    <xf numFmtId="0" fontId="15" fillId="0" borderId="0" xfId="0" applyFont="1"/>
    <xf numFmtId="4" fontId="15" fillId="0" borderId="0" xfId="0" applyNumberFormat="1" applyFont="1" applyFill="1" applyBorder="1" applyAlignment="1">
      <alignment vertical="center"/>
    </xf>
    <xf numFmtId="0" fontId="23" fillId="0" borderId="0" xfId="0" applyFont="1" applyAlignment="1">
      <alignment horizontal="right" vertical="center"/>
    </xf>
    <xf numFmtId="0" fontId="12" fillId="0" borderId="0" xfId="9" applyFont="1" applyAlignment="1">
      <alignment horizontal="center" vertical="center"/>
    </xf>
    <xf numFmtId="0" fontId="15" fillId="0" borderId="0" xfId="9" applyFont="1" applyAlignment="1">
      <alignment vertical="center"/>
    </xf>
    <xf numFmtId="0" fontId="16" fillId="0" borderId="0" xfId="9" applyFont="1" applyAlignment="1">
      <alignment horizontal="right" vertical="center"/>
    </xf>
    <xf numFmtId="0" fontId="15" fillId="4" borderId="2" xfId="0" applyFont="1" applyFill="1" applyBorder="1" applyAlignment="1">
      <alignment horizontal="center" vertical="center"/>
    </xf>
    <xf numFmtId="0" fontId="17" fillId="4" borderId="2" xfId="9" applyFont="1" applyFill="1" applyBorder="1" applyAlignment="1">
      <alignment horizontal="center" vertical="center"/>
    </xf>
    <xf numFmtId="0" fontId="19" fillId="4" borderId="2" xfId="9" applyFont="1" applyFill="1" applyBorder="1" applyAlignment="1">
      <alignment horizontal="center" vertical="center"/>
    </xf>
    <xf numFmtId="0" fontId="15" fillId="4" borderId="27" xfId="0" applyFont="1" applyFill="1" applyBorder="1" applyAlignment="1">
      <alignment horizontal="center" vertical="center"/>
    </xf>
    <xf numFmtId="0" fontId="17" fillId="4" borderId="27" xfId="9" applyFont="1" applyFill="1" applyBorder="1" applyAlignment="1">
      <alignment horizontal="center" vertical="center"/>
    </xf>
    <xf numFmtId="0" fontId="19" fillId="4" borderId="27" xfId="9" applyFont="1" applyFill="1" applyBorder="1" applyAlignment="1">
      <alignment horizontal="center" vertical="center"/>
    </xf>
    <xf numFmtId="3" fontId="15" fillId="0" borderId="29" xfId="9" applyNumberFormat="1" applyFont="1" applyBorder="1" applyAlignment="1">
      <alignment horizontal="center" vertical="center"/>
    </xf>
    <xf numFmtId="171" fontId="15" fillId="0" borderId="29" xfId="9" applyNumberFormat="1" applyFont="1" applyBorder="1" applyAlignment="1">
      <alignment vertical="center"/>
    </xf>
    <xf numFmtId="4" fontId="15" fillId="0" borderId="38" xfId="9" applyNumberFormat="1" applyFont="1" applyBorder="1" applyAlignment="1">
      <alignment vertical="center"/>
    </xf>
    <xf numFmtId="3" fontId="15" fillId="0" borderId="6" xfId="9" applyNumberFormat="1" applyFont="1" applyBorder="1" applyAlignment="1">
      <alignment horizontal="center" vertical="center"/>
    </xf>
    <xf numFmtId="4" fontId="15" fillId="0" borderId="6" xfId="9" applyNumberFormat="1" applyFont="1" applyBorder="1" applyAlignment="1">
      <alignment vertical="center"/>
    </xf>
    <xf numFmtId="171" fontId="15" fillId="0" borderId="6" xfId="9" applyNumberFormat="1" applyFont="1" applyBorder="1" applyAlignment="1">
      <alignment vertical="center"/>
    </xf>
    <xf numFmtId="3" fontId="15" fillId="0" borderId="8" xfId="9" applyNumberFormat="1" applyFont="1" applyBorder="1" applyAlignment="1">
      <alignment horizontal="center" vertical="center"/>
    </xf>
    <xf numFmtId="4" fontId="15" fillId="0" borderId="8" xfId="9" applyNumberFormat="1" applyFont="1" applyBorder="1" applyAlignment="1">
      <alignment vertical="center"/>
    </xf>
    <xf numFmtId="171" fontId="15" fillId="0" borderId="8" xfId="9" applyNumberFormat="1" applyFont="1" applyBorder="1" applyAlignment="1">
      <alignment vertical="center"/>
    </xf>
    <xf numFmtId="166" fontId="0" fillId="0" borderId="0" xfId="0" applyNumberFormat="1" applyAlignment="1">
      <alignment vertical="center"/>
    </xf>
    <xf numFmtId="4" fontId="15" fillId="0" borderId="39" xfId="9" applyNumberFormat="1" applyFont="1" applyBorder="1" applyAlignment="1">
      <alignment vertical="center"/>
    </xf>
    <xf numFmtId="4" fontId="19" fillId="4" borderId="35" xfId="9" applyNumberFormat="1" applyFont="1" applyFill="1" applyBorder="1" applyAlignment="1">
      <alignment horizontal="center" vertical="center"/>
    </xf>
    <xf numFmtId="4" fontId="19" fillId="4" borderId="33" xfId="9" applyNumberFormat="1" applyFont="1" applyFill="1" applyBorder="1" applyAlignment="1">
      <alignment horizontal="center" vertical="center"/>
    </xf>
    <xf numFmtId="4" fontId="19" fillId="4" borderId="34" xfId="9" applyNumberFormat="1" applyFont="1" applyFill="1" applyBorder="1" applyAlignment="1">
      <alignment vertical="center"/>
    </xf>
    <xf numFmtId="0" fontId="29" fillId="0" borderId="0" xfId="9" applyFont="1" applyAlignment="1">
      <alignment vertical="center"/>
    </xf>
    <xf numFmtId="4" fontId="29" fillId="0" borderId="0" xfId="9" applyNumberFormat="1" applyFont="1" applyAlignment="1">
      <alignment vertical="center"/>
    </xf>
    <xf numFmtId="0" fontId="12" fillId="0" borderId="0" xfId="10" applyFont="1" applyAlignment="1">
      <alignment horizontal="center" vertical="center"/>
    </xf>
    <xf numFmtId="0" fontId="12" fillId="0" borderId="0" xfId="11" applyFont="1" applyAlignment="1">
      <alignment horizontal="center" vertical="center"/>
    </xf>
    <xf numFmtId="0" fontId="15" fillId="0" borderId="0" xfId="10" applyFont="1" applyAlignment="1">
      <alignment vertical="center"/>
    </xf>
    <xf numFmtId="0" fontId="16" fillId="0" borderId="0" xfId="10" applyFont="1" applyAlignment="1">
      <alignment horizontal="right" vertical="center"/>
    </xf>
    <xf numFmtId="0" fontId="15" fillId="0" borderId="0" xfId="11" applyFont="1" applyAlignment="1">
      <alignment vertical="center"/>
    </xf>
    <xf numFmtId="0" fontId="16" fillId="0" borderId="0" xfId="11" applyFont="1" applyAlignment="1">
      <alignment horizontal="right" vertical="center"/>
    </xf>
    <xf numFmtId="0" fontId="17" fillId="4" borderId="2" xfId="10" applyFont="1" applyFill="1" applyBorder="1" applyAlignment="1">
      <alignment horizontal="center" vertical="center"/>
    </xf>
    <xf numFmtId="0" fontId="19" fillId="4" borderId="2" xfId="10" applyFont="1" applyFill="1" applyBorder="1" applyAlignment="1">
      <alignment horizontal="center" vertical="center"/>
    </xf>
    <xf numFmtId="0" fontId="17" fillId="4" borderId="2" xfId="11" applyFont="1" applyFill="1" applyBorder="1" applyAlignment="1">
      <alignment horizontal="center" vertical="center"/>
    </xf>
    <xf numFmtId="0" fontId="19" fillId="4" borderId="2" xfId="11" applyFont="1" applyFill="1" applyBorder="1" applyAlignment="1">
      <alignment horizontal="center" vertical="center"/>
    </xf>
    <xf numFmtId="0" fontId="17" fillId="4" borderId="27" xfId="10" applyFont="1" applyFill="1" applyBorder="1" applyAlignment="1">
      <alignment horizontal="center" vertical="center"/>
    </xf>
    <xf numFmtId="0" fontId="19" fillId="4" borderId="27" xfId="10" applyFont="1" applyFill="1" applyBorder="1" applyAlignment="1">
      <alignment horizontal="center" vertical="center"/>
    </xf>
    <xf numFmtId="0" fontId="17" fillId="4" borderId="27" xfId="11" applyFont="1" applyFill="1" applyBorder="1" applyAlignment="1">
      <alignment horizontal="center" vertical="center"/>
    </xf>
    <xf numFmtId="0" fontId="19" fillId="4" borderId="27" xfId="11" applyFont="1" applyFill="1" applyBorder="1" applyAlignment="1">
      <alignment horizontal="center" vertical="center"/>
    </xf>
    <xf numFmtId="0" fontId="15" fillId="0" borderId="29" xfId="10" applyFont="1" applyBorder="1" applyAlignment="1">
      <alignment horizontal="center" vertical="center"/>
    </xf>
    <xf numFmtId="0" fontId="15" fillId="0" borderId="29" xfId="10" applyFont="1" applyBorder="1" applyAlignment="1">
      <alignment vertical="center"/>
    </xf>
    <xf numFmtId="4" fontId="15" fillId="0" borderId="29" xfId="10" applyNumberFormat="1" applyFont="1" applyBorder="1" applyAlignment="1">
      <alignment vertical="center"/>
    </xf>
    <xf numFmtId="171" fontId="15" fillId="0" borderId="29" xfId="10" applyNumberFormat="1" applyFont="1" applyBorder="1" applyAlignment="1">
      <alignment vertical="center"/>
    </xf>
    <xf numFmtId="0" fontId="15" fillId="0" borderId="29" xfId="11" applyFont="1" applyBorder="1" applyAlignment="1">
      <alignment vertical="center"/>
    </xf>
    <xf numFmtId="166" fontId="15" fillId="0" borderId="29" xfId="11" applyNumberFormat="1" applyFont="1" applyBorder="1" applyAlignment="1">
      <alignment vertical="center"/>
    </xf>
    <xf numFmtId="167" fontId="15" fillId="0" borderId="9" xfId="11" applyNumberFormat="1" applyFont="1" applyBorder="1" applyAlignment="1">
      <alignment horizontal="right" vertical="center"/>
    </xf>
    <xf numFmtId="167" fontId="15" fillId="0" borderId="9" xfId="4" applyNumberFormat="1" applyFont="1" applyBorder="1" applyAlignment="1">
      <alignment horizontal="right" vertical="center"/>
    </xf>
    <xf numFmtId="167" fontId="0" fillId="0" borderId="0" xfId="0" applyNumberFormat="1" applyAlignment="1">
      <alignment vertical="center"/>
    </xf>
    <xf numFmtId="0" fontId="15" fillId="0" borderId="6" xfId="10" applyFont="1" applyBorder="1" applyAlignment="1">
      <alignment horizontal="center" vertical="center"/>
    </xf>
    <xf numFmtId="0" fontId="15" fillId="0" borderId="6" xfId="10" applyFont="1" applyBorder="1" applyAlignment="1">
      <alignment vertical="center"/>
    </xf>
    <xf numFmtId="4" fontId="15" fillId="0" borderId="6" xfId="10" applyNumberFormat="1" applyFont="1" applyBorder="1" applyAlignment="1">
      <alignment vertical="center"/>
    </xf>
    <xf numFmtId="171" fontId="15" fillId="0" borderId="6" xfId="10" applyNumberFormat="1" applyFont="1" applyBorder="1" applyAlignment="1">
      <alignment vertical="center"/>
    </xf>
    <xf numFmtId="4" fontId="15" fillId="0" borderId="6" xfId="10" applyNumberFormat="1" applyFont="1" applyBorder="1" applyAlignment="1">
      <alignment horizontal="right" vertical="center"/>
    </xf>
    <xf numFmtId="0" fontId="15" fillId="0" borderId="6" xfId="11" applyFont="1" applyBorder="1" applyAlignment="1">
      <alignment vertical="center"/>
    </xf>
    <xf numFmtId="166" fontId="15" fillId="0" borderId="6" xfId="11" applyNumberFormat="1" applyFont="1" applyBorder="1" applyAlignment="1">
      <alignment vertical="center"/>
    </xf>
    <xf numFmtId="167" fontId="15" fillId="0" borderId="6" xfId="11" applyNumberFormat="1" applyFont="1" applyBorder="1" applyAlignment="1">
      <alignment horizontal="right" vertical="center"/>
    </xf>
    <xf numFmtId="167" fontId="15" fillId="0" borderId="6" xfId="4" applyNumberFormat="1" applyFont="1" applyBorder="1" applyAlignment="1">
      <alignment horizontal="right" vertical="center"/>
    </xf>
    <xf numFmtId="0" fontId="15" fillId="0" borderId="8" xfId="10" applyFont="1" applyBorder="1" applyAlignment="1">
      <alignment horizontal="center" vertical="center"/>
    </xf>
    <xf numFmtId="0" fontId="15" fillId="0" borderId="8" xfId="10" applyFont="1" applyBorder="1" applyAlignment="1">
      <alignment vertical="center"/>
    </xf>
    <xf numFmtId="4" fontId="15" fillId="0" borderId="8" xfId="10" applyNumberFormat="1" applyFont="1" applyBorder="1" applyAlignment="1">
      <alignment vertical="center"/>
    </xf>
    <xf numFmtId="171" fontId="15" fillId="0" borderId="8" xfId="10" applyNumberFormat="1" applyFont="1" applyBorder="1" applyAlignment="1">
      <alignment vertical="center"/>
    </xf>
    <xf numFmtId="4" fontId="15" fillId="0" borderId="8" xfId="10" applyNumberFormat="1" applyFont="1" applyBorder="1" applyAlignment="1">
      <alignment horizontal="right" vertical="center"/>
    </xf>
    <xf numFmtId="0" fontId="15" fillId="0" borderId="8" xfId="11" applyFont="1" applyBorder="1" applyAlignment="1">
      <alignment vertical="center"/>
    </xf>
    <xf numFmtId="166" fontId="15" fillId="0" borderId="8" xfId="11" applyNumberFormat="1" applyFont="1" applyBorder="1" applyAlignment="1">
      <alignment vertical="center"/>
    </xf>
    <xf numFmtId="167" fontId="15" fillId="0" borderId="39" xfId="11" applyNumberFormat="1" applyFont="1" applyBorder="1" applyAlignment="1">
      <alignment horizontal="right" vertical="center"/>
    </xf>
    <xf numFmtId="167" fontId="15" fillId="0" borderId="39" xfId="4" applyNumberFormat="1" applyFont="1" applyBorder="1" applyAlignment="1">
      <alignment horizontal="right" vertical="center"/>
    </xf>
    <xf numFmtId="0" fontId="19" fillId="4" borderId="35" xfId="11" applyFont="1" applyFill="1" applyBorder="1" applyAlignment="1">
      <alignment horizontal="center" vertical="center"/>
    </xf>
    <xf numFmtId="0" fontId="19" fillId="4" borderId="33" xfId="11" applyFont="1" applyFill="1" applyBorder="1" applyAlignment="1">
      <alignment horizontal="center" vertical="center"/>
    </xf>
    <xf numFmtId="166" fontId="19" fillId="4" borderId="34" xfId="11" applyNumberFormat="1" applyFont="1" applyFill="1" applyBorder="1" applyAlignment="1">
      <alignment vertical="center"/>
    </xf>
    <xf numFmtId="166" fontId="19" fillId="4" borderId="27" xfId="11" applyNumberFormat="1" applyFont="1" applyFill="1" applyBorder="1" applyAlignment="1">
      <alignment vertical="center"/>
    </xf>
    <xf numFmtId="0" fontId="19" fillId="4" borderId="35" xfId="10" applyFont="1" applyFill="1" applyBorder="1" applyAlignment="1">
      <alignment horizontal="center" vertical="center"/>
    </xf>
    <xf numFmtId="0" fontId="19" fillId="4" borderId="33" xfId="10" applyFont="1" applyFill="1" applyBorder="1" applyAlignment="1">
      <alignment horizontal="center" vertical="center"/>
    </xf>
    <xf numFmtId="4" fontId="19" fillId="4" borderId="34" xfId="10" applyNumberFormat="1" applyFont="1" applyFill="1" applyBorder="1" applyAlignment="1">
      <alignment vertical="center"/>
    </xf>
    <xf numFmtId="0" fontId="27" fillId="0" borderId="0" xfId="10" applyFont="1" applyBorder="1" applyAlignment="1">
      <alignment horizontal="center" vertical="center"/>
    </xf>
    <xf numFmtId="0" fontId="27" fillId="0" borderId="0" xfId="10" applyFont="1" applyBorder="1" applyAlignment="1">
      <alignment horizontal="center" vertical="center"/>
    </xf>
    <xf numFmtId="166" fontId="15" fillId="0" borderId="0" xfId="11" applyNumberFormat="1" applyFont="1" applyAlignment="1">
      <alignment vertical="center"/>
    </xf>
    <xf numFmtId="165" fontId="34" fillId="0" borderId="29" xfId="4" applyNumberFormat="1" applyFont="1" applyBorder="1" applyAlignment="1">
      <alignment vertical="center"/>
    </xf>
    <xf numFmtId="164" fontId="14" fillId="0" borderId="29" xfId="4" applyNumberFormat="1" applyFont="1" applyBorder="1" applyAlignment="1">
      <alignment vertical="center"/>
    </xf>
    <xf numFmtId="0" fontId="17" fillId="4" borderId="38" xfId="0" applyFont="1" applyFill="1" applyBorder="1" applyAlignment="1">
      <alignment horizontal="center" vertical="center"/>
    </xf>
    <xf numFmtId="0" fontId="19" fillId="4" borderId="38" xfId="0" applyFont="1" applyFill="1" applyBorder="1" applyAlignment="1">
      <alignment horizontal="center" vertical="center"/>
    </xf>
    <xf numFmtId="0" fontId="19" fillId="4" borderId="43" xfId="0" applyFont="1" applyFill="1" applyBorder="1" applyAlignment="1">
      <alignment horizontal="center" vertical="center"/>
    </xf>
    <xf numFmtId="0" fontId="19" fillId="4" borderId="44" xfId="0" applyFont="1" applyFill="1" applyBorder="1" applyAlignment="1">
      <alignment horizontal="center" vertical="center"/>
    </xf>
    <xf numFmtId="0" fontId="19" fillId="4" borderId="45" xfId="0" applyFont="1" applyFill="1" applyBorder="1" applyAlignment="1">
      <alignment horizontal="center" vertical="center"/>
    </xf>
    <xf numFmtId="164" fontId="14" fillId="0" borderId="6" xfId="4" applyNumberFormat="1" applyFont="1" applyBorder="1" applyAlignment="1">
      <alignment vertical="center"/>
    </xf>
    <xf numFmtId="168" fontId="14" fillId="0" borderId="6" xfId="4" applyNumberFormat="1" applyFont="1" applyBorder="1" applyAlignment="1">
      <alignment vertical="center"/>
    </xf>
    <xf numFmtId="0" fontId="15" fillId="4" borderId="4" xfId="0" applyFont="1" applyFill="1" applyBorder="1" applyAlignment="1">
      <alignment horizontal="center" vertical="center"/>
    </xf>
    <xf numFmtId="0" fontId="19" fillId="4" borderId="28" xfId="0" applyFont="1" applyFill="1" applyBorder="1"/>
    <xf numFmtId="4" fontId="19" fillId="4" borderId="4" xfId="0" applyNumberFormat="1" applyFont="1" applyFill="1" applyBorder="1" applyAlignment="1">
      <alignment vertical="center"/>
    </xf>
    <xf numFmtId="0" fontId="35" fillId="0" borderId="9" xfId="0" applyFont="1" applyBorder="1" applyAlignment="1">
      <alignment vertical="center"/>
    </xf>
    <xf numFmtId="165" fontId="34" fillId="0" borderId="6" xfId="4" applyNumberFormat="1" applyFont="1" applyBorder="1" applyAlignment="1">
      <alignment vertical="center"/>
    </xf>
    <xf numFmtId="0" fontId="35" fillId="0" borderId="6" xfId="0" applyFont="1" applyBorder="1" applyAlignment="1">
      <alignment vertical="center"/>
    </xf>
    <xf numFmtId="171" fontId="15" fillId="0" borderId="9" xfId="0" applyNumberFormat="1" applyFont="1" applyBorder="1" applyAlignment="1">
      <alignment vertical="center"/>
    </xf>
    <xf numFmtId="164" fontId="15" fillId="0" borderId="6" xfId="0" applyNumberFormat="1" applyFont="1" applyBorder="1" applyAlignment="1">
      <alignment vertical="center"/>
    </xf>
    <xf numFmtId="164" fontId="15" fillId="0" borderId="9" xfId="0" applyNumberFormat="1" applyFont="1" applyBorder="1" applyAlignment="1">
      <alignment vertical="center"/>
    </xf>
    <xf numFmtId="0" fontId="15" fillId="0" borderId="7" xfId="0" applyFont="1" applyBorder="1" applyAlignment="1">
      <alignment horizontal="center" vertical="center"/>
    </xf>
    <xf numFmtId="0" fontId="35" fillId="0" borderId="7" xfId="0" applyFont="1" applyBorder="1" applyAlignment="1">
      <alignment vertical="center"/>
    </xf>
    <xf numFmtId="4" fontId="15" fillId="0" borderId="7" xfId="0" applyNumberFormat="1" applyFont="1" applyBorder="1" applyAlignment="1">
      <alignment vertical="center"/>
    </xf>
    <xf numFmtId="0" fontId="15" fillId="0" borderId="14" xfId="0" applyFont="1" applyBorder="1" applyAlignment="1">
      <alignment horizontal="center" vertical="center"/>
    </xf>
    <xf numFmtId="0" fontId="15" fillId="0" borderId="25" xfId="0" applyFont="1" applyBorder="1" applyAlignment="1">
      <alignment vertical="center"/>
    </xf>
    <xf numFmtId="4" fontId="15" fillId="0" borderId="25" xfId="0" applyNumberFormat="1" applyFont="1" applyBorder="1" applyAlignment="1">
      <alignment vertical="center"/>
    </xf>
    <xf numFmtId="4" fontId="15" fillId="0" borderId="15" xfId="0" applyNumberFormat="1" applyFont="1" applyBorder="1" applyAlignment="1">
      <alignment vertical="center"/>
    </xf>
    <xf numFmtId="0" fontId="15" fillId="4" borderId="1" xfId="0" applyFont="1" applyFill="1" applyBorder="1" applyAlignment="1">
      <alignment horizontal="center" vertical="center"/>
    </xf>
    <xf numFmtId="0" fontId="19" fillId="4" borderId="1" xfId="0" applyFont="1" applyFill="1" applyBorder="1" applyAlignment="1">
      <alignment vertical="center"/>
    </xf>
    <xf numFmtId="4" fontId="19" fillId="4" borderId="1" xfId="0" applyNumberFormat="1" applyFont="1" applyFill="1" applyBorder="1" applyAlignment="1">
      <alignment vertical="center"/>
    </xf>
    <xf numFmtId="0" fontId="15" fillId="0" borderId="3" xfId="0" applyFont="1" applyBorder="1" applyAlignment="1">
      <alignment horizontal="center" vertical="center"/>
    </xf>
    <xf numFmtId="164" fontId="14" fillId="0" borderId="39" xfId="4" applyNumberFormat="1" applyFont="1" applyBorder="1" applyAlignment="1">
      <alignment vertical="center"/>
    </xf>
    <xf numFmtId="0" fontId="15" fillId="0" borderId="39" xfId="0" applyFont="1" applyFill="1" applyBorder="1" applyAlignment="1">
      <alignment horizontal="center" vertical="center"/>
    </xf>
    <xf numFmtId="0" fontId="35" fillId="0" borderId="39" xfId="0" applyFont="1" applyBorder="1" applyAlignment="1">
      <alignment vertical="center"/>
    </xf>
    <xf numFmtId="4" fontId="15" fillId="0" borderId="39" xfId="0" applyNumberFormat="1" applyFont="1" applyFill="1" applyBorder="1" applyAlignment="1">
      <alignment vertical="center"/>
    </xf>
    <xf numFmtId="4" fontId="15" fillId="0" borderId="39" xfId="0" applyNumberFormat="1" applyFont="1" applyBorder="1" applyAlignment="1">
      <alignment vertical="center"/>
    </xf>
    <xf numFmtId="0" fontId="14" fillId="0" borderId="0" xfId="0" applyFont="1"/>
    <xf numFmtId="0" fontId="12" fillId="0" borderId="0" xfId="0" applyFont="1" applyFill="1" applyBorder="1" applyAlignment="1">
      <alignment horizontal="center" vertical="center"/>
    </xf>
    <xf numFmtId="0" fontId="12" fillId="0" borderId="0" xfId="0" applyFont="1" applyFill="1" applyBorder="1" applyAlignment="1">
      <alignment vertical="center"/>
    </xf>
    <xf numFmtId="0" fontId="15" fillId="0" borderId="28" xfId="0" applyFont="1" applyFill="1" applyBorder="1" applyAlignment="1">
      <alignment vertical="center"/>
    </xf>
    <xf numFmtId="0" fontId="16" fillId="0" borderId="0" xfId="0" applyFont="1" applyFill="1" applyBorder="1" applyAlignment="1">
      <alignment horizontal="right" vertical="center"/>
    </xf>
    <xf numFmtId="0" fontId="15" fillId="0" borderId="0" xfId="12" applyFont="1" applyAlignment="1">
      <alignment vertical="center"/>
    </xf>
    <xf numFmtId="0" fontId="16" fillId="0" borderId="0" xfId="12" applyFont="1" applyAlignment="1">
      <alignment horizontal="right" vertical="center"/>
    </xf>
    <xf numFmtId="0" fontId="17" fillId="7" borderId="2"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24" xfId="0" applyFont="1" applyFill="1" applyBorder="1" applyAlignment="1">
      <alignment horizontal="center" vertical="center"/>
    </xf>
    <xf numFmtId="0" fontId="19" fillId="7" borderId="25" xfId="0" applyFont="1" applyFill="1" applyBorder="1" applyAlignment="1">
      <alignment horizontal="center" vertical="center"/>
    </xf>
    <xf numFmtId="0" fontId="19" fillId="7" borderId="26" xfId="0" applyFont="1" applyFill="1" applyBorder="1" applyAlignment="1">
      <alignment horizontal="center" vertical="center"/>
    </xf>
    <xf numFmtId="0" fontId="14" fillId="4" borderId="2" xfId="12" applyFont="1" applyFill="1" applyBorder="1" applyAlignment="1">
      <alignment horizontal="center" vertical="center"/>
    </xf>
    <xf numFmtId="0" fontId="15" fillId="4" borderId="2" xfId="12" applyFont="1" applyFill="1" applyBorder="1" applyAlignment="1">
      <alignment horizontal="center" vertical="center"/>
    </xf>
    <xf numFmtId="0" fontId="17" fillId="7" borderId="27" xfId="0" applyFont="1" applyFill="1" applyBorder="1" applyAlignment="1">
      <alignment horizontal="center" vertical="center"/>
    </xf>
    <xf numFmtId="0" fontId="19" fillId="7" borderId="27" xfId="0" applyFont="1" applyFill="1" applyBorder="1" applyAlignment="1">
      <alignment horizontal="center" vertical="center"/>
    </xf>
    <xf numFmtId="0" fontId="19" fillId="7" borderId="27" xfId="0" applyFont="1" applyFill="1" applyBorder="1" applyAlignment="1">
      <alignment horizontal="center" vertical="center"/>
    </xf>
    <xf numFmtId="0" fontId="14" fillId="4" borderId="27" xfId="12" applyFont="1" applyFill="1" applyBorder="1" applyAlignment="1">
      <alignment horizontal="center" vertical="center"/>
    </xf>
    <xf numFmtId="0" fontId="15" fillId="4" borderId="27" xfId="12" applyFont="1" applyFill="1" applyBorder="1" applyAlignment="1">
      <alignment horizontal="center" vertical="center"/>
    </xf>
    <xf numFmtId="0" fontId="19" fillId="4" borderId="30" xfId="12" applyFont="1" applyFill="1" applyBorder="1" applyAlignment="1">
      <alignment horizontal="center" vertical="center"/>
    </xf>
    <xf numFmtId="0" fontId="15" fillId="0" borderId="29" xfId="0" applyFont="1" applyFill="1" applyBorder="1" applyAlignment="1">
      <alignment vertical="center"/>
    </xf>
    <xf numFmtId="3" fontId="15" fillId="0" borderId="29" xfId="0" applyNumberFormat="1" applyFont="1" applyFill="1" applyBorder="1" applyAlignment="1">
      <alignment vertical="center"/>
    </xf>
    <xf numFmtId="3" fontId="15" fillId="5" borderId="29" xfId="0" applyNumberFormat="1" applyFont="1" applyFill="1" applyBorder="1" applyAlignment="1">
      <alignment vertical="center"/>
    </xf>
    <xf numFmtId="3" fontId="15" fillId="0" borderId="38" xfId="0" applyNumberFormat="1" applyFont="1" applyFill="1" applyBorder="1" applyAlignment="1">
      <alignment vertical="center"/>
    </xf>
    <xf numFmtId="0" fontId="15" fillId="0" borderId="29" xfId="12" applyFont="1" applyBorder="1" applyAlignment="1">
      <alignment horizontal="center" vertical="center"/>
    </xf>
    <xf numFmtId="0" fontId="15" fillId="0" borderId="29" xfId="12" applyFont="1" applyBorder="1" applyAlignment="1">
      <alignment vertical="center"/>
    </xf>
    <xf numFmtId="166" fontId="21" fillId="0" borderId="29" xfId="12" applyNumberFormat="1" applyFont="1" applyBorder="1" applyAlignment="1">
      <alignment vertical="center"/>
    </xf>
    <xf numFmtId="4" fontId="21" fillId="0" borderId="29" xfId="0" applyNumberFormat="1" applyFont="1" applyBorder="1" applyAlignment="1">
      <alignment vertical="center"/>
    </xf>
    <xf numFmtId="0" fontId="15" fillId="0" borderId="6" xfId="0" applyFont="1" applyFill="1" applyBorder="1" applyAlignment="1">
      <alignment vertical="center"/>
    </xf>
    <xf numFmtId="3" fontId="15" fillId="5" borderId="6" xfId="0" applyNumberFormat="1" applyFont="1" applyFill="1" applyBorder="1" applyAlignment="1">
      <alignment vertical="center"/>
    </xf>
    <xf numFmtId="3" fontId="15" fillId="0" borderId="8" xfId="0" applyNumberFormat="1" applyFont="1" applyFill="1" applyBorder="1" applyAlignment="1">
      <alignment vertical="center"/>
    </xf>
    <xf numFmtId="0" fontId="15" fillId="0" borderId="6" xfId="12" applyFont="1" applyBorder="1" applyAlignment="1">
      <alignment horizontal="center" vertical="center"/>
    </xf>
    <xf numFmtId="0" fontId="15" fillId="0" borderId="6" xfId="12" applyFont="1" applyBorder="1" applyAlignment="1">
      <alignment vertical="center"/>
    </xf>
    <xf numFmtId="166" fontId="15" fillId="0" borderId="6" xfId="12" applyNumberFormat="1" applyFont="1" applyBorder="1" applyAlignment="1">
      <alignment vertical="center"/>
    </xf>
    <xf numFmtId="168" fontId="15" fillId="0" borderId="6" xfId="12" applyNumberFormat="1" applyFont="1" applyBorder="1" applyAlignment="1">
      <alignment vertical="center"/>
    </xf>
    <xf numFmtId="4" fontId="15" fillId="0" borderId="6" xfId="0" applyNumberFormat="1" applyFont="1" applyBorder="1" applyAlignment="1">
      <alignment horizontal="center" vertical="center"/>
    </xf>
    <xf numFmtId="3" fontId="15" fillId="0" borderId="6" xfId="0" applyNumberFormat="1" applyFont="1" applyFill="1" applyBorder="1" applyAlignment="1">
      <alignment horizontal="right" vertical="center"/>
    </xf>
    <xf numFmtId="3" fontId="15" fillId="0" borderId="9" xfId="0" applyNumberFormat="1" applyFont="1" applyFill="1" applyBorder="1" applyAlignment="1">
      <alignment vertical="center"/>
    </xf>
    <xf numFmtId="0" fontId="15" fillId="0" borderId="8" xfId="0" applyFont="1" applyFill="1" applyBorder="1" applyAlignment="1">
      <alignment vertical="center"/>
    </xf>
    <xf numFmtId="0" fontId="19" fillId="6" borderId="35" xfId="0" applyFont="1" applyFill="1" applyBorder="1" applyAlignment="1">
      <alignment horizontal="center" vertical="center"/>
    </xf>
    <xf numFmtId="0" fontId="19" fillId="6" borderId="33" xfId="0" applyFont="1" applyFill="1" applyBorder="1" applyAlignment="1">
      <alignment horizontal="center" vertical="center"/>
    </xf>
    <xf numFmtId="3" fontId="19" fillId="6" borderId="34" xfId="0" applyNumberFormat="1" applyFont="1" applyFill="1" applyBorder="1" applyAlignment="1">
      <alignment vertical="center"/>
    </xf>
    <xf numFmtId="166" fontId="21" fillId="0" borderId="6" xfId="12" applyNumberFormat="1" applyFont="1" applyBorder="1" applyAlignment="1">
      <alignment vertical="center"/>
    </xf>
    <xf numFmtId="4" fontId="19" fillId="0" borderId="6" xfId="0" applyNumberFormat="1" applyFont="1" applyBorder="1" applyAlignment="1">
      <alignment vertical="center"/>
    </xf>
    <xf numFmtId="0" fontId="15" fillId="0" borderId="0" xfId="0" applyFont="1" applyFill="1" applyAlignment="1">
      <alignment vertical="center"/>
    </xf>
    <xf numFmtId="0" fontId="15" fillId="0" borderId="8" xfId="12" applyFont="1" applyBorder="1" applyAlignment="1">
      <alignment horizontal="center" vertical="center"/>
    </xf>
    <xf numFmtId="0" fontId="15" fillId="0" borderId="8" xfId="12" applyFont="1" applyBorder="1" applyAlignment="1">
      <alignment vertical="center"/>
    </xf>
    <xf numFmtId="166" fontId="15" fillId="0" borderId="8" xfId="12" applyNumberFormat="1" applyFont="1" applyBorder="1" applyAlignment="1">
      <alignment vertical="center"/>
    </xf>
    <xf numFmtId="168" fontId="15" fillId="0" borderId="8" xfId="12" applyNumberFormat="1" applyFont="1" applyBorder="1" applyAlignment="1">
      <alignment vertical="center"/>
    </xf>
    <xf numFmtId="0" fontId="23" fillId="0" borderId="0" xfId="0" applyFont="1" applyFill="1" applyAlignment="1">
      <alignment vertical="center"/>
    </xf>
    <xf numFmtId="0" fontId="15" fillId="0" borderId="3" xfId="12" applyFont="1" applyBorder="1" applyAlignment="1">
      <alignment horizontal="center" vertical="center"/>
    </xf>
    <xf numFmtId="0" fontId="15" fillId="0" borderId="3" xfId="12" applyFont="1" applyBorder="1" applyAlignment="1">
      <alignment vertical="center"/>
    </xf>
    <xf numFmtId="166" fontId="15" fillId="0" borderId="3" xfId="12" applyNumberFormat="1" applyFont="1" applyBorder="1" applyAlignment="1">
      <alignment vertical="center"/>
    </xf>
    <xf numFmtId="0" fontId="15" fillId="4" borderId="35" xfId="12" applyFont="1" applyFill="1" applyBorder="1" applyAlignment="1">
      <alignment horizontal="center" vertical="center"/>
    </xf>
    <xf numFmtId="0" fontId="15" fillId="4" borderId="33" xfId="12" applyFont="1" applyFill="1" applyBorder="1" applyAlignment="1">
      <alignment horizontal="center" vertical="center"/>
    </xf>
    <xf numFmtId="166" fontId="15" fillId="4" borderId="34" xfId="12" applyNumberFormat="1" applyFont="1" applyFill="1" applyBorder="1" applyAlignment="1">
      <alignment vertical="center"/>
    </xf>
    <xf numFmtId="0" fontId="15" fillId="0" borderId="0" xfId="2" applyFont="1" applyAlignment="1">
      <alignment vertical="center"/>
    </xf>
    <xf numFmtId="0" fontId="16" fillId="0" borderId="0" xfId="2" applyFont="1" applyAlignment="1">
      <alignment horizontal="right" vertical="center"/>
    </xf>
    <xf numFmtId="169" fontId="0" fillId="0" borderId="0" xfId="0" applyNumberFormat="1" applyAlignment="1">
      <alignment vertical="center"/>
    </xf>
    <xf numFmtId="0" fontId="17" fillId="4" borderId="2" xfId="2" applyFont="1" applyFill="1" applyBorder="1" applyAlignment="1">
      <alignment horizontal="center" vertical="center"/>
    </xf>
    <xf numFmtId="0" fontId="19" fillId="4" borderId="2" xfId="2" applyFont="1" applyFill="1" applyBorder="1" applyAlignment="1">
      <alignment horizontal="center" vertical="center"/>
    </xf>
    <xf numFmtId="0" fontId="17" fillId="4" borderId="27" xfId="2" applyFont="1" applyFill="1" applyBorder="1" applyAlignment="1">
      <alignment horizontal="center" vertical="center"/>
    </xf>
    <xf numFmtId="0" fontId="19" fillId="4" borderId="27" xfId="2" applyFont="1" applyFill="1" applyBorder="1" applyAlignment="1">
      <alignment horizontal="center" vertical="center"/>
    </xf>
    <xf numFmtId="167" fontId="15" fillId="0" borderId="29" xfId="0" applyNumberFormat="1" applyFont="1" applyFill="1" applyBorder="1" applyAlignment="1">
      <alignment vertical="center"/>
    </xf>
    <xf numFmtId="167" fontId="15" fillId="0" borderId="29" xfId="0" applyNumberFormat="1" applyFont="1" applyBorder="1" applyAlignment="1">
      <alignment vertical="center"/>
    </xf>
    <xf numFmtId="0" fontId="15" fillId="0" borderId="29" xfId="2" applyFont="1" applyBorder="1" applyAlignment="1">
      <alignment horizontal="center" vertical="center"/>
    </xf>
    <xf numFmtId="0" fontId="15" fillId="0" borderId="29" xfId="2" applyFont="1" applyBorder="1" applyAlignment="1">
      <alignment horizontal="left" vertical="center"/>
    </xf>
    <xf numFmtId="4" fontId="15" fillId="0" borderId="29" xfId="2" applyNumberFormat="1" applyFont="1" applyBorder="1" applyAlignment="1">
      <alignment vertical="center"/>
    </xf>
    <xf numFmtId="167" fontId="15" fillId="0" borderId="6" xfId="0" applyNumberFormat="1" applyFont="1" applyFill="1" applyBorder="1" applyAlignment="1">
      <alignment vertical="center"/>
    </xf>
    <xf numFmtId="0" fontId="15" fillId="0" borderId="6" xfId="2" applyFont="1" applyBorder="1" applyAlignment="1">
      <alignment horizontal="center" vertical="center"/>
    </xf>
    <xf numFmtId="0" fontId="15" fillId="0" borderId="6" xfId="2" applyFont="1" applyBorder="1" applyAlignment="1">
      <alignment horizontal="left" vertical="center"/>
    </xf>
    <xf numFmtId="4" fontId="15" fillId="0" borderId="6" xfId="2" applyNumberFormat="1" applyFont="1" applyBorder="1" applyAlignment="1">
      <alignment vertical="center"/>
    </xf>
    <xf numFmtId="0" fontId="15" fillId="0" borderId="21" xfId="2" applyFont="1" applyBorder="1" applyAlignment="1">
      <alignment horizontal="left" vertical="center"/>
    </xf>
    <xf numFmtId="0" fontId="15" fillId="0" borderId="27" xfId="2" applyFont="1" applyBorder="1"/>
    <xf numFmtId="0" fontId="15" fillId="0" borderId="41" xfId="2" applyFont="1" applyBorder="1"/>
    <xf numFmtId="4" fontId="15" fillId="0" borderId="3" xfId="2" applyNumberFormat="1" applyFont="1" applyBorder="1" applyAlignment="1">
      <alignment vertical="center"/>
    </xf>
    <xf numFmtId="4" fontId="15" fillId="0" borderId="8" xfId="2" applyNumberFormat="1" applyFont="1" applyBorder="1" applyAlignment="1">
      <alignment vertical="center"/>
    </xf>
    <xf numFmtId="167" fontId="15" fillId="0" borderId="3" xfId="0" applyNumberFormat="1" applyFont="1" applyFill="1" applyBorder="1" applyAlignment="1">
      <alignment vertical="center"/>
    </xf>
    <xf numFmtId="0" fontId="19" fillId="4" borderId="35" xfId="2" applyFont="1" applyFill="1" applyBorder="1" applyAlignment="1">
      <alignment horizontal="center" vertical="center"/>
    </xf>
    <xf numFmtId="0" fontId="19" fillId="4" borderId="33" xfId="2" applyFont="1" applyFill="1" applyBorder="1" applyAlignment="1">
      <alignment horizontal="center" vertical="center"/>
    </xf>
    <xf numFmtId="4" fontId="19" fillId="4" borderId="34" xfId="2" applyNumberFormat="1" applyFont="1" applyFill="1" applyBorder="1" applyAlignment="1">
      <alignment vertical="center"/>
    </xf>
    <xf numFmtId="4" fontId="19" fillId="6" borderId="35" xfId="0" applyNumberFormat="1" applyFont="1" applyFill="1" applyBorder="1" applyAlignment="1">
      <alignment horizontal="center" vertical="center"/>
    </xf>
    <xf numFmtId="166" fontId="19" fillId="6" borderId="34" xfId="0" applyNumberFormat="1" applyFont="1" applyFill="1" applyBorder="1" applyAlignment="1">
      <alignment vertical="center"/>
    </xf>
    <xf numFmtId="4" fontId="15" fillId="6" borderId="34" xfId="0" applyNumberFormat="1" applyFont="1" applyFill="1" applyBorder="1" applyAlignment="1">
      <alignment vertical="center"/>
    </xf>
    <xf numFmtId="0" fontId="15" fillId="0" borderId="0" xfId="13" applyFont="1" applyAlignment="1">
      <alignment vertical="center"/>
    </xf>
    <xf numFmtId="0" fontId="12" fillId="0" borderId="0" xfId="0" applyFont="1" applyBorder="1" applyAlignment="1">
      <alignment horizontal="center" vertical="center"/>
    </xf>
    <xf numFmtId="0" fontId="15" fillId="0" borderId="28" xfId="0" applyFont="1" applyBorder="1" applyAlignment="1">
      <alignment vertical="center"/>
    </xf>
    <xf numFmtId="0" fontId="16" fillId="0" borderId="28" xfId="0" applyFont="1" applyBorder="1" applyAlignment="1">
      <alignment horizontal="right" vertical="center"/>
    </xf>
    <xf numFmtId="164" fontId="15" fillId="0" borderId="29" xfId="11" applyNumberFormat="1" applyFont="1" applyBorder="1" applyAlignment="1">
      <alignment vertical="center"/>
    </xf>
    <xf numFmtId="171" fontId="36" fillId="0" borderId="0" xfId="0" applyNumberFormat="1" applyFont="1" applyAlignment="1">
      <alignment vertical="center"/>
    </xf>
    <xf numFmtId="164" fontId="15" fillId="0" borderId="6" xfId="11" applyNumberFormat="1" applyFont="1" applyBorder="1" applyAlignment="1">
      <alignment vertical="center"/>
    </xf>
    <xf numFmtId="164" fontId="15" fillId="0" borderId="8" xfId="11" applyNumberFormat="1" applyFont="1" applyBorder="1" applyAlignment="1">
      <alignment vertical="center"/>
    </xf>
    <xf numFmtId="171" fontId="0" fillId="0" borderId="0" xfId="0" applyNumberFormat="1" applyAlignment="1">
      <alignment vertical="center"/>
    </xf>
    <xf numFmtId="4" fontId="12" fillId="0" borderId="0" xfId="0" applyNumberFormat="1" applyFont="1" applyAlignment="1">
      <alignment vertical="center"/>
    </xf>
    <xf numFmtId="0" fontId="12" fillId="0" borderId="0" xfId="0" applyFont="1" applyAlignment="1">
      <alignment vertical="center"/>
    </xf>
    <xf numFmtId="0" fontId="12" fillId="0" borderId="0" xfId="14" applyFont="1" applyAlignment="1">
      <alignment horizontal="center" vertical="center"/>
    </xf>
    <xf numFmtId="0" fontId="15" fillId="0" borderId="0" xfId="14" applyFont="1" applyAlignment="1">
      <alignment vertical="center"/>
    </xf>
    <xf numFmtId="0" fontId="16" fillId="0" borderId="0" xfId="14" applyFont="1" applyAlignment="1">
      <alignment horizontal="right" vertical="center"/>
    </xf>
    <xf numFmtId="0" fontId="17" fillId="4" borderId="2" xfId="14" applyFont="1" applyFill="1" applyBorder="1" applyAlignment="1">
      <alignment horizontal="center" vertical="center"/>
    </xf>
    <xf numFmtId="0" fontId="19" fillId="4" borderId="2" xfId="14" applyFont="1" applyFill="1" applyBorder="1" applyAlignment="1">
      <alignment horizontal="center" vertical="center"/>
    </xf>
    <xf numFmtId="0" fontId="17" fillId="4" borderId="27" xfId="14" applyFont="1" applyFill="1" applyBorder="1" applyAlignment="1">
      <alignment horizontal="center" vertical="center"/>
    </xf>
    <xf numFmtId="0" fontId="19" fillId="4" borderId="27" xfId="14" applyFont="1" applyFill="1" applyBorder="1" applyAlignment="1">
      <alignment horizontal="center" vertical="center"/>
    </xf>
    <xf numFmtId="0" fontId="15" fillId="0" borderId="29" xfId="14" applyFont="1" applyBorder="1" applyAlignment="1">
      <alignment horizontal="center" vertical="center"/>
    </xf>
    <xf numFmtId="0" fontId="15" fillId="0" borderId="29" xfId="14" applyFont="1" applyBorder="1" applyAlignment="1">
      <alignment vertical="center"/>
    </xf>
    <xf numFmtId="166" fontId="21" fillId="0" borderId="29" xfId="14" applyNumberFormat="1" applyFont="1" applyBorder="1" applyAlignment="1">
      <alignment vertical="center"/>
    </xf>
    <xf numFmtId="0" fontId="15" fillId="0" borderId="9" xfId="14" applyFont="1" applyBorder="1" applyAlignment="1">
      <alignment horizontal="center" vertical="center"/>
    </xf>
    <xf numFmtId="0" fontId="15" fillId="0" borderId="9" xfId="14" applyFont="1" applyBorder="1" applyAlignment="1">
      <alignment vertical="center"/>
    </xf>
    <xf numFmtId="166" fontId="21" fillId="0" borderId="9" xfId="14" applyNumberFormat="1" applyFont="1" applyBorder="1" applyAlignment="1">
      <alignment vertical="center"/>
    </xf>
    <xf numFmtId="0" fontId="15" fillId="0" borderId="6" xfId="14" applyFont="1" applyBorder="1" applyAlignment="1">
      <alignment horizontal="center" vertical="center"/>
    </xf>
    <xf numFmtId="0" fontId="15" fillId="0" borderId="6" xfId="14" applyFont="1" applyBorder="1" applyAlignment="1">
      <alignment vertical="center"/>
    </xf>
    <xf numFmtId="166" fontId="15" fillId="0" borderId="6" xfId="14" applyNumberFormat="1" applyFont="1" applyBorder="1" applyAlignment="1">
      <alignment vertical="center"/>
    </xf>
    <xf numFmtId="0" fontId="23" fillId="0" borderId="0" xfId="0" applyFont="1" applyAlignment="1">
      <alignment vertical="center"/>
    </xf>
    <xf numFmtId="168" fontId="15" fillId="0" borderId="6" xfId="14" applyNumberFormat="1" applyFont="1" applyBorder="1" applyAlignment="1">
      <alignment vertical="center"/>
    </xf>
    <xf numFmtId="166" fontId="21" fillId="0" borderId="6" xfId="14" applyNumberFormat="1" applyFont="1" applyBorder="1" applyAlignment="1">
      <alignment vertical="center"/>
    </xf>
    <xf numFmtId="0" fontId="15" fillId="0" borderId="8" xfId="14" applyFont="1" applyBorder="1" applyAlignment="1">
      <alignment horizontal="center" vertical="center"/>
    </xf>
    <xf numFmtId="166" fontId="15" fillId="0" borderId="8" xfId="14" applyNumberFormat="1" applyFont="1" applyBorder="1" applyAlignment="1">
      <alignment vertical="center"/>
    </xf>
    <xf numFmtId="168" fontId="15" fillId="0" borderId="8" xfId="14" applyNumberFormat="1" applyFont="1" applyBorder="1" applyAlignment="1">
      <alignment vertical="center"/>
    </xf>
    <xf numFmtId="0" fontId="15" fillId="0" borderId="8" xfId="14" applyFont="1" applyBorder="1" applyAlignment="1">
      <alignment vertical="center"/>
    </xf>
    <xf numFmtId="166" fontId="21" fillId="0" borderId="8" xfId="14" applyNumberFormat="1" applyFont="1" applyBorder="1" applyAlignment="1">
      <alignment vertical="center"/>
    </xf>
    <xf numFmtId="0" fontId="15" fillId="0" borderId="27" xfId="14" applyFont="1" applyBorder="1" applyAlignment="1">
      <alignment horizontal="center" vertical="center"/>
    </xf>
    <xf numFmtId="0" fontId="15" fillId="0" borderId="27" xfId="14" applyFont="1" applyBorder="1" applyAlignment="1">
      <alignment vertical="center"/>
    </xf>
    <xf numFmtId="166" fontId="15" fillId="0" borderId="27" xfId="14" applyNumberFormat="1" applyFont="1" applyBorder="1" applyAlignment="1">
      <alignment horizontal="right" vertical="center"/>
    </xf>
    <xf numFmtId="0" fontId="27" fillId="0" borderId="0" xfId="14" applyFont="1" applyBorder="1" applyAlignment="1">
      <alignment horizontal="center" vertical="center"/>
    </xf>
    <xf numFmtId="0" fontId="27" fillId="0" borderId="0" xfId="14" applyFont="1" applyBorder="1" applyAlignment="1">
      <alignment horizontal="center" vertical="center"/>
    </xf>
    <xf numFmtId="0" fontId="15" fillId="0" borderId="0" xfId="14" applyFont="1"/>
    <xf numFmtId="0" fontId="22" fillId="0" borderId="29" xfId="0" applyFont="1" applyBorder="1" applyAlignment="1">
      <alignment vertical="center"/>
    </xf>
    <xf numFmtId="166" fontId="21" fillId="0" borderId="29" xfId="0" applyNumberFormat="1" applyFont="1" applyBorder="1" applyAlignment="1">
      <alignment vertical="center"/>
    </xf>
    <xf numFmtId="4" fontId="19" fillId="0" borderId="29" xfId="0" applyNumberFormat="1" applyFont="1" applyBorder="1" applyAlignment="1">
      <alignment vertical="center"/>
    </xf>
    <xf numFmtId="168" fontId="15" fillId="0" borderId="6" xfId="0" applyNumberFormat="1" applyFont="1" applyBorder="1" applyAlignment="1">
      <alignment vertical="center"/>
    </xf>
    <xf numFmtId="0" fontId="22" fillId="0" borderId="6" xfId="0" applyFont="1" applyBorder="1" applyAlignment="1">
      <alignment vertical="center"/>
    </xf>
    <xf numFmtId="168" fontId="15" fillId="0" borderId="8" xfId="0" applyNumberFormat="1" applyFont="1" applyBorder="1" applyAlignment="1">
      <alignment vertical="center"/>
    </xf>
    <xf numFmtId="0" fontId="15" fillId="0" borderId="3" xfId="0" applyFont="1" applyBorder="1" applyAlignment="1">
      <alignment vertical="center"/>
    </xf>
    <xf numFmtId="166" fontId="15" fillId="0" borderId="8" xfId="0" applyNumberFormat="1" applyFont="1" applyFill="1" applyBorder="1" applyAlignment="1">
      <alignment vertical="center"/>
    </xf>
    <xf numFmtId="0" fontId="12" fillId="0" borderId="0" xfId="15" applyFont="1" applyAlignment="1">
      <alignment horizontal="center" vertical="center"/>
    </xf>
    <xf numFmtId="0" fontId="15" fillId="0" borderId="0" xfId="15" applyFont="1" applyAlignment="1">
      <alignment vertical="center"/>
    </xf>
    <xf numFmtId="0" fontId="16" fillId="0" borderId="0" xfId="15" applyFont="1" applyAlignment="1">
      <alignment horizontal="right" vertical="center"/>
    </xf>
    <xf numFmtId="0" fontId="17" fillId="4" borderId="2" xfId="15" applyFont="1" applyFill="1" applyBorder="1" applyAlignment="1">
      <alignment horizontal="center" vertical="center"/>
    </xf>
    <xf numFmtId="0" fontId="19" fillId="4" borderId="2" xfId="15" applyFont="1" applyFill="1" applyBorder="1" applyAlignment="1">
      <alignment horizontal="center" vertical="center"/>
    </xf>
    <xf numFmtId="0" fontId="17" fillId="4" borderId="27" xfId="15" applyFont="1" applyFill="1" applyBorder="1" applyAlignment="1">
      <alignment horizontal="center" vertical="center"/>
    </xf>
    <xf numFmtId="0" fontId="19" fillId="4" borderId="27" xfId="15" applyFont="1" applyFill="1" applyBorder="1" applyAlignment="1">
      <alignment horizontal="center" vertical="center"/>
    </xf>
    <xf numFmtId="0" fontId="15" fillId="0" borderId="29" xfId="15" applyFont="1" applyBorder="1" applyAlignment="1">
      <alignment horizontal="center" vertical="center"/>
    </xf>
    <xf numFmtId="0" fontId="15" fillId="0" borderId="29" xfId="15" applyFont="1" applyBorder="1" applyAlignment="1">
      <alignment vertical="center"/>
    </xf>
    <xf numFmtId="166" fontId="21" fillId="0" borderId="29" xfId="15" applyNumberFormat="1" applyFont="1" applyBorder="1" applyAlignment="1">
      <alignment vertical="center"/>
    </xf>
    <xf numFmtId="166" fontId="21" fillId="0" borderId="29" xfId="15" applyNumberFormat="1" applyFont="1" applyFill="1" applyBorder="1" applyAlignment="1">
      <alignment vertical="center"/>
    </xf>
    <xf numFmtId="0" fontId="15" fillId="0" borderId="6" xfId="15" applyFont="1" applyBorder="1" applyAlignment="1">
      <alignment horizontal="center" vertical="center"/>
    </xf>
    <xf numFmtId="0" fontId="15" fillId="0" borderId="6" xfId="15" applyFont="1" applyBorder="1" applyAlignment="1">
      <alignment vertical="center"/>
    </xf>
    <xf numFmtId="166" fontId="21" fillId="0" borderId="6" xfId="15" applyNumberFormat="1" applyFont="1" applyBorder="1" applyAlignment="1">
      <alignment vertical="center"/>
    </xf>
    <xf numFmtId="166" fontId="21" fillId="0" borderId="6" xfId="15" applyNumberFormat="1" applyFont="1" applyFill="1" applyBorder="1" applyAlignment="1">
      <alignment vertical="center"/>
    </xf>
    <xf numFmtId="166" fontId="15" fillId="0" borderId="6" xfId="15" applyNumberFormat="1" applyFont="1" applyBorder="1" applyAlignment="1">
      <alignment vertical="center"/>
    </xf>
    <xf numFmtId="166" fontId="15" fillId="0" borderId="6" xfId="15" applyNumberFormat="1" applyFont="1" applyFill="1" applyBorder="1" applyAlignment="1">
      <alignment vertical="center"/>
    </xf>
    <xf numFmtId="0" fontId="15" fillId="0" borderId="8" xfId="15" applyFont="1" applyBorder="1" applyAlignment="1">
      <alignment horizontal="center" vertical="center"/>
    </xf>
    <xf numFmtId="0" fontId="15" fillId="0" borderId="8" xfId="15" applyFont="1" applyBorder="1" applyAlignment="1">
      <alignment vertical="center"/>
    </xf>
    <xf numFmtId="166" fontId="15" fillId="0" borderId="8" xfId="15" applyNumberFormat="1" applyFont="1" applyBorder="1" applyAlignment="1">
      <alignment vertical="center"/>
    </xf>
    <xf numFmtId="166" fontId="15" fillId="0" borderId="8" xfId="15" applyNumberFormat="1" applyFont="1" applyFill="1" applyBorder="1" applyAlignment="1">
      <alignment vertical="center"/>
    </xf>
    <xf numFmtId="0" fontId="19" fillId="4" borderId="35" xfId="15" applyFont="1" applyFill="1" applyBorder="1" applyAlignment="1">
      <alignment horizontal="center" vertical="center"/>
    </xf>
    <xf numFmtId="0" fontId="19" fillId="4" borderId="33" xfId="15" applyFont="1" applyFill="1" applyBorder="1" applyAlignment="1">
      <alignment horizontal="center" vertical="center"/>
    </xf>
    <xf numFmtId="166" fontId="19" fillId="4" borderId="34" xfId="15" applyNumberFormat="1" applyFont="1" applyFill="1" applyBorder="1" applyAlignment="1">
      <alignment vertical="center"/>
    </xf>
    <xf numFmtId="0" fontId="12" fillId="0" borderId="0" xfId="3" applyFont="1" applyAlignment="1">
      <alignment horizontal="center" vertical="center"/>
    </xf>
    <xf numFmtId="0" fontId="15" fillId="0" borderId="0" xfId="3" applyFont="1" applyAlignment="1">
      <alignment vertical="center"/>
    </xf>
    <xf numFmtId="0" fontId="16" fillId="0" borderId="0" xfId="3" applyFont="1" applyAlignment="1">
      <alignment horizontal="right" vertical="center"/>
    </xf>
    <xf numFmtId="0" fontId="17" fillId="4" borderId="2" xfId="3" applyFont="1" applyFill="1" applyBorder="1" applyAlignment="1">
      <alignment horizontal="center" vertical="center"/>
    </xf>
    <xf numFmtId="0" fontId="19" fillId="4" borderId="2" xfId="3" applyFont="1" applyFill="1" applyBorder="1" applyAlignment="1">
      <alignment horizontal="center" vertical="center"/>
    </xf>
    <xf numFmtId="0" fontId="17" fillId="4" borderId="27" xfId="3" applyFont="1" applyFill="1" applyBorder="1" applyAlignment="1">
      <alignment horizontal="center" vertical="center"/>
    </xf>
    <xf numFmtId="0" fontId="19" fillId="4" borderId="27" xfId="3" applyFont="1" applyFill="1" applyBorder="1" applyAlignment="1">
      <alignment horizontal="center" vertical="center"/>
    </xf>
    <xf numFmtId="0" fontId="15" fillId="0" borderId="29" xfId="3" applyFont="1" applyBorder="1" applyAlignment="1">
      <alignment vertical="center"/>
    </xf>
    <xf numFmtId="166" fontId="15" fillId="0" borderId="29" xfId="3" applyNumberFormat="1" applyFont="1" applyBorder="1" applyAlignment="1">
      <alignment vertical="center"/>
    </xf>
    <xf numFmtId="166" fontId="15" fillId="0" borderId="29" xfId="3" applyNumberFormat="1" applyFont="1" applyFill="1" applyBorder="1" applyAlignment="1">
      <alignment vertical="center"/>
    </xf>
    <xf numFmtId="171" fontId="15" fillId="0" borderId="29" xfId="3" applyNumberFormat="1" applyFont="1" applyFill="1" applyBorder="1" applyAlignment="1">
      <alignment vertical="center"/>
    </xf>
    <xf numFmtId="0" fontId="15" fillId="0" borderId="6" xfId="3" applyFont="1" applyBorder="1" applyAlignment="1">
      <alignment vertical="center"/>
    </xf>
    <xf numFmtId="166" fontId="15" fillId="0" borderId="6" xfId="3" applyNumberFormat="1" applyFont="1" applyBorder="1" applyAlignment="1">
      <alignment vertical="center"/>
    </xf>
    <xf numFmtId="166" fontId="15" fillId="0" borderId="6" xfId="3" applyNumberFormat="1" applyFont="1" applyFill="1" applyBorder="1" applyAlignment="1">
      <alignment vertical="center"/>
    </xf>
    <xf numFmtId="171" fontId="15" fillId="0" borderId="6" xfId="3" applyNumberFormat="1" applyFont="1" applyFill="1" applyBorder="1" applyAlignment="1">
      <alignment vertical="center"/>
    </xf>
    <xf numFmtId="0" fontId="15" fillId="0" borderId="8" xfId="3" applyFont="1" applyBorder="1" applyAlignment="1">
      <alignment vertical="center"/>
    </xf>
    <xf numFmtId="166" fontId="15" fillId="0" borderId="8" xfId="3" applyNumberFormat="1" applyFont="1" applyBorder="1" applyAlignment="1">
      <alignment vertical="center"/>
    </xf>
    <xf numFmtId="166" fontId="15" fillId="0" borderId="8" xfId="3" applyNumberFormat="1" applyFont="1" applyFill="1" applyBorder="1" applyAlignment="1">
      <alignment vertical="center"/>
    </xf>
    <xf numFmtId="171" fontId="15" fillId="0" borderId="8" xfId="3" applyNumberFormat="1" applyFont="1" applyFill="1" applyBorder="1" applyAlignment="1">
      <alignment vertical="center"/>
    </xf>
    <xf numFmtId="0" fontId="19" fillId="4" borderId="35" xfId="3" applyFont="1" applyFill="1" applyBorder="1" applyAlignment="1">
      <alignment horizontal="center" vertical="center"/>
    </xf>
    <xf numFmtId="0" fontId="19" fillId="4" borderId="33" xfId="3" applyFont="1" applyFill="1" applyBorder="1" applyAlignment="1">
      <alignment horizontal="center" vertical="center"/>
    </xf>
    <xf numFmtId="166" fontId="19" fillId="4" borderId="34" xfId="3" applyNumberFormat="1" applyFont="1" applyFill="1" applyBorder="1" applyAlignment="1">
      <alignment vertical="center"/>
    </xf>
    <xf numFmtId="168" fontId="15" fillId="0" borderId="29" xfId="0" applyNumberFormat="1" applyFont="1" applyFill="1" applyBorder="1" applyAlignment="1">
      <alignment vertical="center"/>
    </xf>
    <xf numFmtId="168" fontId="15" fillId="0" borderId="6" xfId="0" applyNumberFormat="1" applyFont="1" applyFill="1" applyBorder="1" applyAlignment="1">
      <alignment vertical="center"/>
    </xf>
    <xf numFmtId="4" fontId="15" fillId="0" borderId="0" xfId="0" applyNumberFormat="1" applyFont="1" applyBorder="1" applyAlignment="1">
      <alignment vertical="center"/>
    </xf>
    <xf numFmtId="0" fontId="12" fillId="0" borderId="0" xfId="16" applyFont="1" applyAlignment="1">
      <alignment horizontal="center" vertical="center"/>
    </xf>
    <xf numFmtId="0" fontId="15" fillId="0" borderId="0" xfId="16" applyFont="1" applyAlignment="1">
      <alignment vertical="center"/>
    </xf>
    <xf numFmtId="0" fontId="16" fillId="0" borderId="0" xfId="16" applyFont="1" applyAlignment="1">
      <alignment horizontal="right" vertical="center"/>
    </xf>
    <xf numFmtId="0" fontId="17" fillId="4" borderId="2" xfId="16" applyFont="1" applyFill="1" applyBorder="1" applyAlignment="1">
      <alignment horizontal="center" vertical="center"/>
    </xf>
    <xf numFmtId="0" fontId="19" fillId="4" borderId="2" xfId="16" applyFont="1" applyFill="1" applyBorder="1" applyAlignment="1">
      <alignment horizontal="center" vertical="center"/>
    </xf>
    <xf numFmtId="0" fontId="17" fillId="4" borderId="27" xfId="16" applyFont="1" applyFill="1" applyBorder="1" applyAlignment="1">
      <alignment horizontal="center" vertical="center"/>
    </xf>
    <xf numFmtId="0" fontId="19" fillId="4" borderId="27" xfId="16" applyFont="1" applyFill="1" applyBorder="1" applyAlignment="1">
      <alignment horizontal="center" vertical="center"/>
    </xf>
    <xf numFmtId="0" fontId="15" fillId="0" borderId="29" xfId="16" applyFont="1" applyBorder="1" applyAlignment="1">
      <alignment vertical="center"/>
    </xf>
    <xf numFmtId="166" fontId="15" fillId="0" borderId="29" xfId="16" applyNumberFormat="1" applyFont="1" applyBorder="1" applyAlignment="1">
      <alignment vertical="center"/>
    </xf>
    <xf numFmtId="166" fontId="15" fillId="0" borderId="29" xfId="16" applyNumberFormat="1" applyFont="1" applyFill="1" applyBorder="1" applyAlignment="1">
      <alignment vertical="center"/>
    </xf>
    <xf numFmtId="0" fontId="15" fillId="0" borderId="6" xfId="16" applyFont="1" applyBorder="1" applyAlignment="1">
      <alignment vertical="center"/>
    </xf>
    <xf numFmtId="166" fontId="15" fillId="0" borderId="6" xfId="16" applyNumberFormat="1" applyFont="1" applyBorder="1" applyAlignment="1">
      <alignment vertical="center"/>
    </xf>
    <xf numFmtId="166" fontId="15" fillId="0" borderId="6" xfId="16" applyNumberFormat="1" applyFont="1" applyFill="1" applyBorder="1" applyAlignment="1">
      <alignment vertical="center"/>
    </xf>
    <xf numFmtId="0" fontId="15" fillId="0" borderId="8" xfId="16" applyFont="1" applyBorder="1" applyAlignment="1">
      <alignment vertical="center"/>
    </xf>
    <xf numFmtId="166" fontId="15" fillId="0" borderId="8" xfId="16" applyNumberFormat="1" applyFont="1" applyBorder="1" applyAlignment="1">
      <alignment vertical="center"/>
    </xf>
    <xf numFmtId="166" fontId="15" fillId="0" borderId="8" xfId="16" applyNumberFormat="1" applyFont="1" applyFill="1" applyBorder="1" applyAlignment="1">
      <alignment vertical="center"/>
    </xf>
    <xf numFmtId="0" fontId="19" fillId="4" borderId="35" xfId="16" applyFont="1" applyFill="1" applyBorder="1" applyAlignment="1">
      <alignment horizontal="center" vertical="center"/>
    </xf>
    <xf numFmtId="0" fontId="19" fillId="4" borderId="33" xfId="16" applyFont="1" applyFill="1" applyBorder="1" applyAlignment="1">
      <alignment horizontal="center" vertical="center"/>
    </xf>
    <xf numFmtId="166" fontId="19" fillId="4" borderId="34" xfId="16" applyNumberFormat="1" applyFont="1" applyFill="1" applyBorder="1" applyAlignment="1">
      <alignment vertical="center"/>
    </xf>
    <xf numFmtId="0" fontId="15" fillId="0" borderId="0" xfId="16" applyFont="1" applyBorder="1" applyAlignment="1">
      <alignment horizontal="center" vertical="center"/>
    </xf>
    <xf numFmtId="166" fontId="15" fillId="0" borderId="0" xfId="16" applyNumberFormat="1" applyFont="1" applyBorder="1" applyAlignment="1">
      <alignment vertical="center"/>
    </xf>
    <xf numFmtId="4" fontId="0" fillId="0" borderId="0" xfId="0" applyNumberFormat="1" applyAlignment="1">
      <alignment vertical="center"/>
    </xf>
    <xf numFmtId="0" fontId="19" fillId="4" borderId="31" xfId="0" applyFont="1" applyFill="1" applyBorder="1" applyAlignment="1">
      <alignment horizontal="center" vertical="center"/>
    </xf>
    <xf numFmtId="4" fontId="37" fillId="4" borderId="34" xfId="0" applyNumberFormat="1" applyFont="1" applyFill="1" applyBorder="1" applyAlignment="1">
      <alignment vertical="center"/>
    </xf>
    <xf numFmtId="4" fontId="15" fillId="0" borderId="0" xfId="0" applyNumberFormat="1" applyFont="1" applyBorder="1" applyAlignment="1">
      <alignment horizontal="center" vertical="center"/>
    </xf>
    <xf numFmtId="4" fontId="15" fillId="0" borderId="0" xfId="0" applyNumberFormat="1" applyFont="1"/>
    <xf numFmtId="0" fontId="19" fillId="4" borderId="10" xfId="1" applyFont="1" applyFill="1" applyBorder="1" applyAlignment="1">
      <alignment horizontal="center" vertical="center"/>
    </xf>
    <xf numFmtId="0" fontId="19" fillId="4" borderId="24" xfId="0" applyFont="1" applyFill="1" applyBorder="1" applyAlignment="1">
      <alignment vertical="center"/>
    </xf>
    <xf numFmtId="0" fontId="19" fillId="4" borderId="25" xfId="0" applyFont="1" applyFill="1" applyBorder="1" applyAlignment="1">
      <alignment vertical="center"/>
    </xf>
    <xf numFmtId="0" fontId="19" fillId="4" borderId="26" xfId="0" applyFont="1" applyFill="1" applyBorder="1" applyAlignment="1">
      <alignment vertical="center"/>
    </xf>
    <xf numFmtId="0" fontId="19" fillId="4" borderId="27" xfId="1" applyFont="1" applyFill="1" applyBorder="1" applyAlignment="1">
      <alignment horizontal="center" vertical="center"/>
    </xf>
    <xf numFmtId="164" fontId="15" fillId="0" borderId="29" xfId="4" applyFont="1" applyBorder="1" applyAlignment="1">
      <alignment vertical="center"/>
    </xf>
    <xf numFmtId="164" fontId="15" fillId="0" borderId="6" xfId="4" applyFont="1" applyBorder="1" applyAlignment="1">
      <alignment vertical="center"/>
    </xf>
    <xf numFmtId="164" fontId="14" fillId="0" borderId="8" xfId="4" applyFont="1" applyBorder="1" applyAlignment="1">
      <alignment vertical="center"/>
    </xf>
    <xf numFmtId="164" fontId="15" fillId="4" borderId="33" xfId="1" applyNumberFormat="1" applyFont="1" applyFill="1" applyBorder="1" applyAlignment="1">
      <alignment horizontal="center" vertical="center"/>
    </xf>
    <xf numFmtId="0" fontId="19" fillId="4" borderId="4" xfId="0" applyFont="1" applyFill="1" applyBorder="1" applyAlignment="1">
      <alignment horizontal="center" vertical="center"/>
    </xf>
    <xf numFmtId="165" fontId="15" fillId="0" borderId="3" xfId="4" applyNumberFormat="1" applyFont="1" applyBorder="1" applyAlignment="1">
      <alignment vertical="center"/>
    </xf>
    <xf numFmtId="165" fontId="15" fillId="4" borderId="34" xfId="1" applyNumberFormat="1" applyFont="1" applyFill="1" applyBorder="1" applyAlignment="1">
      <alignment vertical="center"/>
    </xf>
    <xf numFmtId="0" fontId="0" fillId="0" borderId="19" xfId="0" applyFont="1" applyBorder="1" applyAlignment="1">
      <alignment horizontal="left" vertical="top" wrapText="1"/>
    </xf>
    <xf numFmtId="0" fontId="0" fillId="0" borderId="14" xfId="0" applyFont="1" applyBorder="1" applyAlignment="1">
      <alignment horizontal="left" vertical="top" wrapText="1"/>
    </xf>
    <xf numFmtId="0" fontId="0" fillId="0" borderId="14" xfId="0" applyFont="1" applyBorder="1" applyAlignment="1">
      <alignment horizontal="left" vertical="center" wrapText="1"/>
    </xf>
    <xf numFmtId="0" fontId="0" fillId="0" borderId="16" xfId="0" applyFont="1" applyBorder="1" applyAlignment="1">
      <alignment horizontal="left" vertical="center" wrapText="1"/>
    </xf>
    <xf numFmtId="0" fontId="0" fillId="0" borderId="20" xfId="0" applyFont="1" applyBorder="1" applyAlignment="1">
      <alignment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40" fillId="0" borderId="30" xfId="0" applyFont="1" applyFill="1" applyBorder="1" applyAlignment="1">
      <alignment horizontal="center" vertical="center"/>
    </xf>
    <xf numFmtId="3" fontId="41" fillId="0" borderId="6" xfId="0" applyNumberFormat="1" applyFont="1" applyBorder="1" applyAlignment="1">
      <alignment vertical="center"/>
    </xf>
    <xf numFmtId="3" fontId="41" fillId="0" borderId="6" xfId="0" applyNumberFormat="1" applyFont="1" applyFill="1" applyBorder="1" applyAlignment="1">
      <alignment vertical="center"/>
    </xf>
    <xf numFmtId="4" fontId="41" fillId="0" borderId="6" xfId="0" applyNumberFormat="1" applyFont="1" applyBorder="1" applyAlignment="1">
      <alignment vertical="center"/>
    </xf>
    <xf numFmtId="166" fontId="41" fillId="0" borderId="6" xfId="0" applyNumberFormat="1" applyFont="1" applyBorder="1" applyAlignment="1">
      <alignment vertical="top"/>
    </xf>
    <xf numFmtId="4" fontId="41" fillId="4" borderId="34" xfId="0" applyNumberFormat="1" applyFont="1" applyFill="1" applyBorder="1" applyAlignment="1">
      <alignment vertical="top"/>
    </xf>
  </cellXfs>
  <cellStyles count="26">
    <cellStyle name="Comma [0] 4" xfId="17"/>
    <cellStyle name="Comma [0] 6" xfId="18"/>
    <cellStyle name="Comma 2" xfId="4"/>
    <cellStyle name="Normal" xfId="0" builtinId="0"/>
    <cellStyle name="Normal 10 2" xfId="8"/>
    <cellStyle name="Normal 11 2" xfId="5"/>
    <cellStyle name="Normal 12 2" xfId="1"/>
    <cellStyle name="Normal 13 3" xfId="13"/>
    <cellStyle name="Normal 13 4" xfId="7"/>
    <cellStyle name="Normal 14 3" xfId="2"/>
    <cellStyle name="Normal 2 2" xfId="19"/>
    <cellStyle name="Normal 2 3" xfId="12"/>
    <cellStyle name="Normal 2 4" xfId="20"/>
    <cellStyle name="Normal 2 7" xfId="9"/>
    <cellStyle name="Normal 3" xfId="11"/>
    <cellStyle name="Normal 3 2" xfId="21"/>
    <cellStyle name="Normal 3 4" xfId="22"/>
    <cellStyle name="Normal 4 2" xfId="23"/>
    <cellStyle name="Normal 4 3" xfId="24"/>
    <cellStyle name="Normal 4 5" xfId="10"/>
    <cellStyle name="Normal 5 2" xfId="15"/>
    <cellStyle name="Normal 6 2" xfId="3"/>
    <cellStyle name="Normal 7 2 2" xfId="25"/>
    <cellStyle name="Normal 7 3" xfId="14"/>
    <cellStyle name="Normal 8 5" xfId="6"/>
    <cellStyle name="Normal 9 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19</xdr:row>
      <xdr:rowOff>0</xdr:rowOff>
    </xdr:from>
    <xdr:to>
      <xdr:col>2</xdr:col>
      <xdr:colOff>342900</xdr:colOff>
      <xdr:row>20</xdr:row>
      <xdr:rowOff>85724</xdr:rowOff>
    </xdr:to>
    <xdr:sp macro="" textlink="">
      <xdr:nvSpPr>
        <xdr:cNvPr id="2" name="Text Box 139"/>
        <xdr:cNvSpPr txBox="1">
          <a:spLocks noChangeArrowheads="1"/>
        </xdr:cNvSpPr>
      </xdr:nvSpPr>
      <xdr:spPr bwMode="auto">
        <a:xfrm>
          <a:off x="1460500" y="2647950"/>
          <a:ext cx="76200" cy="225424"/>
        </a:xfrm>
        <a:prstGeom prst="rect">
          <a:avLst/>
        </a:prstGeom>
        <a:noFill/>
        <a:ln w="9525">
          <a:noFill/>
          <a:miter lim="800000"/>
          <a:headEnd/>
          <a:tailEnd/>
        </a:ln>
      </xdr:spPr>
    </xdr:sp>
    <xdr:clientData/>
  </xdr:twoCellAnchor>
  <xdr:twoCellAnchor editAs="oneCell">
    <xdr:from>
      <xdr:col>2</xdr:col>
      <xdr:colOff>266700</xdr:colOff>
      <xdr:row>19</xdr:row>
      <xdr:rowOff>0</xdr:rowOff>
    </xdr:from>
    <xdr:to>
      <xdr:col>2</xdr:col>
      <xdr:colOff>342900</xdr:colOff>
      <xdr:row>20</xdr:row>
      <xdr:rowOff>85724</xdr:rowOff>
    </xdr:to>
    <xdr:sp macro="" textlink="">
      <xdr:nvSpPr>
        <xdr:cNvPr id="3" name="Text Box 421"/>
        <xdr:cNvSpPr txBox="1">
          <a:spLocks noChangeArrowheads="1"/>
        </xdr:cNvSpPr>
      </xdr:nvSpPr>
      <xdr:spPr bwMode="auto">
        <a:xfrm>
          <a:off x="1460500" y="2647950"/>
          <a:ext cx="76200" cy="225424"/>
        </a:xfrm>
        <a:prstGeom prst="rect">
          <a:avLst/>
        </a:prstGeom>
        <a:noFill/>
        <a:ln w="9525">
          <a:noFill/>
          <a:miter lim="800000"/>
          <a:headEnd/>
          <a:tailEnd/>
        </a:ln>
      </xdr:spPr>
    </xdr:sp>
    <xdr:clientData/>
  </xdr:twoCellAnchor>
  <xdr:twoCellAnchor editAs="oneCell">
    <xdr:from>
      <xdr:col>2</xdr:col>
      <xdr:colOff>266700</xdr:colOff>
      <xdr:row>19</xdr:row>
      <xdr:rowOff>0</xdr:rowOff>
    </xdr:from>
    <xdr:to>
      <xdr:col>2</xdr:col>
      <xdr:colOff>342900</xdr:colOff>
      <xdr:row>20</xdr:row>
      <xdr:rowOff>85724</xdr:rowOff>
    </xdr:to>
    <xdr:sp macro="" textlink="">
      <xdr:nvSpPr>
        <xdr:cNvPr id="4" name="Text Box 426"/>
        <xdr:cNvSpPr txBox="1">
          <a:spLocks noChangeArrowheads="1"/>
        </xdr:cNvSpPr>
      </xdr:nvSpPr>
      <xdr:spPr bwMode="auto">
        <a:xfrm>
          <a:off x="1460500" y="2647950"/>
          <a:ext cx="76200" cy="225424"/>
        </a:xfrm>
        <a:prstGeom prst="rect">
          <a:avLst/>
        </a:prstGeom>
        <a:noFill/>
        <a:ln w="9525">
          <a:noFill/>
          <a:miter lim="800000"/>
          <a:headEnd/>
          <a:tailEnd/>
        </a:ln>
      </xdr:spPr>
    </xdr:sp>
    <xdr:clientData/>
  </xdr:twoCellAnchor>
  <xdr:twoCellAnchor editAs="oneCell">
    <xdr:from>
      <xdr:col>2</xdr:col>
      <xdr:colOff>266700</xdr:colOff>
      <xdr:row>19</xdr:row>
      <xdr:rowOff>0</xdr:rowOff>
    </xdr:from>
    <xdr:to>
      <xdr:col>2</xdr:col>
      <xdr:colOff>342900</xdr:colOff>
      <xdr:row>20</xdr:row>
      <xdr:rowOff>85724</xdr:rowOff>
    </xdr:to>
    <xdr:sp macro="" textlink="">
      <xdr:nvSpPr>
        <xdr:cNvPr id="5" name="Text Box 431"/>
        <xdr:cNvSpPr txBox="1">
          <a:spLocks noChangeArrowheads="1"/>
        </xdr:cNvSpPr>
      </xdr:nvSpPr>
      <xdr:spPr bwMode="auto">
        <a:xfrm>
          <a:off x="1460500" y="2647950"/>
          <a:ext cx="76200" cy="225424"/>
        </a:xfrm>
        <a:prstGeom prst="rect">
          <a:avLst/>
        </a:prstGeom>
        <a:noFill/>
        <a:ln w="9525">
          <a:noFill/>
          <a:miter lim="800000"/>
          <a:headEnd/>
          <a:tailEnd/>
        </a:ln>
      </xdr:spPr>
    </xdr:sp>
    <xdr:clientData/>
  </xdr:twoCellAnchor>
  <xdr:twoCellAnchor editAs="oneCell">
    <xdr:from>
      <xdr:col>2</xdr:col>
      <xdr:colOff>266700</xdr:colOff>
      <xdr:row>19</xdr:row>
      <xdr:rowOff>0</xdr:rowOff>
    </xdr:from>
    <xdr:to>
      <xdr:col>2</xdr:col>
      <xdr:colOff>342900</xdr:colOff>
      <xdr:row>20</xdr:row>
      <xdr:rowOff>85724</xdr:rowOff>
    </xdr:to>
    <xdr:sp macro="" textlink="">
      <xdr:nvSpPr>
        <xdr:cNvPr id="6" name="Text Box 448"/>
        <xdr:cNvSpPr txBox="1">
          <a:spLocks noChangeArrowheads="1"/>
        </xdr:cNvSpPr>
      </xdr:nvSpPr>
      <xdr:spPr bwMode="auto">
        <a:xfrm>
          <a:off x="1460500" y="2647950"/>
          <a:ext cx="76200" cy="225424"/>
        </a:xfrm>
        <a:prstGeom prst="rect">
          <a:avLst/>
        </a:prstGeom>
        <a:noFill/>
        <a:ln w="9525">
          <a:noFill/>
          <a:miter lim="800000"/>
          <a:headEnd/>
          <a:tailEnd/>
        </a:ln>
      </xdr:spPr>
    </xdr:sp>
    <xdr:clientData/>
  </xdr:twoCellAnchor>
  <xdr:twoCellAnchor editAs="oneCell">
    <xdr:from>
      <xdr:col>2</xdr:col>
      <xdr:colOff>266700</xdr:colOff>
      <xdr:row>50</xdr:row>
      <xdr:rowOff>0</xdr:rowOff>
    </xdr:from>
    <xdr:to>
      <xdr:col>2</xdr:col>
      <xdr:colOff>342900</xdr:colOff>
      <xdr:row>51</xdr:row>
      <xdr:rowOff>85725</xdr:rowOff>
    </xdr:to>
    <xdr:sp macro="" textlink="">
      <xdr:nvSpPr>
        <xdr:cNvPr id="7" name="Text Box 139"/>
        <xdr:cNvSpPr txBox="1">
          <a:spLocks noChangeArrowheads="1"/>
        </xdr:cNvSpPr>
      </xdr:nvSpPr>
      <xdr:spPr bwMode="auto">
        <a:xfrm>
          <a:off x="1460500" y="6978650"/>
          <a:ext cx="76200" cy="225425"/>
        </a:xfrm>
        <a:prstGeom prst="rect">
          <a:avLst/>
        </a:prstGeom>
        <a:noFill/>
        <a:ln w="9525">
          <a:noFill/>
          <a:miter lim="800000"/>
          <a:headEnd/>
          <a:tailEnd/>
        </a:ln>
      </xdr:spPr>
    </xdr:sp>
    <xdr:clientData/>
  </xdr:twoCellAnchor>
  <xdr:twoCellAnchor editAs="oneCell">
    <xdr:from>
      <xdr:col>2</xdr:col>
      <xdr:colOff>266700</xdr:colOff>
      <xdr:row>50</xdr:row>
      <xdr:rowOff>0</xdr:rowOff>
    </xdr:from>
    <xdr:to>
      <xdr:col>2</xdr:col>
      <xdr:colOff>342900</xdr:colOff>
      <xdr:row>51</xdr:row>
      <xdr:rowOff>85725</xdr:rowOff>
    </xdr:to>
    <xdr:sp macro="" textlink="">
      <xdr:nvSpPr>
        <xdr:cNvPr id="8" name="Text Box 421"/>
        <xdr:cNvSpPr txBox="1">
          <a:spLocks noChangeArrowheads="1"/>
        </xdr:cNvSpPr>
      </xdr:nvSpPr>
      <xdr:spPr bwMode="auto">
        <a:xfrm>
          <a:off x="1460500" y="6978650"/>
          <a:ext cx="76200" cy="225425"/>
        </a:xfrm>
        <a:prstGeom prst="rect">
          <a:avLst/>
        </a:prstGeom>
        <a:noFill/>
        <a:ln w="9525">
          <a:noFill/>
          <a:miter lim="800000"/>
          <a:headEnd/>
          <a:tailEnd/>
        </a:ln>
      </xdr:spPr>
    </xdr:sp>
    <xdr:clientData/>
  </xdr:twoCellAnchor>
  <xdr:twoCellAnchor editAs="oneCell">
    <xdr:from>
      <xdr:col>2</xdr:col>
      <xdr:colOff>266700</xdr:colOff>
      <xdr:row>50</xdr:row>
      <xdr:rowOff>0</xdr:rowOff>
    </xdr:from>
    <xdr:to>
      <xdr:col>2</xdr:col>
      <xdr:colOff>342900</xdr:colOff>
      <xdr:row>51</xdr:row>
      <xdr:rowOff>85725</xdr:rowOff>
    </xdr:to>
    <xdr:sp macro="" textlink="">
      <xdr:nvSpPr>
        <xdr:cNvPr id="9" name="Text Box 426"/>
        <xdr:cNvSpPr txBox="1">
          <a:spLocks noChangeArrowheads="1"/>
        </xdr:cNvSpPr>
      </xdr:nvSpPr>
      <xdr:spPr bwMode="auto">
        <a:xfrm>
          <a:off x="1460500" y="6978650"/>
          <a:ext cx="76200" cy="225425"/>
        </a:xfrm>
        <a:prstGeom prst="rect">
          <a:avLst/>
        </a:prstGeom>
        <a:noFill/>
        <a:ln w="9525">
          <a:noFill/>
          <a:miter lim="800000"/>
          <a:headEnd/>
          <a:tailEnd/>
        </a:ln>
      </xdr:spPr>
    </xdr:sp>
    <xdr:clientData/>
  </xdr:twoCellAnchor>
  <xdr:twoCellAnchor editAs="oneCell">
    <xdr:from>
      <xdr:col>2</xdr:col>
      <xdr:colOff>266700</xdr:colOff>
      <xdr:row>50</xdr:row>
      <xdr:rowOff>0</xdr:rowOff>
    </xdr:from>
    <xdr:to>
      <xdr:col>2</xdr:col>
      <xdr:colOff>342900</xdr:colOff>
      <xdr:row>51</xdr:row>
      <xdr:rowOff>85725</xdr:rowOff>
    </xdr:to>
    <xdr:sp macro="" textlink="">
      <xdr:nvSpPr>
        <xdr:cNvPr id="10" name="Text Box 431"/>
        <xdr:cNvSpPr txBox="1">
          <a:spLocks noChangeArrowheads="1"/>
        </xdr:cNvSpPr>
      </xdr:nvSpPr>
      <xdr:spPr bwMode="auto">
        <a:xfrm>
          <a:off x="1460500" y="6978650"/>
          <a:ext cx="76200" cy="225425"/>
        </a:xfrm>
        <a:prstGeom prst="rect">
          <a:avLst/>
        </a:prstGeom>
        <a:noFill/>
        <a:ln w="9525">
          <a:noFill/>
          <a:miter lim="800000"/>
          <a:headEnd/>
          <a:tailEnd/>
        </a:ln>
      </xdr:spPr>
    </xdr:sp>
    <xdr:clientData/>
  </xdr:twoCellAnchor>
  <xdr:twoCellAnchor editAs="oneCell">
    <xdr:from>
      <xdr:col>2</xdr:col>
      <xdr:colOff>266700</xdr:colOff>
      <xdr:row>50</xdr:row>
      <xdr:rowOff>0</xdr:rowOff>
    </xdr:from>
    <xdr:to>
      <xdr:col>2</xdr:col>
      <xdr:colOff>342900</xdr:colOff>
      <xdr:row>51</xdr:row>
      <xdr:rowOff>85725</xdr:rowOff>
    </xdr:to>
    <xdr:sp macro="" textlink="">
      <xdr:nvSpPr>
        <xdr:cNvPr id="11" name="Text Box 448"/>
        <xdr:cNvSpPr txBox="1">
          <a:spLocks noChangeArrowheads="1"/>
        </xdr:cNvSpPr>
      </xdr:nvSpPr>
      <xdr:spPr bwMode="auto">
        <a:xfrm>
          <a:off x="1460500" y="6978650"/>
          <a:ext cx="76200" cy="225425"/>
        </a:xfrm>
        <a:prstGeom prst="rect">
          <a:avLst/>
        </a:prstGeom>
        <a:noFill/>
        <a:ln w="9525">
          <a:noFill/>
          <a:miter lim="800000"/>
          <a:headEnd/>
          <a:tailEnd/>
        </a:ln>
      </xdr:spPr>
    </xdr:sp>
    <xdr:clientData/>
  </xdr:twoCellAnchor>
  <xdr:twoCellAnchor editAs="oneCell">
    <xdr:from>
      <xdr:col>2</xdr:col>
      <xdr:colOff>266700</xdr:colOff>
      <xdr:row>76</xdr:row>
      <xdr:rowOff>0</xdr:rowOff>
    </xdr:from>
    <xdr:to>
      <xdr:col>2</xdr:col>
      <xdr:colOff>342900</xdr:colOff>
      <xdr:row>77</xdr:row>
      <xdr:rowOff>85725</xdr:rowOff>
    </xdr:to>
    <xdr:sp macro="" textlink="">
      <xdr:nvSpPr>
        <xdr:cNvPr id="12" name="Text Box 139"/>
        <xdr:cNvSpPr txBox="1">
          <a:spLocks noChangeArrowheads="1"/>
        </xdr:cNvSpPr>
      </xdr:nvSpPr>
      <xdr:spPr bwMode="auto">
        <a:xfrm>
          <a:off x="1460500" y="10610850"/>
          <a:ext cx="76200" cy="225425"/>
        </a:xfrm>
        <a:prstGeom prst="rect">
          <a:avLst/>
        </a:prstGeom>
        <a:noFill/>
        <a:ln w="9525">
          <a:noFill/>
          <a:miter lim="800000"/>
          <a:headEnd/>
          <a:tailEnd/>
        </a:ln>
      </xdr:spPr>
    </xdr:sp>
    <xdr:clientData/>
  </xdr:twoCellAnchor>
  <xdr:twoCellAnchor editAs="oneCell">
    <xdr:from>
      <xdr:col>2</xdr:col>
      <xdr:colOff>266700</xdr:colOff>
      <xdr:row>76</xdr:row>
      <xdr:rowOff>0</xdr:rowOff>
    </xdr:from>
    <xdr:to>
      <xdr:col>2</xdr:col>
      <xdr:colOff>342900</xdr:colOff>
      <xdr:row>77</xdr:row>
      <xdr:rowOff>85725</xdr:rowOff>
    </xdr:to>
    <xdr:sp macro="" textlink="">
      <xdr:nvSpPr>
        <xdr:cNvPr id="13" name="Text Box 421"/>
        <xdr:cNvSpPr txBox="1">
          <a:spLocks noChangeArrowheads="1"/>
        </xdr:cNvSpPr>
      </xdr:nvSpPr>
      <xdr:spPr bwMode="auto">
        <a:xfrm>
          <a:off x="1460500" y="10610850"/>
          <a:ext cx="76200" cy="225425"/>
        </a:xfrm>
        <a:prstGeom prst="rect">
          <a:avLst/>
        </a:prstGeom>
        <a:noFill/>
        <a:ln w="9525">
          <a:noFill/>
          <a:miter lim="800000"/>
          <a:headEnd/>
          <a:tailEnd/>
        </a:ln>
      </xdr:spPr>
    </xdr:sp>
    <xdr:clientData/>
  </xdr:twoCellAnchor>
  <xdr:twoCellAnchor editAs="oneCell">
    <xdr:from>
      <xdr:col>2</xdr:col>
      <xdr:colOff>266700</xdr:colOff>
      <xdr:row>76</xdr:row>
      <xdr:rowOff>0</xdr:rowOff>
    </xdr:from>
    <xdr:to>
      <xdr:col>2</xdr:col>
      <xdr:colOff>342900</xdr:colOff>
      <xdr:row>77</xdr:row>
      <xdr:rowOff>85725</xdr:rowOff>
    </xdr:to>
    <xdr:sp macro="" textlink="">
      <xdr:nvSpPr>
        <xdr:cNvPr id="14" name="Text Box 426"/>
        <xdr:cNvSpPr txBox="1">
          <a:spLocks noChangeArrowheads="1"/>
        </xdr:cNvSpPr>
      </xdr:nvSpPr>
      <xdr:spPr bwMode="auto">
        <a:xfrm>
          <a:off x="1460500" y="10610850"/>
          <a:ext cx="76200" cy="225425"/>
        </a:xfrm>
        <a:prstGeom prst="rect">
          <a:avLst/>
        </a:prstGeom>
        <a:noFill/>
        <a:ln w="9525">
          <a:noFill/>
          <a:miter lim="800000"/>
          <a:headEnd/>
          <a:tailEnd/>
        </a:ln>
      </xdr:spPr>
    </xdr:sp>
    <xdr:clientData/>
  </xdr:twoCellAnchor>
  <xdr:twoCellAnchor editAs="oneCell">
    <xdr:from>
      <xdr:col>2</xdr:col>
      <xdr:colOff>266700</xdr:colOff>
      <xdr:row>76</xdr:row>
      <xdr:rowOff>0</xdr:rowOff>
    </xdr:from>
    <xdr:to>
      <xdr:col>2</xdr:col>
      <xdr:colOff>342900</xdr:colOff>
      <xdr:row>77</xdr:row>
      <xdr:rowOff>85725</xdr:rowOff>
    </xdr:to>
    <xdr:sp macro="" textlink="">
      <xdr:nvSpPr>
        <xdr:cNvPr id="15" name="Text Box 431"/>
        <xdr:cNvSpPr txBox="1">
          <a:spLocks noChangeArrowheads="1"/>
        </xdr:cNvSpPr>
      </xdr:nvSpPr>
      <xdr:spPr bwMode="auto">
        <a:xfrm>
          <a:off x="1460500" y="10610850"/>
          <a:ext cx="76200" cy="225425"/>
        </a:xfrm>
        <a:prstGeom prst="rect">
          <a:avLst/>
        </a:prstGeom>
        <a:noFill/>
        <a:ln w="9525">
          <a:noFill/>
          <a:miter lim="800000"/>
          <a:headEnd/>
          <a:tailEnd/>
        </a:ln>
      </xdr:spPr>
    </xdr:sp>
    <xdr:clientData/>
  </xdr:twoCellAnchor>
  <xdr:twoCellAnchor editAs="oneCell">
    <xdr:from>
      <xdr:col>2</xdr:col>
      <xdr:colOff>266700</xdr:colOff>
      <xdr:row>76</xdr:row>
      <xdr:rowOff>0</xdr:rowOff>
    </xdr:from>
    <xdr:to>
      <xdr:col>2</xdr:col>
      <xdr:colOff>342900</xdr:colOff>
      <xdr:row>77</xdr:row>
      <xdr:rowOff>85725</xdr:rowOff>
    </xdr:to>
    <xdr:sp macro="" textlink="">
      <xdr:nvSpPr>
        <xdr:cNvPr id="16" name="Text Box 448"/>
        <xdr:cNvSpPr txBox="1">
          <a:spLocks noChangeArrowheads="1"/>
        </xdr:cNvSpPr>
      </xdr:nvSpPr>
      <xdr:spPr bwMode="auto">
        <a:xfrm>
          <a:off x="1460500" y="10610850"/>
          <a:ext cx="76200" cy="225425"/>
        </a:xfrm>
        <a:prstGeom prst="rect">
          <a:avLst/>
        </a:prstGeom>
        <a:noFill/>
        <a:ln w="9525">
          <a:noFill/>
          <a:miter lim="800000"/>
          <a:headEnd/>
          <a:tailEnd/>
        </a:ln>
      </xdr:spPr>
    </xdr:sp>
    <xdr:clientData/>
  </xdr:twoCellAnchor>
  <xdr:twoCellAnchor editAs="oneCell">
    <xdr:from>
      <xdr:col>2</xdr:col>
      <xdr:colOff>266700</xdr:colOff>
      <xdr:row>90</xdr:row>
      <xdr:rowOff>0</xdr:rowOff>
    </xdr:from>
    <xdr:to>
      <xdr:col>2</xdr:col>
      <xdr:colOff>342900</xdr:colOff>
      <xdr:row>91</xdr:row>
      <xdr:rowOff>85724</xdr:rowOff>
    </xdr:to>
    <xdr:sp macro="" textlink="">
      <xdr:nvSpPr>
        <xdr:cNvPr id="17" name="Text Box 139"/>
        <xdr:cNvSpPr txBox="1">
          <a:spLocks noChangeArrowheads="1"/>
        </xdr:cNvSpPr>
      </xdr:nvSpPr>
      <xdr:spPr bwMode="auto">
        <a:xfrm>
          <a:off x="1460500" y="12566650"/>
          <a:ext cx="76200" cy="225424"/>
        </a:xfrm>
        <a:prstGeom prst="rect">
          <a:avLst/>
        </a:prstGeom>
        <a:noFill/>
        <a:ln w="9525">
          <a:noFill/>
          <a:miter lim="800000"/>
          <a:headEnd/>
          <a:tailEnd/>
        </a:ln>
      </xdr:spPr>
    </xdr:sp>
    <xdr:clientData/>
  </xdr:twoCellAnchor>
  <xdr:twoCellAnchor editAs="oneCell">
    <xdr:from>
      <xdr:col>2</xdr:col>
      <xdr:colOff>266700</xdr:colOff>
      <xdr:row>90</xdr:row>
      <xdr:rowOff>0</xdr:rowOff>
    </xdr:from>
    <xdr:to>
      <xdr:col>2</xdr:col>
      <xdr:colOff>342900</xdr:colOff>
      <xdr:row>91</xdr:row>
      <xdr:rowOff>85724</xdr:rowOff>
    </xdr:to>
    <xdr:sp macro="" textlink="">
      <xdr:nvSpPr>
        <xdr:cNvPr id="18" name="Text Box 421"/>
        <xdr:cNvSpPr txBox="1">
          <a:spLocks noChangeArrowheads="1"/>
        </xdr:cNvSpPr>
      </xdr:nvSpPr>
      <xdr:spPr bwMode="auto">
        <a:xfrm>
          <a:off x="1460500" y="12566650"/>
          <a:ext cx="76200" cy="225424"/>
        </a:xfrm>
        <a:prstGeom prst="rect">
          <a:avLst/>
        </a:prstGeom>
        <a:noFill/>
        <a:ln w="9525">
          <a:noFill/>
          <a:miter lim="800000"/>
          <a:headEnd/>
          <a:tailEnd/>
        </a:ln>
      </xdr:spPr>
    </xdr:sp>
    <xdr:clientData/>
  </xdr:twoCellAnchor>
  <xdr:twoCellAnchor editAs="oneCell">
    <xdr:from>
      <xdr:col>2</xdr:col>
      <xdr:colOff>266700</xdr:colOff>
      <xdr:row>90</xdr:row>
      <xdr:rowOff>0</xdr:rowOff>
    </xdr:from>
    <xdr:to>
      <xdr:col>2</xdr:col>
      <xdr:colOff>342900</xdr:colOff>
      <xdr:row>91</xdr:row>
      <xdr:rowOff>85724</xdr:rowOff>
    </xdr:to>
    <xdr:sp macro="" textlink="">
      <xdr:nvSpPr>
        <xdr:cNvPr id="19" name="Text Box 426"/>
        <xdr:cNvSpPr txBox="1">
          <a:spLocks noChangeArrowheads="1"/>
        </xdr:cNvSpPr>
      </xdr:nvSpPr>
      <xdr:spPr bwMode="auto">
        <a:xfrm>
          <a:off x="1460500" y="12566650"/>
          <a:ext cx="76200" cy="225424"/>
        </a:xfrm>
        <a:prstGeom prst="rect">
          <a:avLst/>
        </a:prstGeom>
        <a:noFill/>
        <a:ln w="9525">
          <a:noFill/>
          <a:miter lim="800000"/>
          <a:headEnd/>
          <a:tailEnd/>
        </a:ln>
      </xdr:spPr>
    </xdr:sp>
    <xdr:clientData/>
  </xdr:twoCellAnchor>
  <xdr:twoCellAnchor editAs="oneCell">
    <xdr:from>
      <xdr:col>2</xdr:col>
      <xdr:colOff>266700</xdr:colOff>
      <xdr:row>90</xdr:row>
      <xdr:rowOff>0</xdr:rowOff>
    </xdr:from>
    <xdr:to>
      <xdr:col>2</xdr:col>
      <xdr:colOff>342900</xdr:colOff>
      <xdr:row>91</xdr:row>
      <xdr:rowOff>85724</xdr:rowOff>
    </xdr:to>
    <xdr:sp macro="" textlink="">
      <xdr:nvSpPr>
        <xdr:cNvPr id="20" name="Text Box 431"/>
        <xdr:cNvSpPr txBox="1">
          <a:spLocks noChangeArrowheads="1"/>
        </xdr:cNvSpPr>
      </xdr:nvSpPr>
      <xdr:spPr bwMode="auto">
        <a:xfrm>
          <a:off x="1460500" y="12566650"/>
          <a:ext cx="76200" cy="225424"/>
        </a:xfrm>
        <a:prstGeom prst="rect">
          <a:avLst/>
        </a:prstGeom>
        <a:noFill/>
        <a:ln w="9525">
          <a:noFill/>
          <a:miter lim="800000"/>
          <a:headEnd/>
          <a:tailEnd/>
        </a:ln>
      </xdr:spPr>
    </xdr:sp>
    <xdr:clientData/>
  </xdr:twoCellAnchor>
  <xdr:twoCellAnchor editAs="oneCell">
    <xdr:from>
      <xdr:col>2</xdr:col>
      <xdr:colOff>266700</xdr:colOff>
      <xdr:row>90</xdr:row>
      <xdr:rowOff>0</xdr:rowOff>
    </xdr:from>
    <xdr:to>
      <xdr:col>2</xdr:col>
      <xdr:colOff>342900</xdr:colOff>
      <xdr:row>91</xdr:row>
      <xdr:rowOff>85724</xdr:rowOff>
    </xdr:to>
    <xdr:sp macro="" textlink="">
      <xdr:nvSpPr>
        <xdr:cNvPr id="21" name="Text Box 448"/>
        <xdr:cNvSpPr txBox="1">
          <a:spLocks noChangeArrowheads="1"/>
        </xdr:cNvSpPr>
      </xdr:nvSpPr>
      <xdr:spPr bwMode="auto">
        <a:xfrm>
          <a:off x="1460500" y="12566650"/>
          <a:ext cx="76200" cy="225424"/>
        </a:xfrm>
        <a:prstGeom prst="rect">
          <a:avLst/>
        </a:prstGeom>
        <a:noFill/>
        <a:ln w="9525">
          <a:noFill/>
          <a:miter lim="800000"/>
          <a:headEnd/>
          <a:tailEnd/>
        </a:ln>
      </xdr:spPr>
    </xdr:sp>
    <xdr:clientData/>
  </xdr:twoCellAnchor>
  <xdr:twoCellAnchor editAs="oneCell">
    <xdr:from>
      <xdr:col>14</xdr:col>
      <xdr:colOff>266700</xdr:colOff>
      <xdr:row>16</xdr:row>
      <xdr:rowOff>0</xdr:rowOff>
    </xdr:from>
    <xdr:to>
      <xdr:col>14</xdr:col>
      <xdr:colOff>342900</xdr:colOff>
      <xdr:row>17</xdr:row>
      <xdr:rowOff>85725</xdr:rowOff>
    </xdr:to>
    <xdr:sp macro="" textlink="">
      <xdr:nvSpPr>
        <xdr:cNvPr id="22" name="Text Box 139"/>
        <xdr:cNvSpPr txBox="1">
          <a:spLocks noChangeArrowheads="1"/>
        </xdr:cNvSpPr>
      </xdr:nvSpPr>
      <xdr:spPr bwMode="auto">
        <a:xfrm>
          <a:off x="7454900" y="2197100"/>
          <a:ext cx="76200" cy="225425"/>
        </a:xfrm>
        <a:prstGeom prst="rect">
          <a:avLst/>
        </a:prstGeom>
        <a:noFill/>
        <a:ln w="9525">
          <a:noFill/>
          <a:miter lim="800000"/>
          <a:headEnd/>
          <a:tailEnd/>
        </a:ln>
      </xdr:spPr>
    </xdr:sp>
    <xdr:clientData/>
  </xdr:twoCellAnchor>
  <xdr:twoCellAnchor editAs="oneCell">
    <xdr:from>
      <xdr:col>14</xdr:col>
      <xdr:colOff>266700</xdr:colOff>
      <xdr:row>16</xdr:row>
      <xdr:rowOff>0</xdr:rowOff>
    </xdr:from>
    <xdr:to>
      <xdr:col>14</xdr:col>
      <xdr:colOff>342900</xdr:colOff>
      <xdr:row>17</xdr:row>
      <xdr:rowOff>85725</xdr:rowOff>
    </xdr:to>
    <xdr:sp macro="" textlink="">
      <xdr:nvSpPr>
        <xdr:cNvPr id="23" name="Text Box 421"/>
        <xdr:cNvSpPr txBox="1">
          <a:spLocks noChangeArrowheads="1"/>
        </xdr:cNvSpPr>
      </xdr:nvSpPr>
      <xdr:spPr bwMode="auto">
        <a:xfrm>
          <a:off x="7454900" y="2197100"/>
          <a:ext cx="76200" cy="225425"/>
        </a:xfrm>
        <a:prstGeom prst="rect">
          <a:avLst/>
        </a:prstGeom>
        <a:noFill/>
        <a:ln w="9525">
          <a:noFill/>
          <a:miter lim="800000"/>
          <a:headEnd/>
          <a:tailEnd/>
        </a:ln>
      </xdr:spPr>
    </xdr:sp>
    <xdr:clientData/>
  </xdr:twoCellAnchor>
  <xdr:twoCellAnchor editAs="oneCell">
    <xdr:from>
      <xdr:col>14</xdr:col>
      <xdr:colOff>266700</xdr:colOff>
      <xdr:row>16</xdr:row>
      <xdr:rowOff>0</xdr:rowOff>
    </xdr:from>
    <xdr:to>
      <xdr:col>14</xdr:col>
      <xdr:colOff>342900</xdr:colOff>
      <xdr:row>17</xdr:row>
      <xdr:rowOff>85725</xdr:rowOff>
    </xdr:to>
    <xdr:sp macro="" textlink="">
      <xdr:nvSpPr>
        <xdr:cNvPr id="24" name="Text Box 426"/>
        <xdr:cNvSpPr txBox="1">
          <a:spLocks noChangeArrowheads="1"/>
        </xdr:cNvSpPr>
      </xdr:nvSpPr>
      <xdr:spPr bwMode="auto">
        <a:xfrm>
          <a:off x="7454900" y="2197100"/>
          <a:ext cx="76200" cy="225425"/>
        </a:xfrm>
        <a:prstGeom prst="rect">
          <a:avLst/>
        </a:prstGeom>
        <a:noFill/>
        <a:ln w="9525">
          <a:noFill/>
          <a:miter lim="800000"/>
          <a:headEnd/>
          <a:tailEnd/>
        </a:ln>
      </xdr:spPr>
    </xdr:sp>
    <xdr:clientData/>
  </xdr:twoCellAnchor>
  <xdr:twoCellAnchor editAs="oneCell">
    <xdr:from>
      <xdr:col>14</xdr:col>
      <xdr:colOff>266700</xdr:colOff>
      <xdr:row>16</xdr:row>
      <xdr:rowOff>0</xdr:rowOff>
    </xdr:from>
    <xdr:to>
      <xdr:col>14</xdr:col>
      <xdr:colOff>342900</xdr:colOff>
      <xdr:row>17</xdr:row>
      <xdr:rowOff>85725</xdr:rowOff>
    </xdr:to>
    <xdr:sp macro="" textlink="">
      <xdr:nvSpPr>
        <xdr:cNvPr id="25" name="Text Box 431"/>
        <xdr:cNvSpPr txBox="1">
          <a:spLocks noChangeArrowheads="1"/>
        </xdr:cNvSpPr>
      </xdr:nvSpPr>
      <xdr:spPr bwMode="auto">
        <a:xfrm>
          <a:off x="7454900" y="2197100"/>
          <a:ext cx="76200" cy="225425"/>
        </a:xfrm>
        <a:prstGeom prst="rect">
          <a:avLst/>
        </a:prstGeom>
        <a:noFill/>
        <a:ln w="9525">
          <a:noFill/>
          <a:miter lim="800000"/>
          <a:headEnd/>
          <a:tailEnd/>
        </a:ln>
      </xdr:spPr>
    </xdr:sp>
    <xdr:clientData/>
  </xdr:twoCellAnchor>
  <xdr:twoCellAnchor editAs="oneCell">
    <xdr:from>
      <xdr:col>14</xdr:col>
      <xdr:colOff>266700</xdr:colOff>
      <xdr:row>16</xdr:row>
      <xdr:rowOff>0</xdr:rowOff>
    </xdr:from>
    <xdr:to>
      <xdr:col>14</xdr:col>
      <xdr:colOff>342900</xdr:colOff>
      <xdr:row>17</xdr:row>
      <xdr:rowOff>85725</xdr:rowOff>
    </xdr:to>
    <xdr:sp macro="" textlink="">
      <xdr:nvSpPr>
        <xdr:cNvPr id="26" name="Text Box 448"/>
        <xdr:cNvSpPr txBox="1">
          <a:spLocks noChangeArrowheads="1"/>
        </xdr:cNvSpPr>
      </xdr:nvSpPr>
      <xdr:spPr bwMode="auto">
        <a:xfrm>
          <a:off x="7454900" y="2197100"/>
          <a:ext cx="76200" cy="225425"/>
        </a:xfrm>
        <a:prstGeom prst="rect">
          <a:avLst/>
        </a:prstGeom>
        <a:noFill/>
        <a:ln w="9525">
          <a:noFill/>
          <a:miter lim="800000"/>
          <a:headEnd/>
          <a:tailEnd/>
        </a:ln>
      </xdr:spPr>
    </xdr:sp>
    <xdr:clientData/>
  </xdr:twoCellAnchor>
  <xdr:twoCellAnchor editAs="oneCell">
    <xdr:from>
      <xdr:col>2</xdr:col>
      <xdr:colOff>266700</xdr:colOff>
      <xdr:row>105</xdr:row>
      <xdr:rowOff>0</xdr:rowOff>
    </xdr:from>
    <xdr:to>
      <xdr:col>2</xdr:col>
      <xdr:colOff>342900</xdr:colOff>
      <xdr:row>106</xdr:row>
      <xdr:rowOff>85725</xdr:rowOff>
    </xdr:to>
    <xdr:sp macro="" textlink="">
      <xdr:nvSpPr>
        <xdr:cNvPr id="27" name="Text Box 139"/>
        <xdr:cNvSpPr txBox="1">
          <a:spLocks noChangeArrowheads="1"/>
        </xdr:cNvSpPr>
      </xdr:nvSpPr>
      <xdr:spPr bwMode="auto">
        <a:xfrm>
          <a:off x="1460500" y="14662150"/>
          <a:ext cx="76200" cy="225425"/>
        </a:xfrm>
        <a:prstGeom prst="rect">
          <a:avLst/>
        </a:prstGeom>
        <a:noFill/>
        <a:ln w="9525">
          <a:noFill/>
          <a:miter lim="800000"/>
          <a:headEnd/>
          <a:tailEnd/>
        </a:ln>
      </xdr:spPr>
    </xdr:sp>
    <xdr:clientData/>
  </xdr:twoCellAnchor>
  <xdr:twoCellAnchor editAs="oneCell">
    <xdr:from>
      <xdr:col>2</xdr:col>
      <xdr:colOff>266700</xdr:colOff>
      <xdr:row>105</xdr:row>
      <xdr:rowOff>0</xdr:rowOff>
    </xdr:from>
    <xdr:to>
      <xdr:col>2</xdr:col>
      <xdr:colOff>342900</xdr:colOff>
      <xdr:row>106</xdr:row>
      <xdr:rowOff>85725</xdr:rowOff>
    </xdr:to>
    <xdr:sp macro="" textlink="">
      <xdr:nvSpPr>
        <xdr:cNvPr id="28" name="Text Box 421"/>
        <xdr:cNvSpPr txBox="1">
          <a:spLocks noChangeArrowheads="1"/>
        </xdr:cNvSpPr>
      </xdr:nvSpPr>
      <xdr:spPr bwMode="auto">
        <a:xfrm>
          <a:off x="1460500" y="14662150"/>
          <a:ext cx="76200" cy="225425"/>
        </a:xfrm>
        <a:prstGeom prst="rect">
          <a:avLst/>
        </a:prstGeom>
        <a:noFill/>
        <a:ln w="9525">
          <a:noFill/>
          <a:miter lim="800000"/>
          <a:headEnd/>
          <a:tailEnd/>
        </a:ln>
      </xdr:spPr>
    </xdr:sp>
    <xdr:clientData/>
  </xdr:twoCellAnchor>
  <xdr:twoCellAnchor editAs="oneCell">
    <xdr:from>
      <xdr:col>2</xdr:col>
      <xdr:colOff>266700</xdr:colOff>
      <xdr:row>105</xdr:row>
      <xdr:rowOff>0</xdr:rowOff>
    </xdr:from>
    <xdr:to>
      <xdr:col>2</xdr:col>
      <xdr:colOff>342900</xdr:colOff>
      <xdr:row>106</xdr:row>
      <xdr:rowOff>85725</xdr:rowOff>
    </xdr:to>
    <xdr:sp macro="" textlink="">
      <xdr:nvSpPr>
        <xdr:cNvPr id="29" name="Text Box 426"/>
        <xdr:cNvSpPr txBox="1">
          <a:spLocks noChangeArrowheads="1"/>
        </xdr:cNvSpPr>
      </xdr:nvSpPr>
      <xdr:spPr bwMode="auto">
        <a:xfrm>
          <a:off x="1460500" y="14662150"/>
          <a:ext cx="76200" cy="225425"/>
        </a:xfrm>
        <a:prstGeom prst="rect">
          <a:avLst/>
        </a:prstGeom>
        <a:noFill/>
        <a:ln w="9525">
          <a:noFill/>
          <a:miter lim="800000"/>
          <a:headEnd/>
          <a:tailEnd/>
        </a:ln>
      </xdr:spPr>
    </xdr:sp>
    <xdr:clientData/>
  </xdr:twoCellAnchor>
  <xdr:twoCellAnchor editAs="oneCell">
    <xdr:from>
      <xdr:col>2</xdr:col>
      <xdr:colOff>266700</xdr:colOff>
      <xdr:row>105</xdr:row>
      <xdr:rowOff>0</xdr:rowOff>
    </xdr:from>
    <xdr:to>
      <xdr:col>2</xdr:col>
      <xdr:colOff>342900</xdr:colOff>
      <xdr:row>106</xdr:row>
      <xdr:rowOff>85725</xdr:rowOff>
    </xdr:to>
    <xdr:sp macro="" textlink="">
      <xdr:nvSpPr>
        <xdr:cNvPr id="30" name="Text Box 431"/>
        <xdr:cNvSpPr txBox="1">
          <a:spLocks noChangeArrowheads="1"/>
        </xdr:cNvSpPr>
      </xdr:nvSpPr>
      <xdr:spPr bwMode="auto">
        <a:xfrm>
          <a:off x="1460500" y="14662150"/>
          <a:ext cx="76200" cy="225425"/>
        </a:xfrm>
        <a:prstGeom prst="rect">
          <a:avLst/>
        </a:prstGeom>
        <a:noFill/>
        <a:ln w="9525">
          <a:noFill/>
          <a:miter lim="800000"/>
          <a:headEnd/>
          <a:tailEnd/>
        </a:ln>
      </xdr:spPr>
    </xdr:sp>
    <xdr:clientData/>
  </xdr:twoCellAnchor>
  <xdr:twoCellAnchor editAs="oneCell">
    <xdr:from>
      <xdr:col>2</xdr:col>
      <xdr:colOff>266700</xdr:colOff>
      <xdr:row>105</xdr:row>
      <xdr:rowOff>0</xdr:rowOff>
    </xdr:from>
    <xdr:to>
      <xdr:col>2</xdr:col>
      <xdr:colOff>342900</xdr:colOff>
      <xdr:row>106</xdr:row>
      <xdr:rowOff>85725</xdr:rowOff>
    </xdr:to>
    <xdr:sp macro="" textlink="">
      <xdr:nvSpPr>
        <xdr:cNvPr id="31" name="Text Box 448"/>
        <xdr:cNvSpPr txBox="1">
          <a:spLocks noChangeArrowheads="1"/>
        </xdr:cNvSpPr>
      </xdr:nvSpPr>
      <xdr:spPr bwMode="auto">
        <a:xfrm>
          <a:off x="1460500" y="14662150"/>
          <a:ext cx="76200" cy="225425"/>
        </a:xfrm>
        <a:prstGeom prst="rect">
          <a:avLst/>
        </a:prstGeom>
        <a:noFill/>
        <a:ln w="9525">
          <a:noFill/>
          <a:miter lim="800000"/>
          <a:headEnd/>
          <a:tailEnd/>
        </a:ln>
      </xdr:spPr>
    </xdr:sp>
    <xdr:clientData/>
  </xdr:twoCellAnchor>
  <xdr:twoCellAnchor editAs="oneCell">
    <xdr:from>
      <xdr:col>2</xdr:col>
      <xdr:colOff>266700</xdr:colOff>
      <xdr:row>132</xdr:row>
      <xdr:rowOff>0</xdr:rowOff>
    </xdr:from>
    <xdr:to>
      <xdr:col>2</xdr:col>
      <xdr:colOff>342900</xdr:colOff>
      <xdr:row>133</xdr:row>
      <xdr:rowOff>85724</xdr:rowOff>
    </xdr:to>
    <xdr:sp macro="" textlink="">
      <xdr:nvSpPr>
        <xdr:cNvPr id="32" name="Text Box 549"/>
        <xdr:cNvSpPr txBox="1">
          <a:spLocks noChangeArrowheads="1"/>
        </xdr:cNvSpPr>
      </xdr:nvSpPr>
      <xdr:spPr bwMode="auto">
        <a:xfrm>
          <a:off x="1460500" y="18434050"/>
          <a:ext cx="76200" cy="225424"/>
        </a:xfrm>
        <a:prstGeom prst="rect">
          <a:avLst/>
        </a:prstGeom>
        <a:noFill/>
        <a:ln w="9525">
          <a:noFill/>
          <a:miter lim="800000"/>
          <a:headEnd/>
          <a:tailEnd/>
        </a:ln>
      </xdr:spPr>
    </xdr:sp>
    <xdr:clientData/>
  </xdr:twoCellAnchor>
  <xdr:twoCellAnchor editAs="oneCell">
    <xdr:from>
      <xdr:col>2</xdr:col>
      <xdr:colOff>266700</xdr:colOff>
      <xdr:row>132</xdr:row>
      <xdr:rowOff>0</xdr:rowOff>
    </xdr:from>
    <xdr:to>
      <xdr:col>2</xdr:col>
      <xdr:colOff>342900</xdr:colOff>
      <xdr:row>133</xdr:row>
      <xdr:rowOff>85724</xdr:rowOff>
    </xdr:to>
    <xdr:sp macro="" textlink="">
      <xdr:nvSpPr>
        <xdr:cNvPr id="33" name="Text Box 554"/>
        <xdr:cNvSpPr txBox="1">
          <a:spLocks noChangeArrowheads="1"/>
        </xdr:cNvSpPr>
      </xdr:nvSpPr>
      <xdr:spPr bwMode="auto">
        <a:xfrm>
          <a:off x="1460500" y="18434050"/>
          <a:ext cx="76200" cy="225424"/>
        </a:xfrm>
        <a:prstGeom prst="rect">
          <a:avLst/>
        </a:prstGeom>
        <a:noFill/>
        <a:ln w="9525">
          <a:noFill/>
          <a:miter lim="800000"/>
          <a:headEnd/>
          <a:tailEnd/>
        </a:ln>
      </xdr:spPr>
    </xdr:sp>
    <xdr:clientData/>
  </xdr:twoCellAnchor>
  <xdr:twoCellAnchor editAs="oneCell">
    <xdr:from>
      <xdr:col>2</xdr:col>
      <xdr:colOff>266700</xdr:colOff>
      <xdr:row>132</xdr:row>
      <xdr:rowOff>0</xdr:rowOff>
    </xdr:from>
    <xdr:to>
      <xdr:col>2</xdr:col>
      <xdr:colOff>342900</xdr:colOff>
      <xdr:row>133</xdr:row>
      <xdr:rowOff>85724</xdr:rowOff>
    </xdr:to>
    <xdr:sp macro="" textlink="">
      <xdr:nvSpPr>
        <xdr:cNvPr id="34" name="Text Box 139"/>
        <xdr:cNvSpPr txBox="1">
          <a:spLocks noChangeArrowheads="1"/>
        </xdr:cNvSpPr>
      </xdr:nvSpPr>
      <xdr:spPr bwMode="auto">
        <a:xfrm>
          <a:off x="1460500" y="18434050"/>
          <a:ext cx="76200" cy="225424"/>
        </a:xfrm>
        <a:prstGeom prst="rect">
          <a:avLst/>
        </a:prstGeom>
        <a:noFill/>
        <a:ln w="9525">
          <a:noFill/>
          <a:miter lim="800000"/>
          <a:headEnd/>
          <a:tailEnd/>
        </a:ln>
      </xdr:spPr>
    </xdr:sp>
    <xdr:clientData/>
  </xdr:twoCellAnchor>
  <xdr:twoCellAnchor editAs="oneCell">
    <xdr:from>
      <xdr:col>2</xdr:col>
      <xdr:colOff>266700</xdr:colOff>
      <xdr:row>132</xdr:row>
      <xdr:rowOff>0</xdr:rowOff>
    </xdr:from>
    <xdr:to>
      <xdr:col>2</xdr:col>
      <xdr:colOff>342900</xdr:colOff>
      <xdr:row>133</xdr:row>
      <xdr:rowOff>85724</xdr:rowOff>
    </xdr:to>
    <xdr:sp macro="" textlink="">
      <xdr:nvSpPr>
        <xdr:cNvPr id="35" name="Text Box 421"/>
        <xdr:cNvSpPr txBox="1">
          <a:spLocks noChangeArrowheads="1"/>
        </xdr:cNvSpPr>
      </xdr:nvSpPr>
      <xdr:spPr bwMode="auto">
        <a:xfrm>
          <a:off x="1460500" y="18434050"/>
          <a:ext cx="76200" cy="225424"/>
        </a:xfrm>
        <a:prstGeom prst="rect">
          <a:avLst/>
        </a:prstGeom>
        <a:noFill/>
        <a:ln w="9525">
          <a:noFill/>
          <a:miter lim="800000"/>
          <a:headEnd/>
          <a:tailEnd/>
        </a:ln>
      </xdr:spPr>
    </xdr:sp>
    <xdr:clientData/>
  </xdr:twoCellAnchor>
  <xdr:twoCellAnchor editAs="oneCell">
    <xdr:from>
      <xdr:col>2</xdr:col>
      <xdr:colOff>266700</xdr:colOff>
      <xdr:row>132</xdr:row>
      <xdr:rowOff>0</xdr:rowOff>
    </xdr:from>
    <xdr:to>
      <xdr:col>2</xdr:col>
      <xdr:colOff>342900</xdr:colOff>
      <xdr:row>133</xdr:row>
      <xdr:rowOff>85724</xdr:rowOff>
    </xdr:to>
    <xdr:sp macro="" textlink="">
      <xdr:nvSpPr>
        <xdr:cNvPr id="36" name="Text Box 426"/>
        <xdr:cNvSpPr txBox="1">
          <a:spLocks noChangeArrowheads="1"/>
        </xdr:cNvSpPr>
      </xdr:nvSpPr>
      <xdr:spPr bwMode="auto">
        <a:xfrm>
          <a:off x="1460500" y="18434050"/>
          <a:ext cx="76200" cy="225424"/>
        </a:xfrm>
        <a:prstGeom prst="rect">
          <a:avLst/>
        </a:prstGeom>
        <a:noFill/>
        <a:ln w="9525">
          <a:noFill/>
          <a:miter lim="800000"/>
          <a:headEnd/>
          <a:tailEnd/>
        </a:ln>
      </xdr:spPr>
    </xdr:sp>
    <xdr:clientData/>
  </xdr:twoCellAnchor>
  <xdr:twoCellAnchor editAs="oneCell">
    <xdr:from>
      <xdr:col>2</xdr:col>
      <xdr:colOff>266700</xdr:colOff>
      <xdr:row>132</xdr:row>
      <xdr:rowOff>0</xdr:rowOff>
    </xdr:from>
    <xdr:to>
      <xdr:col>2</xdr:col>
      <xdr:colOff>342900</xdr:colOff>
      <xdr:row>133</xdr:row>
      <xdr:rowOff>85724</xdr:rowOff>
    </xdr:to>
    <xdr:sp macro="" textlink="">
      <xdr:nvSpPr>
        <xdr:cNvPr id="37" name="Text Box 431"/>
        <xdr:cNvSpPr txBox="1">
          <a:spLocks noChangeArrowheads="1"/>
        </xdr:cNvSpPr>
      </xdr:nvSpPr>
      <xdr:spPr bwMode="auto">
        <a:xfrm>
          <a:off x="1460500" y="18434050"/>
          <a:ext cx="76200" cy="225424"/>
        </a:xfrm>
        <a:prstGeom prst="rect">
          <a:avLst/>
        </a:prstGeom>
        <a:noFill/>
        <a:ln w="9525">
          <a:noFill/>
          <a:miter lim="800000"/>
          <a:headEnd/>
          <a:tailEnd/>
        </a:ln>
      </xdr:spPr>
    </xdr:sp>
    <xdr:clientData/>
  </xdr:twoCellAnchor>
  <xdr:twoCellAnchor editAs="oneCell">
    <xdr:from>
      <xdr:col>2</xdr:col>
      <xdr:colOff>266700</xdr:colOff>
      <xdr:row>132</xdr:row>
      <xdr:rowOff>0</xdr:rowOff>
    </xdr:from>
    <xdr:to>
      <xdr:col>2</xdr:col>
      <xdr:colOff>342900</xdr:colOff>
      <xdr:row>133</xdr:row>
      <xdr:rowOff>85724</xdr:rowOff>
    </xdr:to>
    <xdr:sp macro="" textlink="">
      <xdr:nvSpPr>
        <xdr:cNvPr id="38" name="Text Box 448"/>
        <xdr:cNvSpPr txBox="1">
          <a:spLocks noChangeArrowheads="1"/>
        </xdr:cNvSpPr>
      </xdr:nvSpPr>
      <xdr:spPr bwMode="auto">
        <a:xfrm>
          <a:off x="1460500" y="18434050"/>
          <a:ext cx="76200" cy="225424"/>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39" name="Text Box 481"/>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0" name="Text Box 486"/>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1" name="Text Box 139"/>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2" name="Text Box 421"/>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3" name="Text Box 426"/>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4" name="Text Box 431"/>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5" name="Text Box 448"/>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6" name="Text Box 549"/>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7" name="Text Box 554"/>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8" name="Text Box 139"/>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49" name="Text Box 421"/>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50" name="Text Box 426"/>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51" name="Text Box 431"/>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164</xdr:row>
      <xdr:rowOff>0</xdr:rowOff>
    </xdr:from>
    <xdr:to>
      <xdr:col>2</xdr:col>
      <xdr:colOff>342900</xdr:colOff>
      <xdr:row>165</xdr:row>
      <xdr:rowOff>85726</xdr:rowOff>
    </xdr:to>
    <xdr:sp macro="" textlink="">
      <xdr:nvSpPr>
        <xdr:cNvPr id="52" name="Text Box 448"/>
        <xdr:cNvSpPr txBox="1">
          <a:spLocks noChangeArrowheads="1"/>
        </xdr:cNvSpPr>
      </xdr:nvSpPr>
      <xdr:spPr bwMode="auto">
        <a:xfrm>
          <a:off x="1460500" y="229044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53" name="Text Box 137"/>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54" name="Text Box 170"/>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55" name="Text Box 438"/>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56" name="Text Box 443"/>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57" name="Text Box 139"/>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58" name="Text Box 421"/>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59" name="Text Box 426"/>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0" name="Text Box 431"/>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1" name="Text Box 448"/>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2" name="Text Box 481"/>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3" name="Text Box 486"/>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4" name="Text Box 139"/>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5" name="Text Box 421"/>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6" name="Text Box 426"/>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7" name="Text Box 431"/>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8" name="Text Box 448"/>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69" name="Text Box 549"/>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70" name="Text Box 554"/>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71" name="Text Box 139"/>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72" name="Text Box 421"/>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73" name="Text Box 426"/>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74" name="Text Box 431"/>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193</xdr:row>
      <xdr:rowOff>0</xdr:rowOff>
    </xdr:from>
    <xdr:to>
      <xdr:col>2</xdr:col>
      <xdr:colOff>342900</xdr:colOff>
      <xdr:row>194</xdr:row>
      <xdr:rowOff>85726</xdr:rowOff>
    </xdr:to>
    <xdr:sp macro="" textlink="">
      <xdr:nvSpPr>
        <xdr:cNvPr id="75" name="Text Box 448"/>
        <xdr:cNvSpPr txBox="1">
          <a:spLocks noChangeArrowheads="1"/>
        </xdr:cNvSpPr>
      </xdr:nvSpPr>
      <xdr:spPr bwMode="auto">
        <a:xfrm>
          <a:off x="1460500" y="269557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28576</xdr:rowOff>
    </xdr:to>
    <xdr:sp macro="" textlink="">
      <xdr:nvSpPr>
        <xdr:cNvPr id="76" name="Text Box 125"/>
        <xdr:cNvSpPr txBox="1">
          <a:spLocks noChangeArrowheads="1"/>
        </xdr:cNvSpPr>
      </xdr:nvSpPr>
      <xdr:spPr bwMode="auto">
        <a:xfrm>
          <a:off x="1460500" y="30867350"/>
          <a:ext cx="76200" cy="16827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28576</xdr:rowOff>
    </xdr:to>
    <xdr:sp macro="" textlink="">
      <xdr:nvSpPr>
        <xdr:cNvPr id="77" name="Text Box 160"/>
        <xdr:cNvSpPr txBox="1">
          <a:spLocks noChangeArrowheads="1"/>
        </xdr:cNvSpPr>
      </xdr:nvSpPr>
      <xdr:spPr bwMode="auto">
        <a:xfrm>
          <a:off x="1460500" y="30867350"/>
          <a:ext cx="76200" cy="16827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28576</xdr:rowOff>
    </xdr:to>
    <xdr:sp macro="" textlink="">
      <xdr:nvSpPr>
        <xdr:cNvPr id="78" name="Text Box 182"/>
        <xdr:cNvSpPr txBox="1">
          <a:spLocks noChangeArrowheads="1"/>
        </xdr:cNvSpPr>
      </xdr:nvSpPr>
      <xdr:spPr bwMode="auto">
        <a:xfrm>
          <a:off x="1460500" y="30867350"/>
          <a:ext cx="76200" cy="168276"/>
        </a:xfrm>
        <a:prstGeom prst="rect">
          <a:avLst/>
        </a:prstGeom>
        <a:noFill/>
        <a:ln w="9525">
          <a:noFill/>
          <a:miter lim="800000"/>
          <a:headEnd/>
          <a:tailEnd/>
        </a:ln>
      </xdr:spPr>
    </xdr:sp>
    <xdr:clientData/>
  </xdr:twoCellAnchor>
  <xdr:twoCellAnchor editAs="oneCell">
    <xdr:from>
      <xdr:col>2</xdr:col>
      <xdr:colOff>266700</xdr:colOff>
      <xdr:row>220</xdr:row>
      <xdr:rowOff>0</xdr:rowOff>
    </xdr:from>
    <xdr:to>
      <xdr:col>2</xdr:col>
      <xdr:colOff>342900</xdr:colOff>
      <xdr:row>221</xdr:row>
      <xdr:rowOff>85725</xdr:rowOff>
    </xdr:to>
    <xdr:sp macro="" textlink="">
      <xdr:nvSpPr>
        <xdr:cNvPr id="79" name="Text Box 137"/>
        <xdr:cNvSpPr txBox="1">
          <a:spLocks noChangeArrowheads="1"/>
        </xdr:cNvSpPr>
      </xdr:nvSpPr>
      <xdr:spPr bwMode="auto">
        <a:xfrm>
          <a:off x="1460500" y="30727650"/>
          <a:ext cx="76200" cy="225425"/>
        </a:xfrm>
        <a:prstGeom prst="rect">
          <a:avLst/>
        </a:prstGeom>
        <a:noFill/>
        <a:ln w="9525">
          <a:noFill/>
          <a:miter lim="800000"/>
          <a:headEnd/>
          <a:tailEnd/>
        </a:ln>
      </xdr:spPr>
    </xdr:sp>
    <xdr:clientData/>
  </xdr:twoCellAnchor>
  <xdr:twoCellAnchor editAs="oneCell">
    <xdr:from>
      <xdr:col>2</xdr:col>
      <xdr:colOff>266700</xdr:colOff>
      <xdr:row>220</xdr:row>
      <xdr:rowOff>0</xdr:rowOff>
    </xdr:from>
    <xdr:to>
      <xdr:col>2</xdr:col>
      <xdr:colOff>342900</xdr:colOff>
      <xdr:row>221</xdr:row>
      <xdr:rowOff>85725</xdr:rowOff>
    </xdr:to>
    <xdr:sp macro="" textlink="">
      <xdr:nvSpPr>
        <xdr:cNvPr id="80" name="Text Box 170"/>
        <xdr:cNvSpPr txBox="1">
          <a:spLocks noChangeArrowheads="1"/>
        </xdr:cNvSpPr>
      </xdr:nvSpPr>
      <xdr:spPr bwMode="auto">
        <a:xfrm>
          <a:off x="1460500" y="30727650"/>
          <a:ext cx="76200" cy="225425"/>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81" name="Text Box 438"/>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82" name="Text Box 443"/>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83" name="Text Box 139"/>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84" name="Text Box 421"/>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85" name="Text Box 426"/>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86" name="Text Box 431"/>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87" name="Text Box 448"/>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88" name="Text Box 481"/>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89" name="Text Box 486"/>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0" name="Text Box 139"/>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1" name="Text Box 421"/>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2" name="Text Box 426"/>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3" name="Text Box 431"/>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4" name="Text Box 448"/>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5" name="Text Box 549"/>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6" name="Text Box 554"/>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7" name="Text Box 139"/>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8" name="Text Box 421"/>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99" name="Text Box 426"/>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100" name="Text Box 431"/>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221</xdr:row>
      <xdr:rowOff>0</xdr:rowOff>
    </xdr:from>
    <xdr:to>
      <xdr:col>2</xdr:col>
      <xdr:colOff>342900</xdr:colOff>
      <xdr:row>222</xdr:row>
      <xdr:rowOff>85726</xdr:rowOff>
    </xdr:to>
    <xdr:sp macro="" textlink="">
      <xdr:nvSpPr>
        <xdr:cNvPr id="101" name="Text Box 448"/>
        <xdr:cNvSpPr txBox="1">
          <a:spLocks noChangeArrowheads="1"/>
        </xdr:cNvSpPr>
      </xdr:nvSpPr>
      <xdr:spPr bwMode="auto">
        <a:xfrm>
          <a:off x="1460500" y="30867350"/>
          <a:ext cx="76200" cy="225426"/>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02" name="Text Box 117"/>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03" name="Text Box 192"/>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28574</xdr:rowOff>
    </xdr:to>
    <xdr:sp macro="" textlink="">
      <xdr:nvSpPr>
        <xdr:cNvPr id="104" name="Text Box 125"/>
        <xdr:cNvSpPr txBox="1">
          <a:spLocks noChangeArrowheads="1"/>
        </xdr:cNvSpPr>
      </xdr:nvSpPr>
      <xdr:spPr bwMode="auto">
        <a:xfrm>
          <a:off x="1460500" y="35198050"/>
          <a:ext cx="76200" cy="16827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28574</xdr:rowOff>
    </xdr:to>
    <xdr:sp macro="" textlink="">
      <xdr:nvSpPr>
        <xdr:cNvPr id="105" name="Text Box 160"/>
        <xdr:cNvSpPr txBox="1">
          <a:spLocks noChangeArrowheads="1"/>
        </xdr:cNvSpPr>
      </xdr:nvSpPr>
      <xdr:spPr bwMode="auto">
        <a:xfrm>
          <a:off x="1460500" y="35198050"/>
          <a:ext cx="76200" cy="16827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28574</xdr:rowOff>
    </xdr:to>
    <xdr:sp macro="" textlink="">
      <xdr:nvSpPr>
        <xdr:cNvPr id="106" name="Text Box 182"/>
        <xdr:cNvSpPr txBox="1">
          <a:spLocks noChangeArrowheads="1"/>
        </xdr:cNvSpPr>
      </xdr:nvSpPr>
      <xdr:spPr bwMode="auto">
        <a:xfrm>
          <a:off x="1460500" y="35198050"/>
          <a:ext cx="76200" cy="168274"/>
        </a:xfrm>
        <a:prstGeom prst="rect">
          <a:avLst/>
        </a:prstGeom>
        <a:noFill/>
        <a:ln w="9525">
          <a:noFill/>
          <a:miter lim="800000"/>
          <a:headEnd/>
          <a:tailEnd/>
        </a:ln>
      </xdr:spPr>
    </xdr:sp>
    <xdr:clientData/>
  </xdr:twoCellAnchor>
  <xdr:twoCellAnchor editAs="oneCell">
    <xdr:from>
      <xdr:col>2</xdr:col>
      <xdr:colOff>266700</xdr:colOff>
      <xdr:row>251</xdr:row>
      <xdr:rowOff>0</xdr:rowOff>
    </xdr:from>
    <xdr:to>
      <xdr:col>2</xdr:col>
      <xdr:colOff>342900</xdr:colOff>
      <xdr:row>252</xdr:row>
      <xdr:rowOff>85726</xdr:rowOff>
    </xdr:to>
    <xdr:sp macro="" textlink="">
      <xdr:nvSpPr>
        <xdr:cNvPr id="107" name="Text Box 137"/>
        <xdr:cNvSpPr txBox="1">
          <a:spLocks noChangeArrowheads="1"/>
        </xdr:cNvSpPr>
      </xdr:nvSpPr>
      <xdr:spPr bwMode="auto">
        <a:xfrm>
          <a:off x="1460500" y="35058350"/>
          <a:ext cx="76200" cy="225426"/>
        </a:xfrm>
        <a:prstGeom prst="rect">
          <a:avLst/>
        </a:prstGeom>
        <a:noFill/>
        <a:ln w="9525">
          <a:noFill/>
          <a:miter lim="800000"/>
          <a:headEnd/>
          <a:tailEnd/>
        </a:ln>
      </xdr:spPr>
    </xdr:sp>
    <xdr:clientData/>
  </xdr:twoCellAnchor>
  <xdr:twoCellAnchor editAs="oneCell">
    <xdr:from>
      <xdr:col>2</xdr:col>
      <xdr:colOff>266700</xdr:colOff>
      <xdr:row>251</xdr:row>
      <xdr:rowOff>0</xdr:rowOff>
    </xdr:from>
    <xdr:to>
      <xdr:col>2</xdr:col>
      <xdr:colOff>342900</xdr:colOff>
      <xdr:row>252</xdr:row>
      <xdr:rowOff>85726</xdr:rowOff>
    </xdr:to>
    <xdr:sp macro="" textlink="">
      <xdr:nvSpPr>
        <xdr:cNvPr id="108" name="Text Box 170"/>
        <xdr:cNvSpPr txBox="1">
          <a:spLocks noChangeArrowheads="1"/>
        </xdr:cNvSpPr>
      </xdr:nvSpPr>
      <xdr:spPr bwMode="auto">
        <a:xfrm>
          <a:off x="1460500" y="35058350"/>
          <a:ext cx="76200" cy="225426"/>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09" name="Text Box 438"/>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0" name="Text Box 443"/>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1" name="Text Box 139"/>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2" name="Text Box 421"/>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3" name="Text Box 426"/>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4" name="Text Box 431"/>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5" name="Text Box 448"/>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6" name="Text Box 481"/>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7" name="Text Box 486"/>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8" name="Text Box 139"/>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19" name="Text Box 421"/>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0" name="Text Box 426"/>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1" name="Text Box 431"/>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2" name="Text Box 448"/>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3" name="Text Box 549"/>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4" name="Text Box 554"/>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5" name="Text Box 139"/>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6" name="Text Box 421"/>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7" name="Text Box 426"/>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8" name="Text Box 431"/>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252</xdr:row>
      <xdr:rowOff>0</xdr:rowOff>
    </xdr:from>
    <xdr:to>
      <xdr:col>2</xdr:col>
      <xdr:colOff>342900</xdr:colOff>
      <xdr:row>253</xdr:row>
      <xdr:rowOff>85724</xdr:rowOff>
    </xdr:to>
    <xdr:sp macro="" textlink="">
      <xdr:nvSpPr>
        <xdr:cNvPr id="129" name="Text Box 448"/>
        <xdr:cNvSpPr txBox="1">
          <a:spLocks noChangeArrowheads="1"/>
        </xdr:cNvSpPr>
      </xdr:nvSpPr>
      <xdr:spPr bwMode="auto">
        <a:xfrm>
          <a:off x="1460500" y="35198050"/>
          <a:ext cx="76200" cy="225424"/>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30" name="Text Box 139"/>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31" name="Text Box 421"/>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32" name="Text Box 426"/>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33" name="Text Box 431"/>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34" name="Text Box 448"/>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35" name="Text Box 117"/>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36" name="Text Box 192"/>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28575</xdr:rowOff>
    </xdr:to>
    <xdr:sp macro="" textlink="">
      <xdr:nvSpPr>
        <xdr:cNvPr id="137" name="Text Box 125"/>
        <xdr:cNvSpPr txBox="1">
          <a:spLocks noChangeArrowheads="1"/>
        </xdr:cNvSpPr>
      </xdr:nvSpPr>
      <xdr:spPr bwMode="auto">
        <a:xfrm>
          <a:off x="1460500" y="39249350"/>
          <a:ext cx="76200" cy="16827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28575</xdr:rowOff>
    </xdr:to>
    <xdr:sp macro="" textlink="">
      <xdr:nvSpPr>
        <xdr:cNvPr id="138" name="Text Box 160"/>
        <xdr:cNvSpPr txBox="1">
          <a:spLocks noChangeArrowheads="1"/>
        </xdr:cNvSpPr>
      </xdr:nvSpPr>
      <xdr:spPr bwMode="auto">
        <a:xfrm>
          <a:off x="1460500" y="39249350"/>
          <a:ext cx="76200" cy="16827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28575</xdr:rowOff>
    </xdr:to>
    <xdr:sp macro="" textlink="">
      <xdr:nvSpPr>
        <xdr:cNvPr id="139" name="Text Box 182"/>
        <xdr:cNvSpPr txBox="1">
          <a:spLocks noChangeArrowheads="1"/>
        </xdr:cNvSpPr>
      </xdr:nvSpPr>
      <xdr:spPr bwMode="auto">
        <a:xfrm>
          <a:off x="1460500" y="39249350"/>
          <a:ext cx="76200" cy="168275"/>
        </a:xfrm>
        <a:prstGeom prst="rect">
          <a:avLst/>
        </a:prstGeom>
        <a:noFill/>
        <a:ln w="9525">
          <a:noFill/>
          <a:miter lim="800000"/>
          <a:headEnd/>
          <a:tailEnd/>
        </a:ln>
      </xdr:spPr>
    </xdr:sp>
    <xdr:clientData/>
  </xdr:twoCellAnchor>
  <xdr:twoCellAnchor editAs="oneCell">
    <xdr:from>
      <xdr:col>2</xdr:col>
      <xdr:colOff>266700</xdr:colOff>
      <xdr:row>280</xdr:row>
      <xdr:rowOff>0</xdr:rowOff>
    </xdr:from>
    <xdr:to>
      <xdr:col>2</xdr:col>
      <xdr:colOff>342900</xdr:colOff>
      <xdr:row>281</xdr:row>
      <xdr:rowOff>85725</xdr:rowOff>
    </xdr:to>
    <xdr:sp macro="" textlink="">
      <xdr:nvSpPr>
        <xdr:cNvPr id="140" name="Text Box 137"/>
        <xdr:cNvSpPr txBox="1">
          <a:spLocks noChangeArrowheads="1"/>
        </xdr:cNvSpPr>
      </xdr:nvSpPr>
      <xdr:spPr bwMode="auto">
        <a:xfrm>
          <a:off x="1460500" y="39109650"/>
          <a:ext cx="76200" cy="225425"/>
        </a:xfrm>
        <a:prstGeom prst="rect">
          <a:avLst/>
        </a:prstGeom>
        <a:noFill/>
        <a:ln w="9525">
          <a:noFill/>
          <a:miter lim="800000"/>
          <a:headEnd/>
          <a:tailEnd/>
        </a:ln>
      </xdr:spPr>
    </xdr:sp>
    <xdr:clientData/>
  </xdr:twoCellAnchor>
  <xdr:twoCellAnchor editAs="oneCell">
    <xdr:from>
      <xdr:col>2</xdr:col>
      <xdr:colOff>266700</xdr:colOff>
      <xdr:row>280</xdr:row>
      <xdr:rowOff>0</xdr:rowOff>
    </xdr:from>
    <xdr:to>
      <xdr:col>2</xdr:col>
      <xdr:colOff>342900</xdr:colOff>
      <xdr:row>281</xdr:row>
      <xdr:rowOff>85725</xdr:rowOff>
    </xdr:to>
    <xdr:sp macro="" textlink="">
      <xdr:nvSpPr>
        <xdr:cNvPr id="141" name="Text Box 170"/>
        <xdr:cNvSpPr txBox="1">
          <a:spLocks noChangeArrowheads="1"/>
        </xdr:cNvSpPr>
      </xdr:nvSpPr>
      <xdr:spPr bwMode="auto">
        <a:xfrm>
          <a:off x="1460500" y="391096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42" name="Text Box 438"/>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43" name="Text Box 443"/>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44" name="Text Box 139"/>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45" name="Text Box 421"/>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46" name="Text Box 426"/>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47" name="Text Box 431"/>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48" name="Text Box 448"/>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49" name="Text Box 481"/>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0" name="Text Box 486"/>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1" name="Text Box 139"/>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2" name="Text Box 421"/>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3" name="Text Box 426"/>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4" name="Text Box 431"/>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5" name="Text Box 448"/>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6" name="Text Box 549"/>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7" name="Text Box 554"/>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8" name="Text Box 139"/>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59" name="Text Box 421"/>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60" name="Text Box 426"/>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61" name="Text Box 431"/>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281</xdr:row>
      <xdr:rowOff>0</xdr:rowOff>
    </xdr:from>
    <xdr:to>
      <xdr:col>2</xdr:col>
      <xdr:colOff>342900</xdr:colOff>
      <xdr:row>282</xdr:row>
      <xdr:rowOff>85725</xdr:rowOff>
    </xdr:to>
    <xdr:sp macro="" textlink="">
      <xdr:nvSpPr>
        <xdr:cNvPr id="162" name="Text Box 448"/>
        <xdr:cNvSpPr txBox="1">
          <a:spLocks noChangeArrowheads="1"/>
        </xdr:cNvSpPr>
      </xdr:nvSpPr>
      <xdr:spPr bwMode="auto">
        <a:xfrm>
          <a:off x="1460500" y="39249350"/>
          <a:ext cx="76200" cy="225425"/>
        </a:xfrm>
        <a:prstGeom prst="rect">
          <a:avLst/>
        </a:prstGeom>
        <a:noFill/>
        <a:ln w="9525">
          <a:noFill/>
          <a:miter lim="800000"/>
          <a:headEnd/>
          <a:tailEnd/>
        </a:ln>
      </xdr:spPr>
    </xdr:sp>
    <xdr:clientData/>
  </xdr:twoCellAnchor>
  <xdr:twoCellAnchor editAs="oneCell">
    <xdr:from>
      <xdr:col>2</xdr:col>
      <xdr:colOff>266700</xdr:colOff>
      <xdr:row>291</xdr:row>
      <xdr:rowOff>0</xdr:rowOff>
    </xdr:from>
    <xdr:to>
      <xdr:col>2</xdr:col>
      <xdr:colOff>342900</xdr:colOff>
      <xdr:row>292</xdr:row>
      <xdr:rowOff>28574</xdr:rowOff>
    </xdr:to>
    <xdr:sp macro="" textlink="">
      <xdr:nvSpPr>
        <xdr:cNvPr id="163" name="Text Box 139"/>
        <xdr:cNvSpPr txBox="1">
          <a:spLocks noChangeArrowheads="1"/>
        </xdr:cNvSpPr>
      </xdr:nvSpPr>
      <xdr:spPr bwMode="auto">
        <a:xfrm>
          <a:off x="1460500" y="40646350"/>
          <a:ext cx="76200" cy="168274"/>
        </a:xfrm>
        <a:prstGeom prst="rect">
          <a:avLst/>
        </a:prstGeom>
        <a:noFill/>
        <a:ln w="9525">
          <a:noFill/>
          <a:miter lim="800000"/>
          <a:headEnd/>
          <a:tailEnd/>
        </a:ln>
      </xdr:spPr>
    </xdr:sp>
    <xdr:clientData/>
  </xdr:twoCellAnchor>
  <xdr:twoCellAnchor editAs="oneCell">
    <xdr:from>
      <xdr:col>2</xdr:col>
      <xdr:colOff>266700</xdr:colOff>
      <xdr:row>291</xdr:row>
      <xdr:rowOff>0</xdr:rowOff>
    </xdr:from>
    <xdr:to>
      <xdr:col>2</xdr:col>
      <xdr:colOff>342900</xdr:colOff>
      <xdr:row>292</xdr:row>
      <xdr:rowOff>28574</xdr:rowOff>
    </xdr:to>
    <xdr:sp macro="" textlink="">
      <xdr:nvSpPr>
        <xdr:cNvPr id="164" name="Text Box 421"/>
        <xdr:cNvSpPr txBox="1">
          <a:spLocks noChangeArrowheads="1"/>
        </xdr:cNvSpPr>
      </xdr:nvSpPr>
      <xdr:spPr bwMode="auto">
        <a:xfrm>
          <a:off x="1460500" y="40646350"/>
          <a:ext cx="76200" cy="168274"/>
        </a:xfrm>
        <a:prstGeom prst="rect">
          <a:avLst/>
        </a:prstGeom>
        <a:noFill/>
        <a:ln w="9525">
          <a:noFill/>
          <a:miter lim="800000"/>
          <a:headEnd/>
          <a:tailEnd/>
        </a:ln>
      </xdr:spPr>
    </xdr:sp>
    <xdr:clientData/>
  </xdr:twoCellAnchor>
  <xdr:twoCellAnchor editAs="oneCell">
    <xdr:from>
      <xdr:col>2</xdr:col>
      <xdr:colOff>266700</xdr:colOff>
      <xdr:row>291</xdr:row>
      <xdr:rowOff>0</xdr:rowOff>
    </xdr:from>
    <xdr:to>
      <xdr:col>2</xdr:col>
      <xdr:colOff>342900</xdr:colOff>
      <xdr:row>292</xdr:row>
      <xdr:rowOff>28574</xdr:rowOff>
    </xdr:to>
    <xdr:sp macro="" textlink="">
      <xdr:nvSpPr>
        <xdr:cNvPr id="165" name="Text Box 426"/>
        <xdr:cNvSpPr txBox="1">
          <a:spLocks noChangeArrowheads="1"/>
        </xdr:cNvSpPr>
      </xdr:nvSpPr>
      <xdr:spPr bwMode="auto">
        <a:xfrm>
          <a:off x="1460500" y="40646350"/>
          <a:ext cx="76200" cy="168274"/>
        </a:xfrm>
        <a:prstGeom prst="rect">
          <a:avLst/>
        </a:prstGeom>
        <a:noFill/>
        <a:ln w="9525">
          <a:noFill/>
          <a:miter lim="800000"/>
          <a:headEnd/>
          <a:tailEnd/>
        </a:ln>
      </xdr:spPr>
    </xdr:sp>
    <xdr:clientData/>
  </xdr:twoCellAnchor>
  <xdr:twoCellAnchor editAs="oneCell">
    <xdr:from>
      <xdr:col>2</xdr:col>
      <xdr:colOff>266700</xdr:colOff>
      <xdr:row>291</xdr:row>
      <xdr:rowOff>0</xdr:rowOff>
    </xdr:from>
    <xdr:to>
      <xdr:col>2</xdr:col>
      <xdr:colOff>342900</xdr:colOff>
      <xdr:row>292</xdr:row>
      <xdr:rowOff>28574</xdr:rowOff>
    </xdr:to>
    <xdr:sp macro="" textlink="">
      <xdr:nvSpPr>
        <xdr:cNvPr id="166" name="Text Box 431"/>
        <xdr:cNvSpPr txBox="1">
          <a:spLocks noChangeArrowheads="1"/>
        </xdr:cNvSpPr>
      </xdr:nvSpPr>
      <xdr:spPr bwMode="auto">
        <a:xfrm>
          <a:off x="1460500" y="40646350"/>
          <a:ext cx="76200" cy="168274"/>
        </a:xfrm>
        <a:prstGeom prst="rect">
          <a:avLst/>
        </a:prstGeom>
        <a:noFill/>
        <a:ln w="9525">
          <a:noFill/>
          <a:miter lim="800000"/>
          <a:headEnd/>
          <a:tailEnd/>
        </a:ln>
      </xdr:spPr>
    </xdr:sp>
    <xdr:clientData/>
  </xdr:twoCellAnchor>
  <xdr:twoCellAnchor editAs="oneCell">
    <xdr:from>
      <xdr:col>2</xdr:col>
      <xdr:colOff>266700</xdr:colOff>
      <xdr:row>291</xdr:row>
      <xdr:rowOff>0</xdr:rowOff>
    </xdr:from>
    <xdr:to>
      <xdr:col>2</xdr:col>
      <xdr:colOff>342900</xdr:colOff>
      <xdr:row>292</xdr:row>
      <xdr:rowOff>28574</xdr:rowOff>
    </xdr:to>
    <xdr:sp macro="" textlink="">
      <xdr:nvSpPr>
        <xdr:cNvPr id="167" name="Text Box 448"/>
        <xdr:cNvSpPr txBox="1">
          <a:spLocks noChangeArrowheads="1"/>
        </xdr:cNvSpPr>
      </xdr:nvSpPr>
      <xdr:spPr bwMode="auto">
        <a:xfrm>
          <a:off x="1460500" y="40646350"/>
          <a:ext cx="76200" cy="168274"/>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68" name="Text Box 139"/>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69" name="Text Box 421"/>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70" name="Text Box 426"/>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71" name="Text Box 431"/>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72" name="Text Box 448"/>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73" name="Text Box 117"/>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74" name="Text Box 192"/>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28575</xdr:rowOff>
    </xdr:to>
    <xdr:sp macro="" textlink="">
      <xdr:nvSpPr>
        <xdr:cNvPr id="175" name="Text Box 125"/>
        <xdr:cNvSpPr txBox="1">
          <a:spLocks noChangeArrowheads="1"/>
        </xdr:cNvSpPr>
      </xdr:nvSpPr>
      <xdr:spPr bwMode="auto">
        <a:xfrm>
          <a:off x="1460500" y="43440350"/>
          <a:ext cx="76200" cy="16827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28575</xdr:rowOff>
    </xdr:to>
    <xdr:sp macro="" textlink="">
      <xdr:nvSpPr>
        <xdr:cNvPr id="176" name="Text Box 160"/>
        <xdr:cNvSpPr txBox="1">
          <a:spLocks noChangeArrowheads="1"/>
        </xdr:cNvSpPr>
      </xdr:nvSpPr>
      <xdr:spPr bwMode="auto">
        <a:xfrm>
          <a:off x="1460500" y="43440350"/>
          <a:ext cx="76200" cy="16827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28575</xdr:rowOff>
    </xdr:to>
    <xdr:sp macro="" textlink="">
      <xdr:nvSpPr>
        <xdr:cNvPr id="177" name="Text Box 182"/>
        <xdr:cNvSpPr txBox="1">
          <a:spLocks noChangeArrowheads="1"/>
        </xdr:cNvSpPr>
      </xdr:nvSpPr>
      <xdr:spPr bwMode="auto">
        <a:xfrm>
          <a:off x="1460500" y="43440350"/>
          <a:ext cx="76200" cy="168275"/>
        </a:xfrm>
        <a:prstGeom prst="rect">
          <a:avLst/>
        </a:prstGeom>
        <a:noFill/>
        <a:ln w="9525">
          <a:noFill/>
          <a:miter lim="800000"/>
          <a:headEnd/>
          <a:tailEnd/>
        </a:ln>
      </xdr:spPr>
    </xdr:sp>
    <xdr:clientData/>
  </xdr:twoCellAnchor>
  <xdr:twoCellAnchor editAs="oneCell">
    <xdr:from>
      <xdr:col>2</xdr:col>
      <xdr:colOff>266700</xdr:colOff>
      <xdr:row>310</xdr:row>
      <xdr:rowOff>0</xdr:rowOff>
    </xdr:from>
    <xdr:to>
      <xdr:col>2</xdr:col>
      <xdr:colOff>342900</xdr:colOff>
      <xdr:row>311</xdr:row>
      <xdr:rowOff>85726</xdr:rowOff>
    </xdr:to>
    <xdr:sp macro="" textlink="">
      <xdr:nvSpPr>
        <xdr:cNvPr id="178" name="Text Box 137"/>
        <xdr:cNvSpPr txBox="1">
          <a:spLocks noChangeArrowheads="1"/>
        </xdr:cNvSpPr>
      </xdr:nvSpPr>
      <xdr:spPr bwMode="auto">
        <a:xfrm>
          <a:off x="1460500" y="43300650"/>
          <a:ext cx="76200" cy="225426"/>
        </a:xfrm>
        <a:prstGeom prst="rect">
          <a:avLst/>
        </a:prstGeom>
        <a:noFill/>
        <a:ln w="9525">
          <a:noFill/>
          <a:miter lim="800000"/>
          <a:headEnd/>
          <a:tailEnd/>
        </a:ln>
      </xdr:spPr>
    </xdr:sp>
    <xdr:clientData/>
  </xdr:twoCellAnchor>
  <xdr:twoCellAnchor editAs="oneCell">
    <xdr:from>
      <xdr:col>2</xdr:col>
      <xdr:colOff>266700</xdr:colOff>
      <xdr:row>310</xdr:row>
      <xdr:rowOff>0</xdr:rowOff>
    </xdr:from>
    <xdr:to>
      <xdr:col>2</xdr:col>
      <xdr:colOff>342900</xdr:colOff>
      <xdr:row>311</xdr:row>
      <xdr:rowOff>85726</xdr:rowOff>
    </xdr:to>
    <xdr:sp macro="" textlink="">
      <xdr:nvSpPr>
        <xdr:cNvPr id="179" name="Text Box 170"/>
        <xdr:cNvSpPr txBox="1">
          <a:spLocks noChangeArrowheads="1"/>
        </xdr:cNvSpPr>
      </xdr:nvSpPr>
      <xdr:spPr bwMode="auto">
        <a:xfrm>
          <a:off x="1460500" y="43300650"/>
          <a:ext cx="76200" cy="225426"/>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0" name="Text Box 438"/>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1" name="Text Box 443"/>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2" name="Text Box 139"/>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3" name="Text Box 421"/>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4" name="Text Box 426"/>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5" name="Text Box 431"/>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6" name="Text Box 448"/>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7" name="Text Box 481"/>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8" name="Text Box 486"/>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89" name="Text Box 139"/>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0" name="Text Box 421"/>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1" name="Text Box 426"/>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2" name="Text Box 431"/>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3" name="Text Box 448"/>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4" name="Text Box 549"/>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5" name="Text Box 554"/>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6" name="Text Box 139"/>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7" name="Text Box 421"/>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8" name="Text Box 426"/>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199" name="Text Box 431"/>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311</xdr:row>
      <xdr:rowOff>0</xdr:rowOff>
    </xdr:from>
    <xdr:to>
      <xdr:col>2</xdr:col>
      <xdr:colOff>342900</xdr:colOff>
      <xdr:row>312</xdr:row>
      <xdr:rowOff>85725</xdr:rowOff>
    </xdr:to>
    <xdr:sp macro="" textlink="">
      <xdr:nvSpPr>
        <xdr:cNvPr id="200" name="Text Box 448"/>
        <xdr:cNvSpPr txBox="1">
          <a:spLocks noChangeArrowheads="1"/>
        </xdr:cNvSpPr>
      </xdr:nvSpPr>
      <xdr:spPr bwMode="auto">
        <a:xfrm>
          <a:off x="1460500" y="43440350"/>
          <a:ext cx="76200" cy="225425"/>
        </a:xfrm>
        <a:prstGeom prst="rect">
          <a:avLst/>
        </a:prstGeom>
        <a:noFill/>
        <a:ln w="9525">
          <a:noFill/>
          <a:miter lim="800000"/>
          <a:headEnd/>
          <a:tailEnd/>
        </a:ln>
      </xdr:spPr>
    </xdr:sp>
    <xdr:clientData/>
  </xdr:twoCellAnchor>
  <xdr:twoCellAnchor editAs="oneCell">
    <xdr:from>
      <xdr:col>2</xdr:col>
      <xdr:colOff>266700</xdr:colOff>
      <xdr:row>321</xdr:row>
      <xdr:rowOff>0</xdr:rowOff>
    </xdr:from>
    <xdr:to>
      <xdr:col>2</xdr:col>
      <xdr:colOff>342900</xdr:colOff>
      <xdr:row>322</xdr:row>
      <xdr:rowOff>28574</xdr:rowOff>
    </xdr:to>
    <xdr:sp macro="" textlink="">
      <xdr:nvSpPr>
        <xdr:cNvPr id="201" name="Text Box 139"/>
        <xdr:cNvSpPr txBox="1">
          <a:spLocks noChangeArrowheads="1"/>
        </xdr:cNvSpPr>
      </xdr:nvSpPr>
      <xdr:spPr bwMode="auto">
        <a:xfrm>
          <a:off x="1460500" y="44837350"/>
          <a:ext cx="76200" cy="168274"/>
        </a:xfrm>
        <a:prstGeom prst="rect">
          <a:avLst/>
        </a:prstGeom>
        <a:noFill/>
        <a:ln w="9525">
          <a:noFill/>
          <a:miter lim="800000"/>
          <a:headEnd/>
          <a:tailEnd/>
        </a:ln>
      </xdr:spPr>
    </xdr:sp>
    <xdr:clientData/>
  </xdr:twoCellAnchor>
  <xdr:twoCellAnchor editAs="oneCell">
    <xdr:from>
      <xdr:col>2</xdr:col>
      <xdr:colOff>266700</xdr:colOff>
      <xdr:row>321</xdr:row>
      <xdr:rowOff>0</xdr:rowOff>
    </xdr:from>
    <xdr:to>
      <xdr:col>2</xdr:col>
      <xdr:colOff>342900</xdr:colOff>
      <xdr:row>322</xdr:row>
      <xdr:rowOff>28574</xdr:rowOff>
    </xdr:to>
    <xdr:sp macro="" textlink="">
      <xdr:nvSpPr>
        <xdr:cNvPr id="202" name="Text Box 421"/>
        <xdr:cNvSpPr txBox="1">
          <a:spLocks noChangeArrowheads="1"/>
        </xdr:cNvSpPr>
      </xdr:nvSpPr>
      <xdr:spPr bwMode="auto">
        <a:xfrm>
          <a:off x="1460500" y="44837350"/>
          <a:ext cx="76200" cy="168274"/>
        </a:xfrm>
        <a:prstGeom prst="rect">
          <a:avLst/>
        </a:prstGeom>
        <a:noFill/>
        <a:ln w="9525">
          <a:noFill/>
          <a:miter lim="800000"/>
          <a:headEnd/>
          <a:tailEnd/>
        </a:ln>
      </xdr:spPr>
    </xdr:sp>
    <xdr:clientData/>
  </xdr:twoCellAnchor>
  <xdr:twoCellAnchor editAs="oneCell">
    <xdr:from>
      <xdr:col>2</xdr:col>
      <xdr:colOff>266700</xdr:colOff>
      <xdr:row>321</xdr:row>
      <xdr:rowOff>0</xdr:rowOff>
    </xdr:from>
    <xdr:to>
      <xdr:col>2</xdr:col>
      <xdr:colOff>342900</xdr:colOff>
      <xdr:row>322</xdr:row>
      <xdr:rowOff>28574</xdr:rowOff>
    </xdr:to>
    <xdr:sp macro="" textlink="">
      <xdr:nvSpPr>
        <xdr:cNvPr id="203" name="Text Box 426"/>
        <xdr:cNvSpPr txBox="1">
          <a:spLocks noChangeArrowheads="1"/>
        </xdr:cNvSpPr>
      </xdr:nvSpPr>
      <xdr:spPr bwMode="auto">
        <a:xfrm>
          <a:off x="1460500" y="44837350"/>
          <a:ext cx="76200" cy="168274"/>
        </a:xfrm>
        <a:prstGeom prst="rect">
          <a:avLst/>
        </a:prstGeom>
        <a:noFill/>
        <a:ln w="9525">
          <a:noFill/>
          <a:miter lim="800000"/>
          <a:headEnd/>
          <a:tailEnd/>
        </a:ln>
      </xdr:spPr>
    </xdr:sp>
    <xdr:clientData/>
  </xdr:twoCellAnchor>
  <xdr:twoCellAnchor editAs="oneCell">
    <xdr:from>
      <xdr:col>2</xdr:col>
      <xdr:colOff>266700</xdr:colOff>
      <xdr:row>321</xdr:row>
      <xdr:rowOff>0</xdr:rowOff>
    </xdr:from>
    <xdr:to>
      <xdr:col>2</xdr:col>
      <xdr:colOff>342900</xdr:colOff>
      <xdr:row>322</xdr:row>
      <xdr:rowOff>28574</xdr:rowOff>
    </xdr:to>
    <xdr:sp macro="" textlink="">
      <xdr:nvSpPr>
        <xdr:cNvPr id="204" name="Text Box 431"/>
        <xdr:cNvSpPr txBox="1">
          <a:spLocks noChangeArrowheads="1"/>
        </xdr:cNvSpPr>
      </xdr:nvSpPr>
      <xdr:spPr bwMode="auto">
        <a:xfrm>
          <a:off x="1460500" y="44837350"/>
          <a:ext cx="76200" cy="168274"/>
        </a:xfrm>
        <a:prstGeom prst="rect">
          <a:avLst/>
        </a:prstGeom>
        <a:noFill/>
        <a:ln w="9525">
          <a:noFill/>
          <a:miter lim="800000"/>
          <a:headEnd/>
          <a:tailEnd/>
        </a:ln>
      </xdr:spPr>
    </xdr:sp>
    <xdr:clientData/>
  </xdr:twoCellAnchor>
  <xdr:twoCellAnchor editAs="oneCell">
    <xdr:from>
      <xdr:col>2</xdr:col>
      <xdr:colOff>266700</xdr:colOff>
      <xdr:row>321</xdr:row>
      <xdr:rowOff>0</xdr:rowOff>
    </xdr:from>
    <xdr:to>
      <xdr:col>2</xdr:col>
      <xdr:colOff>342900</xdr:colOff>
      <xdr:row>322</xdr:row>
      <xdr:rowOff>28574</xdr:rowOff>
    </xdr:to>
    <xdr:sp macro="" textlink="">
      <xdr:nvSpPr>
        <xdr:cNvPr id="205" name="Text Box 448"/>
        <xdr:cNvSpPr txBox="1">
          <a:spLocks noChangeArrowheads="1"/>
        </xdr:cNvSpPr>
      </xdr:nvSpPr>
      <xdr:spPr bwMode="auto">
        <a:xfrm>
          <a:off x="1460500" y="44837350"/>
          <a:ext cx="76200" cy="168274"/>
        </a:xfrm>
        <a:prstGeom prst="rect">
          <a:avLst/>
        </a:prstGeom>
        <a:noFill/>
        <a:ln w="9525">
          <a:noFill/>
          <a:miter lim="800000"/>
          <a:headEnd/>
          <a:tailEnd/>
        </a:ln>
      </xdr:spPr>
    </xdr:sp>
    <xdr:clientData/>
  </xdr:twoCellAnchor>
  <xdr:twoCellAnchor editAs="oneCell">
    <xdr:from>
      <xdr:col>2</xdr:col>
      <xdr:colOff>266700</xdr:colOff>
      <xdr:row>339</xdr:row>
      <xdr:rowOff>0</xdr:rowOff>
    </xdr:from>
    <xdr:to>
      <xdr:col>2</xdr:col>
      <xdr:colOff>342900</xdr:colOff>
      <xdr:row>340</xdr:row>
      <xdr:rowOff>28575</xdr:rowOff>
    </xdr:to>
    <xdr:sp macro="" textlink="">
      <xdr:nvSpPr>
        <xdr:cNvPr id="206" name="Text Box 105"/>
        <xdr:cNvSpPr txBox="1">
          <a:spLocks noChangeArrowheads="1"/>
        </xdr:cNvSpPr>
      </xdr:nvSpPr>
      <xdr:spPr bwMode="auto">
        <a:xfrm>
          <a:off x="1460500" y="47351950"/>
          <a:ext cx="76200" cy="168275"/>
        </a:xfrm>
        <a:prstGeom prst="rect">
          <a:avLst/>
        </a:prstGeom>
        <a:noFill/>
        <a:ln w="9525">
          <a:noFill/>
          <a:miter lim="800000"/>
          <a:headEnd/>
          <a:tailEnd/>
        </a:ln>
      </xdr:spPr>
    </xdr:sp>
    <xdr:clientData/>
  </xdr:twoCellAnchor>
  <xdr:twoCellAnchor editAs="oneCell">
    <xdr:from>
      <xdr:col>2</xdr:col>
      <xdr:colOff>266700</xdr:colOff>
      <xdr:row>339</xdr:row>
      <xdr:rowOff>0</xdr:rowOff>
    </xdr:from>
    <xdr:to>
      <xdr:col>2</xdr:col>
      <xdr:colOff>342900</xdr:colOff>
      <xdr:row>340</xdr:row>
      <xdr:rowOff>28575</xdr:rowOff>
    </xdr:to>
    <xdr:sp macro="" textlink="">
      <xdr:nvSpPr>
        <xdr:cNvPr id="207" name="Text Box 207"/>
        <xdr:cNvSpPr txBox="1">
          <a:spLocks noChangeArrowheads="1"/>
        </xdr:cNvSpPr>
      </xdr:nvSpPr>
      <xdr:spPr bwMode="auto">
        <a:xfrm>
          <a:off x="1460500" y="47351950"/>
          <a:ext cx="76200" cy="168275"/>
        </a:xfrm>
        <a:prstGeom prst="rect">
          <a:avLst/>
        </a:prstGeom>
        <a:noFill/>
        <a:ln w="9525">
          <a:noFill/>
          <a:miter lim="800000"/>
          <a:headEnd/>
          <a:tailEnd/>
        </a:ln>
      </xdr:spPr>
    </xdr:sp>
    <xdr:clientData/>
  </xdr:twoCellAnchor>
  <xdr:twoCellAnchor editAs="oneCell">
    <xdr:from>
      <xdr:col>2</xdr:col>
      <xdr:colOff>0</xdr:colOff>
      <xdr:row>339</xdr:row>
      <xdr:rowOff>0</xdr:rowOff>
    </xdr:from>
    <xdr:to>
      <xdr:col>2</xdr:col>
      <xdr:colOff>76200</xdr:colOff>
      <xdr:row>340</xdr:row>
      <xdr:rowOff>28575</xdr:rowOff>
    </xdr:to>
    <xdr:sp macro="" textlink="">
      <xdr:nvSpPr>
        <xdr:cNvPr id="208" name="Text Box 105"/>
        <xdr:cNvSpPr txBox="1">
          <a:spLocks noChangeArrowheads="1"/>
        </xdr:cNvSpPr>
      </xdr:nvSpPr>
      <xdr:spPr bwMode="auto">
        <a:xfrm>
          <a:off x="1193800" y="47351950"/>
          <a:ext cx="76200" cy="168275"/>
        </a:xfrm>
        <a:prstGeom prst="rect">
          <a:avLst/>
        </a:prstGeom>
        <a:noFill/>
        <a:ln w="9525">
          <a:noFill/>
          <a:miter lim="800000"/>
          <a:headEnd/>
          <a:tailEnd/>
        </a:ln>
      </xdr:spPr>
    </xdr:sp>
    <xdr:clientData/>
  </xdr:twoCellAnchor>
  <xdr:twoCellAnchor editAs="oneCell">
    <xdr:from>
      <xdr:col>2</xdr:col>
      <xdr:colOff>0</xdr:colOff>
      <xdr:row>339</xdr:row>
      <xdr:rowOff>0</xdr:rowOff>
    </xdr:from>
    <xdr:to>
      <xdr:col>2</xdr:col>
      <xdr:colOff>76200</xdr:colOff>
      <xdr:row>340</xdr:row>
      <xdr:rowOff>28575</xdr:rowOff>
    </xdr:to>
    <xdr:sp macro="" textlink="">
      <xdr:nvSpPr>
        <xdr:cNvPr id="209" name="Text Box 207"/>
        <xdr:cNvSpPr txBox="1">
          <a:spLocks noChangeArrowheads="1"/>
        </xdr:cNvSpPr>
      </xdr:nvSpPr>
      <xdr:spPr bwMode="auto">
        <a:xfrm>
          <a:off x="1193800" y="47351950"/>
          <a:ext cx="76200" cy="16827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10" name="Text Box 139"/>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11" name="Text Box 421"/>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12" name="Text Box 426"/>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13" name="Text Box 431"/>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14" name="Text Box 448"/>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15" name="Text Box 117"/>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16" name="Text Box 192"/>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28575</xdr:rowOff>
    </xdr:to>
    <xdr:sp macro="" textlink="">
      <xdr:nvSpPr>
        <xdr:cNvPr id="217" name="Text Box 125"/>
        <xdr:cNvSpPr txBox="1">
          <a:spLocks noChangeArrowheads="1"/>
        </xdr:cNvSpPr>
      </xdr:nvSpPr>
      <xdr:spPr bwMode="auto">
        <a:xfrm>
          <a:off x="1460500" y="47910750"/>
          <a:ext cx="76200" cy="16827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28575</xdr:rowOff>
    </xdr:to>
    <xdr:sp macro="" textlink="">
      <xdr:nvSpPr>
        <xdr:cNvPr id="218" name="Text Box 160"/>
        <xdr:cNvSpPr txBox="1">
          <a:spLocks noChangeArrowheads="1"/>
        </xdr:cNvSpPr>
      </xdr:nvSpPr>
      <xdr:spPr bwMode="auto">
        <a:xfrm>
          <a:off x="1460500" y="47910750"/>
          <a:ext cx="76200" cy="16827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28575</xdr:rowOff>
    </xdr:to>
    <xdr:sp macro="" textlink="">
      <xdr:nvSpPr>
        <xdr:cNvPr id="219" name="Text Box 182"/>
        <xdr:cNvSpPr txBox="1">
          <a:spLocks noChangeArrowheads="1"/>
        </xdr:cNvSpPr>
      </xdr:nvSpPr>
      <xdr:spPr bwMode="auto">
        <a:xfrm>
          <a:off x="1460500" y="47910750"/>
          <a:ext cx="76200" cy="168275"/>
        </a:xfrm>
        <a:prstGeom prst="rect">
          <a:avLst/>
        </a:prstGeom>
        <a:noFill/>
        <a:ln w="9525">
          <a:noFill/>
          <a:miter lim="800000"/>
          <a:headEnd/>
          <a:tailEnd/>
        </a:ln>
      </xdr:spPr>
    </xdr:sp>
    <xdr:clientData/>
  </xdr:twoCellAnchor>
  <xdr:twoCellAnchor editAs="oneCell">
    <xdr:from>
      <xdr:col>2</xdr:col>
      <xdr:colOff>266700</xdr:colOff>
      <xdr:row>342</xdr:row>
      <xdr:rowOff>0</xdr:rowOff>
    </xdr:from>
    <xdr:to>
      <xdr:col>2</xdr:col>
      <xdr:colOff>342900</xdr:colOff>
      <xdr:row>343</xdr:row>
      <xdr:rowOff>85725</xdr:rowOff>
    </xdr:to>
    <xdr:sp macro="" textlink="">
      <xdr:nvSpPr>
        <xdr:cNvPr id="220" name="Text Box 137"/>
        <xdr:cNvSpPr txBox="1">
          <a:spLocks noChangeArrowheads="1"/>
        </xdr:cNvSpPr>
      </xdr:nvSpPr>
      <xdr:spPr bwMode="auto">
        <a:xfrm>
          <a:off x="1460500" y="47771050"/>
          <a:ext cx="76200" cy="225425"/>
        </a:xfrm>
        <a:prstGeom prst="rect">
          <a:avLst/>
        </a:prstGeom>
        <a:noFill/>
        <a:ln w="9525">
          <a:noFill/>
          <a:miter lim="800000"/>
          <a:headEnd/>
          <a:tailEnd/>
        </a:ln>
      </xdr:spPr>
    </xdr:sp>
    <xdr:clientData/>
  </xdr:twoCellAnchor>
  <xdr:twoCellAnchor editAs="oneCell">
    <xdr:from>
      <xdr:col>2</xdr:col>
      <xdr:colOff>266700</xdr:colOff>
      <xdr:row>342</xdr:row>
      <xdr:rowOff>0</xdr:rowOff>
    </xdr:from>
    <xdr:to>
      <xdr:col>2</xdr:col>
      <xdr:colOff>342900</xdr:colOff>
      <xdr:row>343</xdr:row>
      <xdr:rowOff>85725</xdr:rowOff>
    </xdr:to>
    <xdr:sp macro="" textlink="">
      <xdr:nvSpPr>
        <xdr:cNvPr id="221" name="Text Box 170"/>
        <xdr:cNvSpPr txBox="1">
          <a:spLocks noChangeArrowheads="1"/>
        </xdr:cNvSpPr>
      </xdr:nvSpPr>
      <xdr:spPr bwMode="auto">
        <a:xfrm>
          <a:off x="1460500" y="477710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22" name="Text Box 438"/>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23" name="Text Box 443"/>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24" name="Text Box 139"/>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25" name="Text Box 421"/>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26" name="Text Box 426"/>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27" name="Text Box 431"/>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28" name="Text Box 448"/>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29" name="Text Box 481"/>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0" name="Text Box 486"/>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1" name="Text Box 139"/>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2" name="Text Box 421"/>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3" name="Text Box 426"/>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4" name="Text Box 431"/>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5" name="Text Box 448"/>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6" name="Text Box 549"/>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7" name="Text Box 554"/>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8" name="Text Box 139"/>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39" name="Text Box 421"/>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40" name="Text Box 426"/>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41" name="Text Box 431"/>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343</xdr:row>
      <xdr:rowOff>0</xdr:rowOff>
    </xdr:from>
    <xdr:to>
      <xdr:col>2</xdr:col>
      <xdr:colOff>342900</xdr:colOff>
      <xdr:row>344</xdr:row>
      <xdr:rowOff>85725</xdr:rowOff>
    </xdr:to>
    <xdr:sp macro="" textlink="">
      <xdr:nvSpPr>
        <xdr:cNvPr id="242" name="Text Box 448"/>
        <xdr:cNvSpPr txBox="1">
          <a:spLocks noChangeArrowheads="1"/>
        </xdr:cNvSpPr>
      </xdr:nvSpPr>
      <xdr:spPr bwMode="auto">
        <a:xfrm>
          <a:off x="1460500" y="479107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28575</xdr:rowOff>
    </xdr:to>
    <xdr:sp macro="" textlink="">
      <xdr:nvSpPr>
        <xdr:cNvPr id="243" name="Text Box 494"/>
        <xdr:cNvSpPr txBox="1">
          <a:spLocks noChangeArrowheads="1"/>
        </xdr:cNvSpPr>
      </xdr:nvSpPr>
      <xdr:spPr bwMode="auto">
        <a:xfrm>
          <a:off x="1460500" y="51542950"/>
          <a:ext cx="76200" cy="16827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28575</xdr:rowOff>
    </xdr:to>
    <xdr:sp macro="" textlink="">
      <xdr:nvSpPr>
        <xdr:cNvPr id="244" name="Text Box 499"/>
        <xdr:cNvSpPr txBox="1">
          <a:spLocks noChangeArrowheads="1"/>
        </xdr:cNvSpPr>
      </xdr:nvSpPr>
      <xdr:spPr bwMode="auto">
        <a:xfrm>
          <a:off x="1460500" y="51542950"/>
          <a:ext cx="76200" cy="16827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45" name="Text Box 139"/>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46" name="Text Box 421"/>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47" name="Text Box 426"/>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48" name="Text Box 431"/>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49" name="Text Box 448"/>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50" name="Text Box 117"/>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51" name="Text Box 192"/>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28575</xdr:rowOff>
    </xdr:to>
    <xdr:sp macro="" textlink="">
      <xdr:nvSpPr>
        <xdr:cNvPr id="252" name="Text Box 125"/>
        <xdr:cNvSpPr txBox="1">
          <a:spLocks noChangeArrowheads="1"/>
        </xdr:cNvSpPr>
      </xdr:nvSpPr>
      <xdr:spPr bwMode="auto">
        <a:xfrm>
          <a:off x="1460500" y="51542950"/>
          <a:ext cx="76200" cy="16827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28575</xdr:rowOff>
    </xdr:to>
    <xdr:sp macro="" textlink="">
      <xdr:nvSpPr>
        <xdr:cNvPr id="253" name="Text Box 160"/>
        <xdr:cNvSpPr txBox="1">
          <a:spLocks noChangeArrowheads="1"/>
        </xdr:cNvSpPr>
      </xdr:nvSpPr>
      <xdr:spPr bwMode="auto">
        <a:xfrm>
          <a:off x="1460500" y="51542950"/>
          <a:ext cx="76200" cy="16827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28575</xdr:rowOff>
    </xdr:to>
    <xdr:sp macro="" textlink="">
      <xdr:nvSpPr>
        <xdr:cNvPr id="254" name="Text Box 182"/>
        <xdr:cNvSpPr txBox="1">
          <a:spLocks noChangeArrowheads="1"/>
        </xdr:cNvSpPr>
      </xdr:nvSpPr>
      <xdr:spPr bwMode="auto">
        <a:xfrm>
          <a:off x="1460500" y="51542950"/>
          <a:ext cx="76200" cy="168275"/>
        </a:xfrm>
        <a:prstGeom prst="rect">
          <a:avLst/>
        </a:prstGeom>
        <a:noFill/>
        <a:ln w="9525">
          <a:noFill/>
          <a:miter lim="800000"/>
          <a:headEnd/>
          <a:tailEnd/>
        </a:ln>
      </xdr:spPr>
    </xdr:sp>
    <xdr:clientData/>
  </xdr:twoCellAnchor>
  <xdr:twoCellAnchor editAs="oneCell">
    <xdr:from>
      <xdr:col>2</xdr:col>
      <xdr:colOff>266700</xdr:colOff>
      <xdr:row>368</xdr:row>
      <xdr:rowOff>0</xdr:rowOff>
    </xdr:from>
    <xdr:to>
      <xdr:col>2</xdr:col>
      <xdr:colOff>342900</xdr:colOff>
      <xdr:row>369</xdr:row>
      <xdr:rowOff>85724</xdr:rowOff>
    </xdr:to>
    <xdr:sp macro="" textlink="">
      <xdr:nvSpPr>
        <xdr:cNvPr id="255" name="Text Box 137"/>
        <xdr:cNvSpPr txBox="1">
          <a:spLocks noChangeArrowheads="1"/>
        </xdr:cNvSpPr>
      </xdr:nvSpPr>
      <xdr:spPr bwMode="auto">
        <a:xfrm>
          <a:off x="1460500" y="51403250"/>
          <a:ext cx="76200" cy="225424"/>
        </a:xfrm>
        <a:prstGeom prst="rect">
          <a:avLst/>
        </a:prstGeom>
        <a:noFill/>
        <a:ln w="9525">
          <a:noFill/>
          <a:miter lim="800000"/>
          <a:headEnd/>
          <a:tailEnd/>
        </a:ln>
      </xdr:spPr>
    </xdr:sp>
    <xdr:clientData/>
  </xdr:twoCellAnchor>
  <xdr:twoCellAnchor editAs="oneCell">
    <xdr:from>
      <xdr:col>2</xdr:col>
      <xdr:colOff>266700</xdr:colOff>
      <xdr:row>368</xdr:row>
      <xdr:rowOff>0</xdr:rowOff>
    </xdr:from>
    <xdr:to>
      <xdr:col>2</xdr:col>
      <xdr:colOff>342900</xdr:colOff>
      <xdr:row>369</xdr:row>
      <xdr:rowOff>85724</xdr:rowOff>
    </xdr:to>
    <xdr:sp macro="" textlink="">
      <xdr:nvSpPr>
        <xdr:cNvPr id="256" name="Text Box 170"/>
        <xdr:cNvSpPr txBox="1">
          <a:spLocks noChangeArrowheads="1"/>
        </xdr:cNvSpPr>
      </xdr:nvSpPr>
      <xdr:spPr bwMode="auto">
        <a:xfrm>
          <a:off x="1460500" y="51403250"/>
          <a:ext cx="76200" cy="225424"/>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57" name="Text Box 438"/>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58" name="Text Box 443"/>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59" name="Text Box 139"/>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0" name="Text Box 421"/>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1" name="Text Box 426"/>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2" name="Text Box 431"/>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3" name="Text Box 448"/>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4" name="Text Box 481"/>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5" name="Text Box 486"/>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6" name="Text Box 139"/>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7" name="Text Box 421"/>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8" name="Text Box 426"/>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69" name="Text Box 431"/>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70" name="Text Box 448"/>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71" name="Text Box 549"/>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72" name="Text Box 554"/>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73" name="Text Box 139"/>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74" name="Text Box 421"/>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75" name="Text Box 426"/>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76" name="Text Box 431"/>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369</xdr:row>
      <xdr:rowOff>0</xdr:rowOff>
    </xdr:from>
    <xdr:to>
      <xdr:col>2</xdr:col>
      <xdr:colOff>342900</xdr:colOff>
      <xdr:row>370</xdr:row>
      <xdr:rowOff>85725</xdr:rowOff>
    </xdr:to>
    <xdr:sp macro="" textlink="">
      <xdr:nvSpPr>
        <xdr:cNvPr id="277" name="Text Box 448"/>
        <xdr:cNvSpPr txBox="1">
          <a:spLocks noChangeArrowheads="1"/>
        </xdr:cNvSpPr>
      </xdr:nvSpPr>
      <xdr:spPr bwMode="auto">
        <a:xfrm>
          <a:off x="1460500" y="515429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28575</xdr:rowOff>
    </xdr:to>
    <xdr:sp macro="" textlink="">
      <xdr:nvSpPr>
        <xdr:cNvPr id="278" name="Text Box 93"/>
        <xdr:cNvSpPr txBox="1">
          <a:spLocks noChangeArrowheads="1"/>
        </xdr:cNvSpPr>
      </xdr:nvSpPr>
      <xdr:spPr bwMode="auto">
        <a:xfrm>
          <a:off x="1460500" y="55594250"/>
          <a:ext cx="76200" cy="16827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28575</xdr:rowOff>
    </xdr:to>
    <xdr:sp macro="" textlink="">
      <xdr:nvSpPr>
        <xdr:cNvPr id="279" name="Text Box 222"/>
        <xdr:cNvSpPr txBox="1">
          <a:spLocks noChangeArrowheads="1"/>
        </xdr:cNvSpPr>
      </xdr:nvSpPr>
      <xdr:spPr bwMode="auto">
        <a:xfrm>
          <a:off x="1460500" y="55594250"/>
          <a:ext cx="76200" cy="16827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28575</xdr:rowOff>
    </xdr:to>
    <xdr:sp macro="" textlink="">
      <xdr:nvSpPr>
        <xdr:cNvPr id="280" name="Text Box 494"/>
        <xdr:cNvSpPr txBox="1">
          <a:spLocks noChangeArrowheads="1"/>
        </xdr:cNvSpPr>
      </xdr:nvSpPr>
      <xdr:spPr bwMode="auto">
        <a:xfrm>
          <a:off x="1460500" y="55594250"/>
          <a:ext cx="76200" cy="16827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28575</xdr:rowOff>
    </xdr:to>
    <xdr:sp macro="" textlink="">
      <xdr:nvSpPr>
        <xdr:cNvPr id="281" name="Text Box 499"/>
        <xdr:cNvSpPr txBox="1">
          <a:spLocks noChangeArrowheads="1"/>
        </xdr:cNvSpPr>
      </xdr:nvSpPr>
      <xdr:spPr bwMode="auto">
        <a:xfrm>
          <a:off x="1460500" y="55594250"/>
          <a:ext cx="76200" cy="16827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82" name="Text Box 139"/>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83" name="Text Box 421"/>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84" name="Text Box 426"/>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85" name="Text Box 431"/>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86" name="Text Box 448"/>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87" name="Text Box 117"/>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88" name="Text Box 192"/>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28575</xdr:rowOff>
    </xdr:to>
    <xdr:sp macro="" textlink="">
      <xdr:nvSpPr>
        <xdr:cNvPr id="289" name="Text Box 125"/>
        <xdr:cNvSpPr txBox="1">
          <a:spLocks noChangeArrowheads="1"/>
        </xdr:cNvSpPr>
      </xdr:nvSpPr>
      <xdr:spPr bwMode="auto">
        <a:xfrm>
          <a:off x="1460500" y="55594250"/>
          <a:ext cx="76200" cy="16827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28575</xdr:rowOff>
    </xdr:to>
    <xdr:sp macro="" textlink="">
      <xdr:nvSpPr>
        <xdr:cNvPr id="290" name="Text Box 160"/>
        <xdr:cNvSpPr txBox="1">
          <a:spLocks noChangeArrowheads="1"/>
        </xdr:cNvSpPr>
      </xdr:nvSpPr>
      <xdr:spPr bwMode="auto">
        <a:xfrm>
          <a:off x="1460500" y="55594250"/>
          <a:ext cx="76200" cy="16827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28575</xdr:rowOff>
    </xdr:to>
    <xdr:sp macro="" textlink="">
      <xdr:nvSpPr>
        <xdr:cNvPr id="291" name="Text Box 182"/>
        <xdr:cNvSpPr txBox="1">
          <a:spLocks noChangeArrowheads="1"/>
        </xdr:cNvSpPr>
      </xdr:nvSpPr>
      <xdr:spPr bwMode="auto">
        <a:xfrm>
          <a:off x="1460500" y="55594250"/>
          <a:ext cx="76200" cy="168275"/>
        </a:xfrm>
        <a:prstGeom prst="rect">
          <a:avLst/>
        </a:prstGeom>
        <a:noFill/>
        <a:ln w="9525">
          <a:noFill/>
          <a:miter lim="800000"/>
          <a:headEnd/>
          <a:tailEnd/>
        </a:ln>
      </xdr:spPr>
    </xdr:sp>
    <xdr:clientData/>
  </xdr:twoCellAnchor>
  <xdr:twoCellAnchor editAs="oneCell">
    <xdr:from>
      <xdr:col>2</xdr:col>
      <xdr:colOff>266700</xdr:colOff>
      <xdr:row>397</xdr:row>
      <xdr:rowOff>0</xdr:rowOff>
    </xdr:from>
    <xdr:to>
      <xdr:col>2</xdr:col>
      <xdr:colOff>342900</xdr:colOff>
      <xdr:row>398</xdr:row>
      <xdr:rowOff>85725</xdr:rowOff>
    </xdr:to>
    <xdr:sp macro="" textlink="">
      <xdr:nvSpPr>
        <xdr:cNvPr id="292" name="Text Box 137"/>
        <xdr:cNvSpPr txBox="1">
          <a:spLocks noChangeArrowheads="1"/>
        </xdr:cNvSpPr>
      </xdr:nvSpPr>
      <xdr:spPr bwMode="auto">
        <a:xfrm>
          <a:off x="1460500" y="55454550"/>
          <a:ext cx="76200" cy="225425"/>
        </a:xfrm>
        <a:prstGeom prst="rect">
          <a:avLst/>
        </a:prstGeom>
        <a:noFill/>
        <a:ln w="9525">
          <a:noFill/>
          <a:miter lim="800000"/>
          <a:headEnd/>
          <a:tailEnd/>
        </a:ln>
      </xdr:spPr>
    </xdr:sp>
    <xdr:clientData/>
  </xdr:twoCellAnchor>
  <xdr:twoCellAnchor editAs="oneCell">
    <xdr:from>
      <xdr:col>2</xdr:col>
      <xdr:colOff>266700</xdr:colOff>
      <xdr:row>397</xdr:row>
      <xdr:rowOff>0</xdr:rowOff>
    </xdr:from>
    <xdr:to>
      <xdr:col>2</xdr:col>
      <xdr:colOff>342900</xdr:colOff>
      <xdr:row>398</xdr:row>
      <xdr:rowOff>85725</xdr:rowOff>
    </xdr:to>
    <xdr:sp macro="" textlink="">
      <xdr:nvSpPr>
        <xdr:cNvPr id="293" name="Text Box 170"/>
        <xdr:cNvSpPr txBox="1">
          <a:spLocks noChangeArrowheads="1"/>
        </xdr:cNvSpPr>
      </xdr:nvSpPr>
      <xdr:spPr bwMode="auto">
        <a:xfrm>
          <a:off x="1460500" y="554545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94" name="Text Box 438"/>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95" name="Text Box 443"/>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96" name="Text Box 139"/>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97" name="Text Box 421"/>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98" name="Text Box 426"/>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299" name="Text Box 431"/>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0" name="Text Box 448"/>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1" name="Text Box 481"/>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2" name="Text Box 486"/>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3" name="Text Box 139"/>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4" name="Text Box 421"/>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5" name="Text Box 426"/>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6" name="Text Box 431"/>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7" name="Text Box 448"/>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8" name="Text Box 549"/>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09" name="Text Box 554"/>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10" name="Text Box 139"/>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11" name="Text Box 421"/>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12" name="Text Box 426"/>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13" name="Text Box 431"/>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266700</xdr:colOff>
      <xdr:row>398</xdr:row>
      <xdr:rowOff>0</xdr:rowOff>
    </xdr:from>
    <xdr:to>
      <xdr:col>2</xdr:col>
      <xdr:colOff>342900</xdr:colOff>
      <xdr:row>399</xdr:row>
      <xdr:rowOff>85725</xdr:rowOff>
    </xdr:to>
    <xdr:sp macro="" textlink="">
      <xdr:nvSpPr>
        <xdr:cNvPr id="314" name="Text Box 448"/>
        <xdr:cNvSpPr txBox="1">
          <a:spLocks noChangeArrowheads="1"/>
        </xdr:cNvSpPr>
      </xdr:nvSpPr>
      <xdr:spPr bwMode="auto">
        <a:xfrm>
          <a:off x="1460500" y="55594250"/>
          <a:ext cx="76200" cy="225425"/>
        </a:xfrm>
        <a:prstGeom prst="rect">
          <a:avLst/>
        </a:prstGeom>
        <a:noFill/>
        <a:ln w="9525">
          <a:noFill/>
          <a:miter lim="800000"/>
          <a:headEnd/>
          <a:tailEnd/>
        </a:ln>
      </xdr:spPr>
    </xdr:sp>
    <xdr:clientData/>
  </xdr:twoCellAnchor>
  <xdr:twoCellAnchor editAs="oneCell">
    <xdr:from>
      <xdr:col>2</xdr:col>
      <xdr:colOff>0</xdr:colOff>
      <xdr:row>427</xdr:row>
      <xdr:rowOff>0</xdr:rowOff>
    </xdr:from>
    <xdr:to>
      <xdr:col>2</xdr:col>
      <xdr:colOff>76200</xdr:colOff>
      <xdr:row>428</xdr:row>
      <xdr:rowOff>85725</xdr:rowOff>
    </xdr:to>
    <xdr:sp macro="" textlink="">
      <xdr:nvSpPr>
        <xdr:cNvPr id="315" name="Text Box 89"/>
        <xdr:cNvSpPr txBox="1">
          <a:spLocks noChangeArrowheads="1"/>
        </xdr:cNvSpPr>
      </xdr:nvSpPr>
      <xdr:spPr bwMode="auto">
        <a:xfrm>
          <a:off x="1193800" y="59639200"/>
          <a:ext cx="76200" cy="225425"/>
        </a:xfrm>
        <a:prstGeom prst="rect">
          <a:avLst/>
        </a:prstGeom>
        <a:noFill/>
        <a:ln w="9525">
          <a:noFill/>
          <a:miter lim="800000"/>
          <a:headEnd/>
          <a:tailEnd/>
        </a:ln>
      </xdr:spPr>
    </xdr:sp>
    <xdr:clientData/>
  </xdr:twoCellAnchor>
  <xdr:twoCellAnchor editAs="oneCell">
    <xdr:from>
      <xdr:col>2</xdr:col>
      <xdr:colOff>0</xdr:colOff>
      <xdr:row>427</xdr:row>
      <xdr:rowOff>0</xdr:rowOff>
    </xdr:from>
    <xdr:to>
      <xdr:col>2</xdr:col>
      <xdr:colOff>76200</xdr:colOff>
      <xdr:row>428</xdr:row>
      <xdr:rowOff>85725</xdr:rowOff>
    </xdr:to>
    <xdr:sp macro="" textlink="">
      <xdr:nvSpPr>
        <xdr:cNvPr id="316" name="Text Box 227"/>
        <xdr:cNvSpPr txBox="1">
          <a:spLocks noChangeArrowheads="1"/>
        </xdr:cNvSpPr>
      </xdr:nvSpPr>
      <xdr:spPr bwMode="auto">
        <a:xfrm>
          <a:off x="1193800" y="596392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28575</xdr:rowOff>
    </xdr:to>
    <xdr:sp macro="" textlink="">
      <xdr:nvSpPr>
        <xdr:cNvPr id="317" name="Text Box 93"/>
        <xdr:cNvSpPr txBox="1">
          <a:spLocks noChangeArrowheads="1"/>
        </xdr:cNvSpPr>
      </xdr:nvSpPr>
      <xdr:spPr bwMode="auto">
        <a:xfrm>
          <a:off x="1460500" y="60198000"/>
          <a:ext cx="76200" cy="16827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28575</xdr:rowOff>
    </xdr:to>
    <xdr:sp macro="" textlink="">
      <xdr:nvSpPr>
        <xdr:cNvPr id="318" name="Text Box 222"/>
        <xdr:cNvSpPr txBox="1">
          <a:spLocks noChangeArrowheads="1"/>
        </xdr:cNvSpPr>
      </xdr:nvSpPr>
      <xdr:spPr bwMode="auto">
        <a:xfrm>
          <a:off x="1460500" y="60198000"/>
          <a:ext cx="76200" cy="16827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28575</xdr:rowOff>
    </xdr:to>
    <xdr:sp macro="" textlink="">
      <xdr:nvSpPr>
        <xdr:cNvPr id="319" name="Text Box 494"/>
        <xdr:cNvSpPr txBox="1">
          <a:spLocks noChangeArrowheads="1"/>
        </xdr:cNvSpPr>
      </xdr:nvSpPr>
      <xdr:spPr bwMode="auto">
        <a:xfrm>
          <a:off x="1460500" y="60198000"/>
          <a:ext cx="76200" cy="16827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28575</xdr:rowOff>
    </xdr:to>
    <xdr:sp macro="" textlink="">
      <xdr:nvSpPr>
        <xdr:cNvPr id="320" name="Text Box 499"/>
        <xdr:cNvSpPr txBox="1">
          <a:spLocks noChangeArrowheads="1"/>
        </xdr:cNvSpPr>
      </xdr:nvSpPr>
      <xdr:spPr bwMode="auto">
        <a:xfrm>
          <a:off x="1460500" y="60198000"/>
          <a:ext cx="76200" cy="16827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21" name="Text Box 139"/>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22" name="Text Box 421"/>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23" name="Text Box 426"/>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24" name="Text Box 431"/>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25" name="Text Box 448"/>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26" name="Text Box 117"/>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27" name="Text Box 192"/>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28575</xdr:rowOff>
    </xdr:to>
    <xdr:sp macro="" textlink="">
      <xdr:nvSpPr>
        <xdr:cNvPr id="328" name="Text Box 125"/>
        <xdr:cNvSpPr txBox="1">
          <a:spLocks noChangeArrowheads="1"/>
        </xdr:cNvSpPr>
      </xdr:nvSpPr>
      <xdr:spPr bwMode="auto">
        <a:xfrm>
          <a:off x="1460500" y="60198000"/>
          <a:ext cx="76200" cy="16827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28575</xdr:rowOff>
    </xdr:to>
    <xdr:sp macro="" textlink="">
      <xdr:nvSpPr>
        <xdr:cNvPr id="329" name="Text Box 160"/>
        <xdr:cNvSpPr txBox="1">
          <a:spLocks noChangeArrowheads="1"/>
        </xdr:cNvSpPr>
      </xdr:nvSpPr>
      <xdr:spPr bwMode="auto">
        <a:xfrm>
          <a:off x="1460500" y="60198000"/>
          <a:ext cx="76200" cy="16827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28575</xdr:rowOff>
    </xdr:to>
    <xdr:sp macro="" textlink="">
      <xdr:nvSpPr>
        <xdr:cNvPr id="330" name="Text Box 182"/>
        <xdr:cNvSpPr txBox="1">
          <a:spLocks noChangeArrowheads="1"/>
        </xdr:cNvSpPr>
      </xdr:nvSpPr>
      <xdr:spPr bwMode="auto">
        <a:xfrm>
          <a:off x="1460500" y="60198000"/>
          <a:ext cx="76200" cy="168275"/>
        </a:xfrm>
        <a:prstGeom prst="rect">
          <a:avLst/>
        </a:prstGeom>
        <a:noFill/>
        <a:ln w="9525">
          <a:noFill/>
          <a:miter lim="800000"/>
          <a:headEnd/>
          <a:tailEnd/>
        </a:ln>
      </xdr:spPr>
    </xdr:sp>
    <xdr:clientData/>
  </xdr:twoCellAnchor>
  <xdr:twoCellAnchor editAs="oneCell">
    <xdr:from>
      <xdr:col>2</xdr:col>
      <xdr:colOff>266700</xdr:colOff>
      <xdr:row>430</xdr:row>
      <xdr:rowOff>0</xdr:rowOff>
    </xdr:from>
    <xdr:to>
      <xdr:col>2</xdr:col>
      <xdr:colOff>342900</xdr:colOff>
      <xdr:row>431</xdr:row>
      <xdr:rowOff>85725</xdr:rowOff>
    </xdr:to>
    <xdr:sp macro="" textlink="">
      <xdr:nvSpPr>
        <xdr:cNvPr id="331" name="Text Box 137"/>
        <xdr:cNvSpPr txBox="1">
          <a:spLocks noChangeArrowheads="1"/>
        </xdr:cNvSpPr>
      </xdr:nvSpPr>
      <xdr:spPr bwMode="auto">
        <a:xfrm>
          <a:off x="1460500" y="60058300"/>
          <a:ext cx="76200" cy="225425"/>
        </a:xfrm>
        <a:prstGeom prst="rect">
          <a:avLst/>
        </a:prstGeom>
        <a:noFill/>
        <a:ln w="9525">
          <a:noFill/>
          <a:miter lim="800000"/>
          <a:headEnd/>
          <a:tailEnd/>
        </a:ln>
      </xdr:spPr>
    </xdr:sp>
    <xdr:clientData/>
  </xdr:twoCellAnchor>
  <xdr:twoCellAnchor editAs="oneCell">
    <xdr:from>
      <xdr:col>2</xdr:col>
      <xdr:colOff>266700</xdr:colOff>
      <xdr:row>430</xdr:row>
      <xdr:rowOff>0</xdr:rowOff>
    </xdr:from>
    <xdr:to>
      <xdr:col>2</xdr:col>
      <xdr:colOff>342900</xdr:colOff>
      <xdr:row>431</xdr:row>
      <xdr:rowOff>85725</xdr:rowOff>
    </xdr:to>
    <xdr:sp macro="" textlink="">
      <xdr:nvSpPr>
        <xdr:cNvPr id="332" name="Text Box 170"/>
        <xdr:cNvSpPr txBox="1">
          <a:spLocks noChangeArrowheads="1"/>
        </xdr:cNvSpPr>
      </xdr:nvSpPr>
      <xdr:spPr bwMode="auto">
        <a:xfrm>
          <a:off x="1460500" y="600583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33" name="Text Box 438"/>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34" name="Text Box 443"/>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35" name="Text Box 139"/>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36" name="Text Box 421"/>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37" name="Text Box 426"/>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38" name="Text Box 431"/>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39" name="Text Box 448"/>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0" name="Text Box 481"/>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1" name="Text Box 486"/>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2" name="Text Box 139"/>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3" name="Text Box 421"/>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4" name="Text Box 426"/>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5" name="Text Box 431"/>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6" name="Text Box 448"/>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7" name="Text Box 549"/>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8" name="Text Box 554"/>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49" name="Text Box 139"/>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50" name="Text Box 421"/>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51" name="Text Box 426"/>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52" name="Text Box 431"/>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431</xdr:row>
      <xdr:rowOff>0</xdr:rowOff>
    </xdr:from>
    <xdr:to>
      <xdr:col>2</xdr:col>
      <xdr:colOff>342900</xdr:colOff>
      <xdr:row>432</xdr:row>
      <xdr:rowOff>85725</xdr:rowOff>
    </xdr:to>
    <xdr:sp macro="" textlink="">
      <xdr:nvSpPr>
        <xdr:cNvPr id="353" name="Text Box 448"/>
        <xdr:cNvSpPr txBox="1">
          <a:spLocks noChangeArrowheads="1"/>
        </xdr:cNvSpPr>
      </xdr:nvSpPr>
      <xdr:spPr bwMode="auto">
        <a:xfrm>
          <a:off x="1460500" y="60198000"/>
          <a:ext cx="76200" cy="225425"/>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54" name="Text Box 139"/>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55" name="Text Box 42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56" name="Text Box 426"/>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57" name="Text Box 43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58" name="Text Box 448"/>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28577</xdr:rowOff>
    </xdr:to>
    <xdr:sp macro="" textlink="">
      <xdr:nvSpPr>
        <xdr:cNvPr id="359" name="Text Box 93"/>
        <xdr:cNvSpPr txBox="1">
          <a:spLocks noChangeArrowheads="1"/>
        </xdr:cNvSpPr>
      </xdr:nvSpPr>
      <xdr:spPr bwMode="auto">
        <a:xfrm>
          <a:off x="1460500" y="68300600"/>
          <a:ext cx="76200" cy="16827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28577</xdr:rowOff>
    </xdr:to>
    <xdr:sp macro="" textlink="">
      <xdr:nvSpPr>
        <xdr:cNvPr id="360" name="Text Box 222"/>
        <xdr:cNvSpPr txBox="1">
          <a:spLocks noChangeArrowheads="1"/>
        </xdr:cNvSpPr>
      </xdr:nvSpPr>
      <xdr:spPr bwMode="auto">
        <a:xfrm>
          <a:off x="1460500" y="68300600"/>
          <a:ext cx="76200" cy="16827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28577</xdr:rowOff>
    </xdr:to>
    <xdr:sp macro="" textlink="">
      <xdr:nvSpPr>
        <xdr:cNvPr id="361" name="Text Box 494"/>
        <xdr:cNvSpPr txBox="1">
          <a:spLocks noChangeArrowheads="1"/>
        </xdr:cNvSpPr>
      </xdr:nvSpPr>
      <xdr:spPr bwMode="auto">
        <a:xfrm>
          <a:off x="1460500" y="68300600"/>
          <a:ext cx="76200" cy="16827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28577</xdr:rowOff>
    </xdr:to>
    <xdr:sp macro="" textlink="">
      <xdr:nvSpPr>
        <xdr:cNvPr id="362" name="Text Box 499"/>
        <xdr:cNvSpPr txBox="1">
          <a:spLocks noChangeArrowheads="1"/>
        </xdr:cNvSpPr>
      </xdr:nvSpPr>
      <xdr:spPr bwMode="auto">
        <a:xfrm>
          <a:off x="1460500" y="68300600"/>
          <a:ext cx="76200" cy="16827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63" name="Text Box 139"/>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64" name="Text Box 42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65" name="Text Box 426"/>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66" name="Text Box 43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67" name="Text Box 448"/>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68" name="Text Box 117"/>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69" name="Text Box 192"/>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28577</xdr:rowOff>
    </xdr:to>
    <xdr:sp macro="" textlink="">
      <xdr:nvSpPr>
        <xdr:cNvPr id="370" name="Text Box 125"/>
        <xdr:cNvSpPr txBox="1">
          <a:spLocks noChangeArrowheads="1"/>
        </xdr:cNvSpPr>
      </xdr:nvSpPr>
      <xdr:spPr bwMode="auto">
        <a:xfrm>
          <a:off x="1460500" y="68300600"/>
          <a:ext cx="76200" cy="16827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28577</xdr:rowOff>
    </xdr:to>
    <xdr:sp macro="" textlink="">
      <xdr:nvSpPr>
        <xdr:cNvPr id="371" name="Text Box 160"/>
        <xdr:cNvSpPr txBox="1">
          <a:spLocks noChangeArrowheads="1"/>
        </xdr:cNvSpPr>
      </xdr:nvSpPr>
      <xdr:spPr bwMode="auto">
        <a:xfrm>
          <a:off x="1460500" y="68300600"/>
          <a:ext cx="76200" cy="16827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28577</xdr:rowOff>
    </xdr:to>
    <xdr:sp macro="" textlink="">
      <xdr:nvSpPr>
        <xdr:cNvPr id="372" name="Text Box 182"/>
        <xdr:cNvSpPr txBox="1">
          <a:spLocks noChangeArrowheads="1"/>
        </xdr:cNvSpPr>
      </xdr:nvSpPr>
      <xdr:spPr bwMode="auto">
        <a:xfrm>
          <a:off x="1460500" y="68300600"/>
          <a:ext cx="76200" cy="168277"/>
        </a:xfrm>
        <a:prstGeom prst="rect">
          <a:avLst/>
        </a:prstGeom>
        <a:noFill/>
        <a:ln w="9525">
          <a:noFill/>
          <a:miter lim="800000"/>
          <a:headEnd/>
          <a:tailEnd/>
        </a:ln>
      </xdr:spPr>
    </xdr:sp>
    <xdr:clientData/>
  </xdr:twoCellAnchor>
  <xdr:twoCellAnchor editAs="oneCell">
    <xdr:from>
      <xdr:col>2</xdr:col>
      <xdr:colOff>266700</xdr:colOff>
      <xdr:row>488</xdr:row>
      <xdr:rowOff>0</xdr:rowOff>
    </xdr:from>
    <xdr:to>
      <xdr:col>2</xdr:col>
      <xdr:colOff>342900</xdr:colOff>
      <xdr:row>489</xdr:row>
      <xdr:rowOff>85724</xdr:rowOff>
    </xdr:to>
    <xdr:sp macro="" textlink="">
      <xdr:nvSpPr>
        <xdr:cNvPr id="373" name="Text Box 137"/>
        <xdr:cNvSpPr txBox="1">
          <a:spLocks noChangeArrowheads="1"/>
        </xdr:cNvSpPr>
      </xdr:nvSpPr>
      <xdr:spPr bwMode="auto">
        <a:xfrm>
          <a:off x="1460500" y="68160900"/>
          <a:ext cx="76200" cy="225424"/>
        </a:xfrm>
        <a:prstGeom prst="rect">
          <a:avLst/>
        </a:prstGeom>
        <a:noFill/>
        <a:ln w="9525">
          <a:noFill/>
          <a:miter lim="800000"/>
          <a:headEnd/>
          <a:tailEnd/>
        </a:ln>
      </xdr:spPr>
    </xdr:sp>
    <xdr:clientData/>
  </xdr:twoCellAnchor>
  <xdr:twoCellAnchor editAs="oneCell">
    <xdr:from>
      <xdr:col>2</xdr:col>
      <xdr:colOff>266700</xdr:colOff>
      <xdr:row>488</xdr:row>
      <xdr:rowOff>0</xdr:rowOff>
    </xdr:from>
    <xdr:to>
      <xdr:col>2</xdr:col>
      <xdr:colOff>342900</xdr:colOff>
      <xdr:row>489</xdr:row>
      <xdr:rowOff>85724</xdr:rowOff>
    </xdr:to>
    <xdr:sp macro="" textlink="">
      <xdr:nvSpPr>
        <xdr:cNvPr id="374" name="Text Box 170"/>
        <xdr:cNvSpPr txBox="1">
          <a:spLocks noChangeArrowheads="1"/>
        </xdr:cNvSpPr>
      </xdr:nvSpPr>
      <xdr:spPr bwMode="auto">
        <a:xfrm>
          <a:off x="1460500" y="68160900"/>
          <a:ext cx="76200" cy="225424"/>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75" name="Text Box 438"/>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76" name="Text Box 443"/>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77" name="Text Box 139"/>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78" name="Text Box 42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79" name="Text Box 426"/>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0" name="Text Box 43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1" name="Text Box 448"/>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2" name="Text Box 48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3" name="Text Box 486"/>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4" name="Text Box 139"/>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5" name="Text Box 42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6" name="Text Box 426"/>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7" name="Text Box 43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8" name="Text Box 448"/>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89" name="Text Box 549"/>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90" name="Text Box 554"/>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91" name="Text Box 139"/>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92" name="Text Box 42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93" name="Text Box 426"/>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94" name="Text Box 431"/>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2</xdr:col>
      <xdr:colOff>266700</xdr:colOff>
      <xdr:row>489</xdr:row>
      <xdr:rowOff>0</xdr:rowOff>
    </xdr:from>
    <xdr:to>
      <xdr:col>2</xdr:col>
      <xdr:colOff>342900</xdr:colOff>
      <xdr:row>490</xdr:row>
      <xdr:rowOff>85727</xdr:rowOff>
    </xdr:to>
    <xdr:sp macro="" textlink="">
      <xdr:nvSpPr>
        <xdr:cNvPr id="395" name="Text Box 448"/>
        <xdr:cNvSpPr txBox="1">
          <a:spLocks noChangeArrowheads="1"/>
        </xdr:cNvSpPr>
      </xdr:nvSpPr>
      <xdr:spPr bwMode="auto">
        <a:xfrm>
          <a:off x="1460500" y="68300600"/>
          <a:ext cx="76200" cy="225427"/>
        </a:xfrm>
        <a:prstGeom prst="rect">
          <a:avLst/>
        </a:prstGeom>
        <a:noFill/>
        <a:ln w="9525">
          <a:noFill/>
          <a:miter lim="800000"/>
          <a:headEnd/>
          <a:tailEnd/>
        </a:ln>
      </xdr:spPr>
    </xdr:sp>
    <xdr:clientData/>
  </xdr:twoCellAnchor>
  <xdr:twoCellAnchor editAs="oneCell">
    <xdr:from>
      <xdr:col>14</xdr:col>
      <xdr:colOff>266700</xdr:colOff>
      <xdr:row>47</xdr:row>
      <xdr:rowOff>0</xdr:rowOff>
    </xdr:from>
    <xdr:to>
      <xdr:col>14</xdr:col>
      <xdr:colOff>342900</xdr:colOff>
      <xdr:row>48</xdr:row>
      <xdr:rowOff>28575</xdr:rowOff>
    </xdr:to>
    <xdr:sp macro="" textlink="">
      <xdr:nvSpPr>
        <xdr:cNvPr id="396" name="Text Box 288"/>
        <xdr:cNvSpPr txBox="1">
          <a:spLocks noChangeArrowheads="1"/>
        </xdr:cNvSpPr>
      </xdr:nvSpPr>
      <xdr:spPr bwMode="auto">
        <a:xfrm>
          <a:off x="7454900" y="6559550"/>
          <a:ext cx="76200" cy="168275"/>
        </a:xfrm>
        <a:prstGeom prst="rect">
          <a:avLst/>
        </a:prstGeom>
        <a:noFill/>
        <a:ln w="9525">
          <a:noFill/>
          <a:miter lim="800000"/>
          <a:headEnd/>
          <a:tailEnd/>
        </a:ln>
      </xdr:spPr>
    </xdr:sp>
    <xdr:clientData/>
  </xdr:twoCellAnchor>
  <xdr:twoCellAnchor editAs="oneCell">
    <xdr:from>
      <xdr:col>14</xdr:col>
      <xdr:colOff>266700</xdr:colOff>
      <xdr:row>47</xdr:row>
      <xdr:rowOff>0</xdr:rowOff>
    </xdr:from>
    <xdr:to>
      <xdr:col>14</xdr:col>
      <xdr:colOff>342900</xdr:colOff>
      <xdr:row>48</xdr:row>
      <xdr:rowOff>28575</xdr:rowOff>
    </xdr:to>
    <xdr:sp macro="" textlink="">
      <xdr:nvSpPr>
        <xdr:cNvPr id="397" name="Text Box 293"/>
        <xdr:cNvSpPr txBox="1">
          <a:spLocks noChangeArrowheads="1"/>
        </xdr:cNvSpPr>
      </xdr:nvSpPr>
      <xdr:spPr bwMode="auto">
        <a:xfrm>
          <a:off x="7454900" y="6559550"/>
          <a:ext cx="76200" cy="168275"/>
        </a:xfrm>
        <a:prstGeom prst="rect">
          <a:avLst/>
        </a:prstGeom>
        <a:noFill/>
        <a:ln w="9525">
          <a:noFill/>
          <a:miter lim="800000"/>
          <a:headEnd/>
          <a:tailEnd/>
        </a:ln>
      </xdr:spPr>
    </xdr:sp>
    <xdr:clientData/>
  </xdr:twoCellAnchor>
  <xdr:twoCellAnchor editAs="oneCell">
    <xdr:from>
      <xdr:col>14</xdr:col>
      <xdr:colOff>266700</xdr:colOff>
      <xdr:row>47</xdr:row>
      <xdr:rowOff>0</xdr:rowOff>
    </xdr:from>
    <xdr:to>
      <xdr:col>14</xdr:col>
      <xdr:colOff>342900</xdr:colOff>
      <xdr:row>48</xdr:row>
      <xdr:rowOff>85725</xdr:rowOff>
    </xdr:to>
    <xdr:sp macro="" textlink="">
      <xdr:nvSpPr>
        <xdr:cNvPr id="398" name="Text Box 139"/>
        <xdr:cNvSpPr txBox="1">
          <a:spLocks noChangeArrowheads="1"/>
        </xdr:cNvSpPr>
      </xdr:nvSpPr>
      <xdr:spPr bwMode="auto">
        <a:xfrm>
          <a:off x="7454900" y="6559550"/>
          <a:ext cx="76200" cy="225425"/>
        </a:xfrm>
        <a:prstGeom prst="rect">
          <a:avLst/>
        </a:prstGeom>
        <a:noFill/>
        <a:ln w="9525">
          <a:noFill/>
          <a:miter lim="800000"/>
          <a:headEnd/>
          <a:tailEnd/>
        </a:ln>
      </xdr:spPr>
    </xdr:sp>
    <xdr:clientData/>
  </xdr:twoCellAnchor>
  <xdr:twoCellAnchor editAs="oneCell">
    <xdr:from>
      <xdr:col>14</xdr:col>
      <xdr:colOff>266700</xdr:colOff>
      <xdr:row>47</xdr:row>
      <xdr:rowOff>0</xdr:rowOff>
    </xdr:from>
    <xdr:to>
      <xdr:col>14</xdr:col>
      <xdr:colOff>342900</xdr:colOff>
      <xdr:row>48</xdr:row>
      <xdr:rowOff>85725</xdr:rowOff>
    </xdr:to>
    <xdr:sp macro="" textlink="">
      <xdr:nvSpPr>
        <xdr:cNvPr id="399" name="Text Box 421"/>
        <xdr:cNvSpPr txBox="1">
          <a:spLocks noChangeArrowheads="1"/>
        </xdr:cNvSpPr>
      </xdr:nvSpPr>
      <xdr:spPr bwMode="auto">
        <a:xfrm>
          <a:off x="7454900" y="6559550"/>
          <a:ext cx="76200" cy="225425"/>
        </a:xfrm>
        <a:prstGeom prst="rect">
          <a:avLst/>
        </a:prstGeom>
        <a:noFill/>
        <a:ln w="9525">
          <a:noFill/>
          <a:miter lim="800000"/>
          <a:headEnd/>
          <a:tailEnd/>
        </a:ln>
      </xdr:spPr>
    </xdr:sp>
    <xdr:clientData/>
  </xdr:twoCellAnchor>
  <xdr:twoCellAnchor editAs="oneCell">
    <xdr:from>
      <xdr:col>14</xdr:col>
      <xdr:colOff>266700</xdr:colOff>
      <xdr:row>47</xdr:row>
      <xdr:rowOff>0</xdr:rowOff>
    </xdr:from>
    <xdr:to>
      <xdr:col>14</xdr:col>
      <xdr:colOff>342900</xdr:colOff>
      <xdr:row>48</xdr:row>
      <xdr:rowOff>85725</xdr:rowOff>
    </xdr:to>
    <xdr:sp macro="" textlink="">
      <xdr:nvSpPr>
        <xdr:cNvPr id="400" name="Text Box 426"/>
        <xdr:cNvSpPr txBox="1">
          <a:spLocks noChangeArrowheads="1"/>
        </xdr:cNvSpPr>
      </xdr:nvSpPr>
      <xdr:spPr bwMode="auto">
        <a:xfrm>
          <a:off x="7454900" y="6559550"/>
          <a:ext cx="76200" cy="225425"/>
        </a:xfrm>
        <a:prstGeom prst="rect">
          <a:avLst/>
        </a:prstGeom>
        <a:noFill/>
        <a:ln w="9525">
          <a:noFill/>
          <a:miter lim="800000"/>
          <a:headEnd/>
          <a:tailEnd/>
        </a:ln>
      </xdr:spPr>
    </xdr:sp>
    <xdr:clientData/>
  </xdr:twoCellAnchor>
  <xdr:twoCellAnchor editAs="oneCell">
    <xdr:from>
      <xdr:col>14</xdr:col>
      <xdr:colOff>266700</xdr:colOff>
      <xdr:row>47</xdr:row>
      <xdr:rowOff>0</xdr:rowOff>
    </xdr:from>
    <xdr:to>
      <xdr:col>14</xdr:col>
      <xdr:colOff>342900</xdr:colOff>
      <xdr:row>48</xdr:row>
      <xdr:rowOff>85725</xdr:rowOff>
    </xdr:to>
    <xdr:sp macro="" textlink="">
      <xdr:nvSpPr>
        <xdr:cNvPr id="401" name="Text Box 431"/>
        <xdr:cNvSpPr txBox="1">
          <a:spLocks noChangeArrowheads="1"/>
        </xdr:cNvSpPr>
      </xdr:nvSpPr>
      <xdr:spPr bwMode="auto">
        <a:xfrm>
          <a:off x="7454900" y="6559550"/>
          <a:ext cx="76200" cy="225425"/>
        </a:xfrm>
        <a:prstGeom prst="rect">
          <a:avLst/>
        </a:prstGeom>
        <a:noFill/>
        <a:ln w="9525">
          <a:noFill/>
          <a:miter lim="800000"/>
          <a:headEnd/>
          <a:tailEnd/>
        </a:ln>
      </xdr:spPr>
    </xdr:sp>
    <xdr:clientData/>
  </xdr:twoCellAnchor>
  <xdr:twoCellAnchor editAs="oneCell">
    <xdr:from>
      <xdr:col>14</xdr:col>
      <xdr:colOff>266700</xdr:colOff>
      <xdr:row>47</xdr:row>
      <xdr:rowOff>0</xdr:rowOff>
    </xdr:from>
    <xdr:to>
      <xdr:col>14</xdr:col>
      <xdr:colOff>342900</xdr:colOff>
      <xdr:row>48</xdr:row>
      <xdr:rowOff>85725</xdr:rowOff>
    </xdr:to>
    <xdr:sp macro="" textlink="">
      <xdr:nvSpPr>
        <xdr:cNvPr id="402" name="Text Box 448"/>
        <xdr:cNvSpPr txBox="1">
          <a:spLocks noChangeArrowheads="1"/>
        </xdr:cNvSpPr>
      </xdr:nvSpPr>
      <xdr:spPr bwMode="auto">
        <a:xfrm>
          <a:off x="7454900" y="6559550"/>
          <a:ext cx="76200" cy="225425"/>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03" name="Text Box 133"/>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04" name="Text Box 155"/>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05" name="Text Box 172"/>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06" name="Text Box 139"/>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07" name="Text Box 42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08" name="Text Box 426"/>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09" name="Text Box 43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10" name="Text Box 448"/>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11" name="Text Box 93"/>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12" name="Text Box 222"/>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13" name="Text Box 494"/>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14" name="Text Box 499"/>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15" name="Text Box 139"/>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16" name="Text Box 42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17" name="Text Box 426"/>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18" name="Text Box 43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19" name="Text Box 448"/>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20" name="Text Box 117"/>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21" name="Text Box 192"/>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22" name="Text Box 125"/>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23" name="Text Box 160"/>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28572</xdr:rowOff>
    </xdr:to>
    <xdr:sp macro="" textlink="">
      <xdr:nvSpPr>
        <xdr:cNvPr id="424" name="Text Box 182"/>
        <xdr:cNvSpPr txBox="1">
          <a:spLocks noChangeArrowheads="1"/>
        </xdr:cNvSpPr>
      </xdr:nvSpPr>
      <xdr:spPr bwMode="auto">
        <a:xfrm>
          <a:off x="1460500" y="72212200"/>
          <a:ext cx="76200" cy="168272"/>
        </a:xfrm>
        <a:prstGeom prst="rect">
          <a:avLst/>
        </a:prstGeom>
        <a:noFill/>
        <a:ln w="9525">
          <a:noFill/>
          <a:miter lim="800000"/>
          <a:headEnd/>
          <a:tailEnd/>
        </a:ln>
      </xdr:spPr>
    </xdr:sp>
    <xdr:clientData/>
  </xdr:twoCellAnchor>
  <xdr:twoCellAnchor editAs="oneCell">
    <xdr:from>
      <xdr:col>2</xdr:col>
      <xdr:colOff>266700</xdr:colOff>
      <xdr:row>516</xdr:row>
      <xdr:rowOff>0</xdr:rowOff>
    </xdr:from>
    <xdr:to>
      <xdr:col>2</xdr:col>
      <xdr:colOff>342900</xdr:colOff>
      <xdr:row>517</xdr:row>
      <xdr:rowOff>85726</xdr:rowOff>
    </xdr:to>
    <xdr:sp macro="" textlink="">
      <xdr:nvSpPr>
        <xdr:cNvPr id="425" name="Text Box 137"/>
        <xdr:cNvSpPr txBox="1">
          <a:spLocks noChangeArrowheads="1"/>
        </xdr:cNvSpPr>
      </xdr:nvSpPr>
      <xdr:spPr bwMode="auto">
        <a:xfrm>
          <a:off x="1460500" y="72072500"/>
          <a:ext cx="76200" cy="225426"/>
        </a:xfrm>
        <a:prstGeom prst="rect">
          <a:avLst/>
        </a:prstGeom>
        <a:noFill/>
        <a:ln w="9525">
          <a:noFill/>
          <a:miter lim="800000"/>
          <a:headEnd/>
          <a:tailEnd/>
        </a:ln>
      </xdr:spPr>
    </xdr:sp>
    <xdr:clientData/>
  </xdr:twoCellAnchor>
  <xdr:twoCellAnchor editAs="oneCell">
    <xdr:from>
      <xdr:col>2</xdr:col>
      <xdr:colOff>266700</xdr:colOff>
      <xdr:row>516</xdr:row>
      <xdr:rowOff>0</xdr:rowOff>
    </xdr:from>
    <xdr:to>
      <xdr:col>2</xdr:col>
      <xdr:colOff>342900</xdr:colOff>
      <xdr:row>517</xdr:row>
      <xdr:rowOff>85726</xdr:rowOff>
    </xdr:to>
    <xdr:sp macro="" textlink="">
      <xdr:nvSpPr>
        <xdr:cNvPr id="426" name="Text Box 170"/>
        <xdr:cNvSpPr txBox="1">
          <a:spLocks noChangeArrowheads="1"/>
        </xdr:cNvSpPr>
      </xdr:nvSpPr>
      <xdr:spPr bwMode="auto">
        <a:xfrm>
          <a:off x="1460500" y="72072500"/>
          <a:ext cx="76200" cy="225426"/>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27" name="Text Box 438"/>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28" name="Text Box 443"/>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29" name="Text Box 139"/>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0" name="Text Box 42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1" name="Text Box 426"/>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2" name="Text Box 43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3" name="Text Box 448"/>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4" name="Text Box 48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5" name="Text Box 486"/>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6" name="Text Box 139"/>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7" name="Text Box 42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8" name="Text Box 426"/>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39" name="Text Box 43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40" name="Text Box 448"/>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41" name="Text Box 549"/>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42" name="Text Box 554"/>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43" name="Text Box 139"/>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44" name="Text Box 42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45" name="Text Box 426"/>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46" name="Text Box 431"/>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517</xdr:row>
      <xdr:rowOff>0</xdr:rowOff>
    </xdr:from>
    <xdr:to>
      <xdr:col>2</xdr:col>
      <xdr:colOff>342900</xdr:colOff>
      <xdr:row>518</xdr:row>
      <xdr:rowOff>85722</xdr:rowOff>
    </xdr:to>
    <xdr:sp macro="" textlink="">
      <xdr:nvSpPr>
        <xdr:cNvPr id="447" name="Text Box 448"/>
        <xdr:cNvSpPr txBox="1">
          <a:spLocks noChangeArrowheads="1"/>
        </xdr:cNvSpPr>
      </xdr:nvSpPr>
      <xdr:spPr bwMode="auto">
        <a:xfrm>
          <a:off x="1460500" y="72212200"/>
          <a:ext cx="76200" cy="225422"/>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48" name="Text Box 121"/>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49" name="Text Box 187"/>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50" name="Text Box 139"/>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51" name="Text Box 421"/>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52" name="Text Box 426"/>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53" name="Text Box 431"/>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54" name="Text Box 448"/>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55" name="Text Box 133"/>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56" name="Text Box 155"/>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57" name="Text Box 172"/>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58" name="Text Box 139"/>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59" name="Text Box 42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60" name="Text Box 426"/>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61" name="Text Box 43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62" name="Text Box 448"/>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63" name="Text Box 93"/>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64" name="Text Box 222"/>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65" name="Text Box 494"/>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66" name="Text Box 499"/>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67" name="Text Box 139"/>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68" name="Text Box 42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69" name="Text Box 426"/>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70" name="Text Box 43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71" name="Text Box 448"/>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72" name="Text Box 117"/>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73" name="Text Box 192"/>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74" name="Text Box 125"/>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75" name="Text Box 160"/>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28575</xdr:rowOff>
    </xdr:to>
    <xdr:sp macro="" textlink="">
      <xdr:nvSpPr>
        <xdr:cNvPr id="476" name="Text Box 182"/>
        <xdr:cNvSpPr txBox="1">
          <a:spLocks noChangeArrowheads="1"/>
        </xdr:cNvSpPr>
      </xdr:nvSpPr>
      <xdr:spPr bwMode="auto">
        <a:xfrm>
          <a:off x="1460500" y="76123800"/>
          <a:ext cx="76200" cy="168275"/>
        </a:xfrm>
        <a:prstGeom prst="rect">
          <a:avLst/>
        </a:prstGeom>
        <a:noFill/>
        <a:ln w="9525">
          <a:noFill/>
          <a:miter lim="800000"/>
          <a:headEnd/>
          <a:tailEnd/>
        </a:ln>
      </xdr:spPr>
    </xdr:sp>
    <xdr:clientData/>
  </xdr:twoCellAnchor>
  <xdr:twoCellAnchor editAs="oneCell">
    <xdr:from>
      <xdr:col>2</xdr:col>
      <xdr:colOff>266700</xdr:colOff>
      <xdr:row>544</xdr:row>
      <xdr:rowOff>0</xdr:rowOff>
    </xdr:from>
    <xdr:to>
      <xdr:col>2</xdr:col>
      <xdr:colOff>342900</xdr:colOff>
      <xdr:row>545</xdr:row>
      <xdr:rowOff>85725</xdr:rowOff>
    </xdr:to>
    <xdr:sp macro="" textlink="">
      <xdr:nvSpPr>
        <xdr:cNvPr id="477" name="Text Box 137"/>
        <xdr:cNvSpPr txBox="1">
          <a:spLocks noChangeArrowheads="1"/>
        </xdr:cNvSpPr>
      </xdr:nvSpPr>
      <xdr:spPr bwMode="auto">
        <a:xfrm>
          <a:off x="1460500" y="75984100"/>
          <a:ext cx="76200" cy="225425"/>
        </a:xfrm>
        <a:prstGeom prst="rect">
          <a:avLst/>
        </a:prstGeom>
        <a:noFill/>
        <a:ln w="9525">
          <a:noFill/>
          <a:miter lim="800000"/>
          <a:headEnd/>
          <a:tailEnd/>
        </a:ln>
      </xdr:spPr>
    </xdr:sp>
    <xdr:clientData/>
  </xdr:twoCellAnchor>
  <xdr:twoCellAnchor editAs="oneCell">
    <xdr:from>
      <xdr:col>2</xdr:col>
      <xdr:colOff>266700</xdr:colOff>
      <xdr:row>544</xdr:row>
      <xdr:rowOff>0</xdr:rowOff>
    </xdr:from>
    <xdr:to>
      <xdr:col>2</xdr:col>
      <xdr:colOff>342900</xdr:colOff>
      <xdr:row>545</xdr:row>
      <xdr:rowOff>85725</xdr:rowOff>
    </xdr:to>
    <xdr:sp macro="" textlink="">
      <xdr:nvSpPr>
        <xdr:cNvPr id="478" name="Text Box 170"/>
        <xdr:cNvSpPr txBox="1">
          <a:spLocks noChangeArrowheads="1"/>
        </xdr:cNvSpPr>
      </xdr:nvSpPr>
      <xdr:spPr bwMode="auto">
        <a:xfrm>
          <a:off x="1460500" y="759841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79" name="Text Box 438"/>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0" name="Text Box 443"/>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1" name="Text Box 139"/>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2" name="Text Box 42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3" name="Text Box 426"/>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4" name="Text Box 43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5" name="Text Box 448"/>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6" name="Text Box 48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7" name="Text Box 486"/>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8" name="Text Box 139"/>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89" name="Text Box 42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0" name="Text Box 426"/>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1" name="Text Box 43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2" name="Text Box 448"/>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3" name="Text Box 549"/>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4" name="Text Box 554"/>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5" name="Text Box 139"/>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6" name="Text Box 42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7" name="Text Box 426"/>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8" name="Text Box 431"/>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266700</xdr:colOff>
      <xdr:row>545</xdr:row>
      <xdr:rowOff>0</xdr:rowOff>
    </xdr:from>
    <xdr:to>
      <xdr:col>2</xdr:col>
      <xdr:colOff>342900</xdr:colOff>
      <xdr:row>546</xdr:row>
      <xdr:rowOff>85725</xdr:rowOff>
    </xdr:to>
    <xdr:sp macro="" textlink="">
      <xdr:nvSpPr>
        <xdr:cNvPr id="499" name="Text Box 448"/>
        <xdr:cNvSpPr txBox="1">
          <a:spLocks noChangeArrowheads="1"/>
        </xdr:cNvSpPr>
      </xdr:nvSpPr>
      <xdr:spPr bwMode="auto">
        <a:xfrm>
          <a:off x="1460500" y="76123800"/>
          <a:ext cx="76200" cy="225425"/>
        </a:xfrm>
        <a:prstGeom prst="rect">
          <a:avLst/>
        </a:prstGeom>
        <a:noFill/>
        <a:ln w="9525">
          <a:noFill/>
          <a:miter lim="800000"/>
          <a:headEnd/>
          <a:tailEnd/>
        </a:ln>
      </xdr:spPr>
    </xdr:sp>
    <xdr:clientData/>
  </xdr:twoCellAnchor>
  <xdr:twoCellAnchor editAs="oneCell">
    <xdr:from>
      <xdr:col>2</xdr:col>
      <xdr:colOff>0</xdr:colOff>
      <xdr:row>570</xdr:row>
      <xdr:rowOff>0</xdr:rowOff>
    </xdr:from>
    <xdr:to>
      <xdr:col>2</xdr:col>
      <xdr:colOff>76200</xdr:colOff>
      <xdr:row>571</xdr:row>
      <xdr:rowOff>28575</xdr:rowOff>
    </xdr:to>
    <xdr:sp macro="" textlink="">
      <xdr:nvSpPr>
        <xdr:cNvPr id="500" name="Text Box 97"/>
        <xdr:cNvSpPr txBox="1">
          <a:spLocks noChangeArrowheads="1"/>
        </xdr:cNvSpPr>
      </xdr:nvSpPr>
      <xdr:spPr bwMode="auto">
        <a:xfrm>
          <a:off x="1193800" y="79616300"/>
          <a:ext cx="76200" cy="168275"/>
        </a:xfrm>
        <a:prstGeom prst="rect">
          <a:avLst/>
        </a:prstGeom>
        <a:noFill/>
        <a:ln w="9525">
          <a:noFill/>
          <a:miter lim="800000"/>
          <a:headEnd/>
          <a:tailEnd/>
        </a:ln>
      </xdr:spPr>
    </xdr:sp>
    <xdr:clientData/>
  </xdr:twoCellAnchor>
  <xdr:twoCellAnchor editAs="oneCell">
    <xdr:from>
      <xdr:col>2</xdr:col>
      <xdr:colOff>0</xdr:colOff>
      <xdr:row>570</xdr:row>
      <xdr:rowOff>0</xdr:rowOff>
    </xdr:from>
    <xdr:to>
      <xdr:col>2</xdr:col>
      <xdr:colOff>76200</xdr:colOff>
      <xdr:row>571</xdr:row>
      <xdr:rowOff>28575</xdr:rowOff>
    </xdr:to>
    <xdr:sp macro="" textlink="">
      <xdr:nvSpPr>
        <xdr:cNvPr id="501" name="Text Box 217"/>
        <xdr:cNvSpPr txBox="1">
          <a:spLocks noChangeArrowheads="1"/>
        </xdr:cNvSpPr>
      </xdr:nvSpPr>
      <xdr:spPr bwMode="auto">
        <a:xfrm>
          <a:off x="1193800" y="7961630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02" name="Text Box 121"/>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03" name="Text Box 187"/>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04" name="Text Box 139"/>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05" name="Text Box 421"/>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06" name="Text Box 426"/>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07" name="Text Box 431"/>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08" name="Text Box 448"/>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09" name="Text Box 133"/>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10" name="Text Box 155"/>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11" name="Text Box 172"/>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12" name="Text Box 139"/>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13" name="Text Box 42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14" name="Text Box 426"/>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15" name="Text Box 43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16" name="Text Box 448"/>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17" name="Text Box 93"/>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18" name="Text Box 222"/>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19" name="Text Box 494"/>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20" name="Text Box 499"/>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21" name="Text Box 139"/>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22" name="Text Box 42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23" name="Text Box 426"/>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24" name="Text Box 43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25" name="Text Box 448"/>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26" name="Text Box 117"/>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27" name="Text Box 192"/>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28" name="Text Box 125"/>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29" name="Text Box 160"/>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28575</xdr:rowOff>
    </xdr:to>
    <xdr:sp macro="" textlink="">
      <xdr:nvSpPr>
        <xdr:cNvPr id="530" name="Text Box 182"/>
        <xdr:cNvSpPr txBox="1">
          <a:spLocks noChangeArrowheads="1"/>
        </xdr:cNvSpPr>
      </xdr:nvSpPr>
      <xdr:spPr bwMode="auto">
        <a:xfrm>
          <a:off x="1460500" y="79889350"/>
          <a:ext cx="76200" cy="168275"/>
        </a:xfrm>
        <a:prstGeom prst="rect">
          <a:avLst/>
        </a:prstGeom>
        <a:noFill/>
        <a:ln w="9525">
          <a:noFill/>
          <a:miter lim="800000"/>
          <a:headEnd/>
          <a:tailEnd/>
        </a:ln>
      </xdr:spPr>
    </xdr:sp>
    <xdr:clientData/>
  </xdr:twoCellAnchor>
  <xdr:twoCellAnchor editAs="oneCell">
    <xdr:from>
      <xdr:col>2</xdr:col>
      <xdr:colOff>266700</xdr:colOff>
      <xdr:row>571</xdr:row>
      <xdr:rowOff>0</xdr:rowOff>
    </xdr:from>
    <xdr:to>
      <xdr:col>2</xdr:col>
      <xdr:colOff>342900</xdr:colOff>
      <xdr:row>572</xdr:row>
      <xdr:rowOff>85723</xdr:rowOff>
    </xdr:to>
    <xdr:sp macro="" textlink="">
      <xdr:nvSpPr>
        <xdr:cNvPr id="531" name="Text Box 137"/>
        <xdr:cNvSpPr txBox="1">
          <a:spLocks noChangeArrowheads="1"/>
        </xdr:cNvSpPr>
      </xdr:nvSpPr>
      <xdr:spPr bwMode="auto">
        <a:xfrm>
          <a:off x="1460500" y="79756000"/>
          <a:ext cx="76200" cy="219073"/>
        </a:xfrm>
        <a:prstGeom prst="rect">
          <a:avLst/>
        </a:prstGeom>
        <a:noFill/>
        <a:ln w="9525">
          <a:noFill/>
          <a:miter lim="800000"/>
          <a:headEnd/>
          <a:tailEnd/>
        </a:ln>
      </xdr:spPr>
    </xdr:sp>
    <xdr:clientData/>
  </xdr:twoCellAnchor>
  <xdr:twoCellAnchor editAs="oneCell">
    <xdr:from>
      <xdr:col>2</xdr:col>
      <xdr:colOff>266700</xdr:colOff>
      <xdr:row>571</xdr:row>
      <xdr:rowOff>0</xdr:rowOff>
    </xdr:from>
    <xdr:to>
      <xdr:col>2</xdr:col>
      <xdr:colOff>342900</xdr:colOff>
      <xdr:row>572</xdr:row>
      <xdr:rowOff>85723</xdr:rowOff>
    </xdr:to>
    <xdr:sp macro="" textlink="">
      <xdr:nvSpPr>
        <xdr:cNvPr id="532" name="Text Box 170"/>
        <xdr:cNvSpPr txBox="1">
          <a:spLocks noChangeArrowheads="1"/>
        </xdr:cNvSpPr>
      </xdr:nvSpPr>
      <xdr:spPr bwMode="auto">
        <a:xfrm>
          <a:off x="1460500" y="79756000"/>
          <a:ext cx="76200" cy="219073"/>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33" name="Text Box 438"/>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34" name="Text Box 443"/>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35" name="Text Box 139"/>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36" name="Text Box 42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37" name="Text Box 426"/>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38" name="Text Box 43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39" name="Text Box 448"/>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0" name="Text Box 48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1" name="Text Box 486"/>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2" name="Text Box 139"/>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3" name="Text Box 42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4" name="Text Box 426"/>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5" name="Text Box 43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6" name="Text Box 448"/>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7" name="Text Box 549"/>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8" name="Text Box 554"/>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49" name="Text Box 139"/>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50" name="Text Box 42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51" name="Text Box 426"/>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52" name="Text Box 431"/>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572</xdr:row>
      <xdr:rowOff>0</xdr:rowOff>
    </xdr:from>
    <xdr:to>
      <xdr:col>2</xdr:col>
      <xdr:colOff>342900</xdr:colOff>
      <xdr:row>573</xdr:row>
      <xdr:rowOff>91016</xdr:rowOff>
    </xdr:to>
    <xdr:sp macro="" textlink="">
      <xdr:nvSpPr>
        <xdr:cNvPr id="553" name="Text Box 448"/>
        <xdr:cNvSpPr txBox="1">
          <a:spLocks noChangeArrowheads="1"/>
        </xdr:cNvSpPr>
      </xdr:nvSpPr>
      <xdr:spPr bwMode="auto">
        <a:xfrm>
          <a:off x="1460500" y="79889350"/>
          <a:ext cx="76200" cy="23071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54" name="Text Box 139"/>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55" name="Text Box 421"/>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56" name="Text Box 426"/>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57" name="Text Box 431"/>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58" name="Text Box 448"/>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59" name="Text Box 121"/>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0" name="Text Box 187"/>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1" name="Text Box 139"/>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2" name="Text Box 421"/>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3" name="Text Box 426"/>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4" name="Text Box 431"/>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5" name="Text Box 448"/>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6" name="Text Box 133"/>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7" name="Text Box 155"/>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8" name="Text Box 172"/>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69" name="Text Box 93"/>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70" name="Text Box 222"/>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71" name="Text Box 494"/>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72" name="Text Box 499"/>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73" name="Text Box 125"/>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74" name="Text Box 160"/>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603</xdr:row>
      <xdr:rowOff>0</xdr:rowOff>
    </xdr:from>
    <xdr:to>
      <xdr:col>2</xdr:col>
      <xdr:colOff>342900</xdr:colOff>
      <xdr:row>604</xdr:row>
      <xdr:rowOff>28576</xdr:rowOff>
    </xdr:to>
    <xdr:sp macro="" textlink="">
      <xdr:nvSpPr>
        <xdr:cNvPr id="575" name="Text Box 182"/>
        <xdr:cNvSpPr txBox="1">
          <a:spLocks noChangeArrowheads="1"/>
        </xdr:cNvSpPr>
      </xdr:nvSpPr>
      <xdr:spPr bwMode="auto">
        <a:xfrm>
          <a:off x="1460500" y="84220050"/>
          <a:ext cx="76200" cy="168276"/>
        </a:xfrm>
        <a:prstGeom prst="rect">
          <a:avLst/>
        </a:prstGeom>
        <a:noFill/>
        <a:ln w="9525">
          <a:noFill/>
          <a:miter lim="800000"/>
          <a:headEnd/>
          <a:tailEnd/>
        </a:ln>
      </xdr:spPr>
    </xdr:sp>
    <xdr:clientData/>
  </xdr:twoCellAnchor>
  <xdr:twoCellAnchor editAs="oneCell">
    <xdr:from>
      <xdr:col>2</xdr:col>
      <xdr:colOff>266700</xdr:colOff>
      <xdr:row>602</xdr:row>
      <xdr:rowOff>0</xdr:rowOff>
    </xdr:from>
    <xdr:to>
      <xdr:col>2</xdr:col>
      <xdr:colOff>342900</xdr:colOff>
      <xdr:row>603</xdr:row>
      <xdr:rowOff>85724</xdr:rowOff>
    </xdr:to>
    <xdr:sp macro="" textlink="">
      <xdr:nvSpPr>
        <xdr:cNvPr id="576" name="Text Box 137"/>
        <xdr:cNvSpPr txBox="1">
          <a:spLocks noChangeArrowheads="1"/>
        </xdr:cNvSpPr>
      </xdr:nvSpPr>
      <xdr:spPr bwMode="auto">
        <a:xfrm>
          <a:off x="1460500" y="84080350"/>
          <a:ext cx="76200" cy="225424"/>
        </a:xfrm>
        <a:prstGeom prst="rect">
          <a:avLst/>
        </a:prstGeom>
        <a:noFill/>
        <a:ln w="9525">
          <a:noFill/>
          <a:miter lim="800000"/>
          <a:headEnd/>
          <a:tailEnd/>
        </a:ln>
      </xdr:spPr>
    </xdr:sp>
    <xdr:clientData/>
  </xdr:twoCellAnchor>
  <xdr:twoCellAnchor editAs="oneCell">
    <xdr:from>
      <xdr:col>2</xdr:col>
      <xdr:colOff>266700</xdr:colOff>
      <xdr:row>602</xdr:row>
      <xdr:rowOff>0</xdr:rowOff>
    </xdr:from>
    <xdr:to>
      <xdr:col>2</xdr:col>
      <xdr:colOff>342900</xdr:colOff>
      <xdr:row>603</xdr:row>
      <xdr:rowOff>85724</xdr:rowOff>
    </xdr:to>
    <xdr:sp macro="" textlink="">
      <xdr:nvSpPr>
        <xdr:cNvPr id="577" name="Text Box 170"/>
        <xdr:cNvSpPr txBox="1">
          <a:spLocks noChangeArrowheads="1"/>
        </xdr:cNvSpPr>
      </xdr:nvSpPr>
      <xdr:spPr bwMode="auto">
        <a:xfrm>
          <a:off x="1460500" y="84080350"/>
          <a:ext cx="76200" cy="225424"/>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85723</xdr:rowOff>
    </xdr:to>
    <xdr:sp macro="" textlink="">
      <xdr:nvSpPr>
        <xdr:cNvPr id="578" name="Text Box 77"/>
        <xdr:cNvSpPr txBox="1">
          <a:spLocks noChangeArrowheads="1"/>
        </xdr:cNvSpPr>
      </xdr:nvSpPr>
      <xdr:spPr bwMode="auto">
        <a:xfrm>
          <a:off x="1460500" y="87991950"/>
          <a:ext cx="76200" cy="22542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85723</xdr:rowOff>
    </xdr:to>
    <xdr:sp macro="" textlink="">
      <xdr:nvSpPr>
        <xdr:cNvPr id="579" name="Text Box 255"/>
        <xdr:cNvSpPr txBox="1">
          <a:spLocks noChangeArrowheads="1"/>
        </xdr:cNvSpPr>
      </xdr:nvSpPr>
      <xdr:spPr bwMode="auto">
        <a:xfrm>
          <a:off x="1460500" y="87991950"/>
          <a:ext cx="76200" cy="22542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85723</xdr:rowOff>
    </xdr:to>
    <xdr:sp macro="" textlink="">
      <xdr:nvSpPr>
        <xdr:cNvPr id="580" name="Text Box 260"/>
        <xdr:cNvSpPr txBox="1">
          <a:spLocks noChangeArrowheads="1"/>
        </xdr:cNvSpPr>
      </xdr:nvSpPr>
      <xdr:spPr bwMode="auto">
        <a:xfrm>
          <a:off x="1460500" y="87991950"/>
          <a:ext cx="76200" cy="22542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81" name="Text Box 139"/>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82" name="Text Box 421"/>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83" name="Text Box 426"/>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84" name="Text Box 431"/>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85" name="Text Box 448"/>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86" name="Text Box 121"/>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87" name="Text Box 187"/>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88" name="Text Box 139"/>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89" name="Text Box 421"/>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0" name="Text Box 426"/>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1" name="Text Box 431"/>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2" name="Text Box 448"/>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3" name="Text Box 133"/>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4" name="Text Box 155"/>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5" name="Text Box 172"/>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6" name="Text Box 93"/>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7" name="Text Box 222"/>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8" name="Text Box 494"/>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599" name="Text Box 499"/>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600" name="Text Box 125"/>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601" name="Text Box 160"/>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630</xdr:row>
      <xdr:rowOff>0</xdr:rowOff>
    </xdr:from>
    <xdr:to>
      <xdr:col>2</xdr:col>
      <xdr:colOff>342900</xdr:colOff>
      <xdr:row>631</xdr:row>
      <xdr:rowOff>28573</xdr:rowOff>
    </xdr:to>
    <xdr:sp macro="" textlink="">
      <xdr:nvSpPr>
        <xdr:cNvPr id="602" name="Text Box 182"/>
        <xdr:cNvSpPr txBox="1">
          <a:spLocks noChangeArrowheads="1"/>
        </xdr:cNvSpPr>
      </xdr:nvSpPr>
      <xdr:spPr bwMode="auto">
        <a:xfrm>
          <a:off x="1460500" y="87991950"/>
          <a:ext cx="76200" cy="168273"/>
        </a:xfrm>
        <a:prstGeom prst="rect">
          <a:avLst/>
        </a:prstGeom>
        <a:noFill/>
        <a:ln w="9525">
          <a:noFill/>
          <a:miter lim="800000"/>
          <a:headEnd/>
          <a:tailEnd/>
        </a:ln>
      </xdr:spPr>
    </xdr:sp>
    <xdr:clientData/>
  </xdr:twoCellAnchor>
  <xdr:twoCellAnchor editAs="oneCell">
    <xdr:from>
      <xdr:col>2</xdr:col>
      <xdr:colOff>266700</xdr:colOff>
      <xdr:row>629</xdr:row>
      <xdr:rowOff>0</xdr:rowOff>
    </xdr:from>
    <xdr:to>
      <xdr:col>2</xdr:col>
      <xdr:colOff>342900</xdr:colOff>
      <xdr:row>630</xdr:row>
      <xdr:rowOff>85726</xdr:rowOff>
    </xdr:to>
    <xdr:sp macro="" textlink="">
      <xdr:nvSpPr>
        <xdr:cNvPr id="603" name="Text Box 137"/>
        <xdr:cNvSpPr txBox="1">
          <a:spLocks noChangeArrowheads="1"/>
        </xdr:cNvSpPr>
      </xdr:nvSpPr>
      <xdr:spPr bwMode="auto">
        <a:xfrm>
          <a:off x="1460500" y="87852250"/>
          <a:ext cx="76200" cy="225426"/>
        </a:xfrm>
        <a:prstGeom prst="rect">
          <a:avLst/>
        </a:prstGeom>
        <a:noFill/>
        <a:ln w="9525">
          <a:noFill/>
          <a:miter lim="800000"/>
          <a:headEnd/>
          <a:tailEnd/>
        </a:ln>
      </xdr:spPr>
    </xdr:sp>
    <xdr:clientData/>
  </xdr:twoCellAnchor>
  <xdr:twoCellAnchor editAs="oneCell">
    <xdr:from>
      <xdr:col>2</xdr:col>
      <xdr:colOff>266700</xdr:colOff>
      <xdr:row>629</xdr:row>
      <xdr:rowOff>0</xdr:rowOff>
    </xdr:from>
    <xdr:to>
      <xdr:col>2</xdr:col>
      <xdr:colOff>342900</xdr:colOff>
      <xdr:row>630</xdr:row>
      <xdr:rowOff>85726</xdr:rowOff>
    </xdr:to>
    <xdr:sp macro="" textlink="">
      <xdr:nvSpPr>
        <xdr:cNvPr id="604" name="Text Box 170"/>
        <xdr:cNvSpPr txBox="1">
          <a:spLocks noChangeArrowheads="1"/>
        </xdr:cNvSpPr>
      </xdr:nvSpPr>
      <xdr:spPr bwMode="auto">
        <a:xfrm>
          <a:off x="1460500" y="87852250"/>
          <a:ext cx="76200" cy="225426"/>
        </a:xfrm>
        <a:prstGeom prst="rect">
          <a:avLst/>
        </a:prstGeom>
        <a:noFill/>
        <a:ln w="9525">
          <a:noFill/>
          <a:miter lim="800000"/>
          <a:headEnd/>
          <a:tailEnd/>
        </a:ln>
      </xdr:spPr>
    </xdr:sp>
    <xdr:clientData/>
  </xdr:twoCellAnchor>
  <xdr:twoCellAnchor editAs="oneCell">
    <xdr:from>
      <xdr:col>2</xdr:col>
      <xdr:colOff>266700</xdr:colOff>
      <xdr:row>657</xdr:row>
      <xdr:rowOff>0</xdr:rowOff>
    </xdr:from>
    <xdr:to>
      <xdr:col>2</xdr:col>
      <xdr:colOff>342900</xdr:colOff>
      <xdr:row>658</xdr:row>
      <xdr:rowOff>85725</xdr:rowOff>
    </xdr:to>
    <xdr:sp macro="" textlink="">
      <xdr:nvSpPr>
        <xdr:cNvPr id="605" name="Text Box 145"/>
        <xdr:cNvSpPr txBox="1">
          <a:spLocks noChangeArrowheads="1"/>
        </xdr:cNvSpPr>
      </xdr:nvSpPr>
      <xdr:spPr bwMode="auto">
        <a:xfrm>
          <a:off x="1460500" y="91763850"/>
          <a:ext cx="76200" cy="225425"/>
        </a:xfrm>
        <a:prstGeom prst="rect">
          <a:avLst/>
        </a:prstGeom>
        <a:noFill/>
        <a:ln w="9525">
          <a:noFill/>
          <a:miter lim="800000"/>
          <a:headEnd/>
          <a:tailEnd/>
        </a:ln>
      </xdr:spPr>
    </xdr:sp>
    <xdr:clientData/>
  </xdr:twoCellAnchor>
  <xdr:twoCellAnchor editAs="oneCell">
    <xdr:from>
      <xdr:col>2</xdr:col>
      <xdr:colOff>266700</xdr:colOff>
      <xdr:row>657</xdr:row>
      <xdr:rowOff>0</xdr:rowOff>
    </xdr:from>
    <xdr:to>
      <xdr:col>2</xdr:col>
      <xdr:colOff>342900</xdr:colOff>
      <xdr:row>658</xdr:row>
      <xdr:rowOff>85725</xdr:rowOff>
    </xdr:to>
    <xdr:sp macro="" textlink="">
      <xdr:nvSpPr>
        <xdr:cNvPr id="606" name="Text Box 321"/>
        <xdr:cNvSpPr txBox="1">
          <a:spLocks noChangeArrowheads="1"/>
        </xdr:cNvSpPr>
      </xdr:nvSpPr>
      <xdr:spPr bwMode="auto">
        <a:xfrm>
          <a:off x="1460500" y="91763850"/>
          <a:ext cx="76200" cy="225425"/>
        </a:xfrm>
        <a:prstGeom prst="rect">
          <a:avLst/>
        </a:prstGeom>
        <a:noFill/>
        <a:ln w="9525">
          <a:noFill/>
          <a:miter lim="800000"/>
          <a:headEnd/>
          <a:tailEnd/>
        </a:ln>
      </xdr:spPr>
    </xdr:sp>
    <xdr:clientData/>
  </xdr:twoCellAnchor>
  <xdr:twoCellAnchor editAs="oneCell">
    <xdr:from>
      <xdr:col>2</xdr:col>
      <xdr:colOff>266700</xdr:colOff>
      <xdr:row>657</xdr:row>
      <xdr:rowOff>0</xdr:rowOff>
    </xdr:from>
    <xdr:to>
      <xdr:col>2</xdr:col>
      <xdr:colOff>342900</xdr:colOff>
      <xdr:row>658</xdr:row>
      <xdr:rowOff>85725</xdr:rowOff>
    </xdr:to>
    <xdr:sp macro="" textlink="">
      <xdr:nvSpPr>
        <xdr:cNvPr id="607" name="Text Box 326"/>
        <xdr:cNvSpPr txBox="1">
          <a:spLocks noChangeArrowheads="1"/>
        </xdr:cNvSpPr>
      </xdr:nvSpPr>
      <xdr:spPr bwMode="auto">
        <a:xfrm>
          <a:off x="1460500" y="91763850"/>
          <a:ext cx="76200" cy="225425"/>
        </a:xfrm>
        <a:prstGeom prst="rect">
          <a:avLst/>
        </a:prstGeom>
        <a:noFill/>
        <a:ln w="9525">
          <a:noFill/>
          <a:miter lim="800000"/>
          <a:headEnd/>
          <a:tailEnd/>
        </a:ln>
      </xdr:spPr>
    </xdr:sp>
    <xdr:clientData/>
  </xdr:twoCellAnchor>
  <xdr:twoCellAnchor editAs="oneCell">
    <xdr:from>
      <xdr:col>2</xdr:col>
      <xdr:colOff>0</xdr:colOff>
      <xdr:row>657</xdr:row>
      <xdr:rowOff>0</xdr:rowOff>
    </xdr:from>
    <xdr:to>
      <xdr:col>2</xdr:col>
      <xdr:colOff>76200</xdr:colOff>
      <xdr:row>658</xdr:row>
      <xdr:rowOff>85725</xdr:rowOff>
    </xdr:to>
    <xdr:sp macro="" textlink="">
      <xdr:nvSpPr>
        <xdr:cNvPr id="608" name="Text Box 145"/>
        <xdr:cNvSpPr txBox="1">
          <a:spLocks noChangeArrowheads="1"/>
        </xdr:cNvSpPr>
      </xdr:nvSpPr>
      <xdr:spPr bwMode="auto">
        <a:xfrm>
          <a:off x="1193800" y="91763850"/>
          <a:ext cx="76200" cy="225425"/>
        </a:xfrm>
        <a:prstGeom prst="rect">
          <a:avLst/>
        </a:prstGeom>
        <a:noFill/>
        <a:ln w="9525">
          <a:noFill/>
          <a:miter lim="800000"/>
          <a:headEnd/>
          <a:tailEnd/>
        </a:ln>
      </xdr:spPr>
    </xdr:sp>
    <xdr:clientData/>
  </xdr:twoCellAnchor>
  <xdr:twoCellAnchor editAs="oneCell">
    <xdr:from>
      <xdr:col>2</xdr:col>
      <xdr:colOff>0</xdr:colOff>
      <xdr:row>657</xdr:row>
      <xdr:rowOff>0</xdr:rowOff>
    </xdr:from>
    <xdr:to>
      <xdr:col>2</xdr:col>
      <xdr:colOff>76200</xdr:colOff>
      <xdr:row>658</xdr:row>
      <xdr:rowOff>85725</xdr:rowOff>
    </xdr:to>
    <xdr:sp macro="" textlink="">
      <xdr:nvSpPr>
        <xdr:cNvPr id="609" name="Text Box 321"/>
        <xdr:cNvSpPr txBox="1">
          <a:spLocks noChangeArrowheads="1"/>
        </xdr:cNvSpPr>
      </xdr:nvSpPr>
      <xdr:spPr bwMode="auto">
        <a:xfrm>
          <a:off x="1193800" y="91763850"/>
          <a:ext cx="76200" cy="225425"/>
        </a:xfrm>
        <a:prstGeom prst="rect">
          <a:avLst/>
        </a:prstGeom>
        <a:noFill/>
        <a:ln w="9525">
          <a:noFill/>
          <a:miter lim="800000"/>
          <a:headEnd/>
          <a:tailEnd/>
        </a:ln>
      </xdr:spPr>
    </xdr:sp>
    <xdr:clientData/>
  </xdr:twoCellAnchor>
  <xdr:twoCellAnchor editAs="oneCell">
    <xdr:from>
      <xdr:col>2</xdr:col>
      <xdr:colOff>0</xdr:colOff>
      <xdr:row>657</xdr:row>
      <xdr:rowOff>0</xdr:rowOff>
    </xdr:from>
    <xdr:to>
      <xdr:col>2</xdr:col>
      <xdr:colOff>76200</xdr:colOff>
      <xdr:row>658</xdr:row>
      <xdr:rowOff>85725</xdr:rowOff>
    </xdr:to>
    <xdr:sp macro="" textlink="">
      <xdr:nvSpPr>
        <xdr:cNvPr id="610" name="Text Box 326"/>
        <xdr:cNvSpPr txBox="1">
          <a:spLocks noChangeArrowheads="1"/>
        </xdr:cNvSpPr>
      </xdr:nvSpPr>
      <xdr:spPr bwMode="auto">
        <a:xfrm>
          <a:off x="1193800" y="91763850"/>
          <a:ext cx="76200" cy="225425"/>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85724</xdr:rowOff>
    </xdr:to>
    <xdr:sp macro="" textlink="">
      <xdr:nvSpPr>
        <xdr:cNvPr id="611" name="Text Box 77"/>
        <xdr:cNvSpPr txBox="1">
          <a:spLocks noChangeArrowheads="1"/>
        </xdr:cNvSpPr>
      </xdr:nvSpPr>
      <xdr:spPr bwMode="auto">
        <a:xfrm>
          <a:off x="1460500" y="92322650"/>
          <a:ext cx="76200" cy="22542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85724</xdr:rowOff>
    </xdr:to>
    <xdr:sp macro="" textlink="">
      <xdr:nvSpPr>
        <xdr:cNvPr id="612" name="Text Box 255"/>
        <xdr:cNvSpPr txBox="1">
          <a:spLocks noChangeArrowheads="1"/>
        </xdr:cNvSpPr>
      </xdr:nvSpPr>
      <xdr:spPr bwMode="auto">
        <a:xfrm>
          <a:off x="1460500" y="92322650"/>
          <a:ext cx="76200" cy="22542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85724</xdr:rowOff>
    </xdr:to>
    <xdr:sp macro="" textlink="">
      <xdr:nvSpPr>
        <xdr:cNvPr id="613" name="Text Box 260"/>
        <xdr:cNvSpPr txBox="1">
          <a:spLocks noChangeArrowheads="1"/>
        </xdr:cNvSpPr>
      </xdr:nvSpPr>
      <xdr:spPr bwMode="auto">
        <a:xfrm>
          <a:off x="1460500" y="92322650"/>
          <a:ext cx="76200" cy="22542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14" name="Text Box 139"/>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15" name="Text Box 421"/>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16" name="Text Box 426"/>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17" name="Text Box 431"/>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18" name="Text Box 448"/>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19" name="Text Box 121"/>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0" name="Text Box 187"/>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1" name="Text Box 139"/>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2" name="Text Box 421"/>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3" name="Text Box 426"/>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4" name="Text Box 431"/>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5" name="Text Box 448"/>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6" name="Text Box 133"/>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7" name="Text Box 155"/>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8" name="Text Box 172"/>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29" name="Text Box 93"/>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30" name="Text Box 222"/>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31" name="Text Box 494"/>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32" name="Text Box 499"/>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33" name="Text Box 125"/>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34" name="Text Box 160"/>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661</xdr:row>
      <xdr:rowOff>0</xdr:rowOff>
    </xdr:from>
    <xdr:to>
      <xdr:col>2</xdr:col>
      <xdr:colOff>342900</xdr:colOff>
      <xdr:row>662</xdr:row>
      <xdr:rowOff>28574</xdr:rowOff>
    </xdr:to>
    <xdr:sp macro="" textlink="">
      <xdr:nvSpPr>
        <xdr:cNvPr id="635" name="Text Box 182"/>
        <xdr:cNvSpPr txBox="1">
          <a:spLocks noChangeArrowheads="1"/>
        </xdr:cNvSpPr>
      </xdr:nvSpPr>
      <xdr:spPr bwMode="auto">
        <a:xfrm>
          <a:off x="1460500" y="92322650"/>
          <a:ext cx="76200" cy="168274"/>
        </a:xfrm>
        <a:prstGeom prst="rect">
          <a:avLst/>
        </a:prstGeom>
        <a:noFill/>
        <a:ln w="9525">
          <a:noFill/>
          <a:miter lim="800000"/>
          <a:headEnd/>
          <a:tailEnd/>
        </a:ln>
      </xdr:spPr>
    </xdr:sp>
    <xdr:clientData/>
  </xdr:twoCellAnchor>
  <xdr:twoCellAnchor editAs="oneCell">
    <xdr:from>
      <xdr:col>2</xdr:col>
      <xdr:colOff>266700</xdr:colOff>
      <xdr:row>660</xdr:row>
      <xdr:rowOff>0</xdr:rowOff>
    </xdr:from>
    <xdr:to>
      <xdr:col>2</xdr:col>
      <xdr:colOff>342900</xdr:colOff>
      <xdr:row>661</xdr:row>
      <xdr:rowOff>85726</xdr:rowOff>
    </xdr:to>
    <xdr:sp macro="" textlink="">
      <xdr:nvSpPr>
        <xdr:cNvPr id="636" name="Text Box 137"/>
        <xdr:cNvSpPr txBox="1">
          <a:spLocks noChangeArrowheads="1"/>
        </xdr:cNvSpPr>
      </xdr:nvSpPr>
      <xdr:spPr bwMode="auto">
        <a:xfrm>
          <a:off x="1460500" y="92182950"/>
          <a:ext cx="76200" cy="225426"/>
        </a:xfrm>
        <a:prstGeom prst="rect">
          <a:avLst/>
        </a:prstGeom>
        <a:noFill/>
        <a:ln w="9525">
          <a:noFill/>
          <a:miter lim="800000"/>
          <a:headEnd/>
          <a:tailEnd/>
        </a:ln>
      </xdr:spPr>
    </xdr:sp>
    <xdr:clientData/>
  </xdr:twoCellAnchor>
  <xdr:twoCellAnchor editAs="oneCell">
    <xdr:from>
      <xdr:col>2</xdr:col>
      <xdr:colOff>266700</xdr:colOff>
      <xdr:row>660</xdr:row>
      <xdr:rowOff>0</xdr:rowOff>
    </xdr:from>
    <xdr:to>
      <xdr:col>2</xdr:col>
      <xdr:colOff>342900</xdr:colOff>
      <xdr:row>661</xdr:row>
      <xdr:rowOff>85726</xdr:rowOff>
    </xdr:to>
    <xdr:sp macro="" textlink="">
      <xdr:nvSpPr>
        <xdr:cNvPr id="637" name="Text Box 170"/>
        <xdr:cNvSpPr txBox="1">
          <a:spLocks noChangeArrowheads="1"/>
        </xdr:cNvSpPr>
      </xdr:nvSpPr>
      <xdr:spPr bwMode="auto">
        <a:xfrm>
          <a:off x="1460500" y="92182950"/>
          <a:ext cx="76200" cy="22542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28576</xdr:rowOff>
    </xdr:to>
    <xdr:sp macro="" textlink="">
      <xdr:nvSpPr>
        <xdr:cNvPr id="638" name="Text Box 139"/>
        <xdr:cNvSpPr txBox="1">
          <a:spLocks noChangeArrowheads="1"/>
        </xdr:cNvSpPr>
      </xdr:nvSpPr>
      <xdr:spPr bwMode="auto">
        <a:xfrm>
          <a:off x="7454900" y="10610850"/>
          <a:ext cx="76200" cy="16827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28576</xdr:rowOff>
    </xdr:to>
    <xdr:sp macro="" textlink="">
      <xdr:nvSpPr>
        <xdr:cNvPr id="639" name="Text Box 421"/>
        <xdr:cNvSpPr txBox="1">
          <a:spLocks noChangeArrowheads="1"/>
        </xdr:cNvSpPr>
      </xdr:nvSpPr>
      <xdr:spPr bwMode="auto">
        <a:xfrm>
          <a:off x="7454900" y="10610850"/>
          <a:ext cx="76200" cy="16827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28576</xdr:rowOff>
    </xdr:to>
    <xdr:sp macro="" textlink="">
      <xdr:nvSpPr>
        <xdr:cNvPr id="640" name="Text Box 426"/>
        <xdr:cNvSpPr txBox="1">
          <a:spLocks noChangeArrowheads="1"/>
        </xdr:cNvSpPr>
      </xdr:nvSpPr>
      <xdr:spPr bwMode="auto">
        <a:xfrm>
          <a:off x="7454900" y="10610850"/>
          <a:ext cx="76200" cy="16827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28576</xdr:rowOff>
    </xdr:to>
    <xdr:sp macro="" textlink="">
      <xdr:nvSpPr>
        <xdr:cNvPr id="641" name="Text Box 431"/>
        <xdr:cNvSpPr txBox="1">
          <a:spLocks noChangeArrowheads="1"/>
        </xdr:cNvSpPr>
      </xdr:nvSpPr>
      <xdr:spPr bwMode="auto">
        <a:xfrm>
          <a:off x="7454900" y="10610850"/>
          <a:ext cx="76200" cy="16827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28576</xdr:rowOff>
    </xdr:to>
    <xdr:sp macro="" textlink="">
      <xdr:nvSpPr>
        <xdr:cNvPr id="642" name="Text Box 448"/>
        <xdr:cNvSpPr txBox="1">
          <a:spLocks noChangeArrowheads="1"/>
        </xdr:cNvSpPr>
      </xdr:nvSpPr>
      <xdr:spPr bwMode="auto">
        <a:xfrm>
          <a:off x="7454900" y="10610850"/>
          <a:ext cx="76200" cy="16827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28576</xdr:rowOff>
    </xdr:to>
    <xdr:sp macro="" textlink="">
      <xdr:nvSpPr>
        <xdr:cNvPr id="643" name="Text Box 288"/>
        <xdr:cNvSpPr txBox="1">
          <a:spLocks noChangeArrowheads="1"/>
        </xdr:cNvSpPr>
      </xdr:nvSpPr>
      <xdr:spPr bwMode="auto">
        <a:xfrm>
          <a:off x="7454900" y="10610850"/>
          <a:ext cx="76200" cy="16827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28576</xdr:rowOff>
    </xdr:to>
    <xdr:sp macro="" textlink="">
      <xdr:nvSpPr>
        <xdr:cNvPr id="644" name="Text Box 293"/>
        <xdr:cNvSpPr txBox="1">
          <a:spLocks noChangeArrowheads="1"/>
        </xdr:cNvSpPr>
      </xdr:nvSpPr>
      <xdr:spPr bwMode="auto">
        <a:xfrm>
          <a:off x="7454900" y="10610850"/>
          <a:ext cx="76200" cy="16827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85726</xdr:rowOff>
    </xdr:to>
    <xdr:sp macro="" textlink="">
      <xdr:nvSpPr>
        <xdr:cNvPr id="645" name="Text Box 139"/>
        <xdr:cNvSpPr txBox="1">
          <a:spLocks noChangeArrowheads="1"/>
        </xdr:cNvSpPr>
      </xdr:nvSpPr>
      <xdr:spPr bwMode="auto">
        <a:xfrm>
          <a:off x="7454900" y="10610850"/>
          <a:ext cx="76200" cy="22542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85726</xdr:rowOff>
    </xdr:to>
    <xdr:sp macro="" textlink="">
      <xdr:nvSpPr>
        <xdr:cNvPr id="646" name="Text Box 421"/>
        <xdr:cNvSpPr txBox="1">
          <a:spLocks noChangeArrowheads="1"/>
        </xdr:cNvSpPr>
      </xdr:nvSpPr>
      <xdr:spPr bwMode="auto">
        <a:xfrm>
          <a:off x="7454900" y="10610850"/>
          <a:ext cx="76200" cy="22542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85726</xdr:rowOff>
    </xdr:to>
    <xdr:sp macro="" textlink="">
      <xdr:nvSpPr>
        <xdr:cNvPr id="647" name="Text Box 426"/>
        <xdr:cNvSpPr txBox="1">
          <a:spLocks noChangeArrowheads="1"/>
        </xdr:cNvSpPr>
      </xdr:nvSpPr>
      <xdr:spPr bwMode="auto">
        <a:xfrm>
          <a:off x="7454900" y="10610850"/>
          <a:ext cx="76200" cy="22542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85726</xdr:rowOff>
    </xdr:to>
    <xdr:sp macro="" textlink="">
      <xdr:nvSpPr>
        <xdr:cNvPr id="648" name="Text Box 431"/>
        <xdr:cNvSpPr txBox="1">
          <a:spLocks noChangeArrowheads="1"/>
        </xdr:cNvSpPr>
      </xdr:nvSpPr>
      <xdr:spPr bwMode="auto">
        <a:xfrm>
          <a:off x="7454900" y="10610850"/>
          <a:ext cx="76200" cy="225426"/>
        </a:xfrm>
        <a:prstGeom prst="rect">
          <a:avLst/>
        </a:prstGeom>
        <a:noFill/>
        <a:ln w="9525">
          <a:noFill/>
          <a:miter lim="800000"/>
          <a:headEnd/>
          <a:tailEnd/>
        </a:ln>
      </xdr:spPr>
    </xdr:sp>
    <xdr:clientData/>
  </xdr:twoCellAnchor>
  <xdr:twoCellAnchor editAs="oneCell">
    <xdr:from>
      <xdr:col>14</xdr:col>
      <xdr:colOff>266700</xdr:colOff>
      <xdr:row>76</xdr:row>
      <xdr:rowOff>0</xdr:rowOff>
    </xdr:from>
    <xdr:to>
      <xdr:col>14</xdr:col>
      <xdr:colOff>342900</xdr:colOff>
      <xdr:row>77</xdr:row>
      <xdr:rowOff>85726</xdr:rowOff>
    </xdr:to>
    <xdr:sp macro="" textlink="">
      <xdr:nvSpPr>
        <xdr:cNvPr id="649" name="Text Box 448"/>
        <xdr:cNvSpPr txBox="1">
          <a:spLocks noChangeArrowheads="1"/>
        </xdr:cNvSpPr>
      </xdr:nvSpPr>
      <xdr:spPr bwMode="auto">
        <a:xfrm>
          <a:off x="7454900" y="10610850"/>
          <a:ext cx="76200" cy="225426"/>
        </a:xfrm>
        <a:prstGeom prst="rect">
          <a:avLst/>
        </a:prstGeom>
        <a:noFill/>
        <a:ln w="9525">
          <a:noFill/>
          <a:miter lim="800000"/>
          <a:headEnd/>
          <a:tailEnd/>
        </a:ln>
      </xdr:spPr>
    </xdr:sp>
    <xdr:clientData/>
  </xdr:twoCellAnchor>
  <xdr:twoCellAnchor editAs="oneCell">
    <xdr:from>
      <xdr:col>14</xdr:col>
      <xdr:colOff>266700</xdr:colOff>
      <xdr:row>103</xdr:row>
      <xdr:rowOff>0</xdr:rowOff>
    </xdr:from>
    <xdr:to>
      <xdr:col>14</xdr:col>
      <xdr:colOff>342900</xdr:colOff>
      <xdr:row>104</xdr:row>
      <xdr:rowOff>28574</xdr:rowOff>
    </xdr:to>
    <xdr:sp macro="" textlink="">
      <xdr:nvSpPr>
        <xdr:cNvPr id="650" name="Text Box 299"/>
        <xdr:cNvSpPr txBox="1">
          <a:spLocks noChangeArrowheads="1"/>
        </xdr:cNvSpPr>
      </xdr:nvSpPr>
      <xdr:spPr bwMode="auto">
        <a:xfrm>
          <a:off x="7454900" y="14382750"/>
          <a:ext cx="76200" cy="168274"/>
        </a:xfrm>
        <a:prstGeom prst="rect">
          <a:avLst/>
        </a:prstGeom>
        <a:noFill/>
        <a:ln w="9525">
          <a:noFill/>
          <a:miter lim="800000"/>
          <a:headEnd/>
          <a:tailEnd/>
        </a:ln>
      </xdr:spPr>
    </xdr:sp>
    <xdr:clientData/>
  </xdr:twoCellAnchor>
  <xdr:twoCellAnchor editAs="oneCell">
    <xdr:from>
      <xdr:col>14</xdr:col>
      <xdr:colOff>266700</xdr:colOff>
      <xdr:row>103</xdr:row>
      <xdr:rowOff>0</xdr:rowOff>
    </xdr:from>
    <xdr:to>
      <xdr:col>14</xdr:col>
      <xdr:colOff>342900</xdr:colOff>
      <xdr:row>104</xdr:row>
      <xdr:rowOff>28574</xdr:rowOff>
    </xdr:to>
    <xdr:sp macro="" textlink="">
      <xdr:nvSpPr>
        <xdr:cNvPr id="651" name="Text Box 304"/>
        <xdr:cNvSpPr txBox="1">
          <a:spLocks noChangeArrowheads="1"/>
        </xdr:cNvSpPr>
      </xdr:nvSpPr>
      <xdr:spPr bwMode="auto">
        <a:xfrm>
          <a:off x="7454900" y="14382750"/>
          <a:ext cx="76200" cy="16827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28574</xdr:rowOff>
    </xdr:to>
    <xdr:sp macro="" textlink="">
      <xdr:nvSpPr>
        <xdr:cNvPr id="652" name="Text Box 139"/>
        <xdr:cNvSpPr txBox="1">
          <a:spLocks noChangeArrowheads="1"/>
        </xdr:cNvSpPr>
      </xdr:nvSpPr>
      <xdr:spPr bwMode="auto">
        <a:xfrm>
          <a:off x="7454900" y="14103350"/>
          <a:ext cx="76200" cy="16827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28574</xdr:rowOff>
    </xdr:to>
    <xdr:sp macro="" textlink="">
      <xdr:nvSpPr>
        <xdr:cNvPr id="653" name="Text Box 421"/>
        <xdr:cNvSpPr txBox="1">
          <a:spLocks noChangeArrowheads="1"/>
        </xdr:cNvSpPr>
      </xdr:nvSpPr>
      <xdr:spPr bwMode="auto">
        <a:xfrm>
          <a:off x="7454900" y="14103350"/>
          <a:ext cx="76200" cy="16827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28574</xdr:rowOff>
    </xdr:to>
    <xdr:sp macro="" textlink="">
      <xdr:nvSpPr>
        <xdr:cNvPr id="654" name="Text Box 426"/>
        <xdr:cNvSpPr txBox="1">
          <a:spLocks noChangeArrowheads="1"/>
        </xdr:cNvSpPr>
      </xdr:nvSpPr>
      <xdr:spPr bwMode="auto">
        <a:xfrm>
          <a:off x="7454900" y="14103350"/>
          <a:ext cx="76200" cy="16827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28574</xdr:rowOff>
    </xdr:to>
    <xdr:sp macro="" textlink="">
      <xdr:nvSpPr>
        <xdr:cNvPr id="655" name="Text Box 431"/>
        <xdr:cNvSpPr txBox="1">
          <a:spLocks noChangeArrowheads="1"/>
        </xdr:cNvSpPr>
      </xdr:nvSpPr>
      <xdr:spPr bwMode="auto">
        <a:xfrm>
          <a:off x="7454900" y="14103350"/>
          <a:ext cx="76200" cy="16827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28574</xdr:rowOff>
    </xdr:to>
    <xdr:sp macro="" textlink="">
      <xdr:nvSpPr>
        <xdr:cNvPr id="656" name="Text Box 448"/>
        <xdr:cNvSpPr txBox="1">
          <a:spLocks noChangeArrowheads="1"/>
        </xdr:cNvSpPr>
      </xdr:nvSpPr>
      <xdr:spPr bwMode="auto">
        <a:xfrm>
          <a:off x="7454900" y="14103350"/>
          <a:ext cx="76200" cy="16827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28574</xdr:rowOff>
    </xdr:to>
    <xdr:sp macro="" textlink="">
      <xdr:nvSpPr>
        <xdr:cNvPr id="657" name="Text Box 288"/>
        <xdr:cNvSpPr txBox="1">
          <a:spLocks noChangeArrowheads="1"/>
        </xdr:cNvSpPr>
      </xdr:nvSpPr>
      <xdr:spPr bwMode="auto">
        <a:xfrm>
          <a:off x="7454900" y="14103350"/>
          <a:ext cx="76200" cy="16827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28574</xdr:rowOff>
    </xdr:to>
    <xdr:sp macro="" textlink="">
      <xdr:nvSpPr>
        <xdr:cNvPr id="658" name="Text Box 293"/>
        <xdr:cNvSpPr txBox="1">
          <a:spLocks noChangeArrowheads="1"/>
        </xdr:cNvSpPr>
      </xdr:nvSpPr>
      <xdr:spPr bwMode="auto">
        <a:xfrm>
          <a:off x="7454900" y="14103350"/>
          <a:ext cx="76200" cy="16827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85724</xdr:rowOff>
    </xdr:to>
    <xdr:sp macro="" textlink="">
      <xdr:nvSpPr>
        <xdr:cNvPr id="659" name="Text Box 139"/>
        <xdr:cNvSpPr txBox="1">
          <a:spLocks noChangeArrowheads="1"/>
        </xdr:cNvSpPr>
      </xdr:nvSpPr>
      <xdr:spPr bwMode="auto">
        <a:xfrm>
          <a:off x="7454900" y="14103350"/>
          <a:ext cx="76200" cy="22542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85724</xdr:rowOff>
    </xdr:to>
    <xdr:sp macro="" textlink="">
      <xdr:nvSpPr>
        <xdr:cNvPr id="660" name="Text Box 421"/>
        <xdr:cNvSpPr txBox="1">
          <a:spLocks noChangeArrowheads="1"/>
        </xdr:cNvSpPr>
      </xdr:nvSpPr>
      <xdr:spPr bwMode="auto">
        <a:xfrm>
          <a:off x="7454900" y="14103350"/>
          <a:ext cx="76200" cy="22542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85724</xdr:rowOff>
    </xdr:to>
    <xdr:sp macro="" textlink="">
      <xdr:nvSpPr>
        <xdr:cNvPr id="661" name="Text Box 426"/>
        <xdr:cNvSpPr txBox="1">
          <a:spLocks noChangeArrowheads="1"/>
        </xdr:cNvSpPr>
      </xdr:nvSpPr>
      <xdr:spPr bwMode="auto">
        <a:xfrm>
          <a:off x="7454900" y="14103350"/>
          <a:ext cx="76200" cy="22542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85724</xdr:rowOff>
    </xdr:to>
    <xdr:sp macro="" textlink="">
      <xdr:nvSpPr>
        <xdr:cNvPr id="662" name="Text Box 431"/>
        <xdr:cNvSpPr txBox="1">
          <a:spLocks noChangeArrowheads="1"/>
        </xdr:cNvSpPr>
      </xdr:nvSpPr>
      <xdr:spPr bwMode="auto">
        <a:xfrm>
          <a:off x="7454900" y="14103350"/>
          <a:ext cx="76200" cy="225424"/>
        </a:xfrm>
        <a:prstGeom prst="rect">
          <a:avLst/>
        </a:prstGeom>
        <a:noFill/>
        <a:ln w="9525">
          <a:noFill/>
          <a:miter lim="800000"/>
          <a:headEnd/>
          <a:tailEnd/>
        </a:ln>
      </xdr:spPr>
    </xdr:sp>
    <xdr:clientData/>
  </xdr:twoCellAnchor>
  <xdr:twoCellAnchor editAs="oneCell">
    <xdr:from>
      <xdr:col>14</xdr:col>
      <xdr:colOff>266700</xdr:colOff>
      <xdr:row>101</xdr:row>
      <xdr:rowOff>0</xdr:rowOff>
    </xdr:from>
    <xdr:to>
      <xdr:col>14</xdr:col>
      <xdr:colOff>342900</xdr:colOff>
      <xdr:row>102</xdr:row>
      <xdr:rowOff>85724</xdr:rowOff>
    </xdr:to>
    <xdr:sp macro="" textlink="">
      <xdr:nvSpPr>
        <xdr:cNvPr id="663" name="Text Box 448"/>
        <xdr:cNvSpPr txBox="1">
          <a:spLocks noChangeArrowheads="1"/>
        </xdr:cNvSpPr>
      </xdr:nvSpPr>
      <xdr:spPr bwMode="auto">
        <a:xfrm>
          <a:off x="7454900" y="14103350"/>
          <a:ext cx="76200" cy="225424"/>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28575</xdr:rowOff>
    </xdr:to>
    <xdr:sp macro="" textlink="">
      <xdr:nvSpPr>
        <xdr:cNvPr id="664" name="Text Box 139"/>
        <xdr:cNvSpPr txBox="1">
          <a:spLocks noChangeArrowheads="1"/>
        </xdr:cNvSpPr>
      </xdr:nvSpPr>
      <xdr:spPr bwMode="auto">
        <a:xfrm>
          <a:off x="7454900" y="18434050"/>
          <a:ext cx="76200" cy="16827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28575</xdr:rowOff>
    </xdr:to>
    <xdr:sp macro="" textlink="">
      <xdr:nvSpPr>
        <xdr:cNvPr id="665" name="Text Box 421"/>
        <xdr:cNvSpPr txBox="1">
          <a:spLocks noChangeArrowheads="1"/>
        </xdr:cNvSpPr>
      </xdr:nvSpPr>
      <xdr:spPr bwMode="auto">
        <a:xfrm>
          <a:off x="7454900" y="18434050"/>
          <a:ext cx="76200" cy="16827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28575</xdr:rowOff>
    </xdr:to>
    <xdr:sp macro="" textlink="">
      <xdr:nvSpPr>
        <xdr:cNvPr id="666" name="Text Box 426"/>
        <xdr:cNvSpPr txBox="1">
          <a:spLocks noChangeArrowheads="1"/>
        </xdr:cNvSpPr>
      </xdr:nvSpPr>
      <xdr:spPr bwMode="auto">
        <a:xfrm>
          <a:off x="7454900" y="18434050"/>
          <a:ext cx="76200" cy="16827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28575</xdr:rowOff>
    </xdr:to>
    <xdr:sp macro="" textlink="">
      <xdr:nvSpPr>
        <xdr:cNvPr id="667" name="Text Box 431"/>
        <xdr:cNvSpPr txBox="1">
          <a:spLocks noChangeArrowheads="1"/>
        </xdr:cNvSpPr>
      </xdr:nvSpPr>
      <xdr:spPr bwMode="auto">
        <a:xfrm>
          <a:off x="7454900" y="18434050"/>
          <a:ext cx="76200" cy="16827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28575</xdr:rowOff>
    </xdr:to>
    <xdr:sp macro="" textlink="">
      <xdr:nvSpPr>
        <xdr:cNvPr id="668" name="Text Box 448"/>
        <xdr:cNvSpPr txBox="1">
          <a:spLocks noChangeArrowheads="1"/>
        </xdr:cNvSpPr>
      </xdr:nvSpPr>
      <xdr:spPr bwMode="auto">
        <a:xfrm>
          <a:off x="7454900" y="18434050"/>
          <a:ext cx="76200" cy="16827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28575</xdr:rowOff>
    </xdr:to>
    <xdr:sp macro="" textlink="">
      <xdr:nvSpPr>
        <xdr:cNvPr id="669" name="Text Box 288"/>
        <xdr:cNvSpPr txBox="1">
          <a:spLocks noChangeArrowheads="1"/>
        </xdr:cNvSpPr>
      </xdr:nvSpPr>
      <xdr:spPr bwMode="auto">
        <a:xfrm>
          <a:off x="7454900" y="18434050"/>
          <a:ext cx="76200" cy="16827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28575</xdr:rowOff>
    </xdr:to>
    <xdr:sp macro="" textlink="">
      <xdr:nvSpPr>
        <xdr:cNvPr id="670" name="Text Box 293"/>
        <xdr:cNvSpPr txBox="1">
          <a:spLocks noChangeArrowheads="1"/>
        </xdr:cNvSpPr>
      </xdr:nvSpPr>
      <xdr:spPr bwMode="auto">
        <a:xfrm>
          <a:off x="7454900" y="18434050"/>
          <a:ext cx="76200" cy="16827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85725</xdr:rowOff>
    </xdr:to>
    <xdr:sp macro="" textlink="">
      <xdr:nvSpPr>
        <xdr:cNvPr id="671" name="Text Box 139"/>
        <xdr:cNvSpPr txBox="1">
          <a:spLocks noChangeArrowheads="1"/>
        </xdr:cNvSpPr>
      </xdr:nvSpPr>
      <xdr:spPr bwMode="auto">
        <a:xfrm>
          <a:off x="7454900" y="18434050"/>
          <a:ext cx="76200" cy="22542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85725</xdr:rowOff>
    </xdr:to>
    <xdr:sp macro="" textlink="">
      <xdr:nvSpPr>
        <xdr:cNvPr id="672" name="Text Box 421"/>
        <xdr:cNvSpPr txBox="1">
          <a:spLocks noChangeArrowheads="1"/>
        </xdr:cNvSpPr>
      </xdr:nvSpPr>
      <xdr:spPr bwMode="auto">
        <a:xfrm>
          <a:off x="7454900" y="18434050"/>
          <a:ext cx="76200" cy="22542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85725</xdr:rowOff>
    </xdr:to>
    <xdr:sp macro="" textlink="">
      <xdr:nvSpPr>
        <xdr:cNvPr id="673" name="Text Box 426"/>
        <xdr:cNvSpPr txBox="1">
          <a:spLocks noChangeArrowheads="1"/>
        </xdr:cNvSpPr>
      </xdr:nvSpPr>
      <xdr:spPr bwMode="auto">
        <a:xfrm>
          <a:off x="7454900" y="18434050"/>
          <a:ext cx="76200" cy="22542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85725</xdr:rowOff>
    </xdr:to>
    <xdr:sp macro="" textlink="">
      <xdr:nvSpPr>
        <xdr:cNvPr id="674" name="Text Box 431"/>
        <xdr:cNvSpPr txBox="1">
          <a:spLocks noChangeArrowheads="1"/>
        </xdr:cNvSpPr>
      </xdr:nvSpPr>
      <xdr:spPr bwMode="auto">
        <a:xfrm>
          <a:off x="7454900" y="18434050"/>
          <a:ext cx="76200" cy="225425"/>
        </a:xfrm>
        <a:prstGeom prst="rect">
          <a:avLst/>
        </a:prstGeom>
        <a:noFill/>
        <a:ln w="9525">
          <a:noFill/>
          <a:miter lim="800000"/>
          <a:headEnd/>
          <a:tailEnd/>
        </a:ln>
      </xdr:spPr>
    </xdr:sp>
    <xdr:clientData/>
  </xdr:twoCellAnchor>
  <xdr:twoCellAnchor editAs="oneCell">
    <xdr:from>
      <xdr:col>14</xdr:col>
      <xdr:colOff>266700</xdr:colOff>
      <xdr:row>132</xdr:row>
      <xdr:rowOff>0</xdr:rowOff>
    </xdr:from>
    <xdr:to>
      <xdr:col>14</xdr:col>
      <xdr:colOff>342900</xdr:colOff>
      <xdr:row>133</xdr:row>
      <xdr:rowOff>85725</xdr:rowOff>
    </xdr:to>
    <xdr:sp macro="" textlink="">
      <xdr:nvSpPr>
        <xdr:cNvPr id="675" name="Text Box 448"/>
        <xdr:cNvSpPr txBox="1">
          <a:spLocks noChangeArrowheads="1"/>
        </xdr:cNvSpPr>
      </xdr:nvSpPr>
      <xdr:spPr bwMode="auto">
        <a:xfrm>
          <a:off x="7454900" y="184340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76" name="Text Box 332"/>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77" name="Text Box 337"/>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78" name="Text Box 139"/>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79" name="Text Box 421"/>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80" name="Text Box 426"/>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81" name="Text Box 431"/>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82" name="Text Box 448"/>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697</xdr:row>
      <xdr:rowOff>9526</xdr:rowOff>
    </xdr:to>
    <xdr:sp macro="" textlink="">
      <xdr:nvSpPr>
        <xdr:cNvPr id="683" name="Text Box 77"/>
        <xdr:cNvSpPr txBox="1">
          <a:spLocks noChangeArrowheads="1"/>
        </xdr:cNvSpPr>
      </xdr:nvSpPr>
      <xdr:spPr bwMode="auto">
        <a:xfrm>
          <a:off x="1460500" y="97072450"/>
          <a:ext cx="76200" cy="288926"/>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697</xdr:row>
      <xdr:rowOff>9526</xdr:rowOff>
    </xdr:to>
    <xdr:sp macro="" textlink="">
      <xdr:nvSpPr>
        <xdr:cNvPr id="684" name="Text Box 255"/>
        <xdr:cNvSpPr txBox="1">
          <a:spLocks noChangeArrowheads="1"/>
        </xdr:cNvSpPr>
      </xdr:nvSpPr>
      <xdr:spPr bwMode="auto">
        <a:xfrm>
          <a:off x="1460500" y="97072450"/>
          <a:ext cx="76200" cy="288926"/>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697</xdr:row>
      <xdr:rowOff>9526</xdr:rowOff>
    </xdr:to>
    <xdr:sp macro="" textlink="">
      <xdr:nvSpPr>
        <xdr:cNvPr id="685" name="Text Box 260"/>
        <xdr:cNvSpPr txBox="1">
          <a:spLocks noChangeArrowheads="1"/>
        </xdr:cNvSpPr>
      </xdr:nvSpPr>
      <xdr:spPr bwMode="auto">
        <a:xfrm>
          <a:off x="1460500" y="97072450"/>
          <a:ext cx="76200" cy="288926"/>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86" name="Text Box 139"/>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87" name="Text Box 421"/>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88" name="Text Box 426"/>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89" name="Text Box 431"/>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0" name="Text Box 448"/>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1" name="Text Box 121"/>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2" name="Text Box 187"/>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3" name="Text Box 139"/>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4" name="Text Box 421"/>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5" name="Text Box 426"/>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6" name="Text Box 431"/>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7" name="Text Box 448"/>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8" name="Text Box 133"/>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699" name="Text Box 155"/>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700" name="Text Box 172"/>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701" name="Text Box 93"/>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702" name="Text Box 222"/>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703" name="Text Box 494"/>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704" name="Text Box 499"/>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705" name="Text Box 125"/>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706" name="Text Box 160"/>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695</xdr:row>
      <xdr:rowOff>0</xdr:rowOff>
    </xdr:from>
    <xdr:to>
      <xdr:col>2</xdr:col>
      <xdr:colOff>342900</xdr:colOff>
      <xdr:row>696</xdr:row>
      <xdr:rowOff>85725</xdr:rowOff>
    </xdr:to>
    <xdr:sp macro="" textlink="">
      <xdr:nvSpPr>
        <xdr:cNvPr id="707" name="Text Box 182"/>
        <xdr:cNvSpPr txBox="1">
          <a:spLocks noChangeArrowheads="1"/>
        </xdr:cNvSpPr>
      </xdr:nvSpPr>
      <xdr:spPr bwMode="auto">
        <a:xfrm>
          <a:off x="1460500" y="97072450"/>
          <a:ext cx="76200" cy="225425"/>
        </a:xfrm>
        <a:prstGeom prst="rect">
          <a:avLst/>
        </a:prstGeom>
        <a:noFill/>
        <a:ln w="9525">
          <a:noFill/>
          <a:miter lim="800000"/>
          <a:headEnd/>
          <a:tailEnd/>
        </a:ln>
      </xdr:spPr>
    </xdr:sp>
    <xdr:clientData/>
  </xdr:twoCellAnchor>
  <xdr:twoCellAnchor editAs="oneCell">
    <xdr:from>
      <xdr:col>2</xdr:col>
      <xdr:colOff>266700</xdr:colOff>
      <xdr:row>694</xdr:row>
      <xdr:rowOff>0</xdr:rowOff>
    </xdr:from>
    <xdr:to>
      <xdr:col>2</xdr:col>
      <xdr:colOff>342900</xdr:colOff>
      <xdr:row>695</xdr:row>
      <xdr:rowOff>85725</xdr:rowOff>
    </xdr:to>
    <xdr:sp macro="" textlink="">
      <xdr:nvSpPr>
        <xdr:cNvPr id="708" name="Text Box 137"/>
        <xdr:cNvSpPr txBox="1">
          <a:spLocks noChangeArrowheads="1"/>
        </xdr:cNvSpPr>
      </xdr:nvSpPr>
      <xdr:spPr bwMode="auto">
        <a:xfrm>
          <a:off x="1460500" y="96932750"/>
          <a:ext cx="76200" cy="225425"/>
        </a:xfrm>
        <a:prstGeom prst="rect">
          <a:avLst/>
        </a:prstGeom>
        <a:noFill/>
        <a:ln w="9525">
          <a:noFill/>
          <a:miter lim="800000"/>
          <a:headEnd/>
          <a:tailEnd/>
        </a:ln>
      </xdr:spPr>
    </xdr:sp>
    <xdr:clientData/>
  </xdr:twoCellAnchor>
  <xdr:twoCellAnchor editAs="oneCell">
    <xdr:from>
      <xdr:col>2</xdr:col>
      <xdr:colOff>266700</xdr:colOff>
      <xdr:row>694</xdr:row>
      <xdr:rowOff>0</xdr:rowOff>
    </xdr:from>
    <xdr:to>
      <xdr:col>2</xdr:col>
      <xdr:colOff>342900</xdr:colOff>
      <xdr:row>695</xdr:row>
      <xdr:rowOff>85725</xdr:rowOff>
    </xdr:to>
    <xdr:sp macro="" textlink="">
      <xdr:nvSpPr>
        <xdr:cNvPr id="709" name="Text Box 170"/>
        <xdr:cNvSpPr txBox="1">
          <a:spLocks noChangeArrowheads="1"/>
        </xdr:cNvSpPr>
      </xdr:nvSpPr>
      <xdr:spPr bwMode="auto">
        <a:xfrm>
          <a:off x="1460500" y="96932750"/>
          <a:ext cx="76200" cy="225425"/>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0" name="Text Box 354"/>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1" name="Text Box 359"/>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2" name="Text Box 139"/>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3" name="Text Box 421"/>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4" name="Text Box 426"/>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5" name="Text Box 431"/>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6" name="Text Box 448"/>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7" name="Text Box 139"/>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8" name="Text Box 421"/>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19" name="Text Box 426"/>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20" name="Text Box 431"/>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21" name="Text Box 448"/>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22" name="Text Box 288"/>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28576</xdr:rowOff>
    </xdr:to>
    <xdr:sp macro="" textlink="">
      <xdr:nvSpPr>
        <xdr:cNvPr id="723" name="Text Box 293"/>
        <xdr:cNvSpPr txBox="1">
          <a:spLocks noChangeArrowheads="1"/>
        </xdr:cNvSpPr>
      </xdr:nvSpPr>
      <xdr:spPr bwMode="auto">
        <a:xfrm>
          <a:off x="7454900" y="23044150"/>
          <a:ext cx="76200" cy="16827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85726</xdr:rowOff>
    </xdr:to>
    <xdr:sp macro="" textlink="">
      <xdr:nvSpPr>
        <xdr:cNvPr id="724" name="Text Box 139"/>
        <xdr:cNvSpPr txBox="1">
          <a:spLocks noChangeArrowheads="1"/>
        </xdr:cNvSpPr>
      </xdr:nvSpPr>
      <xdr:spPr bwMode="auto">
        <a:xfrm>
          <a:off x="7454900" y="23044150"/>
          <a:ext cx="76200" cy="22542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85726</xdr:rowOff>
    </xdr:to>
    <xdr:sp macro="" textlink="">
      <xdr:nvSpPr>
        <xdr:cNvPr id="725" name="Text Box 421"/>
        <xdr:cNvSpPr txBox="1">
          <a:spLocks noChangeArrowheads="1"/>
        </xdr:cNvSpPr>
      </xdr:nvSpPr>
      <xdr:spPr bwMode="auto">
        <a:xfrm>
          <a:off x="7454900" y="23044150"/>
          <a:ext cx="76200" cy="22542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85726</xdr:rowOff>
    </xdr:to>
    <xdr:sp macro="" textlink="">
      <xdr:nvSpPr>
        <xdr:cNvPr id="726" name="Text Box 426"/>
        <xdr:cNvSpPr txBox="1">
          <a:spLocks noChangeArrowheads="1"/>
        </xdr:cNvSpPr>
      </xdr:nvSpPr>
      <xdr:spPr bwMode="auto">
        <a:xfrm>
          <a:off x="7454900" y="23044150"/>
          <a:ext cx="76200" cy="22542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85726</xdr:rowOff>
    </xdr:to>
    <xdr:sp macro="" textlink="">
      <xdr:nvSpPr>
        <xdr:cNvPr id="727" name="Text Box 431"/>
        <xdr:cNvSpPr txBox="1">
          <a:spLocks noChangeArrowheads="1"/>
        </xdr:cNvSpPr>
      </xdr:nvSpPr>
      <xdr:spPr bwMode="auto">
        <a:xfrm>
          <a:off x="7454900" y="23044150"/>
          <a:ext cx="76200" cy="225426"/>
        </a:xfrm>
        <a:prstGeom prst="rect">
          <a:avLst/>
        </a:prstGeom>
        <a:noFill/>
        <a:ln w="9525">
          <a:noFill/>
          <a:miter lim="800000"/>
          <a:headEnd/>
          <a:tailEnd/>
        </a:ln>
      </xdr:spPr>
    </xdr:sp>
    <xdr:clientData/>
  </xdr:twoCellAnchor>
  <xdr:twoCellAnchor editAs="oneCell">
    <xdr:from>
      <xdr:col>14</xdr:col>
      <xdr:colOff>266700</xdr:colOff>
      <xdr:row>165</xdr:row>
      <xdr:rowOff>0</xdr:rowOff>
    </xdr:from>
    <xdr:to>
      <xdr:col>14</xdr:col>
      <xdr:colOff>342900</xdr:colOff>
      <xdr:row>166</xdr:row>
      <xdr:rowOff>85726</xdr:rowOff>
    </xdr:to>
    <xdr:sp macro="" textlink="">
      <xdr:nvSpPr>
        <xdr:cNvPr id="728" name="Text Box 448"/>
        <xdr:cNvSpPr txBox="1">
          <a:spLocks noChangeArrowheads="1"/>
        </xdr:cNvSpPr>
      </xdr:nvSpPr>
      <xdr:spPr bwMode="auto">
        <a:xfrm>
          <a:off x="7454900" y="23044150"/>
          <a:ext cx="76200" cy="225426"/>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29" name="Text Box 332"/>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0" name="Text Box 337"/>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1" name="Text Box 139"/>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2" name="Text Box 421"/>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3" name="Text Box 426"/>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4" name="Text Box 431"/>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5" name="Text Box 448"/>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6" name="Text Box 139"/>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7" name="Text Box 421"/>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8" name="Text Box 426"/>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39" name="Text Box 431"/>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0" name="Text Box 448"/>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1" name="Text Box 121"/>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2" name="Text Box 187"/>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3" name="Text Box 139"/>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4" name="Text Box 421"/>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5" name="Text Box 426"/>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6" name="Text Box 431"/>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7" name="Text Box 448"/>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8" name="Text Box 133"/>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49" name="Text Box 155"/>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50" name="Text Box 172"/>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51" name="Text Box 93"/>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52" name="Text Box 222"/>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53" name="Text Box 494"/>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54" name="Text Box 499"/>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55" name="Text Box 125"/>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56" name="Text Box 160"/>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722</xdr:row>
      <xdr:rowOff>0</xdr:rowOff>
    </xdr:from>
    <xdr:to>
      <xdr:col>2</xdr:col>
      <xdr:colOff>342900</xdr:colOff>
      <xdr:row>723</xdr:row>
      <xdr:rowOff>87313</xdr:rowOff>
    </xdr:to>
    <xdr:sp macro="" textlink="">
      <xdr:nvSpPr>
        <xdr:cNvPr id="757" name="Text Box 182"/>
        <xdr:cNvSpPr txBox="1">
          <a:spLocks noChangeArrowheads="1"/>
        </xdr:cNvSpPr>
      </xdr:nvSpPr>
      <xdr:spPr bwMode="auto">
        <a:xfrm>
          <a:off x="1460500" y="100844350"/>
          <a:ext cx="76200" cy="227013"/>
        </a:xfrm>
        <a:prstGeom prst="rect">
          <a:avLst/>
        </a:prstGeom>
        <a:noFill/>
        <a:ln w="9525">
          <a:noFill/>
          <a:miter lim="800000"/>
          <a:headEnd/>
          <a:tailEnd/>
        </a:ln>
      </xdr:spPr>
    </xdr:sp>
    <xdr:clientData/>
  </xdr:twoCellAnchor>
  <xdr:twoCellAnchor editAs="oneCell">
    <xdr:from>
      <xdr:col>2</xdr:col>
      <xdr:colOff>266700</xdr:colOff>
      <xdr:row>721</xdr:row>
      <xdr:rowOff>0</xdr:rowOff>
    </xdr:from>
    <xdr:to>
      <xdr:col>2</xdr:col>
      <xdr:colOff>342900</xdr:colOff>
      <xdr:row>722</xdr:row>
      <xdr:rowOff>87312</xdr:rowOff>
    </xdr:to>
    <xdr:sp macro="" textlink="">
      <xdr:nvSpPr>
        <xdr:cNvPr id="758" name="Text Box 137"/>
        <xdr:cNvSpPr txBox="1">
          <a:spLocks noChangeArrowheads="1"/>
        </xdr:cNvSpPr>
      </xdr:nvSpPr>
      <xdr:spPr bwMode="auto">
        <a:xfrm>
          <a:off x="1460500" y="100704650"/>
          <a:ext cx="76200" cy="227012"/>
        </a:xfrm>
        <a:prstGeom prst="rect">
          <a:avLst/>
        </a:prstGeom>
        <a:noFill/>
        <a:ln w="9525">
          <a:noFill/>
          <a:miter lim="800000"/>
          <a:headEnd/>
          <a:tailEnd/>
        </a:ln>
      </xdr:spPr>
    </xdr:sp>
    <xdr:clientData/>
  </xdr:twoCellAnchor>
  <xdr:twoCellAnchor editAs="oneCell">
    <xdr:from>
      <xdr:col>2</xdr:col>
      <xdr:colOff>266700</xdr:colOff>
      <xdr:row>721</xdr:row>
      <xdr:rowOff>0</xdr:rowOff>
    </xdr:from>
    <xdr:to>
      <xdr:col>2</xdr:col>
      <xdr:colOff>342900</xdr:colOff>
      <xdr:row>722</xdr:row>
      <xdr:rowOff>87312</xdr:rowOff>
    </xdr:to>
    <xdr:sp macro="" textlink="">
      <xdr:nvSpPr>
        <xdr:cNvPr id="759" name="Text Box 170"/>
        <xdr:cNvSpPr txBox="1">
          <a:spLocks noChangeArrowheads="1"/>
        </xdr:cNvSpPr>
      </xdr:nvSpPr>
      <xdr:spPr bwMode="auto">
        <a:xfrm>
          <a:off x="1460500" y="100704650"/>
          <a:ext cx="76200" cy="227012"/>
        </a:xfrm>
        <a:prstGeom prst="rect">
          <a:avLst/>
        </a:prstGeom>
        <a:noFill/>
        <a:ln w="9525">
          <a:noFill/>
          <a:miter lim="800000"/>
          <a:headEnd/>
          <a:tailEnd/>
        </a:ln>
      </xdr:spPr>
    </xdr:sp>
    <xdr:clientData/>
  </xdr:twoCellAnchor>
  <xdr:twoCellAnchor editAs="oneCell">
    <xdr:from>
      <xdr:col>14</xdr:col>
      <xdr:colOff>266700</xdr:colOff>
      <xdr:row>192</xdr:row>
      <xdr:rowOff>0</xdr:rowOff>
    </xdr:from>
    <xdr:to>
      <xdr:col>14</xdr:col>
      <xdr:colOff>342900</xdr:colOff>
      <xdr:row>193</xdr:row>
      <xdr:rowOff>28576</xdr:rowOff>
    </xdr:to>
    <xdr:sp macro="" textlink="">
      <xdr:nvSpPr>
        <xdr:cNvPr id="760" name="Text Box 343"/>
        <xdr:cNvSpPr txBox="1">
          <a:spLocks noChangeArrowheads="1"/>
        </xdr:cNvSpPr>
      </xdr:nvSpPr>
      <xdr:spPr bwMode="auto">
        <a:xfrm>
          <a:off x="7454900" y="26816050"/>
          <a:ext cx="76200" cy="168276"/>
        </a:xfrm>
        <a:prstGeom prst="rect">
          <a:avLst/>
        </a:prstGeom>
        <a:noFill/>
        <a:ln w="9525">
          <a:noFill/>
          <a:miter lim="800000"/>
          <a:headEnd/>
          <a:tailEnd/>
        </a:ln>
      </xdr:spPr>
    </xdr:sp>
    <xdr:clientData/>
  </xdr:twoCellAnchor>
  <xdr:twoCellAnchor editAs="oneCell">
    <xdr:from>
      <xdr:col>14</xdr:col>
      <xdr:colOff>266700</xdr:colOff>
      <xdr:row>192</xdr:row>
      <xdr:rowOff>0</xdr:rowOff>
    </xdr:from>
    <xdr:to>
      <xdr:col>14</xdr:col>
      <xdr:colOff>342900</xdr:colOff>
      <xdr:row>193</xdr:row>
      <xdr:rowOff>28576</xdr:rowOff>
    </xdr:to>
    <xdr:sp macro="" textlink="">
      <xdr:nvSpPr>
        <xdr:cNvPr id="761" name="Text Box 348"/>
        <xdr:cNvSpPr txBox="1">
          <a:spLocks noChangeArrowheads="1"/>
        </xdr:cNvSpPr>
      </xdr:nvSpPr>
      <xdr:spPr bwMode="auto">
        <a:xfrm>
          <a:off x="7454900" y="26816050"/>
          <a:ext cx="76200" cy="168276"/>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62" name="Text Box 365"/>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63" name="Text Box 370"/>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64" name="Text Box 354"/>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65" name="Text Box 359"/>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66" name="Text Box 139"/>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67" name="Text Box 421"/>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68" name="Text Box 426"/>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69" name="Text Box 431"/>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70" name="Text Box 448"/>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71" name="Text Box 139"/>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72" name="Text Box 421"/>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73" name="Text Box 426"/>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74" name="Text Box 431"/>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75" name="Text Box 448"/>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76" name="Text Box 288"/>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28575</xdr:rowOff>
    </xdr:to>
    <xdr:sp macro="" textlink="">
      <xdr:nvSpPr>
        <xdr:cNvPr id="777" name="Text Box 293"/>
        <xdr:cNvSpPr txBox="1">
          <a:spLocks noChangeArrowheads="1"/>
        </xdr:cNvSpPr>
      </xdr:nvSpPr>
      <xdr:spPr bwMode="auto">
        <a:xfrm>
          <a:off x="7454900" y="26955750"/>
          <a:ext cx="76200" cy="16827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85725</xdr:rowOff>
    </xdr:to>
    <xdr:sp macro="" textlink="">
      <xdr:nvSpPr>
        <xdr:cNvPr id="778" name="Text Box 139"/>
        <xdr:cNvSpPr txBox="1">
          <a:spLocks noChangeArrowheads="1"/>
        </xdr:cNvSpPr>
      </xdr:nvSpPr>
      <xdr:spPr bwMode="auto">
        <a:xfrm>
          <a:off x="7454900" y="26955750"/>
          <a:ext cx="76200" cy="22542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85725</xdr:rowOff>
    </xdr:to>
    <xdr:sp macro="" textlink="">
      <xdr:nvSpPr>
        <xdr:cNvPr id="779" name="Text Box 421"/>
        <xdr:cNvSpPr txBox="1">
          <a:spLocks noChangeArrowheads="1"/>
        </xdr:cNvSpPr>
      </xdr:nvSpPr>
      <xdr:spPr bwMode="auto">
        <a:xfrm>
          <a:off x="7454900" y="26955750"/>
          <a:ext cx="76200" cy="22542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85725</xdr:rowOff>
    </xdr:to>
    <xdr:sp macro="" textlink="">
      <xdr:nvSpPr>
        <xdr:cNvPr id="780" name="Text Box 426"/>
        <xdr:cNvSpPr txBox="1">
          <a:spLocks noChangeArrowheads="1"/>
        </xdr:cNvSpPr>
      </xdr:nvSpPr>
      <xdr:spPr bwMode="auto">
        <a:xfrm>
          <a:off x="7454900" y="26955750"/>
          <a:ext cx="76200" cy="22542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85725</xdr:rowOff>
    </xdr:to>
    <xdr:sp macro="" textlink="">
      <xdr:nvSpPr>
        <xdr:cNvPr id="781" name="Text Box 431"/>
        <xdr:cNvSpPr txBox="1">
          <a:spLocks noChangeArrowheads="1"/>
        </xdr:cNvSpPr>
      </xdr:nvSpPr>
      <xdr:spPr bwMode="auto">
        <a:xfrm>
          <a:off x="7454900" y="26955750"/>
          <a:ext cx="76200" cy="225425"/>
        </a:xfrm>
        <a:prstGeom prst="rect">
          <a:avLst/>
        </a:prstGeom>
        <a:noFill/>
        <a:ln w="9525">
          <a:noFill/>
          <a:miter lim="800000"/>
          <a:headEnd/>
          <a:tailEnd/>
        </a:ln>
      </xdr:spPr>
    </xdr:sp>
    <xdr:clientData/>
  </xdr:twoCellAnchor>
  <xdr:twoCellAnchor editAs="oneCell">
    <xdr:from>
      <xdr:col>14</xdr:col>
      <xdr:colOff>266700</xdr:colOff>
      <xdr:row>193</xdr:row>
      <xdr:rowOff>0</xdr:rowOff>
    </xdr:from>
    <xdr:to>
      <xdr:col>14</xdr:col>
      <xdr:colOff>342900</xdr:colOff>
      <xdr:row>194</xdr:row>
      <xdr:rowOff>85725</xdr:rowOff>
    </xdr:to>
    <xdr:sp macro="" textlink="">
      <xdr:nvSpPr>
        <xdr:cNvPr id="782" name="Text Box 448"/>
        <xdr:cNvSpPr txBox="1">
          <a:spLocks noChangeArrowheads="1"/>
        </xdr:cNvSpPr>
      </xdr:nvSpPr>
      <xdr:spPr bwMode="auto">
        <a:xfrm>
          <a:off x="7454900" y="26955750"/>
          <a:ext cx="76200" cy="22542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83" name="Text Box 376"/>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84" name="Text Box 381"/>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85" name="Text Box 139"/>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86" name="Text Box 421"/>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87" name="Text Box 426"/>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88" name="Text Box 431"/>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89" name="Text Box 448"/>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222</xdr:row>
      <xdr:rowOff>0</xdr:rowOff>
    </xdr:from>
    <xdr:to>
      <xdr:col>14</xdr:col>
      <xdr:colOff>342900</xdr:colOff>
      <xdr:row>223</xdr:row>
      <xdr:rowOff>28576</xdr:rowOff>
    </xdr:to>
    <xdr:sp macro="" textlink="">
      <xdr:nvSpPr>
        <xdr:cNvPr id="790" name="Text Box 343"/>
        <xdr:cNvSpPr txBox="1">
          <a:spLocks noChangeArrowheads="1"/>
        </xdr:cNvSpPr>
      </xdr:nvSpPr>
      <xdr:spPr bwMode="auto">
        <a:xfrm>
          <a:off x="7454900" y="31007050"/>
          <a:ext cx="76200" cy="168276"/>
        </a:xfrm>
        <a:prstGeom prst="rect">
          <a:avLst/>
        </a:prstGeom>
        <a:noFill/>
        <a:ln w="9525">
          <a:noFill/>
          <a:miter lim="800000"/>
          <a:headEnd/>
          <a:tailEnd/>
        </a:ln>
      </xdr:spPr>
    </xdr:sp>
    <xdr:clientData/>
  </xdr:twoCellAnchor>
  <xdr:twoCellAnchor editAs="oneCell">
    <xdr:from>
      <xdr:col>14</xdr:col>
      <xdr:colOff>266700</xdr:colOff>
      <xdr:row>222</xdr:row>
      <xdr:rowOff>0</xdr:rowOff>
    </xdr:from>
    <xdr:to>
      <xdr:col>14</xdr:col>
      <xdr:colOff>342900</xdr:colOff>
      <xdr:row>223</xdr:row>
      <xdr:rowOff>28576</xdr:rowOff>
    </xdr:to>
    <xdr:sp macro="" textlink="">
      <xdr:nvSpPr>
        <xdr:cNvPr id="791" name="Text Box 348"/>
        <xdr:cNvSpPr txBox="1">
          <a:spLocks noChangeArrowheads="1"/>
        </xdr:cNvSpPr>
      </xdr:nvSpPr>
      <xdr:spPr bwMode="auto">
        <a:xfrm>
          <a:off x="7454900" y="31007050"/>
          <a:ext cx="76200" cy="168276"/>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92" name="Text Box 365"/>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93" name="Text Box 370"/>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94" name="Text Box 354"/>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95" name="Text Box 359"/>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96" name="Text Box 139"/>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97" name="Text Box 421"/>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98" name="Text Box 426"/>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799" name="Text Box 431"/>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800" name="Text Box 448"/>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801" name="Text Box 139"/>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802" name="Text Box 421"/>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803" name="Text Box 426"/>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804" name="Text Box 431"/>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805" name="Text Box 448"/>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806" name="Text Box 288"/>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28575</xdr:rowOff>
    </xdr:to>
    <xdr:sp macro="" textlink="">
      <xdr:nvSpPr>
        <xdr:cNvPr id="807" name="Text Box 293"/>
        <xdr:cNvSpPr txBox="1">
          <a:spLocks noChangeArrowheads="1"/>
        </xdr:cNvSpPr>
      </xdr:nvSpPr>
      <xdr:spPr bwMode="auto">
        <a:xfrm>
          <a:off x="7454900" y="31146750"/>
          <a:ext cx="76200" cy="16827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85725</xdr:rowOff>
    </xdr:to>
    <xdr:sp macro="" textlink="">
      <xdr:nvSpPr>
        <xdr:cNvPr id="808" name="Text Box 139"/>
        <xdr:cNvSpPr txBox="1">
          <a:spLocks noChangeArrowheads="1"/>
        </xdr:cNvSpPr>
      </xdr:nvSpPr>
      <xdr:spPr bwMode="auto">
        <a:xfrm>
          <a:off x="7454900" y="31146750"/>
          <a:ext cx="76200" cy="22542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85725</xdr:rowOff>
    </xdr:to>
    <xdr:sp macro="" textlink="">
      <xdr:nvSpPr>
        <xdr:cNvPr id="809" name="Text Box 421"/>
        <xdr:cNvSpPr txBox="1">
          <a:spLocks noChangeArrowheads="1"/>
        </xdr:cNvSpPr>
      </xdr:nvSpPr>
      <xdr:spPr bwMode="auto">
        <a:xfrm>
          <a:off x="7454900" y="31146750"/>
          <a:ext cx="76200" cy="22542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85725</xdr:rowOff>
    </xdr:to>
    <xdr:sp macro="" textlink="">
      <xdr:nvSpPr>
        <xdr:cNvPr id="810" name="Text Box 426"/>
        <xdr:cNvSpPr txBox="1">
          <a:spLocks noChangeArrowheads="1"/>
        </xdr:cNvSpPr>
      </xdr:nvSpPr>
      <xdr:spPr bwMode="auto">
        <a:xfrm>
          <a:off x="7454900" y="31146750"/>
          <a:ext cx="76200" cy="22542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85725</xdr:rowOff>
    </xdr:to>
    <xdr:sp macro="" textlink="">
      <xdr:nvSpPr>
        <xdr:cNvPr id="811" name="Text Box 431"/>
        <xdr:cNvSpPr txBox="1">
          <a:spLocks noChangeArrowheads="1"/>
        </xdr:cNvSpPr>
      </xdr:nvSpPr>
      <xdr:spPr bwMode="auto">
        <a:xfrm>
          <a:off x="7454900" y="31146750"/>
          <a:ext cx="76200" cy="225425"/>
        </a:xfrm>
        <a:prstGeom prst="rect">
          <a:avLst/>
        </a:prstGeom>
        <a:noFill/>
        <a:ln w="9525">
          <a:noFill/>
          <a:miter lim="800000"/>
          <a:headEnd/>
          <a:tailEnd/>
        </a:ln>
      </xdr:spPr>
    </xdr:sp>
    <xdr:clientData/>
  </xdr:twoCellAnchor>
  <xdr:twoCellAnchor editAs="oneCell">
    <xdr:from>
      <xdr:col>14</xdr:col>
      <xdr:colOff>266700</xdr:colOff>
      <xdr:row>223</xdr:row>
      <xdr:rowOff>0</xdr:rowOff>
    </xdr:from>
    <xdr:to>
      <xdr:col>14</xdr:col>
      <xdr:colOff>342900</xdr:colOff>
      <xdr:row>224</xdr:row>
      <xdr:rowOff>85725</xdr:rowOff>
    </xdr:to>
    <xdr:sp macro="" textlink="">
      <xdr:nvSpPr>
        <xdr:cNvPr id="812" name="Text Box 448"/>
        <xdr:cNvSpPr txBox="1">
          <a:spLocks noChangeArrowheads="1"/>
        </xdr:cNvSpPr>
      </xdr:nvSpPr>
      <xdr:spPr bwMode="auto">
        <a:xfrm>
          <a:off x="7454900" y="31146750"/>
          <a:ext cx="76200" cy="225425"/>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13" name="Picture 2"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14" name="Picture 29"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252</xdr:row>
      <xdr:rowOff>0</xdr:rowOff>
    </xdr:from>
    <xdr:to>
      <xdr:col>14</xdr:col>
      <xdr:colOff>342900</xdr:colOff>
      <xdr:row>253</xdr:row>
      <xdr:rowOff>38100</xdr:rowOff>
    </xdr:to>
    <xdr:sp macro="" textlink="">
      <xdr:nvSpPr>
        <xdr:cNvPr id="815" name="Text Box 398"/>
        <xdr:cNvSpPr txBox="1">
          <a:spLocks noChangeArrowheads="1"/>
        </xdr:cNvSpPr>
      </xdr:nvSpPr>
      <xdr:spPr bwMode="auto">
        <a:xfrm>
          <a:off x="7454900" y="35198050"/>
          <a:ext cx="76200" cy="177800"/>
        </a:xfrm>
        <a:prstGeom prst="rect">
          <a:avLst/>
        </a:prstGeom>
        <a:noFill/>
        <a:ln w="9525">
          <a:noFill/>
          <a:miter lim="800000"/>
          <a:headEnd/>
          <a:tailEnd/>
        </a:ln>
      </xdr:spPr>
    </xdr:sp>
    <xdr:clientData/>
  </xdr:twoCellAnchor>
  <xdr:twoCellAnchor editAs="oneCell">
    <xdr:from>
      <xdr:col>14</xdr:col>
      <xdr:colOff>266700</xdr:colOff>
      <xdr:row>252</xdr:row>
      <xdr:rowOff>0</xdr:rowOff>
    </xdr:from>
    <xdr:to>
      <xdr:col>14</xdr:col>
      <xdr:colOff>342900</xdr:colOff>
      <xdr:row>253</xdr:row>
      <xdr:rowOff>38100</xdr:rowOff>
    </xdr:to>
    <xdr:sp macro="" textlink="">
      <xdr:nvSpPr>
        <xdr:cNvPr id="816" name="Text Box 403"/>
        <xdr:cNvSpPr txBox="1">
          <a:spLocks noChangeArrowheads="1"/>
        </xdr:cNvSpPr>
      </xdr:nvSpPr>
      <xdr:spPr bwMode="auto">
        <a:xfrm>
          <a:off x="7454900" y="35198050"/>
          <a:ext cx="76200" cy="177800"/>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17" name="Picture 407"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18" name="Picture 408"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253</xdr:row>
      <xdr:rowOff>0</xdr:rowOff>
    </xdr:from>
    <xdr:to>
      <xdr:col>14</xdr:col>
      <xdr:colOff>342900</xdr:colOff>
      <xdr:row>254</xdr:row>
      <xdr:rowOff>38101</xdr:rowOff>
    </xdr:to>
    <xdr:sp macro="" textlink="">
      <xdr:nvSpPr>
        <xdr:cNvPr id="819" name="Text Box 409"/>
        <xdr:cNvSpPr txBox="1">
          <a:spLocks noChangeArrowheads="1"/>
        </xdr:cNvSpPr>
      </xdr:nvSpPr>
      <xdr:spPr bwMode="auto">
        <a:xfrm>
          <a:off x="7454900" y="35337750"/>
          <a:ext cx="76200" cy="177801"/>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20" name="Picture 410"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21" name="Picture 411"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22" name="Picture 412"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23" name="Picture 413"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253</xdr:row>
      <xdr:rowOff>0</xdr:rowOff>
    </xdr:from>
    <xdr:to>
      <xdr:col>14</xdr:col>
      <xdr:colOff>342900</xdr:colOff>
      <xdr:row>254</xdr:row>
      <xdr:rowOff>38101</xdr:rowOff>
    </xdr:to>
    <xdr:sp macro="" textlink="">
      <xdr:nvSpPr>
        <xdr:cNvPr id="824" name="Text Box 414"/>
        <xdr:cNvSpPr txBox="1">
          <a:spLocks noChangeArrowheads="1"/>
        </xdr:cNvSpPr>
      </xdr:nvSpPr>
      <xdr:spPr bwMode="auto">
        <a:xfrm>
          <a:off x="7454900" y="35337750"/>
          <a:ext cx="76200" cy="177801"/>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25" name="Picture 415"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26" name="Picture 416"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27" name="Picture 417"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solidFill>
          <a:srgbClr val="0000FF"/>
        </a:solid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28" name="Picture 639"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29" name="Picture 640"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30" name="Picture 643"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31" name="Picture 644"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32" name="Picture 645"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33" name="Picture 646"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34" name="Picture 653"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35" name="Picture 654"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36" name="Picture 655"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37" name="Picture 656"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253</xdr:row>
      <xdr:rowOff>0</xdr:rowOff>
    </xdr:from>
    <xdr:to>
      <xdr:col>14</xdr:col>
      <xdr:colOff>342900</xdr:colOff>
      <xdr:row>254</xdr:row>
      <xdr:rowOff>38101</xdr:rowOff>
    </xdr:to>
    <xdr:sp macro="" textlink="">
      <xdr:nvSpPr>
        <xdr:cNvPr id="838" name="Text Box 657"/>
        <xdr:cNvSpPr txBox="1">
          <a:spLocks noChangeArrowheads="1"/>
        </xdr:cNvSpPr>
      </xdr:nvSpPr>
      <xdr:spPr bwMode="auto">
        <a:xfrm>
          <a:off x="7454900" y="35337750"/>
          <a:ext cx="76200" cy="177801"/>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39" name="Picture 658"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40" name="Picture 659"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41" name="Picture 660"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42" name="Picture 661"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253</xdr:row>
      <xdr:rowOff>0</xdr:rowOff>
    </xdr:from>
    <xdr:to>
      <xdr:col>14</xdr:col>
      <xdr:colOff>342900</xdr:colOff>
      <xdr:row>254</xdr:row>
      <xdr:rowOff>38101</xdr:rowOff>
    </xdr:to>
    <xdr:sp macro="" textlink="">
      <xdr:nvSpPr>
        <xdr:cNvPr id="843" name="Text Box 662"/>
        <xdr:cNvSpPr txBox="1">
          <a:spLocks noChangeArrowheads="1"/>
        </xdr:cNvSpPr>
      </xdr:nvSpPr>
      <xdr:spPr bwMode="auto">
        <a:xfrm>
          <a:off x="7454900" y="35337750"/>
          <a:ext cx="76200" cy="177801"/>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44" name="Picture 663"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45" name="Picture 664"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46" name="Picture 665"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solidFill>
          <a:srgbClr val="0000FF"/>
        </a:solid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47" name="Picture 666"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48" name="Picture 667"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49" name="Picture 669"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0" name="Picture 670"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1" name="Picture 671"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2" name="Picture 672"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3" name="Picture 674"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4" name="Picture 675"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5" name="Picture 676"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solidFill>
          <a:srgbClr val="0000FF"/>
        </a:solid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6" name="Picture 700"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7" name="Picture 706"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8" name="Picture 707"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59" name="Picture 708"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60" name="Picture 709"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61" name="Picture 712"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62" name="Picture 713"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253</xdr:row>
      <xdr:rowOff>0</xdr:rowOff>
    </xdr:from>
    <xdr:to>
      <xdr:col>14</xdr:col>
      <xdr:colOff>342900</xdr:colOff>
      <xdr:row>254</xdr:row>
      <xdr:rowOff>38101</xdr:rowOff>
    </xdr:to>
    <xdr:sp macro="" textlink="">
      <xdr:nvSpPr>
        <xdr:cNvPr id="863" name="Text Box 714"/>
        <xdr:cNvSpPr txBox="1">
          <a:spLocks noChangeArrowheads="1"/>
        </xdr:cNvSpPr>
      </xdr:nvSpPr>
      <xdr:spPr bwMode="auto">
        <a:xfrm>
          <a:off x="7454900" y="35337750"/>
          <a:ext cx="76200" cy="177801"/>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64" name="Picture 715"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65" name="Picture 716"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66" name="Picture 717"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67" name="Picture 718"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253</xdr:row>
      <xdr:rowOff>0</xdr:rowOff>
    </xdr:from>
    <xdr:to>
      <xdr:col>14</xdr:col>
      <xdr:colOff>342900</xdr:colOff>
      <xdr:row>254</xdr:row>
      <xdr:rowOff>38101</xdr:rowOff>
    </xdr:to>
    <xdr:sp macro="" textlink="">
      <xdr:nvSpPr>
        <xdr:cNvPr id="868" name="Text Box 719"/>
        <xdr:cNvSpPr txBox="1">
          <a:spLocks noChangeArrowheads="1"/>
        </xdr:cNvSpPr>
      </xdr:nvSpPr>
      <xdr:spPr bwMode="auto">
        <a:xfrm>
          <a:off x="7454900" y="35337750"/>
          <a:ext cx="76200" cy="177801"/>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69" name="Picture 720"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70" name="Picture 721"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71" name="Picture 722"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solidFill>
          <a:srgbClr val="0000FF"/>
        </a:solid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72" name="Picture 734"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73" name="Picture 735"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253</xdr:row>
      <xdr:rowOff>0</xdr:rowOff>
    </xdr:from>
    <xdr:to>
      <xdr:col>14</xdr:col>
      <xdr:colOff>342900</xdr:colOff>
      <xdr:row>254</xdr:row>
      <xdr:rowOff>38101</xdr:rowOff>
    </xdr:to>
    <xdr:sp macro="" textlink="">
      <xdr:nvSpPr>
        <xdr:cNvPr id="874" name="Text Box 736"/>
        <xdr:cNvSpPr txBox="1">
          <a:spLocks noChangeArrowheads="1"/>
        </xdr:cNvSpPr>
      </xdr:nvSpPr>
      <xdr:spPr bwMode="auto">
        <a:xfrm>
          <a:off x="7454900" y="35337750"/>
          <a:ext cx="76200" cy="177801"/>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75" name="Picture 737"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76" name="Picture 738"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77" name="Picture 739"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78" name="Picture 740"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253</xdr:row>
      <xdr:rowOff>0</xdr:rowOff>
    </xdr:from>
    <xdr:to>
      <xdr:col>14</xdr:col>
      <xdr:colOff>342900</xdr:colOff>
      <xdr:row>254</xdr:row>
      <xdr:rowOff>38101</xdr:rowOff>
    </xdr:to>
    <xdr:sp macro="" textlink="">
      <xdr:nvSpPr>
        <xdr:cNvPr id="879" name="Text Box 741"/>
        <xdr:cNvSpPr txBox="1">
          <a:spLocks noChangeArrowheads="1"/>
        </xdr:cNvSpPr>
      </xdr:nvSpPr>
      <xdr:spPr bwMode="auto">
        <a:xfrm>
          <a:off x="7454900" y="35337750"/>
          <a:ext cx="76200" cy="177801"/>
        </a:xfrm>
        <a:prstGeom prst="rect">
          <a:avLst/>
        </a:prstGeom>
        <a:noFill/>
        <a:ln w="9525">
          <a:noFill/>
          <a:miter lim="800000"/>
          <a:headEnd/>
          <a:tailEnd/>
        </a:ln>
      </xdr:spPr>
    </xdr:sp>
    <xdr:clientData/>
  </xdr:twoCellAnchor>
  <xdr:twoCellAnchor>
    <xdr:from>
      <xdr:col>12</xdr:col>
      <xdr:colOff>19050</xdr:colOff>
      <xdr:row>253</xdr:row>
      <xdr:rowOff>0</xdr:rowOff>
    </xdr:from>
    <xdr:to>
      <xdr:col>13</xdr:col>
      <xdr:colOff>47625</xdr:colOff>
      <xdr:row>253</xdr:row>
      <xdr:rowOff>0</xdr:rowOff>
    </xdr:to>
    <xdr:pic>
      <xdr:nvPicPr>
        <xdr:cNvPr id="880" name="Picture 742"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xdr:from>
      <xdr:col>12</xdr:col>
      <xdr:colOff>19050</xdr:colOff>
      <xdr:row>253</xdr:row>
      <xdr:rowOff>0</xdr:rowOff>
    </xdr:from>
    <xdr:to>
      <xdr:col>13</xdr:col>
      <xdr:colOff>47625</xdr:colOff>
      <xdr:row>253</xdr:row>
      <xdr:rowOff>0</xdr:rowOff>
    </xdr:to>
    <xdr:pic>
      <xdr:nvPicPr>
        <xdr:cNvPr id="881" name="Picture 743" descr="bali2"/>
        <xdr:cNvPicPr>
          <a:picLocks noChangeAspect="1" noChangeArrowheads="1"/>
        </xdr:cNvPicPr>
      </xdr:nvPicPr>
      <xdr:blipFill>
        <a:blip xmlns:r="http://schemas.openxmlformats.org/officeDocument/2006/relationships" r:embed="rId1"/>
        <a:srcRect/>
        <a:stretch>
          <a:fillRect/>
        </a:stretch>
      </xdr:blipFill>
      <xdr:spPr bwMode="auto">
        <a:xfrm>
          <a:off x="6337300" y="35337750"/>
          <a:ext cx="219075" cy="0"/>
        </a:xfrm>
        <a:prstGeom prst="rect">
          <a:avLst/>
        </a:prstGeom>
        <a:noFill/>
        <a:ln w="9525">
          <a:noFill/>
          <a:miter lim="800000"/>
          <a:headEnd/>
          <a:tailEnd/>
        </a:ln>
      </xdr:spPr>
    </xdr:pic>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82" name="Text Box 376"/>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83" name="Text Box 381"/>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84" name="Text Box 139"/>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85" name="Text Box 421"/>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86" name="Text Box 426"/>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87" name="Text Box 431"/>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88" name="Text Box 448"/>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252</xdr:row>
      <xdr:rowOff>0</xdr:rowOff>
    </xdr:from>
    <xdr:to>
      <xdr:col>14</xdr:col>
      <xdr:colOff>342900</xdr:colOff>
      <xdr:row>253</xdr:row>
      <xdr:rowOff>28575</xdr:rowOff>
    </xdr:to>
    <xdr:sp macro="" textlink="">
      <xdr:nvSpPr>
        <xdr:cNvPr id="889" name="Text Box 343"/>
        <xdr:cNvSpPr txBox="1">
          <a:spLocks noChangeArrowheads="1"/>
        </xdr:cNvSpPr>
      </xdr:nvSpPr>
      <xdr:spPr bwMode="auto">
        <a:xfrm>
          <a:off x="7454900" y="35198050"/>
          <a:ext cx="76200" cy="168275"/>
        </a:xfrm>
        <a:prstGeom prst="rect">
          <a:avLst/>
        </a:prstGeom>
        <a:noFill/>
        <a:ln w="9525">
          <a:noFill/>
          <a:miter lim="800000"/>
          <a:headEnd/>
          <a:tailEnd/>
        </a:ln>
      </xdr:spPr>
    </xdr:sp>
    <xdr:clientData/>
  </xdr:twoCellAnchor>
  <xdr:twoCellAnchor editAs="oneCell">
    <xdr:from>
      <xdr:col>14</xdr:col>
      <xdr:colOff>266700</xdr:colOff>
      <xdr:row>252</xdr:row>
      <xdr:rowOff>0</xdr:rowOff>
    </xdr:from>
    <xdr:to>
      <xdr:col>14</xdr:col>
      <xdr:colOff>342900</xdr:colOff>
      <xdr:row>253</xdr:row>
      <xdr:rowOff>28575</xdr:rowOff>
    </xdr:to>
    <xdr:sp macro="" textlink="">
      <xdr:nvSpPr>
        <xdr:cNvPr id="890" name="Text Box 348"/>
        <xdr:cNvSpPr txBox="1">
          <a:spLocks noChangeArrowheads="1"/>
        </xdr:cNvSpPr>
      </xdr:nvSpPr>
      <xdr:spPr bwMode="auto">
        <a:xfrm>
          <a:off x="7454900" y="35198050"/>
          <a:ext cx="76200" cy="168275"/>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91" name="Text Box 365"/>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92" name="Text Box 370"/>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93" name="Text Box 354"/>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94" name="Text Box 359"/>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95" name="Text Box 139"/>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96" name="Text Box 421"/>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97" name="Text Box 426"/>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98" name="Text Box 431"/>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899" name="Text Box 448"/>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900" name="Text Box 139"/>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901" name="Text Box 421"/>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902" name="Text Box 426"/>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903" name="Text Box 431"/>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904" name="Text Box 448"/>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905" name="Text Box 288"/>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28576</xdr:rowOff>
    </xdr:to>
    <xdr:sp macro="" textlink="">
      <xdr:nvSpPr>
        <xdr:cNvPr id="906" name="Text Box 293"/>
        <xdr:cNvSpPr txBox="1">
          <a:spLocks noChangeArrowheads="1"/>
        </xdr:cNvSpPr>
      </xdr:nvSpPr>
      <xdr:spPr bwMode="auto">
        <a:xfrm>
          <a:off x="7454900" y="35337750"/>
          <a:ext cx="76200" cy="16827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85726</xdr:rowOff>
    </xdr:to>
    <xdr:sp macro="" textlink="">
      <xdr:nvSpPr>
        <xdr:cNvPr id="907" name="Text Box 139"/>
        <xdr:cNvSpPr txBox="1">
          <a:spLocks noChangeArrowheads="1"/>
        </xdr:cNvSpPr>
      </xdr:nvSpPr>
      <xdr:spPr bwMode="auto">
        <a:xfrm>
          <a:off x="7454900" y="35337750"/>
          <a:ext cx="76200" cy="22542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85726</xdr:rowOff>
    </xdr:to>
    <xdr:sp macro="" textlink="">
      <xdr:nvSpPr>
        <xdr:cNvPr id="908" name="Text Box 421"/>
        <xdr:cNvSpPr txBox="1">
          <a:spLocks noChangeArrowheads="1"/>
        </xdr:cNvSpPr>
      </xdr:nvSpPr>
      <xdr:spPr bwMode="auto">
        <a:xfrm>
          <a:off x="7454900" y="35337750"/>
          <a:ext cx="76200" cy="22542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85726</xdr:rowOff>
    </xdr:to>
    <xdr:sp macro="" textlink="">
      <xdr:nvSpPr>
        <xdr:cNvPr id="909" name="Text Box 426"/>
        <xdr:cNvSpPr txBox="1">
          <a:spLocks noChangeArrowheads="1"/>
        </xdr:cNvSpPr>
      </xdr:nvSpPr>
      <xdr:spPr bwMode="auto">
        <a:xfrm>
          <a:off x="7454900" y="35337750"/>
          <a:ext cx="76200" cy="22542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85726</xdr:rowOff>
    </xdr:to>
    <xdr:sp macro="" textlink="">
      <xdr:nvSpPr>
        <xdr:cNvPr id="910" name="Text Box 431"/>
        <xdr:cNvSpPr txBox="1">
          <a:spLocks noChangeArrowheads="1"/>
        </xdr:cNvSpPr>
      </xdr:nvSpPr>
      <xdr:spPr bwMode="auto">
        <a:xfrm>
          <a:off x="7454900" y="35337750"/>
          <a:ext cx="76200" cy="225426"/>
        </a:xfrm>
        <a:prstGeom prst="rect">
          <a:avLst/>
        </a:prstGeom>
        <a:noFill/>
        <a:ln w="9525">
          <a:noFill/>
          <a:miter lim="800000"/>
          <a:headEnd/>
          <a:tailEnd/>
        </a:ln>
      </xdr:spPr>
    </xdr:sp>
    <xdr:clientData/>
  </xdr:twoCellAnchor>
  <xdr:twoCellAnchor editAs="oneCell">
    <xdr:from>
      <xdr:col>14</xdr:col>
      <xdr:colOff>266700</xdr:colOff>
      <xdr:row>253</xdr:row>
      <xdr:rowOff>0</xdr:rowOff>
    </xdr:from>
    <xdr:to>
      <xdr:col>14</xdr:col>
      <xdr:colOff>342900</xdr:colOff>
      <xdr:row>254</xdr:row>
      <xdr:rowOff>85726</xdr:rowOff>
    </xdr:to>
    <xdr:sp macro="" textlink="">
      <xdr:nvSpPr>
        <xdr:cNvPr id="911" name="Text Box 448"/>
        <xdr:cNvSpPr txBox="1">
          <a:spLocks noChangeArrowheads="1"/>
        </xdr:cNvSpPr>
      </xdr:nvSpPr>
      <xdr:spPr bwMode="auto">
        <a:xfrm>
          <a:off x="7454900" y="35337750"/>
          <a:ext cx="76200" cy="225426"/>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12" name="Text Box 387"/>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13" name="Text Box 392"/>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14" name="Text Box 139"/>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15" name="Text Box 421"/>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16" name="Text Box 426"/>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17" name="Text Box 431"/>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18" name="Text Box 448"/>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282</xdr:row>
      <xdr:rowOff>0</xdr:rowOff>
    </xdr:from>
    <xdr:to>
      <xdr:col>14</xdr:col>
      <xdr:colOff>342900</xdr:colOff>
      <xdr:row>283</xdr:row>
      <xdr:rowOff>38100</xdr:rowOff>
    </xdr:to>
    <xdr:sp macro="" textlink="">
      <xdr:nvSpPr>
        <xdr:cNvPr id="919" name="Text Box 398"/>
        <xdr:cNvSpPr txBox="1">
          <a:spLocks noChangeArrowheads="1"/>
        </xdr:cNvSpPr>
      </xdr:nvSpPr>
      <xdr:spPr bwMode="auto">
        <a:xfrm>
          <a:off x="7454900" y="39389050"/>
          <a:ext cx="76200" cy="177800"/>
        </a:xfrm>
        <a:prstGeom prst="rect">
          <a:avLst/>
        </a:prstGeom>
        <a:noFill/>
        <a:ln w="9525">
          <a:noFill/>
          <a:miter lim="800000"/>
          <a:headEnd/>
          <a:tailEnd/>
        </a:ln>
      </xdr:spPr>
    </xdr:sp>
    <xdr:clientData/>
  </xdr:twoCellAnchor>
  <xdr:twoCellAnchor editAs="oneCell">
    <xdr:from>
      <xdr:col>14</xdr:col>
      <xdr:colOff>266700</xdr:colOff>
      <xdr:row>282</xdr:row>
      <xdr:rowOff>0</xdr:rowOff>
    </xdr:from>
    <xdr:to>
      <xdr:col>14</xdr:col>
      <xdr:colOff>342900</xdr:colOff>
      <xdr:row>283</xdr:row>
      <xdr:rowOff>38100</xdr:rowOff>
    </xdr:to>
    <xdr:sp macro="" textlink="">
      <xdr:nvSpPr>
        <xdr:cNvPr id="920" name="Text Box 403"/>
        <xdr:cNvSpPr txBox="1">
          <a:spLocks noChangeArrowheads="1"/>
        </xdr:cNvSpPr>
      </xdr:nvSpPr>
      <xdr:spPr bwMode="auto">
        <a:xfrm>
          <a:off x="7454900" y="39389050"/>
          <a:ext cx="76200" cy="177800"/>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38100</xdr:rowOff>
    </xdr:to>
    <xdr:sp macro="" textlink="">
      <xdr:nvSpPr>
        <xdr:cNvPr id="921" name="Text Box 409"/>
        <xdr:cNvSpPr txBox="1">
          <a:spLocks noChangeArrowheads="1"/>
        </xdr:cNvSpPr>
      </xdr:nvSpPr>
      <xdr:spPr bwMode="auto">
        <a:xfrm>
          <a:off x="7454900" y="39528750"/>
          <a:ext cx="76200" cy="177800"/>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38100</xdr:rowOff>
    </xdr:to>
    <xdr:sp macro="" textlink="">
      <xdr:nvSpPr>
        <xdr:cNvPr id="922" name="Text Box 414"/>
        <xdr:cNvSpPr txBox="1">
          <a:spLocks noChangeArrowheads="1"/>
        </xdr:cNvSpPr>
      </xdr:nvSpPr>
      <xdr:spPr bwMode="auto">
        <a:xfrm>
          <a:off x="7454900" y="39528750"/>
          <a:ext cx="76200" cy="177800"/>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38100</xdr:rowOff>
    </xdr:to>
    <xdr:sp macro="" textlink="">
      <xdr:nvSpPr>
        <xdr:cNvPr id="923" name="Text Box 657"/>
        <xdr:cNvSpPr txBox="1">
          <a:spLocks noChangeArrowheads="1"/>
        </xdr:cNvSpPr>
      </xdr:nvSpPr>
      <xdr:spPr bwMode="auto">
        <a:xfrm>
          <a:off x="7454900" y="39528750"/>
          <a:ext cx="76200" cy="177800"/>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38100</xdr:rowOff>
    </xdr:to>
    <xdr:sp macro="" textlink="">
      <xdr:nvSpPr>
        <xdr:cNvPr id="924" name="Text Box 662"/>
        <xdr:cNvSpPr txBox="1">
          <a:spLocks noChangeArrowheads="1"/>
        </xdr:cNvSpPr>
      </xdr:nvSpPr>
      <xdr:spPr bwMode="auto">
        <a:xfrm>
          <a:off x="7454900" y="39528750"/>
          <a:ext cx="76200" cy="177800"/>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38100</xdr:rowOff>
    </xdr:to>
    <xdr:sp macro="" textlink="">
      <xdr:nvSpPr>
        <xdr:cNvPr id="925" name="Text Box 714"/>
        <xdr:cNvSpPr txBox="1">
          <a:spLocks noChangeArrowheads="1"/>
        </xdr:cNvSpPr>
      </xdr:nvSpPr>
      <xdr:spPr bwMode="auto">
        <a:xfrm>
          <a:off x="7454900" y="39528750"/>
          <a:ext cx="76200" cy="177800"/>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38100</xdr:rowOff>
    </xdr:to>
    <xdr:sp macro="" textlink="">
      <xdr:nvSpPr>
        <xdr:cNvPr id="926" name="Text Box 719"/>
        <xdr:cNvSpPr txBox="1">
          <a:spLocks noChangeArrowheads="1"/>
        </xdr:cNvSpPr>
      </xdr:nvSpPr>
      <xdr:spPr bwMode="auto">
        <a:xfrm>
          <a:off x="7454900" y="39528750"/>
          <a:ext cx="76200" cy="177800"/>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38100</xdr:rowOff>
    </xdr:to>
    <xdr:sp macro="" textlink="">
      <xdr:nvSpPr>
        <xdr:cNvPr id="927" name="Text Box 736"/>
        <xdr:cNvSpPr txBox="1">
          <a:spLocks noChangeArrowheads="1"/>
        </xdr:cNvSpPr>
      </xdr:nvSpPr>
      <xdr:spPr bwMode="auto">
        <a:xfrm>
          <a:off x="7454900" y="39528750"/>
          <a:ext cx="76200" cy="177800"/>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38100</xdr:rowOff>
    </xdr:to>
    <xdr:sp macro="" textlink="">
      <xdr:nvSpPr>
        <xdr:cNvPr id="928" name="Text Box 741"/>
        <xdr:cNvSpPr txBox="1">
          <a:spLocks noChangeArrowheads="1"/>
        </xdr:cNvSpPr>
      </xdr:nvSpPr>
      <xdr:spPr bwMode="auto">
        <a:xfrm>
          <a:off x="7454900" y="39528750"/>
          <a:ext cx="76200" cy="177800"/>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29" name="Text Box 376"/>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30" name="Text Box 381"/>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31" name="Text Box 139"/>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32" name="Text Box 421"/>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33" name="Text Box 426"/>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34" name="Text Box 431"/>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35" name="Text Box 448"/>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282</xdr:row>
      <xdr:rowOff>0</xdr:rowOff>
    </xdr:from>
    <xdr:to>
      <xdr:col>14</xdr:col>
      <xdr:colOff>342900</xdr:colOff>
      <xdr:row>283</xdr:row>
      <xdr:rowOff>28575</xdr:rowOff>
    </xdr:to>
    <xdr:sp macro="" textlink="">
      <xdr:nvSpPr>
        <xdr:cNvPr id="936" name="Text Box 343"/>
        <xdr:cNvSpPr txBox="1">
          <a:spLocks noChangeArrowheads="1"/>
        </xdr:cNvSpPr>
      </xdr:nvSpPr>
      <xdr:spPr bwMode="auto">
        <a:xfrm>
          <a:off x="7454900" y="39389050"/>
          <a:ext cx="76200" cy="168275"/>
        </a:xfrm>
        <a:prstGeom prst="rect">
          <a:avLst/>
        </a:prstGeom>
        <a:noFill/>
        <a:ln w="9525">
          <a:noFill/>
          <a:miter lim="800000"/>
          <a:headEnd/>
          <a:tailEnd/>
        </a:ln>
      </xdr:spPr>
    </xdr:sp>
    <xdr:clientData/>
  </xdr:twoCellAnchor>
  <xdr:twoCellAnchor editAs="oneCell">
    <xdr:from>
      <xdr:col>14</xdr:col>
      <xdr:colOff>266700</xdr:colOff>
      <xdr:row>282</xdr:row>
      <xdr:rowOff>0</xdr:rowOff>
    </xdr:from>
    <xdr:to>
      <xdr:col>14</xdr:col>
      <xdr:colOff>342900</xdr:colOff>
      <xdr:row>283</xdr:row>
      <xdr:rowOff>28575</xdr:rowOff>
    </xdr:to>
    <xdr:sp macro="" textlink="">
      <xdr:nvSpPr>
        <xdr:cNvPr id="937" name="Text Box 348"/>
        <xdr:cNvSpPr txBox="1">
          <a:spLocks noChangeArrowheads="1"/>
        </xdr:cNvSpPr>
      </xdr:nvSpPr>
      <xdr:spPr bwMode="auto">
        <a:xfrm>
          <a:off x="7454900" y="393890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38" name="Text Box 365"/>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39" name="Text Box 370"/>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0" name="Text Box 354"/>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1" name="Text Box 359"/>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2" name="Text Box 139"/>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3" name="Text Box 421"/>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4" name="Text Box 426"/>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5" name="Text Box 431"/>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6" name="Text Box 448"/>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7" name="Text Box 139"/>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8" name="Text Box 421"/>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49" name="Text Box 426"/>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50" name="Text Box 431"/>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51" name="Text Box 448"/>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52" name="Text Box 288"/>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28575</xdr:rowOff>
    </xdr:to>
    <xdr:sp macro="" textlink="">
      <xdr:nvSpPr>
        <xdr:cNvPr id="953" name="Text Box 293"/>
        <xdr:cNvSpPr txBox="1">
          <a:spLocks noChangeArrowheads="1"/>
        </xdr:cNvSpPr>
      </xdr:nvSpPr>
      <xdr:spPr bwMode="auto">
        <a:xfrm>
          <a:off x="7454900" y="39528750"/>
          <a:ext cx="76200" cy="16827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85725</xdr:rowOff>
    </xdr:to>
    <xdr:sp macro="" textlink="">
      <xdr:nvSpPr>
        <xdr:cNvPr id="954" name="Text Box 139"/>
        <xdr:cNvSpPr txBox="1">
          <a:spLocks noChangeArrowheads="1"/>
        </xdr:cNvSpPr>
      </xdr:nvSpPr>
      <xdr:spPr bwMode="auto">
        <a:xfrm>
          <a:off x="7454900" y="39528750"/>
          <a:ext cx="76200" cy="22542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85725</xdr:rowOff>
    </xdr:to>
    <xdr:sp macro="" textlink="">
      <xdr:nvSpPr>
        <xdr:cNvPr id="955" name="Text Box 421"/>
        <xdr:cNvSpPr txBox="1">
          <a:spLocks noChangeArrowheads="1"/>
        </xdr:cNvSpPr>
      </xdr:nvSpPr>
      <xdr:spPr bwMode="auto">
        <a:xfrm>
          <a:off x="7454900" y="39528750"/>
          <a:ext cx="76200" cy="22542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85725</xdr:rowOff>
    </xdr:to>
    <xdr:sp macro="" textlink="">
      <xdr:nvSpPr>
        <xdr:cNvPr id="956" name="Text Box 426"/>
        <xdr:cNvSpPr txBox="1">
          <a:spLocks noChangeArrowheads="1"/>
        </xdr:cNvSpPr>
      </xdr:nvSpPr>
      <xdr:spPr bwMode="auto">
        <a:xfrm>
          <a:off x="7454900" y="39528750"/>
          <a:ext cx="76200" cy="22542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85725</xdr:rowOff>
    </xdr:to>
    <xdr:sp macro="" textlink="">
      <xdr:nvSpPr>
        <xdr:cNvPr id="957" name="Text Box 431"/>
        <xdr:cNvSpPr txBox="1">
          <a:spLocks noChangeArrowheads="1"/>
        </xdr:cNvSpPr>
      </xdr:nvSpPr>
      <xdr:spPr bwMode="auto">
        <a:xfrm>
          <a:off x="7454900" y="39528750"/>
          <a:ext cx="76200" cy="225425"/>
        </a:xfrm>
        <a:prstGeom prst="rect">
          <a:avLst/>
        </a:prstGeom>
        <a:noFill/>
        <a:ln w="9525">
          <a:noFill/>
          <a:miter lim="800000"/>
          <a:headEnd/>
          <a:tailEnd/>
        </a:ln>
      </xdr:spPr>
    </xdr:sp>
    <xdr:clientData/>
  </xdr:twoCellAnchor>
  <xdr:twoCellAnchor editAs="oneCell">
    <xdr:from>
      <xdr:col>14</xdr:col>
      <xdr:colOff>266700</xdr:colOff>
      <xdr:row>283</xdr:row>
      <xdr:rowOff>0</xdr:rowOff>
    </xdr:from>
    <xdr:to>
      <xdr:col>14</xdr:col>
      <xdr:colOff>342900</xdr:colOff>
      <xdr:row>284</xdr:row>
      <xdr:rowOff>85725</xdr:rowOff>
    </xdr:to>
    <xdr:sp macro="" textlink="">
      <xdr:nvSpPr>
        <xdr:cNvPr id="958" name="Text Box 448"/>
        <xdr:cNvSpPr txBox="1">
          <a:spLocks noChangeArrowheads="1"/>
        </xdr:cNvSpPr>
      </xdr:nvSpPr>
      <xdr:spPr bwMode="auto">
        <a:xfrm>
          <a:off x="7454900" y="39528750"/>
          <a:ext cx="76200" cy="22542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959" name="Picture 452"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60" name="Picture 453"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61" name="Picture 454"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62" name="Picture 455"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963" name="Text Box 456"/>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964" name="Picture 457"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65" name="Picture 458"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66" name="Picture 459"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67" name="Picture 460"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968" name="Text Box 46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969" name="Picture 462"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70" name="Picture 463"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71" name="Picture 464"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solidFill>
          <a:srgbClr val="0000FF"/>
        </a:solid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972" name="Text Box 468"/>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973" name="Text Box 473"/>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974" name="Picture 641"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75" name="Picture 642"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76" name="Picture 647"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77" name="Picture 648"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78" name="Picture 649"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79" name="Picture 650"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80" name="Picture 651"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81" name="Picture 652"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982" name="Text Box 668"/>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983" name="Text Box 673"/>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984" name="Picture 677"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85" name="Picture 678"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986" name="Text Box 679"/>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987" name="Picture 680"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88" name="Picture 681"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89" name="Picture 682"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90" name="Picture 683"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991" name="Text Box 684"/>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992" name="Picture 685"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93" name="Picture 686"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94" name="Picture 687"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solidFill>
          <a:srgbClr val="0000FF"/>
        </a:solid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95" name="Picture 688"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96" name="Picture 689"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997" name="Text Box 690"/>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998" name="Picture 691"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999" name="Picture 692"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00" name="Picture 693"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01" name="Picture 694"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02" name="Text Box 695"/>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1003" name="Picture 696"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04" name="Picture 697"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38100</xdr:colOff>
      <xdr:row>312</xdr:row>
      <xdr:rowOff>0</xdr:rowOff>
    </xdr:from>
    <xdr:to>
      <xdr:col>13</xdr:col>
      <xdr:colOff>66675</xdr:colOff>
      <xdr:row>312</xdr:row>
      <xdr:rowOff>0</xdr:rowOff>
    </xdr:to>
    <xdr:pic>
      <xdr:nvPicPr>
        <xdr:cNvPr id="1005" name="Picture 698" descr="bali2"/>
        <xdr:cNvPicPr>
          <a:picLocks noChangeAspect="1" noChangeArrowheads="1"/>
        </xdr:cNvPicPr>
      </xdr:nvPicPr>
      <xdr:blipFill>
        <a:blip xmlns:r="http://schemas.openxmlformats.org/officeDocument/2006/relationships" r:embed="rId1"/>
        <a:srcRect/>
        <a:stretch>
          <a:fillRect/>
        </a:stretch>
      </xdr:blipFill>
      <xdr:spPr bwMode="auto">
        <a:xfrm>
          <a:off x="6356350" y="43580050"/>
          <a:ext cx="219075" cy="0"/>
        </a:xfrm>
        <a:prstGeom prst="rect">
          <a:avLst/>
        </a:prstGeom>
        <a:solidFill>
          <a:srgbClr val="0000FF"/>
        </a:solid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06" name="Picture 699"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07" name="Picture 701"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08" name="Picture 702"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09" name="Picture 703"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10" name="Picture 704"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11" name="Picture 705"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12" name="Text Box 710"/>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13" name="Text Box 71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1014" name="Picture 723"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15" name="Picture 724"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16" name="Text Box 725"/>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1017" name="Picture 726"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18" name="Picture 727"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19" name="Picture 728"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20" name="Picture 729"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21" name="Text Box 730"/>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1022" name="Picture 731"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23" name="Picture 732"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24" name="Picture 733"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solidFill>
          <a:srgbClr val="0000FF"/>
        </a:solid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25" name="Picture 745"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26" name="Picture 746"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27" name="Picture 747"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28" name="Text Box 748"/>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1029" name="Picture 749"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30" name="Picture 750"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31" name="Picture 751"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32" name="Picture 752"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33" name="Text Box 753"/>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xdr:from>
      <xdr:col>12</xdr:col>
      <xdr:colOff>19050</xdr:colOff>
      <xdr:row>312</xdr:row>
      <xdr:rowOff>0</xdr:rowOff>
    </xdr:from>
    <xdr:to>
      <xdr:col>13</xdr:col>
      <xdr:colOff>47625</xdr:colOff>
      <xdr:row>312</xdr:row>
      <xdr:rowOff>0</xdr:rowOff>
    </xdr:to>
    <xdr:pic>
      <xdr:nvPicPr>
        <xdr:cNvPr id="1034" name="Picture 754"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47625</xdr:colOff>
      <xdr:row>312</xdr:row>
      <xdr:rowOff>0</xdr:rowOff>
    </xdr:to>
    <xdr:pic>
      <xdr:nvPicPr>
        <xdr:cNvPr id="1035" name="Picture 755"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19075" cy="0"/>
        </a:xfrm>
        <a:prstGeom prst="rect">
          <a:avLst/>
        </a:prstGeom>
        <a:noFill/>
        <a:ln w="9525">
          <a:noFill/>
          <a:miter lim="800000"/>
          <a:headEnd/>
          <a:tailEnd/>
        </a:ln>
      </xdr:spPr>
    </xdr:pic>
    <xdr:clientData/>
  </xdr:twoCellAnchor>
  <xdr:twoCellAnchor>
    <xdr:from>
      <xdr:col>12</xdr:col>
      <xdr:colOff>19050</xdr:colOff>
      <xdr:row>312</xdr:row>
      <xdr:rowOff>0</xdr:rowOff>
    </xdr:from>
    <xdr:to>
      <xdr:col>13</xdr:col>
      <xdr:colOff>28575</xdr:colOff>
      <xdr:row>312</xdr:row>
      <xdr:rowOff>0</xdr:rowOff>
    </xdr:to>
    <xdr:pic>
      <xdr:nvPicPr>
        <xdr:cNvPr id="1036" name="Picture 756" descr="bali2"/>
        <xdr:cNvPicPr>
          <a:picLocks noChangeAspect="1" noChangeArrowheads="1"/>
        </xdr:cNvPicPr>
      </xdr:nvPicPr>
      <xdr:blipFill>
        <a:blip xmlns:r="http://schemas.openxmlformats.org/officeDocument/2006/relationships" r:embed="rId1"/>
        <a:srcRect/>
        <a:stretch>
          <a:fillRect/>
        </a:stretch>
      </xdr:blipFill>
      <xdr:spPr bwMode="auto">
        <a:xfrm>
          <a:off x="6337300" y="43580050"/>
          <a:ext cx="200025" cy="0"/>
        </a:xfrm>
        <a:prstGeom prst="rect">
          <a:avLst/>
        </a:prstGeom>
        <a:solidFill>
          <a:srgbClr val="0000FF"/>
        </a:solidFill>
        <a:ln w="9525">
          <a:noFill/>
          <a:miter lim="800000"/>
          <a:headEnd/>
          <a:tailEnd/>
        </a:ln>
      </xdr:spPr>
    </xdr:pic>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37" name="Text Box 387"/>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38" name="Text Box 392"/>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39" name="Text Box 139"/>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40" name="Text Box 42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41" name="Text Box 426"/>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42" name="Text Box 43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43" name="Text Box 448"/>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311</xdr:row>
      <xdr:rowOff>0</xdr:rowOff>
    </xdr:from>
    <xdr:to>
      <xdr:col>14</xdr:col>
      <xdr:colOff>342900</xdr:colOff>
      <xdr:row>312</xdr:row>
      <xdr:rowOff>38100</xdr:rowOff>
    </xdr:to>
    <xdr:sp macro="" textlink="">
      <xdr:nvSpPr>
        <xdr:cNvPr id="1044" name="Text Box 398"/>
        <xdr:cNvSpPr txBox="1">
          <a:spLocks noChangeArrowheads="1"/>
        </xdr:cNvSpPr>
      </xdr:nvSpPr>
      <xdr:spPr bwMode="auto">
        <a:xfrm>
          <a:off x="7454900" y="43440350"/>
          <a:ext cx="76200" cy="177800"/>
        </a:xfrm>
        <a:prstGeom prst="rect">
          <a:avLst/>
        </a:prstGeom>
        <a:noFill/>
        <a:ln w="9525">
          <a:noFill/>
          <a:miter lim="800000"/>
          <a:headEnd/>
          <a:tailEnd/>
        </a:ln>
      </xdr:spPr>
    </xdr:sp>
    <xdr:clientData/>
  </xdr:twoCellAnchor>
  <xdr:twoCellAnchor editAs="oneCell">
    <xdr:from>
      <xdr:col>14</xdr:col>
      <xdr:colOff>266700</xdr:colOff>
      <xdr:row>311</xdr:row>
      <xdr:rowOff>0</xdr:rowOff>
    </xdr:from>
    <xdr:to>
      <xdr:col>14</xdr:col>
      <xdr:colOff>342900</xdr:colOff>
      <xdr:row>312</xdr:row>
      <xdr:rowOff>38100</xdr:rowOff>
    </xdr:to>
    <xdr:sp macro="" textlink="">
      <xdr:nvSpPr>
        <xdr:cNvPr id="1045" name="Text Box 403"/>
        <xdr:cNvSpPr txBox="1">
          <a:spLocks noChangeArrowheads="1"/>
        </xdr:cNvSpPr>
      </xdr:nvSpPr>
      <xdr:spPr bwMode="auto">
        <a:xfrm>
          <a:off x="7454900" y="43440350"/>
          <a:ext cx="76200" cy="177800"/>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38100</xdr:rowOff>
    </xdr:to>
    <xdr:sp macro="" textlink="">
      <xdr:nvSpPr>
        <xdr:cNvPr id="1046" name="Text Box 409"/>
        <xdr:cNvSpPr txBox="1">
          <a:spLocks noChangeArrowheads="1"/>
        </xdr:cNvSpPr>
      </xdr:nvSpPr>
      <xdr:spPr bwMode="auto">
        <a:xfrm>
          <a:off x="7454900" y="43580050"/>
          <a:ext cx="76200" cy="177800"/>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38100</xdr:rowOff>
    </xdr:to>
    <xdr:sp macro="" textlink="">
      <xdr:nvSpPr>
        <xdr:cNvPr id="1047" name="Text Box 414"/>
        <xdr:cNvSpPr txBox="1">
          <a:spLocks noChangeArrowheads="1"/>
        </xdr:cNvSpPr>
      </xdr:nvSpPr>
      <xdr:spPr bwMode="auto">
        <a:xfrm>
          <a:off x="7454900" y="43580050"/>
          <a:ext cx="76200" cy="177800"/>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38100</xdr:rowOff>
    </xdr:to>
    <xdr:sp macro="" textlink="">
      <xdr:nvSpPr>
        <xdr:cNvPr id="1048" name="Text Box 657"/>
        <xdr:cNvSpPr txBox="1">
          <a:spLocks noChangeArrowheads="1"/>
        </xdr:cNvSpPr>
      </xdr:nvSpPr>
      <xdr:spPr bwMode="auto">
        <a:xfrm>
          <a:off x="7454900" y="43580050"/>
          <a:ext cx="76200" cy="177800"/>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38100</xdr:rowOff>
    </xdr:to>
    <xdr:sp macro="" textlink="">
      <xdr:nvSpPr>
        <xdr:cNvPr id="1049" name="Text Box 662"/>
        <xdr:cNvSpPr txBox="1">
          <a:spLocks noChangeArrowheads="1"/>
        </xdr:cNvSpPr>
      </xdr:nvSpPr>
      <xdr:spPr bwMode="auto">
        <a:xfrm>
          <a:off x="7454900" y="43580050"/>
          <a:ext cx="76200" cy="177800"/>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38100</xdr:rowOff>
    </xdr:to>
    <xdr:sp macro="" textlink="">
      <xdr:nvSpPr>
        <xdr:cNvPr id="1050" name="Text Box 714"/>
        <xdr:cNvSpPr txBox="1">
          <a:spLocks noChangeArrowheads="1"/>
        </xdr:cNvSpPr>
      </xdr:nvSpPr>
      <xdr:spPr bwMode="auto">
        <a:xfrm>
          <a:off x="7454900" y="43580050"/>
          <a:ext cx="76200" cy="177800"/>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38100</xdr:rowOff>
    </xdr:to>
    <xdr:sp macro="" textlink="">
      <xdr:nvSpPr>
        <xdr:cNvPr id="1051" name="Text Box 719"/>
        <xdr:cNvSpPr txBox="1">
          <a:spLocks noChangeArrowheads="1"/>
        </xdr:cNvSpPr>
      </xdr:nvSpPr>
      <xdr:spPr bwMode="auto">
        <a:xfrm>
          <a:off x="7454900" y="43580050"/>
          <a:ext cx="76200" cy="177800"/>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38100</xdr:rowOff>
    </xdr:to>
    <xdr:sp macro="" textlink="">
      <xdr:nvSpPr>
        <xdr:cNvPr id="1052" name="Text Box 736"/>
        <xdr:cNvSpPr txBox="1">
          <a:spLocks noChangeArrowheads="1"/>
        </xdr:cNvSpPr>
      </xdr:nvSpPr>
      <xdr:spPr bwMode="auto">
        <a:xfrm>
          <a:off x="7454900" y="43580050"/>
          <a:ext cx="76200" cy="177800"/>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38100</xdr:rowOff>
    </xdr:to>
    <xdr:sp macro="" textlink="">
      <xdr:nvSpPr>
        <xdr:cNvPr id="1053" name="Text Box 741"/>
        <xdr:cNvSpPr txBox="1">
          <a:spLocks noChangeArrowheads="1"/>
        </xdr:cNvSpPr>
      </xdr:nvSpPr>
      <xdr:spPr bwMode="auto">
        <a:xfrm>
          <a:off x="7454900" y="43580050"/>
          <a:ext cx="76200" cy="177800"/>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54" name="Text Box 376"/>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55" name="Text Box 38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56" name="Text Box 139"/>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57" name="Text Box 42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58" name="Text Box 426"/>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59" name="Text Box 43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60" name="Text Box 448"/>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311</xdr:row>
      <xdr:rowOff>0</xdr:rowOff>
    </xdr:from>
    <xdr:to>
      <xdr:col>14</xdr:col>
      <xdr:colOff>342900</xdr:colOff>
      <xdr:row>312</xdr:row>
      <xdr:rowOff>28575</xdr:rowOff>
    </xdr:to>
    <xdr:sp macro="" textlink="">
      <xdr:nvSpPr>
        <xdr:cNvPr id="1061" name="Text Box 343"/>
        <xdr:cNvSpPr txBox="1">
          <a:spLocks noChangeArrowheads="1"/>
        </xdr:cNvSpPr>
      </xdr:nvSpPr>
      <xdr:spPr bwMode="auto">
        <a:xfrm>
          <a:off x="7454900" y="43440350"/>
          <a:ext cx="76200" cy="168275"/>
        </a:xfrm>
        <a:prstGeom prst="rect">
          <a:avLst/>
        </a:prstGeom>
        <a:noFill/>
        <a:ln w="9525">
          <a:noFill/>
          <a:miter lim="800000"/>
          <a:headEnd/>
          <a:tailEnd/>
        </a:ln>
      </xdr:spPr>
    </xdr:sp>
    <xdr:clientData/>
  </xdr:twoCellAnchor>
  <xdr:twoCellAnchor editAs="oneCell">
    <xdr:from>
      <xdr:col>14</xdr:col>
      <xdr:colOff>266700</xdr:colOff>
      <xdr:row>311</xdr:row>
      <xdr:rowOff>0</xdr:rowOff>
    </xdr:from>
    <xdr:to>
      <xdr:col>14</xdr:col>
      <xdr:colOff>342900</xdr:colOff>
      <xdr:row>312</xdr:row>
      <xdr:rowOff>28575</xdr:rowOff>
    </xdr:to>
    <xdr:sp macro="" textlink="">
      <xdr:nvSpPr>
        <xdr:cNvPr id="1062" name="Text Box 348"/>
        <xdr:cNvSpPr txBox="1">
          <a:spLocks noChangeArrowheads="1"/>
        </xdr:cNvSpPr>
      </xdr:nvSpPr>
      <xdr:spPr bwMode="auto">
        <a:xfrm>
          <a:off x="7454900" y="434403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63" name="Text Box 365"/>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64" name="Text Box 370"/>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65" name="Text Box 354"/>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66" name="Text Box 359"/>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67" name="Text Box 139"/>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68" name="Text Box 42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69" name="Text Box 426"/>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70" name="Text Box 43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71" name="Text Box 448"/>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72" name="Text Box 139"/>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73" name="Text Box 42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74" name="Text Box 426"/>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75" name="Text Box 431"/>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76" name="Text Box 448"/>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77" name="Text Box 288"/>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28575</xdr:rowOff>
    </xdr:to>
    <xdr:sp macro="" textlink="">
      <xdr:nvSpPr>
        <xdr:cNvPr id="1078" name="Text Box 293"/>
        <xdr:cNvSpPr txBox="1">
          <a:spLocks noChangeArrowheads="1"/>
        </xdr:cNvSpPr>
      </xdr:nvSpPr>
      <xdr:spPr bwMode="auto">
        <a:xfrm>
          <a:off x="7454900" y="43580050"/>
          <a:ext cx="76200" cy="16827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85725</xdr:rowOff>
    </xdr:to>
    <xdr:sp macro="" textlink="">
      <xdr:nvSpPr>
        <xdr:cNvPr id="1079" name="Text Box 139"/>
        <xdr:cNvSpPr txBox="1">
          <a:spLocks noChangeArrowheads="1"/>
        </xdr:cNvSpPr>
      </xdr:nvSpPr>
      <xdr:spPr bwMode="auto">
        <a:xfrm>
          <a:off x="7454900" y="43580050"/>
          <a:ext cx="76200" cy="22542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85725</xdr:rowOff>
    </xdr:to>
    <xdr:sp macro="" textlink="">
      <xdr:nvSpPr>
        <xdr:cNvPr id="1080" name="Text Box 421"/>
        <xdr:cNvSpPr txBox="1">
          <a:spLocks noChangeArrowheads="1"/>
        </xdr:cNvSpPr>
      </xdr:nvSpPr>
      <xdr:spPr bwMode="auto">
        <a:xfrm>
          <a:off x="7454900" y="43580050"/>
          <a:ext cx="76200" cy="22542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85725</xdr:rowOff>
    </xdr:to>
    <xdr:sp macro="" textlink="">
      <xdr:nvSpPr>
        <xdr:cNvPr id="1081" name="Text Box 426"/>
        <xdr:cNvSpPr txBox="1">
          <a:spLocks noChangeArrowheads="1"/>
        </xdr:cNvSpPr>
      </xdr:nvSpPr>
      <xdr:spPr bwMode="auto">
        <a:xfrm>
          <a:off x="7454900" y="43580050"/>
          <a:ext cx="76200" cy="22542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85725</xdr:rowOff>
    </xdr:to>
    <xdr:sp macro="" textlink="">
      <xdr:nvSpPr>
        <xdr:cNvPr id="1082" name="Text Box 431"/>
        <xdr:cNvSpPr txBox="1">
          <a:spLocks noChangeArrowheads="1"/>
        </xdr:cNvSpPr>
      </xdr:nvSpPr>
      <xdr:spPr bwMode="auto">
        <a:xfrm>
          <a:off x="7454900" y="43580050"/>
          <a:ext cx="76200" cy="225425"/>
        </a:xfrm>
        <a:prstGeom prst="rect">
          <a:avLst/>
        </a:prstGeom>
        <a:noFill/>
        <a:ln w="9525">
          <a:noFill/>
          <a:miter lim="800000"/>
          <a:headEnd/>
          <a:tailEnd/>
        </a:ln>
      </xdr:spPr>
    </xdr:sp>
    <xdr:clientData/>
  </xdr:twoCellAnchor>
  <xdr:twoCellAnchor editAs="oneCell">
    <xdr:from>
      <xdr:col>14</xdr:col>
      <xdr:colOff>266700</xdr:colOff>
      <xdr:row>312</xdr:row>
      <xdr:rowOff>0</xdr:rowOff>
    </xdr:from>
    <xdr:to>
      <xdr:col>14</xdr:col>
      <xdr:colOff>342900</xdr:colOff>
      <xdr:row>313</xdr:row>
      <xdr:rowOff>85725</xdr:rowOff>
    </xdr:to>
    <xdr:sp macro="" textlink="">
      <xdr:nvSpPr>
        <xdr:cNvPr id="1083" name="Text Box 448"/>
        <xdr:cNvSpPr txBox="1">
          <a:spLocks noChangeArrowheads="1"/>
        </xdr:cNvSpPr>
      </xdr:nvSpPr>
      <xdr:spPr bwMode="auto">
        <a:xfrm>
          <a:off x="7454900" y="4358005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84" name="Text Box 81"/>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85" name="Text Box 244"/>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86" name="Text Box 249"/>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87" name="Text Box 139"/>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88" name="Text Box 421"/>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89" name="Text Box 426"/>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90" name="Text Box 431"/>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91" name="Text Box 448"/>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92" name="Text Box 93"/>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93" name="Text Box 222"/>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94" name="Text Box 494"/>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095" name="Text Box 499"/>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096" name="Text Box 139"/>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097" name="Text Box 421"/>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098" name="Text Box 426"/>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099" name="Text Box 431"/>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00" name="Text Box 448"/>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01" name="Text Box 117"/>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02" name="Text Box 192"/>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103" name="Text Box 125"/>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104" name="Text Box 160"/>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28575</xdr:rowOff>
    </xdr:to>
    <xdr:sp macro="" textlink="">
      <xdr:nvSpPr>
        <xdr:cNvPr id="1105" name="Text Box 182"/>
        <xdr:cNvSpPr txBox="1">
          <a:spLocks noChangeArrowheads="1"/>
        </xdr:cNvSpPr>
      </xdr:nvSpPr>
      <xdr:spPr bwMode="auto">
        <a:xfrm>
          <a:off x="1460500" y="64668400"/>
          <a:ext cx="76200" cy="168275"/>
        </a:xfrm>
        <a:prstGeom prst="rect">
          <a:avLst/>
        </a:prstGeom>
        <a:noFill/>
        <a:ln w="9525">
          <a:noFill/>
          <a:miter lim="800000"/>
          <a:headEnd/>
          <a:tailEnd/>
        </a:ln>
      </xdr:spPr>
    </xdr:sp>
    <xdr:clientData/>
  </xdr:twoCellAnchor>
  <xdr:twoCellAnchor editAs="oneCell">
    <xdr:from>
      <xdr:col>2</xdr:col>
      <xdr:colOff>266700</xdr:colOff>
      <xdr:row>462</xdr:row>
      <xdr:rowOff>0</xdr:rowOff>
    </xdr:from>
    <xdr:to>
      <xdr:col>2</xdr:col>
      <xdr:colOff>342900</xdr:colOff>
      <xdr:row>463</xdr:row>
      <xdr:rowOff>85725</xdr:rowOff>
    </xdr:to>
    <xdr:sp macro="" textlink="">
      <xdr:nvSpPr>
        <xdr:cNvPr id="1106" name="Text Box 137"/>
        <xdr:cNvSpPr txBox="1">
          <a:spLocks noChangeArrowheads="1"/>
        </xdr:cNvSpPr>
      </xdr:nvSpPr>
      <xdr:spPr bwMode="auto">
        <a:xfrm>
          <a:off x="1460500" y="64528700"/>
          <a:ext cx="76200" cy="225425"/>
        </a:xfrm>
        <a:prstGeom prst="rect">
          <a:avLst/>
        </a:prstGeom>
        <a:noFill/>
        <a:ln w="9525">
          <a:noFill/>
          <a:miter lim="800000"/>
          <a:headEnd/>
          <a:tailEnd/>
        </a:ln>
      </xdr:spPr>
    </xdr:sp>
    <xdr:clientData/>
  </xdr:twoCellAnchor>
  <xdr:twoCellAnchor editAs="oneCell">
    <xdr:from>
      <xdr:col>2</xdr:col>
      <xdr:colOff>266700</xdr:colOff>
      <xdr:row>462</xdr:row>
      <xdr:rowOff>0</xdr:rowOff>
    </xdr:from>
    <xdr:to>
      <xdr:col>2</xdr:col>
      <xdr:colOff>342900</xdr:colOff>
      <xdr:row>463</xdr:row>
      <xdr:rowOff>85725</xdr:rowOff>
    </xdr:to>
    <xdr:sp macro="" textlink="">
      <xdr:nvSpPr>
        <xdr:cNvPr id="1107" name="Text Box 170"/>
        <xdr:cNvSpPr txBox="1">
          <a:spLocks noChangeArrowheads="1"/>
        </xdr:cNvSpPr>
      </xdr:nvSpPr>
      <xdr:spPr bwMode="auto">
        <a:xfrm>
          <a:off x="1460500" y="645287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08" name="Text Box 438"/>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09" name="Text Box 443"/>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0" name="Text Box 139"/>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1" name="Text Box 421"/>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2" name="Text Box 426"/>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3" name="Text Box 431"/>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4" name="Text Box 448"/>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5" name="Text Box 481"/>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6" name="Text Box 486"/>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7" name="Text Box 139"/>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8" name="Text Box 421"/>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19" name="Text Box 426"/>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20" name="Text Box 431"/>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21" name="Text Box 448"/>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22" name="Text Box 549"/>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23" name="Text Box 554"/>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24" name="Text Box 139"/>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25" name="Text Box 421"/>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26" name="Text Box 426"/>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27" name="Text Box 431"/>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463</xdr:row>
      <xdr:rowOff>0</xdr:rowOff>
    </xdr:from>
    <xdr:to>
      <xdr:col>2</xdr:col>
      <xdr:colOff>342900</xdr:colOff>
      <xdr:row>464</xdr:row>
      <xdr:rowOff>85725</xdr:rowOff>
    </xdr:to>
    <xdr:sp macro="" textlink="">
      <xdr:nvSpPr>
        <xdr:cNvPr id="1128" name="Text Box 448"/>
        <xdr:cNvSpPr txBox="1">
          <a:spLocks noChangeArrowheads="1"/>
        </xdr:cNvSpPr>
      </xdr:nvSpPr>
      <xdr:spPr bwMode="auto">
        <a:xfrm>
          <a:off x="1460500" y="64668400"/>
          <a:ext cx="76200" cy="225425"/>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29" name="Text Box 332"/>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0" name="Text Box 337"/>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1" name="Text Box 139"/>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2" name="Text Box 421"/>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3" name="Text Box 426"/>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4" name="Text Box 431"/>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5" name="Text Box 448"/>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6" name="Text Box 139"/>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7" name="Text Box 421"/>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8" name="Text Box 426"/>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39" name="Text Box 431"/>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0" name="Text Box 448"/>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1" name="Text Box 121"/>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2" name="Text Box 187"/>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3" name="Text Box 139"/>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4" name="Text Box 421"/>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5" name="Text Box 426"/>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6" name="Text Box 431"/>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7" name="Text Box 448"/>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8" name="Text Box 133"/>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49" name="Text Box 155"/>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50" name="Text Box 172"/>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51" name="Text Box 93"/>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52" name="Text Box 222"/>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53" name="Text Box 494"/>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54" name="Text Box 499"/>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55" name="Text Box 125"/>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56" name="Text Box 160"/>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87313</xdr:rowOff>
    </xdr:to>
    <xdr:sp macro="" textlink="">
      <xdr:nvSpPr>
        <xdr:cNvPr id="1157" name="Text Box 182"/>
        <xdr:cNvSpPr txBox="1">
          <a:spLocks noChangeArrowheads="1"/>
        </xdr:cNvSpPr>
      </xdr:nvSpPr>
      <xdr:spPr bwMode="auto">
        <a:xfrm>
          <a:off x="1460500" y="101123750"/>
          <a:ext cx="76200" cy="271463"/>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87312</xdr:rowOff>
    </xdr:to>
    <xdr:sp macro="" textlink="">
      <xdr:nvSpPr>
        <xdr:cNvPr id="1158" name="Text Box 137"/>
        <xdr:cNvSpPr txBox="1">
          <a:spLocks noChangeArrowheads="1"/>
        </xdr:cNvSpPr>
      </xdr:nvSpPr>
      <xdr:spPr bwMode="auto">
        <a:xfrm>
          <a:off x="1460500" y="101123750"/>
          <a:ext cx="76200" cy="271462"/>
        </a:xfrm>
        <a:prstGeom prst="rect">
          <a:avLst/>
        </a:prstGeom>
        <a:noFill/>
        <a:ln w="9525">
          <a:noFill/>
          <a:miter lim="800000"/>
          <a:headEnd/>
          <a:tailEnd/>
        </a:ln>
      </xdr:spPr>
    </xdr:sp>
    <xdr:clientData/>
  </xdr:twoCellAnchor>
  <xdr:twoCellAnchor editAs="oneCell">
    <xdr:from>
      <xdr:col>2</xdr:col>
      <xdr:colOff>266700</xdr:colOff>
      <xdr:row>724</xdr:row>
      <xdr:rowOff>0</xdr:rowOff>
    </xdr:from>
    <xdr:to>
      <xdr:col>2</xdr:col>
      <xdr:colOff>342900</xdr:colOff>
      <xdr:row>725</xdr:row>
      <xdr:rowOff>87312</xdr:rowOff>
    </xdr:to>
    <xdr:sp macro="" textlink="">
      <xdr:nvSpPr>
        <xdr:cNvPr id="1159" name="Text Box 170"/>
        <xdr:cNvSpPr txBox="1">
          <a:spLocks noChangeArrowheads="1"/>
        </xdr:cNvSpPr>
      </xdr:nvSpPr>
      <xdr:spPr bwMode="auto">
        <a:xfrm>
          <a:off x="1460500" y="101123750"/>
          <a:ext cx="76200" cy="271462"/>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0" name="Text Box 481"/>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1" name="Text Box 486"/>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2" name="Text Box 139"/>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3" name="Text Box 421"/>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4" name="Text Box 426"/>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5" name="Text Box 431"/>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6" name="Text Box 448"/>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7" name="Text Box 549"/>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8" name="Text Box 554"/>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69" name="Text Box 139"/>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70" name="Text Box 421"/>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71" name="Text Box 426"/>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72" name="Text Box 431"/>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19</xdr:row>
      <xdr:rowOff>0</xdr:rowOff>
    </xdr:from>
    <xdr:to>
      <xdr:col>23</xdr:col>
      <xdr:colOff>342900</xdr:colOff>
      <xdr:row>20</xdr:row>
      <xdr:rowOff>85724</xdr:rowOff>
    </xdr:to>
    <xdr:sp macro="" textlink="">
      <xdr:nvSpPr>
        <xdr:cNvPr id="1173" name="Text Box 448"/>
        <xdr:cNvSpPr txBox="1">
          <a:spLocks noChangeArrowheads="1"/>
        </xdr:cNvSpPr>
      </xdr:nvSpPr>
      <xdr:spPr bwMode="auto">
        <a:xfrm>
          <a:off x="13309600" y="2647950"/>
          <a:ext cx="76200" cy="225424"/>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74" name="Text Box 481"/>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75" name="Text Box 486"/>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76" name="Text Box 139"/>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77" name="Text Box 421"/>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78" name="Text Box 426"/>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79" name="Text Box 431"/>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80" name="Text Box 448"/>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81" name="Text Box 549"/>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82" name="Text Box 554"/>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83" name="Text Box 139"/>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84" name="Text Box 421"/>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85" name="Text Box 426"/>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86" name="Text Box 431"/>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44</xdr:row>
      <xdr:rowOff>0</xdr:rowOff>
    </xdr:from>
    <xdr:to>
      <xdr:col>23</xdr:col>
      <xdr:colOff>342900</xdr:colOff>
      <xdr:row>45</xdr:row>
      <xdr:rowOff>85725</xdr:rowOff>
    </xdr:to>
    <xdr:sp macro="" textlink="">
      <xdr:nvSpPr>
        <xdr:cNvPr id="1187" name="Text Box 448"/>
        <xdr:cNvSpPr txBox="1">
          <a:spLocks noChangeArrowheads="1"/>
        </xdr:cNvSpPr>
      </xdr:nvSpPr>
      <xdr:spPr bwMode="auto">
        <a:xfrm>
          <a:off x="13309600" y="6140450"/>
          <a:ext cx="76200" cy="225425"/>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88" name="Text Box 481"/>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89" name="Text Box 486"/>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0" name="Text Box 139"/>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1" name="Text Box 421"/>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2" name="Text Box 426"/>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3" name="Text Box 431"/>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4" name="Text Box 448"/>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5" name="Text Box 549"/>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6" name="Text Box 554"/>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7" name="Text Box 139"/>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8" name="Text Box 421"/>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199" name="Text Box 426"/>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200" name="Text Box 431"/>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23</xdr:col>
      <xdr:colOff>266700</xdr:colOff>
      <xdr:row>74</xdr:row>
      <xdr:rowOff>0</xdr:rowOff>
    </xdr:from>
    <xdr:to>
      <xdr:col>23</xdr:col>
      <xdr:colOff>342900</xdr:colOff>
      <xdr:row>75</xdr:row>
      <xdr:rowOff>85724</xdr:rowOff>
    </xdr:to>
    <xdr:sp macro="" textlink="">
      <xdr:nvSpPr>
        <xdr:cNvPr id="1201" name="Text Box 448"/>
        <xdr:cNvSpPr txBox="1">
          <a:spLocks noChangeArrowheads="1"/>
        </xdr:cNvSpPr>
      </xdr:nvSpPr>
      <xdr:spPr bwMode="auto">
        <a:xfrm>
          <a:off x="13309600" y="10331450"/>
          <a:ext cx="76200" cy="225424"/>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28575</xdr:rowOff>
    </xdr:to>
    <xdr:sp macro="" textlink="">
      <xdr:nvSpPr>
        <xdr:cNvPr id="1202" name="Text Box 93"/>
        <xdr:cNvSpPr txBox="1">
          <a:spLocks noChangeArrowheads="1"/>
        </xdr:cNvSpPr>
      </xdr:nvSpPr>
      <xdr:spPr bwMode="auto">
        <a:xfrm>
          <a:off x="7454900" y="46932850"/>
          <a:ext cx="76200" cy="16827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28575</xdr:rowOff>
    </xdr:to>
    <xdr:sp macro="" textlink="">
      <xdr:nvSpPr>
        <xdr:cNvPr id="1203" name="Text Box 222"/>
        <xdr:cNvSpPr txBox="1">
          <a:spLocks noChangeArrowheads="1"/>
        </xdr:cNvSpPr>
      </xdr:nvSpPr>
      <xdr:spPr bwMode="auto">
        <a:xfrm>
          <a:off x="7454900" y="46932850"/>
          <a:ext cx="76200" cy="16827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28575</xdr:rowOff>
    </xdr:to>
    <xdr:sp macro="" textlink="">
      <xdr:nvSpPr>
        <xdr:cNvPr id="1204" name="Text Box 494"/>
        <xdr:cNvSpPr txBox="1">
          <a:spLocks noChangeArrowheads="1"/>
        </xdr:cNvSpPr>
      </xdr:nvSpPr>
      <xdr:spPr bwMode="auto">
        <a:xfrm>
          <a:off x="7454900" y="46932850"/>
          <a:ext cx="76200" cy="16827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28575</xdr:rowOff>
    </xdr:to>
    <xdr:sp macro="" textlink="">
      <xdr:nvSpPr>
        <xdr:cNvPr id="1205" name="Text Box 499"/>
        <xdr:cNvSpPr txBox="1">
          <a:spLocks noChangeArrowheads="1"/>
        </xdr:cNvSpPr>
      </xdr:nvSpPr>
      <xdr:spPr bwMode="auto">
        <a:xfrm>
          <a:off x="7454900" y="46932850"/>
          <a:ext cx="76200" cy="16827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06" name="Text Box 139"/>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07" name="Text Box 421"/>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08" name="Text Box 426"/>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09" name="Text Box 431"/>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10" name="Text Box 448"/>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11" name="Text Box 117"/>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12" name="Text Box 192"/>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28575</xdr:rowOff>
    </xdr:to>
    <xdr:sp macro="" textlink="">
      <xdr:nvSpPr>
        <xdr:cNvPr id="1213" name="Text Box 125"/>
        <xdr:cNvSpPr txBox="1">
          <a:spLocks noChangeArrowheads="1"/>
        </xdr:cNvSpPr>
      </xdr:nvSpPr>
      <xdr:spPr bwMode="auto">
        <a:xfrm>
          <a:off x="7454900" y="46932850"/>
          <a:ext cx="76200" cy="16827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28575</xdr:rowOff>
    </xdr:to>
    <xdr:sp macro="" textlink="">
      <xdr:nvSpPr>
        <xdr:cNvPr id="1214" name="Text Box 160"/>
        <xdr:cNvSpPr txBox="1">
          <a:spLocks noChangeArrowheads="1"/>
        </xdr:cNvSpPr>
      </xdr:nvSpPr>
      <xdr:spPr bwMode="auto">
        <a:xfrm>
          <a:off x="7454900" y="46932850"/>
          <a:ext cx="76200" cy="16827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28575</xdr:rowOff>
    </xdr:to>
    <xdr:sp macro="" textlink="">
      <xdr:nvSpPr>
        <xdr:cNvPr id="1215" name="Text Box 182"/>
        <xdr:cNvSpPr txBox="1">
          <a:spLocks noChangeArrowheads="1"/>
        </xdr:cNvSpPr>
      </xdr:nvSpPr>
      <xdr:spPr bwMode="auto">
        <a:xfrm>
          <a:off x="7454900" y="46932850"/>
          <a:ext cx="76200" cy="168275"/>
        </a:xfrm>
        <a:prstGeom prst="rect">
          <a:avLst/>
        </a:prstGeom>
        <a:noFill/>
        <a:ln w="9525">
          <a:noFill/>
          <a:miter lim="800000"/>
          <a:headEnd/>
          <a:tailEnd/>
        </a:ln>
      </xdr:spPr>
    </xdr:sp>
    <xdr:clientData/>
  </xdr:twoCellAnchor>
  <xdr:twoCellAnchor editAs="oneCell">
    <xdr:from>
      <xdr:col>14</xdr:col>
      <xdr:colOff>266700</xdr:colOff>
      <xdr:row>335</xdr:row>
      <xdr:rowOff>0</xdr:rowOff>
    </xdr:from>
    <xdr:to>
      <xdr:col>14</xdr:col>
      <xdr:colOff>342900</xdr:colOff>
      <xdr:row>336</xdr:row>
      <xdr:rowOff>85726</xdr:rowOff>
    </xdr:to>
    <xdr:sp macro="" textlink="">
      <xdr:nvSpPr>
        <xdr:cNvPr id="1216" name="Text Box 137"/>
        <xdr:cNvSpPr txBox="1">
          <a:spLocks noChangeArrowheads="1"/>
        </xdr:cNvSpPr>
      </xdr:nvSpPr>
      <xdr:spPr bwMode="auto">
        <a:xfrm>
          <a:off x="7454900" y="46793150"/>
          <a:ext cx="76200" cy="225426"/>
        </a:xfrm>
        <a:prstGeom prst="rect">
          <a:avLst/>
        </a:prstGeom>
        <a:noFill/>
        <a:ln w="9525">
          <a:noFill/>
          <a:miter lim="800000"/>
          <a:headEnd/>
          <a:tailEnd/>
        </a:ln>
      </xdr:spPr>
    </xdr:sp>
    <xdr:clientData/>
  </xdr:twoCellAnchor>
  <xdr:twoCellAnchor editAs="oneCell">
    <xdr:from>
      <xdr:col>14</xdr:col>
      <xdr:colOff>266700</xdr:colOff>
      <xdr:row>335</xdr:row>
      <xdr:rowOff>0</xdr:rowOff>
    </xdr:from>
    <xdr:to>
      <xdr:col>14</xdr:col>
      <xdr:colOff>342900</xdr:colOff>
      <xdr:row>336</xdr:row>
      <xdr:rowOff>85726</xdr:rowOff>
    </xdr:to>
    <xdr:sp macro="" textlink="">
      <xdr:nvSpPr>
        <xdr:cNvPr id="1217" name="Text Box 170"/>
        <xdr:cNvSpPr txBox="1">
          <a:spLocks noChangeArrowheads="1"/>
        </xdr:cNvSpPr>
      </xdr:nvSpPr>
      <xdr:spPr bwMode="auto">
        <a:xfrm>
          <a:off x="7454900" y="46793150"/>
          <a:ext cx="76200" cy="225426"/>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18" name="Text Box 438"/>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19" name="Text Box 443"/>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0" name="Text Box 139"/>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1" name="Text Box 421"/>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2" name="Text Box 426"/>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3" name="Text Box 431"/>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4" name="Text Box 448"/>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5" name="Text Box 481"/>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6" name="Text Box 486"/>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7" name="Text Box 139"/>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8" name="Text Box 421"/>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29" name="Text Box 426"/>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30" name="Text Box 431"/>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31" name="Text Box 448"/>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32" name="Text Box 549"/>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33" name="Text Box 554"/>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34" name="Text Box 139"/>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35" name="Text Box 421"/>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36" name="Text Box 426"/>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37" name="Text Box 431"/>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336</xdr:row>
      <xdr:rowOff>0</xdr:rowOff>
    </xdr:from>
    <xdr:to>
      <xdr:col>14</xdr:col>
      <xdr:colOff>342900</xdr:colOff>
      <xdr:row>337</xdr:row>
      <xdr:rowOff>85725</xdr:rowOff>
    </xdr:to>
    <xdr:sp macro="" textlink="">
      <xdr:nvSpPr>
        <xdr:cNvPr id="1238" name="Text Box 448"/>
        <xdr:cNvSpPr txBox="1">
          <a:spLocks noChangeArrowheads="1"/>
        </xdr:cNvSpPr>
      </xdr:nvSpPr>
      <xdr:spPr bwMode="auto">
        <a:xfrm>
          <a:off x="7454900" y="46932850"/>
          <a:ext cx="76200" cy="225425"/>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39" name="Text Box 354"/>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0" name="Text Box 359"/>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1" name="Text Box 139"/>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2" name="Text Box 421"/>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3" name="Text Box 426"/>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4" name="Text Box 431"/>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5" name="Text Box 448"/>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6" name="Text Box 139"/>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7" name="Text Box 421"/>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8" name="Text Box 426"/>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49" name="Text Box 431"/>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50" name="Text Box 448"/>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51" name="Text Box 288"/>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28576</xdr:rowOff>
    </xdr:to>
    <xdr:sp macro="" textlink="">
      <xdr:nvSpPr>
        <xdr:cNvPr id="1252" name="Text Box 293"/>
        <xdr:cNvSpPr txBox="1">
          <a:spLocks noChangeArrowheads="1"/>
        </xdr:cNvSpPr>
      </xdr:nvSpPr>
      <xdr:spPr bwMode="auto">
        <a:xfrm>
          <a:off x="7454900" y="51542950"/>
          <a:ext cx="76200" cy="16827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85726</xdr:rowOff>
    </xdr:to>
    <xdr:sp macro="" textlink="">
      <xdr:nvSpPr>
        <xdr:cNvPr id="1253" name="Text Box 139"/>
        <xdr:cNvSpPr txBox="1">
          <a:spLocks noChangeArrowheads="1"/>
        </xdr:cNvSpPr>
      </xdr:nvSpPr>
      <xdr:spPr bwMode="auto">
        <a:xfrm>
          <a:off x="7454900" y="51542950"/>
          <a:ext cx="76200" cy="22542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85726</xdr:rowOff>
    </xdr:to>
    <xdr:sp macro="" textlink="">
      <xdr:nvSpPr>
        <xdr:cNvPr id="1254" name="Text Box 421"/>
        <xdr:cNvSpPr txBox="1">
          <a:spLocks noChangeArrowheads="1"/>
        </xdr:cNvSpPr>
      </xdr:nvSpPr>
      <xdr:spPr bwMode="auto">
        <a:xfrm>
          <a:off x="7454900" y="51542950"/>
          <a:ext cx="76200" cy="22542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85726</xdr:rowOff>
    </xdr:to>
    <xdr:sp macro="" textlink="">
      <xdr:nvSpPr>
        <xdr:cNvPr id="1255" name="Text Box 426"/>
        <xdr:cNvSpPr txBox="1">
          <a:spLocks noChangeArrowheads="1"/>
        </xdr:cNvSpPr>
      </xdr:nvSpPr>
      <xdr:spPr bwMode="auto">
        <a:xfrm>
          <a:off x="7454900" y="51542950"/>
          <a:ext cx="76200" cy="22542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85726</xdr:rowOff>
    </xdr:to>
    <xdr:sp macro="" textlink="">
      <xdr:nvSpPr>
        <xdr:cNvPr id="1256" name="Text Box 431"/>
        <xdr:cNvSpPr txBox="1">
          <a:spLocks noChangeArrowheads="1"/>
        </xdr:cNvSpPr>
      </xdr:nvSpPr>
      <xdr:spPr bwMode="auto">
        <a:xfrm>
          <a:off x="7454900" y="51542950"/>
          <a:ext cx="76200" cy="225426"/>
        </a:xfrm>
        <a:prstGeom prst="rect">
          <a:avLst/>
        </a:prstGeom>
        <a:noFill/>
        <a:ln w="9525">
          <a:noFill/>
          <a:miter lim="800000"/>
          <a:headEnd/>
          <a:tailEnd/>
        </a:ln>
      </xdr:spPr>
    </xdr:sp>
    <xdr:clientData/>
  </xdr:twoCellAnchor>
  <xdr:twoCellAnchor editAs="oneCell">
    <xdr:from>
      <xdr:col>14</xdr:col>
      <xdr:colOff>266700</xdr:colOff>
      <xdr:row>369</xdr:row>
      <xdr:rowOff>0</xdr:rowOff>
    </xdr:from>
    <xdr:to>
      <xdr:col>14</xdr:col>
      <xdr:colOff>342900</xdr:colOff>
      <xdr:row>370</xdr:row>
      <xdr:rowOff>85726</xdr:rowOff>
    </xdr:to>
    <xdr:sp macro="" textlink="">
      <xdr:nvSpPr>
        <xdr:cNvPr id="1257" name="Text Box 448"/>
        <xdr:cNvSpPr txBox="1">
          <a:spLocks noChangeArrowheads="1"/>
        </xdr:cNvSpPr>
      </xdr:nvSpPr>
      <xdr:spPr bwMode="auto">
        <a:xfrm>
          <a:off x="7454900" y="51542950"/>
          <a:ext cx="76200" cy="225426"/>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58" name="Text Box 354"/>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59" name="Text Box 359"/>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0" name="Text Box 139"/>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1" name="Text Box 421"/>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2" name="Text Box 426"/>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3" name="Text Box 431"/>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4" name="Text Box 448"/>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5" name="Text Box 139"/>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6" name="Text Box 421"/>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7" name="Text Box 426"/>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8" name="Text Box 431"/>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69" name="Text Box 448"/>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70" name="Text Box 288"/>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28577</xdr:rowOff>
    </xdr:to>
    <xdr:sp macro="" textlink="">
      <xdr:nvSpPr>
        <xdr:cNvPr id="1271" name="Text Box 293"/>
        <xdr:cNvSpPr txBox="1">
          <a:spLocks noChangeArrowheads="1"/>
        </xdr:cNvSpPr>
      </xdr:nvSpPr>
      <xdr:spPr bwMode="auto">
        <a:xfrm>
          <a:off x="17043400" y="2057400"/>
          <a:ext cx="76200" cy="16827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85727</xdr:rowOff>
    </xdr:to>
    <xdr:sp macro="" textlink="">
      <xdr:nvSpPr>
        <xdr:cNvPr id="1272" name="Text Box 139"/>
        <xdr:cNvSpPr txBox="1">
          <a:spLocks noChangeArrowheads="1"/>
        </xdr:cNvSpPr>
      </xdr:nvSpPr>
      <xdr:spPr bwMode="auto">
        <a:xfrm>
          <a:off x="17043400" y="2057400"/>
          <a:ext cx="76200" cy="22542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85727</xdr:rowOff>
    </xdr:to>
    <xdr:sp macro="" textlink="">
      <xdr:nvSpPr>
        <xdr:cNvPr id="1273" name="Text Box 421"/>
        <xdr:cNvSpPr txBox="1">
          <a:spLocks noChangeArrowheads="1"/>
        </xdr:cNvSpPr>
      </xdr:nvSpPr>
      <xdr:spPr bwMode="auto">
        <a:xfrm>
          <a:off x="17043400" y="2057400"/>
          <a:ext cx="76200" cy="22542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85727</xdr:rowOff>
    </xdr:to>
    <xdr:sp macro="" textlink="">
      <xdr:nvSpPr>
        <xdr:cNvPr id="1274" name="Text Box 426"/>
        <xdr:cNvSpPr txBox="1">
          <a:spLocks noChangeArrowheads="1"/>
        </xdr:cNvSpPr>
      </xdr:nvSpPr>
      <xdr:spPr bwMode="auto">
        <a:xfrm>
          <a:off x="17043400" y="2057400"/>
          <a:ext cx="76200" cy="22542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85727</xdr:rowOff>
    </xdr:to>
    <xdr:sp macro="" textlink="">
      <xdr:nvSpPr>
        <xdr:cNvPr id="1275" name="Text Box 431"/>
        <xdr:cNvSpPr txBox="1">
          <a:spLocks noChangeArrowheads="1"/>
        </xdr:cNvSpPr>
      </xdr:nvSpPr>
      <xdr:spPr bwMode="auto">
        <a:xfrm>
          <a:off x="17043400" y="2057400"/>
          <a:ext cx="76200" cy="225427"/>
        </a:xfrm>
        <a:prstGeom prst="rect">
          <a:avLst/>
        </a:prstGeom>
        <a:noFill/>
        <a:ln w="9525">
          <a:noFill/>
          <a:miter lim="800000"/>
          <a:headEnd/>
          <a:tailEnd/>
        </a:ln>
      </xdr:spPr>
    </xdr:sp>
    <xdr:clientData/>
  </xdr:twoCellAnchor>
  <xdr:twoCellAnchor editAs="oneCell">
    <xdr:from>
      <xdr:col>29</xdr:col>
      <xdr:colOff>266700</xdr:colOff>
      <xdr:row>15</xdr:row>
      <xdr:rowOff>0</xdr:rowOff>
    </xdr:from>
    <xdr:to>
      <xdr:col>29</xdr:col>
      <xdr:colOff>342900</xdr:colOff>
      <xdr:row>16</xdr:row>
      <xdr:rowOff>85727</xdr:rowOff>
    </xdr:to>
    <xdr:sp macro="" textlink="">
      <xdr:nvSpPr>
        <xdr:cNvPr id="1276" name="Text Box 448"/>
        <xdr:cNvSpPr txBox="1">
          <a:spLocks noChangeArrowheads="1"/>
        </xdr:cNvSpPr>
      </xdr:nvSpPr>
      <xdr:spPr bwMode="auto">
        <a:xfrm>
          <a:off x="17043400" y="2057400"/>
          <a:ext cx="76200" cy="225427"/>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77" name="Text Box 481"/>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78" name="Text Box 486"/>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79" name="Text Box 139"/>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0" name="Text Box 421"/>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1" name="Text Box 426"/>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2" name="Text Box 431"/>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3" name="Text Box 448"/>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4" name="Text Box 549"/>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5" name="Text Box 554"/>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6" name="Text Box 139"/>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7" name="Text Box 421"/>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8" name="Text Box 426"/>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89" name="Text Box 431"/>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23</xdr:col>
      <xdr:colOff>266700</xdr:colOff>
      <xdr:row>105</xdr:row>
      <xdr:rowOff>0</xdr:rowOff>
    </xdr:from>
    <xdr:to>
      <xdr:col>23</xdr:col>
      <xdr:colOff>342900</xdr:colOff>
      <xdr:row>106</xdr:row>
      <xdr:rowOff>85726</xdr:rowOff>
    </xdr:to>
    <xdr:sp macro="" textlink="">
      <xdr:nvSpPr>
        <xdr:cNvPr id="1290" name="Text Box 448"/>
        <xdr:cNvSpPr txBox="1">
          <a:spLocks noChangeArrowheads="1"/>
        </xdr:cNvSpPr>
      </xdr:nvSpPr>
      <xdr:spPr bwMode="auto">
        <a:xfrm>
          <a:off x="13309600" y="14662150"/>
          <a:ext cx="76200" cy="22542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291" name="Text Box 354"/>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292" name="Text Box 359"/>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293" name="Text Box 139"/>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294" name="Text Box 421"/>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295" name="Text Box 426"/>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296" name="Text Box 431"/>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297" name="Text Box 448"/>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298" name="Text Box 139"/>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299" name="Text Box 421"/>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300" name="Text Box 426"/>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301" name="Text Box 431"/>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302" name="Text Box 448"/>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303" name="Text Box 288"/>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28576</xdr:rowOff>
    </xdr:to>
    <xdr:sp macro="" textlink="">
      <xdr:nvSpPr>
        <xdr:cNvPr id="1304" name="Text Box 293"/>
        <xdr:cNvSpPr txBox="1">
          <a:spLocks noChangeArrowheads="1"/>
        </xdr:cNvSpPr>
      </xdr:nvSpPr>
      <xdr:spPr bwMode="auto">
        <a:xfrm>
          <a:off x="7454900" y="55035450"/>
          <a:ext cx="76200" cy="16827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85726</xdr:rowOff>
    </xdr:to>
    <xdr:sp macro="" textlink="">
      <xdr:nvSpPr>
        <xdr:cNvPr id="1305" name="Text Box 139"/>
        <xdr:cNvSpPr txBox="1">
          <a:spLocks noChangeArrowheads="1"/>
        </xdr:cNvSpPr>
      </xdr:nvSpPr>
      <xdr:spPr bwMode="auto">
        <a:xfrm>
          <a:off x="7454900" y="55035450"/>
          <a:ext cx="76200" cy="22542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85726</xdr:rowOff>
    </xdr:to>
    <xdr:sp macro="" textlink="">
      <xdr:nvSpPr>
        <xdr:cNvPr id="1306" name="Text Box 421"/>
        <xdr:cNvSpPr txBox="1">
          <a:spLocks noChangeArrowheads="1"/>
        </xdr:cNvSpPr>
      </xdr:nvSpPr>
      <xdr:spPr bwMode="auto">
        <a:xfrm>
          <a:off x="7454900" y="55035450"/>
          <a:ext cx="76200" cy="22542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85726</xdr:rowOff>
    </xdr:to>
    <xdr:sp macro="" textlink="">
      <xdr:nvSpPr>
        <xdr:cNvPr id="1307" name="Text Box 426"/>
        <xdr:cNvSpPr txBox="1">
          <a:spLocks noChangeArrowheads="1"/>
        </xdr:cNvSpPr>
      </xdr:nvSpPr>
      <xdr:spPr bwMode="auto">
        <a:xfrm>
          <a:off x="7454900" y="55035450"/>
          <a:ext cx="76200" cy="22542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85726</xdr:rowOff>
    </xdr:to>
    <xdr:sp macro="" textlink="">
      <xdr:nvSpPr>
        <xdr:cNvPr id="1308" name="Text Box 431"/>
        <xdr:cNvSpPr txBox="1">
          <a:spLocks noChangeArrowheads="1"/>
        </xdr:cNvSpPr>
      </xdr:nvSpPr>
      <xdr:spPr bwMode="auto">
        <a:xfrm>
          <a:off x="7454900" y="55035450"/>
          <a:ext cx="76200" cy="225426"/>
        </a:xfrm>
        <a:prstGeom prst="rect">
          <a:avLst/>
        </a:prstGeom>
        <a:noFill/>
        <a:ln w="9525">
          <a:noFill/>
          <a:miter lim="800000"/>
          <a:headEnd/>
          <a:tailEnd/>
        </a:ln>
      </xdr:spPr>
    </xdr:sp>
    <xdr:clientData/>
  </xdr:twoCellAnchor>
  <xdr:twoCellAnchor editAs="oneCell">
    <xdr:from>
      <xdr:col>14</xdr:col>
      <xdr:colOff>266700</xdr:colOff>
      <xdr:row>394</xdr:row>
      <xdr:rowOff>0</xdr:rowOff>
    </xdr:from>
    <xdr:to>
      <xdr:col>14</xdr:col>
      <xdr:colOff>342900</xdr:colOff>
      <xdr:row>395</xdr:row>
      <xdr:rowOff>85726</xdr:rowOff>
    </xdr:to>
    <xdr:sp macro="" textlink="">
      <xdr:nvSpPr>
        <xdr:cNvPr id="1309" name="Text Box 448"/>
        <xdr:cNvSpPr txBox="1">
          <a:spLocks noChangeArrowheads="1"/>
        </xdr:cNvSpPr>
      </xdr:nvSpPr>
      <xdr:spPr bwMode="auto">
        <a:xfrm>
          <a:off x="7454900" y="55035450"/>
          <a:ext cx="76200" cy="225426"/>
        </a:xfrm>
        <a:prstGeom prst="rect">
          <a:avLst/>
        </a:prstGeom>
        <a:noFill/>
        <a:ln w="9525">
          <a:noFill/>
          <a:miter lim="800000"/>
          <a:headEnd/>
          <a:tailEnd/>
        </a:ln>
      </xdr:spPr>
    </xdr:sp>
    <xdr:clientData/>
  </xdr:twoCellAnchor>
  <xdr:twoCellAnchor editAs="oneCell">
    <xdr:from>
      <xdr:col>13</xdr:col>
      <xdr:colOff>266700</xdr:colOff>
      <xdr:row>16</xdr:row>
      <xdr:rowOff>0</xdr:rowOff>
    </xdr:from>
    <xdr:to>
      <xdr:col>13</xdr:col>
      <xdr:colOff>342900</xdr:colOff>
      <xdr:row>17</xdr:row>
      <xdr:rowOff>28575</xdr:rowOff>
    </xdr:to>
    <xdr:sp macro="" textlink="">
      <xdr:nvSpPr>
        <xdr:cNvPr id="1310" name="Text Box 288"/>
        <xdr:cNvSpPr txBox="1">
          <a:spLocks noChangeArrowheads="1"/>
        </xdr:cNvSpPr>
      </xdr:nvSpPr>
      <xdr:spPr bwMode="auto">
        <a:xfrm>
          <a:off x="6775450" y="2197100"/>
          <a:ext cx="76200" cy="168275"/>
        </a:xfrm>
        <a:prstGeom prst="rect">
          <a:avLst/>
        </a:prstGeom>
        <a:noFill/>
        <a:ln w="9525">
          <a:noFill/>
          <a:miter lim="800000"/>
          <a:headEnd/>
          <a:tailEnd/>
        </a:ln>
      </xdr:spPr>
    </xdr:sp>
    <xdr:clientData/>
  </xdr:twoCellAnchor>
  <xdr:twoCellAnchor editAs="oneCell">
    <xdr:from>
      <xdr:col>13</xdr:col>
      <xdr:colOff>266700</xdr:colOff>
      <xdr:row>16</xdr:row>
      <xdr:rowOff>0</xdr:rowOff>
    </xdr:from>
    <xdr:to>
      <xdr:col>13</xdr:col>
      <xdr:colOff>342900</xdr:colOff>
      <xdr:row>17</xdr:row>
      <xdr:rowOff>28575</xdr:rowOff>
    </xdr:to>
    <xdr:sp macro="" textlink="">
      <xdr:nvSpPr>
        <xdr:cNvPr id="1311" name="Text Box 293"/>
        <xdr:cNvSpPr txBox="1">
          <a:spLocks noChangeArrowheads="1"/>
        </xdr:cNvSpPr>
      </xdr:nvSpPr>
      <xdr:spPr bwMode="auto">
        <a:xfrm>
          <a:off x="6775450" y="2197100"/>
          <a:ext cx="76200" cy="168275"/>
        </a:xfrm>
        <a:prstGeom prst="rect">
          <a:avLst/>
        </a:prstGeom>
        <a:noFill/>
        <a:ln w="9525">
          <a:noFill/>
          <a:miter lim="800000"/>
          <a:headEnd/>
          <a:tailEnd/>
        </a:ln>
      </xdr:spPr>
    </xdr:sp>
    <xdr:clientData/>
  </xdr:twoCellAnchor>
  <xdr:twoCellAnchor editAs="oneCell">
    <xdr:from>
      <xdr:col>13</xdr:col>
      <xdr:colOff>266700</xdr:colOff>
      <xdr:row>16</xdr:row>
      <xdr:rowOff>0</xdr:rowOff>
    </xdr:from>
    <xdr:to>
      <xdr:col>13</xdr:col>
      <xdr:colOff>342900</xdr:colOff>
      <xdr:row>17</xdr:row>
      <xdr:rowOff>85725</xdr:rowOff>
    </xdr:to>
    <xdr:sp macro="" textlink="">
      <xdr:nvSpPr>
        <xdr:cNvPr id="1312" name="Text Box 139"/>
        <xdr:cNvSpPr txBox="1">
          <a:spLocks noChangeArrowheads="1"/>
        </xdr:cNvSpPr>
      </xdr:nvSpPr>
      <xdr:spPr bwMode="auto">
        <a:xfrm>
          <a:off x="6775450" y="2197100"/>
          <a:ext cx="76200" cy="225425"/>
        </a:xfrm>
        <a:prstGeom prst="rect">
          <a:avLst/>
        </a:prstGeom>
        <a:noFill/>
        <a:ln w="9525">
          <a:noFill/>
          <a:miter lim="800000"/>
          <a:headEnd/>
          <a:tailEnd/>
        </a:ln>
      </xdr:spPr>
    </xdr:sp>
    <xdr:clientData/>
  </xdr:twoCellAnchor>
  <xdr:twoCellAnchor editAs="oneCell">
    <xdr:from>
      <xdr:col>13</xdr:col>
      <xdr:colOff>266700</xdr:colOff>
      <xdr:row>16</xdr:row>
      <xdr:rowOff>0</xdr:rowOff>
    </xdr:from>
    <xdr:to>
      <xdr:col>13</xdr:col>
      <xdr:colOff>342900</xdr:colOff>
      <xdr:row>17</xdr:row>
      <xdr:rowOff>85725</xdr:rowOff>
    </xdr:to>
    <xdr:sp macro="" textlink="">
      <xdr:nvSpPr>
        <xdr:cNvPr id="1313" name="Text Box 421"/>
        <xdr:cNvSpPr txBox="1">
          <a:spLocks noChangeArrowheads="1"/>
        </xdr:cNvSpPr>
      </xdr:nvSpPr>
      <xdr:spPr bwMode="auto">
        <a:xfrm>
          <a:off x="6775450" y="2197100"/>
          <a:ext cx="76200" cy="225425"/>
        </a:xfrm>
        <a:prstGeom prst="rect">
          <a:avLst/>
        </a:prstGeom>
        <a:noFill/>
        <a:ln w="9525">
          <a:noFill/>
          <a:miter lim="800000"/>
          <a:headEnd/>
          <a:tailEnd/>
        </a:ln>
      </xdr:spPr>
    </xdr:sp>
    <xdr:clientData/>
  </xdr:twoCellAnchor>
  <xdr:twoCellAnchor editAs="oneCell">
    <xdr:from>
      <xdr:col>13</xdr:col>
      <xdr:colOff>266700</xdr:colOff>
      <xdr:row>16</xdr:row>
      <xdr:rowOff>0</xdr:rowOff>
    </xdr:from>
    <xdr:to>
      <xdr:col>13</xdr:col>
      <xdr:colOff>342900</xdr:colOff>
      <xdr:row>17</xdr:row>
      <xdr:rowOff>85725</xdr:rowOff>
    </xdr:to>
    <xdr:sp macro="" textlink="">
      <xdr:nvSpPr>
        <xdr:cNvPr id="1314" name="Text Box 426"/>
        <xdr:cNvSpPr txBox="1">
          <a:spLocks noChangeArrowheads="1"/>
        </xdr:cNvSpPr>
      </xdr:nvSpPr>
      <xdr:spPr bwMode="auto">
        <a:xfrm>
          <a:off x="6775450" y="2197100"/>
          <a:ext cx="76200" cy="225425"/>
        </a:xfrm>
        <a:prstGeom prst="rect">
          <a:avLst/>
        </a:prstGeom>
        <a:noFill/>
        <a:ln w="9525">
          <a:noFill/>
          <a:miter lim="800000"/>
          <a:headEnd/>
          <a:tailEnd/>
        </a:ln>
      </xdr:spPr>
    </xdr:sp>
    <xdr:clientData/>
  </xdr:twoCellAnchor>
  <xdr:twoCellAnchor editAs="oneCell">
    <xdr:from>
      <xdr:col>13</xdr:col>
      <xdr:colOff>266700</xdr:colOff>
      <xdr:row>16</xdr:row>
      <xdr:rowOff>0</xdr:rowOff>
    </xdr:from>
    <xdr:to>
      <xdr:col>13</xdr:col>
      <xdr:colOff>342900</xdr:colOff>
      <xdr:row>17</xdr:row>
      <xdr:rowOff>85725</xdr:rowOff>
    </xdr:to>
    <xdr:sp macro="" textlink="">
      <xdr:nvSpPr>
        <xdr:cNvPr id="1315" name="Text Box 431"/>
        <xdr:cNvSpPr txBox="1">
          <a:spLocks noChangeArrowheads="1"/>
        </xdr:cNvSpPr>
      </xdr:nvSpPr>
      <xdr:spPr bwMode="auto">
        <a:xfrm>
          <a:off x="6775450" y="2197100"/>
          <a:ext cx="76200" cy="2254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16" name="Text Box 481"/>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17" name="Text Box 486"/>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18" name="Text Box 139"/>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19" name="Text Box 421"/>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20" name="Text Box 426"/>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21" name="Text Box 431"/>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22" name="Text Box 448"/>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23" name="Text Box 549"/>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24" name="Text Box 554"/>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25" name="Text Box 139"/>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26" name="Text Box 421"/>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27" name="Text Box 426"/>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2</xdr:col>
      <xdr:colOff>266700</xdr:colOff>
      <xdr:row>743</xdr:row>
      <xdr:rowOff>0</xdr:rowOff>
    </xdr:from>
    <xdr:to>
      <xdr:col>2</xdr:col>
      <xdr:colOff>342900</xdr:colOff>
      <xdr:row>745</xdr:row>
      <xdr:rowOff>9525</xdr:rowOff>
    </xdr:to>
    <xdr:sp macro="" textlink="">
      <xdr:nvSpPr>
        <xdr:cNvPr id="1328" name="Text Box 431"/>
        <xdr:cNvSpPr txBox="1">
          <a:spLocks noChangeArrowheads="1"/>
        </xdr:cNvSpPr>
      </xdr:nvSpPr>
      <xdr:spPr bwMode="auto">
        <a:xfrm>
          <a:off x="1460500" y="103911400"/>
          <a:ext cx="76200" cy="288925"/>
        </a:xfrm>
        <a:prstGeom prst="rect">
          <a:avLst/>
        </a:prstGeom>
        <a:noFill/>
        <a:ln w="9525">
          <a:noFill/>
          <a:miter lim="800000"/>
          <a:headEnd/>
          <a:tailEnd/>
        </a:ln>
      </xdr:spPr>
    </xdr:sp>
    <xdr:clientData/>
  </xdr:twoCellAnchor>
  <xdr:twoCellAnchor editAs="oneCell">
    <xdr:from>
      <xdr:col>3</xdr:col>
      <xdr:colOff>127000</xdr:colOff>
      <xdr:row>743</xdr:row>
      <xdr:rowOff>6350</xdr:rowOff>
    </xdr:from>
    <xdr:to>
      <xdr:col>3</xdr:col>
      <xdr:colOff>203200</xdr:colOff>
      <xdr:row>745</xdr:row>
      <xdr:rowOff>15875</xdr:rowOff>
    </xdr:to>
    <xdr:sp macro="" textlink="">
      <xdr:nvSpPr>
        <xdr:cNvPr id="1329" name="Text Box 448"/>
        <xdr:cNvSpPr txBox="1">
          <a:spLocks noChangeArrowheads="1"/>
        </xdr:cNvSpPr>
      </xdr:nvSpPr>
      <xdr:spPr bwMode="auto">
        <a:xfrm>
          <a:off x="1847850" y="103917750"/>
          <a:ext cx="76200" cy="288925"/>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0" name="Text Box 481"/>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1" name="Text Box 486"/>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2" name="Text Box 139"/>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3" name="Text Box 421"/>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4" name="Text Box 426"/>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5" name="Text Box 431"/>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6" name="Text Box 448"/>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7" name="Text Box 549"/>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8" name="Text Box 554"/>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39" name="Text Box 139"/>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40" name="Text Box 421"/>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41" name="Text Box 426"/>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42" name="Text Box 431"/>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xdr:col>
      <xdr:colOff>266700</xdr:colOff>
      <xdr:row>774</xdr:row>
      <xdr:rowOff>0</xdr:rowOff>
    </xdr:from>
    <xdr:to>
      <xdr:col>2</xdr:col>
      <xdr:colOff>342900</xdr:colOff>
      <xdr:row>776</xdr:row>
      <xdr:rowOff>9524</xdr:rowOff>
    </xdr:to>
    <xdr:sp macro="" textlink="">
      <xdr:nvSpPr>
        <xdr:cNvPr id="1343" name="Text Box 448"/>
        <xdr:cNvSpPr txBox="1">
          <a:spLocks noChangeArrowheads="1"/>
        </xdr:cNvSpPr>
      </xdr:nvSpPr>
      <xdr:spPr bwMode="auto">
        <a:xfrm>
          <a:off x="1460500" y="108242100"/>
          <a:ext cx="76200" cy="288924"/>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44" name="Text Box 481"/>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45" name="Text Box 486"/>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46" name="Text Box 139"/>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47" name="Text Box 421"/>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48" name="Text Box 426"/>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49" name="Text Box 431"/>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50" name="Text Box 448"/>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51" name="Text Box 549"/>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52" name="Text Box 554"/>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53" name="Text Box 139"/>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54" name="Text Box 421"/>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55" name="Text Box 426"/>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56" name="Text Box 431"/>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twoCellAnchor editAs="oneCell">
    <xdr:from>
      <xdr:col>23</xdr:col>
      <xdr:colOff>266700</xdr:colOff>
      <xdr:row>43</xdr:row>
      <xdr:rowOff>0</xdr:rowOff>
    </xdr:from>
    <xdr:to>
      <xdr:col>23</xdr:col>
      <xdr:colOff>342900</xdr:colOff>
      <xdr:row>44</xdr:row>
      <xdr:rowOff>85726</xdr:rowOff>
    </xdr:to>
    <xdr:sp macro="" textlink="">
      <xdr:nvSpPr>
        <xdr:cNvPr id="1357" name="Text Box 448"/>
        <xdr:cNvSpPr txBox="1">
          <a:spLocks noChangeArrowheads="1"/>
        </xdr:cNvSpPr>
      </xdr:nvSpPr>
      <xdr:spPr bwMode="auto">
        <a:xfrm>
          <a:off x="13309600" y="6000750"/>
          <a:ext cx="76200" cy="225426"/>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F1" zoomScale="60" zoomScaleNormal="60" workbookViewId="0">
      <selection activeCell="B16" sqref="B16:B23"/>
    </sheetView>
  </sheetViews>
  <sheetFormatPr defaultRowHeight="14.5"/>
  <cols>
    <col min="1" max="1" width="4.26953125" style="1" customWidth="1"/>
    <col min="2" max="2" width="24.453125" style="3" customWidth="1"/>
    <col min="3" max="3" width="17.54296875" style="3" customWidth="1"/>
    <col min="4" max="4" width="27.26953125" style="3" customWidth="1"/>
    <col min="5" max="5" width="35.453125" style="3" customWidth="1"/>
    <col min="6" max="6" width="30.26953125" style="3" customWidth="1"/>
    <col min="7" max="7" width="54.81640625" style="13" customWidth="1"/>
    <col min="8" max="8" width="23" style="3" customWidth="1"/>
    <col min="9" max="9" width="23" style="1" customWidth="1"/>
    <col min="10" max="10" width="17" style="1" bestFit="1" customWidth="1"/>
    <col min="11" max="11" width="9.1796875" style="1"/>
  </cols>
  <sheetData>
    <row r="1" spans="1:11" ht="17.5">
      <c r="A1" s="116" t="s">
        <v>0</v>
      </c>
      <c r="B1" s="116"/>
      <c r="C1" s="116"/>
      <c r="D1" s="116"/>
      <c r="E1" s="116"/>
      <c r="F1" s="116"/>
      <c r="G1" s="116"/>
      <c r="H1" s="116"/>
      <c r="I1" s="116"/>
      <c r="J1" s="116"/>
    </row>
    <row r="3" spans="1:11" ht="17">
      <c r="A3" s="4" t="s">
        <v>6</v>
      </c>
      <c r="B3" s="115" t="s">
        <v>1</v>
      </c>
      <c r="C3" s="115"/>
      <c r="D3" s="115" t="s">
        <v>2</v>
      </c>
      <c r="E3" s="115"/>
      <c r="F3" s="5"/>
      <c r="G3" s="12" t="s">
        <v>3</v>
      </c>
    </row>
    <row r="4" spans="1:11">
      <c r="B4" s="3" t="s">
        <v>7</v>
      </c>
      <c r="C4" s="3" t="s">
        <v>8</v>
      </c>
      <c r="D4" s="3" t="s">
        <v>4</v>
      </c>
      <c r="E4" s="3" t="s">
        <v>5</v>
      </c>
      <c r="F4" s="3" t="s">
        <v>33</v>
      </c>
      <c r="H4" s="3" t="s">
        <v>20</v>
      </c>
      <c r="I4" s="1" t="s">
        <v>21</v>
      </c>
      <c r="J4" s="1" t="s">
        <v>57</v>
      </c>
    </row>
    <row r="5" spans="1:11" ht="45" customHeight="1">
      <c r="A5" s="111">
        <v>1</v>
      </c>
      <c r="B5" s="110" t="s">
        <v>32</v>
      </c>
      <c r="C5" s="112" t="s">
        <v>35</v>
      </c>
      <c r="E5" s="3" t="s">
        <v>37</v>
      </c>
      <c r="F5" s="3" t="s">
        <v>34</v>
      </c>
      <c r="G5" s="13" t="s">
        <v>69</v>
      </c>
    </row>
    <row r="6" spans="1:11" ht="29">
      <c r="A6" s="111"/>
      <c r="B6" s="110"/>
      <c r="C6" s="112"/>
      <c r="G6" s="13" t="s">
        <v>58</v>
      </c>
      <c r="H6" s="3" t="s">
        <v>64</v>
      </c>
      <c r="I6" s="2"/>
      <c r="J6" s="2"/>
      <c r="K6" s="2"/>
    </row>
    <row r="7" spans="1:11">
      <c r="A7" s="111"/>
      <c r="B7" s="110"/>
      <c r="C7" s="112"/>
      <c r="G7" s="13" t="s">
        <v>59</v>
      </c>
      <c r="H7" s="3" t="s">
        <v>63</v>
      </c>
      <c r="I7" s="2"/>
      <c r="J7" s="2"/>
      <c r="K7" s="2"/>
    </row>
    <row r="8" spans="1:11">
      <c r="A8" s="111"/>
      <c r="B8" s="110"/>
      <c r="C8" s="112"/>
      <c r="G8" s="13" t="s">
        <v>60</v>
      </c>
      <c r="I8" s="2"/>
      <c r="J8" s="2"/>
      <c r="K8" s="2"/>
    </row>
    <row r="9" spans="1:11">
      <c r="A9" s="111"/>
      <c r="B9" s="110"/>
      <c r="C9" s="112"/>
      <c r="G9" s="13" t="s">
        <v>61</v>
      </c>
      <c r="I9" s="2"/>
      <c r="J9" s="2"/>
      <c r="K9" s="2"/>
    </row>
    <row r="10" spans="1:11">
      <c r="A10" s="111"/>
      <c r="B10" s="110"/>
      <c r="C10" s="112"/>
      <c r="G10" s="13" t="s">
        <v>62</v>
      </c>
      <c r="I10" s="2"/>
      <c r="J10" s="2"/>
      <c r="K10" s="2"/>
    </row>
    <row r="11" spans="1:11" ht="29">
      <c r="A11" s="111"/>
      <c r="B11" s="110"/>
      <c r="C11" s="112" t="s">
        <v>36</v>
      </c>
      <c r="E11" s="3" t="s">
        <v>38</v>
      </c>
      <c r="F11" s="3" t="s">
        <v>39</v>
      </c>
      <c r="G11" s="13" t="s">
        <v>65</v>
      </c>
      <c r="I11" s="2"/>
      <c r="J11" s="2"/>
      <c r="K11" s="2"/>
    </row>
    <row r="12" spans="1:11">
      <c r="A12" s="10"/>
      <c r="B12" s="110"/>
      <c r="C12" s="112"/>
      <c r="G12" s="13" t="s">
        <v>66</v>
      </c>
      <c r="I12" s="2"/>
      <c r="J12" s="2"/>
      <c r="K12" s="2"/>
    </row>
    <row r="13" spans="1:11">
      <c r="A13" s="10"/>
      <c r="B13" s="110"/>
      <c r="C13" s="112"/>
      <c r="G13" s="13" t="s">
        <v>67</v>
      </c>
      <c r="I13" s="2"/>
      <c r="J13" s="2"/>
      <c r="K13" s="2"/>
    </row>
    <row r="14" spans="1:11">
      <c r="A14" s="10"/>
      <c r="B14" s="110"/>
      <c r="C14" s="112"/>
      <c r="G14" s="13" t="s">
        <v>68</v>
      </c>
      <c r="I14" s="2"/>
      <c r="J14" s="2"/>
      <c r="K14" s="2"/>
    </row>
    <row r="15" spans="1:11">
      <c r="A15" s="10"/>
      <c r="B15" s="110"/>
      <c r="C15" s="112"/>
      <c r="G15" s="13" t="s">
        <v>70</v>
      </c>
      <c r="I15" s="2"/>
      <c r="J15" s="2"/>
      <c r="K15" s="2"/>
    </row>
    <row r="16" spans="1:11" ht="75" customHeight="1">
      <c r="A16" s="1">
        <v>2</v>
      </c>
      <c r="B16" s="110" t="s">
        <v>25</v>
      </c>
      <c r="E16" s="3" t="s">
        <v>40</v>
      </c>
      <c r="F16" s="3" t="s">
        <v>39</v>
      </c>
      <c r="G16" s="13" t="s">
        <v>71</v>
      </c>
    </row>
    <row r="17" spans="1:11">
      <c r="A17" s="2"/>
      <c r="B17" s="110"/>
      <c r="G17" s="13" t="s">
        <v>73</v>
      </c>
      <c r="I17" s="2"/>
      <c r="J17" s="2"/>
      <c r="K17" s="2"/>
    </row>
    <row r="18" spans="1:11" ht="29">
      <c r="A18" s="2"/>
      <c r="B18" s="110"/>
      <c r="G18" s="13" t="s">
        <v>75</v>
      </c>
      <c r="I18" s="2"/>
      <c r="J18" s="2"/>
      <c r="K18" s="2"/>
    </row>
    <row r="19" spans="1:11" ht="33.75" customHeight="1">
      <c r="A19" s="2"/>
      <c r="B19" s="110"/>
      <c r="G19" s="13" t="s">
        <v>74</v>
      </c>
      <c r="I19" s="2"/>
      <c r="J19" s="2"/>
      <c r="K19" s="2"/>
    </row>
    <row r="20" spans="1:11" ht="33.75" customHeight="1">
      <c r="A20" s="2"/>
      <c r="B20" s="110"/>
      <c r="G20" s="13" t="s">
        <v>72</v>
      </c>
      <c r="I20" s="2"/>
      <c r="J20" s="2"/>
      <c r="K20" s="2"/>
    </row>
    <row r="21" spans="1:11" ht="33.75" customHeight="1">
      <c r="A21" s="2"/>
      <c r="B21" s="110"/>
      <c r="G21" s="13" t="s">
        <v>76</v>
      </c>
      <c r="I21" s="2"/>
      <c r="J21" s="2"/>
      <c r="K21" s="2"/>
    </row>
    <row r="22" spans="1:11" ht="33.75" customHeight="1">
      <c r="A22" s="2"/>
      <c r="B22" s="110"/>
      <c r="G22" s="13" t="s">
        <v>77</v>
      </c>
      <c r="I22" s="2"/>
      <c r="J22" s="2"/>
      <c r="K22" s="2"/>
    </row>
    <row r="23" spans="1:11" ht="33.75" customHeight="1">
      <c r="A23" s="2"/>
      <c r="B23" s="110"/>
      <c r="G23" s="13" t="s">
        <v>78</v>
      </c>
      <c r="I23" s="2"/>
      <c r="J23" s="2"/>
      <c r="K23" s="2"/>
    </row>
    <row r="24" spans="1:11" ht="58">
      <c r="A24" s="1">
        <v>3</v>
      </c>
      <c r="B24" s="6" t="s">
        <v>30</v>
      </c>
      <c r="E24" s="3" t="s">
        <v>41</v>
      </c>
      <c r="F24" s="3" t="s">
        <v>42</v>
      </c>
    </row>
    <row r="25" spans="1:11">
      <c r="A25" s="2"/>
      <c r="B25" s="7"/>
      <c r="G25" s="13" t="s">
        <v>79</v>
      </c>
      <c r="I25" s="2"/>
      <c r="J25" s="2"/>
      <c r="K25" s="2"/>
    </row>
    <row r="26" spans="1:11" ht="30" customHeight="1">
      <c r="A26" s="2"/>
      <c r="B26" s="7"/>
      <c r="G26" s="13" t="s">
        <v>81</v>
      </c>
      <c r="I26" s="2"/>
      <c r="J26" s="2"/>
      <c r="K26" s="2"/>
    </row>
    <row r="27" spans="1:11">
      <c r="A27" s="2"/>
      <c r="B27" s="7"/>
      <c r="G27" s="13" t="s">
        <v>80</v>
      </c>
      <c r="I27" s="2"/>
      <c r="J27" s="2"/>
      <c r="K27" s="2"/>
    </row>
    <row r="28" spans="1:11">
      <c r="A28" s="2"/>
      <c r="B28" s="7"/>
      <c r="G28" s="13" t="s">
        <v>82</v>
      </c>
      <c r="I28" s="2"/>
      <c r="J28" s="2"/>
      <c r="K28" s="2"/>
    </row>
    <row r="29" spans="1:11">
      <c r="A29" s="2"/>
      <c r="B29" s="7"/>
      <c r="G29" s="13" t="s">
        <v>83</v>
      </c>
      <c r="I29" s="2"/>
      <c r="J29" s="2"/>
      <c r="K29" s="2"/>
    </row>
    <row r="30" spans="1:11">
      <c r="A30" s="2"/>
      <c r="B30" s="7"/>
      <c r="G30" s="13" t="s">
        <v>84</v>
      </c>
      <c r="I30" s="2"/>
      <c r="J30" s="2"/>
      <c r="K30" s="2"/>
    </row>
    <row r="31" spans="1:11">
      <c r="A31" s="2"/>
      <c r="B31" s="7"/>
      <c r="G31" s="13" t="s">
        <v>85</v>
      </c>
      <c r="I31" s="2"/>
      <c r="J31" s="2"/>
      <c r="K31" s="2"/>
    </row>
    <row r="32" spans="1:11" ht="58">
      <c r="A32" s="1">
        <v>4</v>
      </c>
      <c r="B32" s="6" t="s">
        <v>31</v>
      </c>
      <c r="E32" s="3" t="s">
        <v>43</v>
      </c>
    </row>
    <row r="33" spans="1:11">
      <c r="A33" s="2"/>
      <c r="B33" s="7"/>
      <c r="I33" s="2"/>
      <c r="J33" s="2"/>
      <c r="K33" s="2"/>
    </row>
    <row r="34" spans="1:11" ht="72.5">
      <c r="A34" s="1">
        <v>5</v>
      </c>
      <c r="B34" s="6" t="s">
        <v>26</v>
      </c>
      <c r="D34" s="3" t="s">
        <v>23</v>
      </c>
      <c r="E34" s="3" t="s">
        <v>22</v>
      </c>
      <c r="G34" s="13" t="s">
        <v>86</v>
      </c>
    </row>
    <row r="35" spans="1:11">
      <c r="A35" s="2"/>
      <c r="B35" s="7"/>
      <c r="G35" s="13" t="s">
        <v>87</v>
      </c>
      <c r="I35" s="2"/>
      <c r="J35" s="2"/>
      <c r="K35" s="2"/>
    </row>
    <row r="36" spans="1:11">
      <c r="A36" s="2"/>
      <c r="B36" s="7"/>
      <c r="G36" s="13" t="s">
        <v>89</v>
      </c>
      <c r="I36" s="2"/>
      <c r="J36" s="2"/>
      <c r="K36" s="2"/>
    </row>
    <row r="37" spans="1:11">
      <c r="A37" s="2"/>
      <c r="B37" s="7"/>
      <c r="G37" s="13" t="s">
        <v>88</v>
      </c>
      <c r="I37" s="2"/>
      <c r="J37" s="2"/>
      <c r="K37" s="2"/>
    </row>
    <row r="38" spans="1:11">
      <c r="A38" s="2"/>
      <c r="B38" s="7"/>
      <c r="G38" s="13" t="s">
        <v>90</v>
      </c>
      <c r="I38" s="2"/>
      <c r="J38" s="2"/>
      <c r="K38" s="2"/>
    </row>
    <row r="39" spans="1:11">
      <c r="A39" s="2"/>
      <c r="B39" s="7"/>
      <c r="G39" s="13" t="s">
        <v>91</v>
      </c>
      <c r="I39" s="2"/>
      <c r="J39" s="2"/>
      <c r="K39" s="2"/>
    </row>
    <row r="40" spans="1:11" ht="72.5">
      <c r="A40" s="114">
        <v>6</v>
      </c>
      <c r="B40" s="113" t="s">
        <v>47</v>
      </c>
      <c r="C40" s="3" t="s">
        <v>9</v>
      </c>
      <c r="E40" s="3" t="s">
        <v>44</v>
      </c>
      <c r="F40" s="3" t="s">
        <v>45</v>
      </c>
      <c r="G40" s="13" t="s">
        <v>92</v>
      </c>
    </row>
    <row r="41" spans="1:11" ht="31.5" customHeight="1">
      <c r="A41" s="114"/>
      <c r="B41" s="113"/>
      <c r="G41" s="13" t="s">
        <v>93</v>
      </c>
      <c r="I41" s="2"/>
      <c r="J41" s="2"/>
      <c r="K41" s="2"/>
    </row>
    <row r="42" spans="1:11" ht="31.5" customHeight="1">
      <c r="A42" s="114"/>
      <c r="B42" s="113"/>
      <c r="G42" s="13" t="s">
        <v>94</v>
      </c>
      <c r="I42" s="2"/>
      <c r="J42" s="2"/>
      <c r="K42" s="2"/>
    </row>
    <row r="43" spans="1:11">
      <c r="A43" s="114"/>
      <c r="B43" s="113"/>
      <c r="C43" s="3" t="s">
        <v>10</v>
      </c>
      <c r="E43" s="3" t="s">
        <v>46</v>
      </c>
      <c r="G43" s="13" t="s">
        <v>95</v>
      </c>
    </row>
    <row r="44" spans="1:11">
      <c r="A44" s="2"/>
      <c r="B44" s="7"/>
      <c r="G44" s="13" t="s">
        <v>96</v>
      </c>
      <c r="I44" s="2"/>
      <c r="J44" s="2"/>
      <c r="K44" s="2"/>
    </row>
    <row r="45" spans="1:11" ht="81" customHeight="1">
      <c r="A45" s="114">
        <v>7</v>
      </c>
      <c r="B45" s="113" t="s">
        <v>27</v>
      </c>
      <c r="C45" s="3" t="s">
        <v>11</v>
      </c>
      <c r="E45" s="3" t="s">
        <v>48</v>
      </c>
      <c r="F45" s="3" t="s">
        <v>49</v>
      </c>
      <c r="G45" s="13" t="s">
        <v>97</v>
      </c>
    </row>
    <row r="46" spans="1:11" ht="28.5" customHeight="1">
      <c r="A46" s="114"/>
      <c r="B46" s="113"/>
      <c r="G46" s="13" t="s">
        <v>98</v>
      </c>
      <c r="I46" s="2"/>
      <c r="J46" s="2"/>
      <c r="K46" s="2"/>
    </row>
    <row r="47" spans="1:11" ht="30.75" customHeight="1">
      <c r="A47" s="114"/>
      <c r="B47" s="113"/>
      <c r="G47" s="13" t="s">
        <v>99</v>
      </c>
      <c r="I47" s="2"/>
      <c r="J47" s="2"/>
      <c r="K47" s="2"/>
    </row>
    <row r="48" spans="1:11" ht="37.5" customHeight="1">
      <c r="A48" s="114"/>
      <c r="B48" s="113"/>
      <c r="G48" s="13" t="s">
        <v>100</v>
      </c>
      <c r="I48" s="2"/>
      <c r="J48" s="2"/>
      <c r="K48" s="2"/>
    </row>
    <row r="49" spans="1:6" ht="26.25" customHeight="1">
      <c r="A49" s="114"/>
      <c r="B49" s="113"/>
      <c r="C49" s="3" t="s">
        <v>12</v>
      </c>
    </row>
    <row r="50" spans="1:6" ht="43.5" customHeight="1">
      <c r="A50" s="114">
        <v>8</v>
      </c>
      <c r="B50" s="113" t="s">
        <v>24</v>
      </c>
      <c r="C50" s="112" t="s">
        <v>13</v>
      </c>
      <c r="D50" s="3" t="s">
        <v>15</v>
      </c>
      <c r="E50" s="3" t="s">
        <v>50</v>
      </c>
    </row>
    <row r="51" spans="1:6" ht="43.5" customHeight="1">
      <c r="A51" s="114"/>
      <c r="B51" s="113"/>
      <c r="C51" s="112"/>
      <c r="D51" s="3" t="s">
        <v>18</v>
      </c>
      <c r="E51" s="3" t="s">
        <v>17</v>
      </c>
    </row>
    <row r="52" spans="1:6" ht="43.5" customHeight="1">
      <c r="A52" s="114"/>
      <c r="B52" s="113"/>
      <c r="C52" s="112"/>
      <c r="E52" s="3" t="s">
        <v>16</v>
      </c>
    </row>
    <row r="53" spans="1:6" ht="29">
      <c r="A53" s="114"/>
      <c r="B53" s="113"/>
      <c r="C53" s="3" t="s">
        <v>14</v>
      </c>
      <c r="E53" s="3" t="s">
        <v>19</v>
      </c>
    </row>
    <row r="54" spans="1:6" ht="58">
      <c r="A54" s="1">
        <v>9</v>
      </c>
      <c r="B54" s="6" t="s">
        <v>28</v>
      </c>
      <c r="E54" s="3" t="s">
        <v>55</v>
      </c>
      <c r="F54" s="3" t="s">
        <v>56</v>
      </c>
    </row>
    <row r="55" spans="1:6" ht="101.5">
      <c r="A55" s="111">
        <v>10</v>
      </c>
      <c r="B55" s="110" t="s">
        <v>29</v>
      </c>
      <c r="C55" s="3" t="s">
        <v>53</v>
      </c>
      <c r="E55" s="3" t="s">
        <v>51</v>
      </c>
    </row>
    <row r="56" spans="1:6" ht="43.5">
      <c r="A56" s="111"/>
      <c r="B56" s="110"/>
      <c r="C56" s="3" t="s">
        <v>54</v>
      </c>
      <c r="D56" s="3" t="s">
        <v>52</v>
      </c>
    </row>
  </sheetData>
  <mergeCells count="17">
    <mergeCell ref="D3:E3"/>
    <mergeCell ref="B3:C3"/>
    <mergeCell ref="A1:J1"/>
    <mergeCell ref="B40:B43"/>
    <mergeCell ref="A40:A43"/>
    <mergeCell ref="A5:A11"/>
    <mergeCell ref="B55:B56"/>
    <mergeCell ref="A55:A56"/>
    <mergeCell ref="C5:C10"/>
    <mergeCell ref="C11:C15"/>
    <mergeCell ref="B5:B15"/>
    <mergeCell ref="B16:B23"/>
    <mergeCell ref="B45:B49"/>
    <mergeCell ref="A45:A49"/>
    <mergeCell ref="A50:A53"/>
    <mergeCell ref="B50:B53"/>
    <mergeCell ref="C50:C5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60" zoomScaleNormal="60" workbookViewId="0">
      <selection activeCell="A59" sqref="A59"/>
    </sheetView>
  </sheetViews>
  <sheetFormatPr defaultRowHeight="14.5"/>
  <cols>
    <col min="1" max="1" width="6.7265625" style="9" customWidth="1"/>
    <col min="2" max="2" width="19.1796875" style="3" customWidth="1"/>
    <col min="3" max="3" width="12.7265625" style="3" customWidth="1"/>
    <col min="4" max="4" width="10.81640625" style="3" customWidth="1"/>
    <col min="5" max="5" width="18.1796875" style="3" customWidth="1"/>
    <col min="6" max="6" width="12.54296875" style="3" customWidth="1"/>
    <col min="7" max="7" width="40.26953125" style="13" customWidth="1"/>
    <col min="8" max="8" width="13.453125" style="3" customWidth="1"/>
    <col min="9" max="9" width="11.453125" style="9" customWidth="1"/>
    <col min="10" max="10" width="11" style="9" customWidth="1"/>
    <col min="11" max="11" width="9.1796875" style="9"/>
  </cols>
  <sheetData>
    <row r="1" spans="1:10" ht="17.5">
      <c r="A1" s="117" t="s">
        <v>0</v>
      </c>
      <c r="B1" s="117"/>
      <c r="C1" s="117"/>
      <c r="D1" s="117"/>
      <c r="E1" s="117"/>
      <c r="F1" s="117"/>
      <c r="G1" s="117"/>
      <c r="H1" s="117"/>
      <c r="I1" s="117"/>
      <c r="J1" s="117"/>
    </row>
    <row r="3" spans="1:10" ht="17">
      <c r="A3" s="126" t="s">
        <v>6</v>
      </c>
      <c r="B3" s="118" t="s">
        <v>1</v>
      </c>
      <c r="C3" s="118"/>
      <c r="D3" s="119" t="s">
        <v>2</v>
      </c>
      <c r="E3" s="119"/>
      <c r="F3" s="122" t="s">
        <v>33</v>
      </c>
      <c r="G3" s="124" t="s">
        <v>3</v>
      </c>
      <c r="H3" s="122" t="s">
        <v>20</v>
      </c>
      <c r="I3" s="122" t="s">
        <v>21</v>
      </c>
      <c r="J3" s="122" t="s">
        <v>57</v>
      </c>
    </row>
    <row r="4" spans="1:10" ht="28.5" customHeight="1">
      <c r="A4" s="127"/>
      <c r="B4" s="15" t="s">
        <v>7</v>
      </c>
      <c r="C4" s="15" t="s">
        <v>8</v>
      </c>
      <c r="D4" s="15" t="s">
        <v>4</v>
      </c>
      <c r="E4" s="15" t="s">
        <v>5</v>
      </c>
      <c r="F4" s="123"/>
      <c r="G4" s="125"/>
      <c r="H4" s="123"/>
      <c r="I4" s="123"/>
      <c r="J4" s="123"/>
    </row>
    <row r="5" spans="1:10" ht="45" hidden="1" customHeight="1">
      <c r="A5" s="111">
        <v>1</v>
      </c>
      <c r="B5" s="110" t="s">
        <v>32</v>
      </c>
      <c r="C5" s="112" t="s">
        <v>35</v>
      </c>
      <c r="E5" s="3" t="s">
        <v>37</v>
      </c>
      <c r="F5" s="3" t="s">
        <v>34</v>
      </c>
      <c r="G5" s="13" t="s">
        <v>69</v>
      </c>
    </row>
    <row r="6" spans="1:10" ht="58" hidden="1">
      <c r="A6" s="111"/>
      <c r="B6" s="110"/>
      <c r="C6" s="112"/>
      <c r="G6" s="13" t="s">
        <v>58</v>
      </c>
      <c r="H6" s="3" t="s">
        <v>64</v>
      </c>
    </row>
    <row r="7" spans="1:10" hidden="1">
      <c r="A7" s="111"/>
      <c r="B7" s="110"/>
      <c r="C7" s="112"/>
      <c r="G7" s="13" t="s">
        <v>59</v>
      </c>
      <c r="H7" s="3" t="s">
        <v>63</v>
      </c>
    </row>
    <row r="8" spans="1:10" hidden="1">
      <c r="A8" s="111"/>
      <c r="B8" s="110"/>
      <c r="C8" s="112"/>
      <c r="G8" s="13" t="s">
        <v>60</v>
      </c>
    </row>
    <row r="9" spans="1:10" hidden="1">
      <c r="A9" s="111"/>
      <c r="B9" s="110"/>
      <c r="C9" s="112"/>
      <c r="G9" s="13" t="s">
        <v>61</v>
      </c>
    </row>
    <row r="10" spans="1:10" hidden="1">
      <c r="A10" s="111"/>
      <c r="B10" s="110"/>
      <c r="C10" s="112"/>
      <c r="G10" s="13" t="s">
        <v>62</v>
      </c>
    </row>
    <row r="11" spans="1:10" ht="43.5" hidden="1">
      <c r="A11" s="111"/>
      <c r="B11" s="110"/>
      <c r="C11" s="112" t="s">
        <v>36</v>
      </c>
      <c r="E11" s="3" t="s">
        <v>38</v>
      </c>
      <c r="F11" s="3" t="s">
        <v>39</v>
      </c>
      <c r="G11" s="13" t="s">
        <v>65</v>
      </c>
    </row>
    <row r="12" spans="1:10" hidden="1">
      <c r="A12" s="11"/>
      <c r="B12" s="110"/>
      <c r="C12" s="112"/>
      <c r="G12" s="13" t="s">
        <v>66</v>
      </c>
    </row>
    <row r="13" spans="1:10" hidden="1">
      <c r="A13" s="11"/>
      <c r="B13" s="110"/>
      <c r="C13" s="112"/>
      <c r="G13" s="13" t="s">
        <v>67</v>
      </c>
    </row>
    <row r="14" spans="1:10" hidden="1">
      <c r="A14" s="11"/>
      <c r="B14" s="110"/>
      <c r="C14" s="112"/>
      <c r="G14" s="13" t="s">
        <v>68</v>
      </c>
    </row>
    <row r="15" spans="1:10" hidden="1">
      <c r="A15" s="11"/>
      <c r="B15" s="110"/>
      <c r="C15" s="112"/>
      <c r="G15" s="13" t="s">
        <v>70</v>
      </c>
    </row>
    <row r="16" spans="1:10" ht="22.5" customHeight="1">
      <c r="A16" s="16">
        <v>2</v>
      </c>
      <c r="B16" s="128" t="s">
        <v>101</v>
      </c>
      <c r="C16" s="19"/>
      <c r="D16" s="19"/>
      <c r="E16" s="120" t="s">
        <v>40</v>
      </c>
      <c r="F16" s="19" t="s">
        <v>39</v>
      </c>
      <c r="G16" s="22" t="s">
        <v>71</v>
      </c>
      <c r="H16" s="19"/>
      <c r="I16" s="16"/>
      <c r="J16" s="16"/>
    </row>
    <row r="17" spans="1:10" ht="29">
      <c r="A17" s="17"/>
      <c r="B17" s="129"/>
      <c r="C17" s="20"/>
      <c r="D17" s="20"/>
      <c r="E17" s="121"/>
      <c r="F17" s="20"/>
      <c r="G17" s="23" t="s">
        <v>73</v>
      </c>
      <c r="H17" s="20"/>
      <c r="I17" s="17"/>
      <c r="J17" s="17"/>
    </row>
    <row r="18" spans="1:10" ht="43.5">
      <c r="A18" s="17"/>
      <c r="B18" s="129"/>
      <c r="C18" s="20"/>
      <c r="D18" s="20"/>
      <c r="E18" s="121"/>
      <c r="F18" s="20"/>
      <c r="G18" s="23" t="s">
        <v>75</v>
      </c>
      <c r="H18" s="20"/>
      <c r="I18" s="17"/>
      <c r="J18" s="17"/>
    </row>
    <row r="19" spans="1:10" ht="33.75" customHeight="1">
      <c r="A19" s="17"/>
      <c r="B19" s="129"/>
      <c r="C19" s="20"/>
      <c r="D19" s="20"/>
      <c r="E19" s="121"/>
      <c r="F19" s="20"/>
      <c r="G19" s="23" t="s">
        <v>74</v>
      </c>
      <c r="H19" s="20"/>
      <c r="I19" s="17"/>
      <c r="J19" s="17"/>
    </row>
    <row r="20" spans="1:10" ht="33.75" customHeight="1">
      <c r="A20" s="17"/>
      <c r="B20" s="129"/>
      <c r="C20" s="20"/>
      <c r="D20" s="20"/>
      <c r="E20" s="20"/>
      <c r="F20" s="20"/>
      <c r="G20" s="23" t="s">
        <v>72</v>
      </c>
      <c r="H20" s="20"/>
      <c r="I20" s="17"/>
      <c r="J20" s="17"/>
    </row>
    <row r="21" spans="1:10" ht="33.75" customHeight="1">
      <c r="A21" s="17"/>
      <c r="B21" s="129"/>
      <c r="C21" s="20"/>
      <c r="D21" s="20"/>
      <c r="E21" s="20"/>
      <c r="F21" s="20"/>
      <c r="G21" s="23" t="s">
        <v>76</v>
      </c>
      <c r="H21" s="20"/>
      <c r="I21" s="17"/>
      <c r="J21" s="17"/>
    </row>
    <row r="22" spans="1:10" ht="33.75" customHeight="1">
      <c r="A22" s="17"/>
      <c r="B22" s="129"/>
      <c r="C22" s="20"/>
      <c r="D22" s="20"/>
      <c r="E22" s="20"/>
      <c r="F22" s="20"/>
      <c r="G22" s="23" t="s">
        <v>77</v>
      </c>
      <c r="H22" s="20"/>
      <c r="I22" s="17"/>
      <c r="J22" s="17"/>
    </row>
    <row r="23" spans="1:10" ht="33.75" customHeight="1">
      <c r="A23" s="18"/>
      <c r="B23" s="130"/>
      <c r="C23" s="21"/>
      <c r="D23" s="21"/>
      <c r="E23" s="21"/>
      <c r="F23" s="21"/>
      <c r="G23" s="24" t="s">
        <v>78</v>
      </c>
      <c r="H23" s="21"/>
      <c r="I23" s="18"/>
      <c r="J23" s="18"/>
    </row>
    <row r="24" spans="1:10" ht="130.5" hidden="1">
      <c r="A24" s="9">
        <v>3</v>
      </c>
      <c r="B24" s="8" t="s">
        <v>30</v>
      </c>
      <c r="E24" s="3" t="s">
        <v>41</v>
      </c>
      <c r="F24" s="3" t="s">
        <v>42</v>
      </c>
    </row>
    <row r="25" spans="1:10" hidden="1">
      <c r="B25" s="8"/>
      <c r="G25" s="13" t="s">
        <v>79</v>
      </c>
    </row>
    <row r="26" spans="1:10" ht="30" hidden="1" customHeight="1">
      <c r="B26" s="8"/>
      <c r="G26" s="13" t="s">
        <v>81</v>
      </c>
    </row>
    <row r="27" spans="1:10" hidden="1">
      <c r="B27" s="8"/>
      <c r="G27" s="13" t="s">
        <v>80</v>
      </c>
    </row>
    <row r="28" spans="1:10" hidden="1">
      <c r="B28" s="8"/>
      <c r="G28" s="13" t="s">
        <v>82</v>
      </c>
    </row>
    <row r="29" spans="1:10" hidden="1">
      <c r="B29" s="8"/>
      <c r="G29" s="13" t="s">
        <v>83</v>
      </c>
    </row>
    <row r="30" spans="1:10" hidden="1">
      <c r="B30" s="8"/>
      <c r="G30" s="13" t="s">
        <v>84</v>
      </c>
    </row>
    <row r="31" spans="1:10" hidden="1">
      <c r="B31" s="8"/>
      <c r="G31" s="13" t="s">
        <v>85</v>
      </c>
    </row>
    <row r="32" spans="1:10" ht="101.5" hidden="1">
      <c r="A32" s="9">
        <v>4</v>
      </c>
      <c r="B32" s="8" t="s">
        <v>31</v>
      </c>
      <c r="E32" s="3" t="s">
        <v>43</v>
      </c>
    </row>
    <row r="33" spans="1:7" hidden="1">
      <c r="B33" s="8"/>
    </row>
    <row r="34" spans="1:7" ht="159.5" hidden="1">
      <c r="A34" s="9">
        <v>5</v>
      </c>
      <c r="B34" s="8" t="s">
        <v>26</v>
      </c>
      <c r="D34" s="3" t="s">
        <v>23</v>
      </c>
      <c r="E34" s="3" t="s">
        <v>22</v>
      </c>
      <c r="G34" s="13" t="s">
        <v>86</v>
      </c>
    </row>
    <row r="35" spans="1:7" hidden="1">
      <c r="B35" s="8"/>
      <c r="G35" s="13" t="s">
        <v>87</v>
      </c>
    </row>
    <row r="36" spans="1:7" hidden="1">
      <c r="B36" s="8"/>
      <c r="G36" s="13" t="s">
        <v>89</v>
      </c>
    </row>
    <row r="37" spans="1:7" hidden="1">
      <c r="B37" s="8"/>
      <c r="G37" s="13" t="s">
        <v>88</v>
      </c>
    </row>
    <row r="38" spans="1:7" hidden="1">
      <c r="B38" s="8"/>
      <c r="G38" s="13" t="s">
        <v>90</v>
      </c>
    </row>
    <row r="39" spans="1:7" hidden="1">
      <c r="B39" s="8"/>
      <c r="G39" s="13" t="s">
        <v>91</v>
      </c>
    </row>
    <row r="40" spans="1:7" ht="159.5" hidden="1">
      <c r="A40" s="114">
        <v>6</v>
      </c>
      <c r="B40" s="113" t="s">
        <v>47</v>
      </c>
      <c r="C40" s="3" t="s">
        <v>9</v>
      </c>
      <c r="E40" s="3" t="s">
        <v>44</v>
      </c>
      <c r="F40" s="3" t="s">
        <v>45</v>
      </c>
      <c r="G40" s="13" t="s">
        <v>92</v>
      </c>
    </row>
    <row r="41" spans="1:7" ht="31.5" hidden="1" customHeight="1">
      <c r="A41" s="114"/>
      <c r="B41" s="113"/>
      <c r="G41" s="13" t="s">
        <v>93</v>
      </c>
    </row>
    <row r="42" spans="1:7" ht="31.5" hidden="1" customHeight="1">
      <c r="A42" s="114"/>
      <c r="B42" s="113"/>
      <c r="G42" s="13" t="s">
        <v>94</v>
      </c>
    </row>
    <row r="43" spans="1:7" ht="29" hidden="1">
      <c r="A43" s="114"/>
      <c r="B43" s="113"/>
      <c r="C43" s="3" t="s">
        <v>10</v>
      </c>
      <c r="E43" s="3" t="s">
        <v>46</v>
      </c>
      <c r="G43" s="13" t="s">
        <v>95</v>
      </c>
    </row>
    <row r="44" spans="1:7" hidden="1">
      <c r="B44" s="8"/>
      <c r="G44" s="13" t="s">
        <v>96</v>
      </c>
    </row>
    <row r="45" spans="1:7" ht="81" hidden="1" customHeight="1">
      <c r="A45" s="114">
        <v>7</v>
      </c>
      <c r="B45" s="113" t="s">
        <v>27</v>
      </c>
      <c r="C45" s="3" t="s">
        <v>11</v>
      </c>
      <c r="E45" s="3" t="s">
        <v>48</v>
      </c>
      <c r="F45" s="3" t="s">
        <v>49</v>
      </c>
      <c r="G45" s="13" t="s">
        <v>97</v>
      </c>
    </row>
    <row r="46" spans="1:7" ht="28.5" hidden="1" customHeight="1">
      <c r="A46" s="114"/>
      <c r="B46" s="113"/>
      <c r="G46" s="13" t="s">
        <v>98</v>
      </c>
    </row>
    <row r="47" spans="1:7" ht="30.75" hidden="1" customHeight="1">
      <c r="A47" s="114"/>
      <c r="B47" s="113"/>
      <c r="G47" s="13" t="s">
        <v>99</v>
      </c>
    </row>
    <row r="48" spans="1:7" ht="37.5" hidden="1" customHeight="1">
      <c r="A48" s="114"/>
      <c r="B48" s="113"/>
      <c r="G48" s="13" t="s">
        <v>100</v>
      </c>
    </row>
    <row r="49" spans="1:6" ht="26.25" hidden="1" customHeight="1">
      <c r="A49" s="114"/>
      <c r="B49" s="113"/>
      <c r="C49" s="3" t="s">
        <v>12</v>
      </c>
    </row>
    <row r="50" spans="1:6" ht="43.5" hidden="1" customHeight="1">
      <c r="A50" s="114">
        <v>8</v>
      </c>
      <c r="B50" s="113" t="s">
        <v>24</v>
      </c>
      <c r="C50" s="112" t="s">
        <v>13</v>
      </c>
      <c r="D50" s="3" t="s">
        <v>15</v>
      </c>
      <c r="E50" s="3" t="s">
        <v>50</v>
      </c>
    </row>
    <row r="51" spans="1:6" ht="43.5" hidden="1" customHeight="1">
      <c r="A51" s="114"/>
      <c r="B51" s="113"/>
      <c r="C51" s="112"/>
      <c r="D51" s="3" t="s">
        <v>18</v>
      </c>
      <c r="E51" s="3" t="s">
        <v>17</v>
      </c>
    </row>
    <row r="52" spans="1:6" ht="43.5" hidden="1" customHeight="1">
      <c r="A52" s="114"/>
      <c r="B52" s="113"/>
      <c r="C52" s="112"/>
      <c r="E52" s="3" t="s">
        <v>16</v>
      </c>
    </row>
    <row r="53" spans="1:6" ht="43.5" hidden="1">
      <c r="A53" s="114"/>
      <c r="B53" s="113"/>
      <c r="C53" s="3" t="s">
        <v>14</v>
      </c>
      <c r="E53" s="3" t="s">
        <v>19</v>
      </c>
    </row>
    <row r="54" spans="1:6" ht="116" hidden="1">
      <c r="A54" s="9">
        <v>9</v>
      </c>
      <c r="B54" s="8" t="s">
        <v>28</v>
      </c>
      <c r="E54" s="3" t="s">
        <v>55</v>
      </c>
      <c r="F54" s="3" t="s">
        <v>56</v>
      </c>
    </row>
    <row r="55" spans="1:6" ht="188.5" hidden="1">
      <c r="A55" s="111">
        <v>10</v>
      </c>
      <c r="B55" s="110" t="s">
        <v>29</v>
      </c>
      <c r="C55" s="3" t="s">
        <v>53</v>
      </c>
      <c r="E55" s="3" t="s">
        <v>51</v>
      </c>
    </row>
    <row r="56" spans="1:6" ht="130.5" hidden="1">
      <c r="A56" s="111"/>
      <c r="B56" s="110"/>
      <c r="C56" s="3" t="s">
        <v>54</v>
      </c>
      <c r="D56" s="3" t="s">
        <v>52</v>
      </c>
    </row>
  </sheetData>
  <mergeCells count="24">
    <mergeCell ref="A55:A56"/>
    <mergeCell ref="B55:B56"/>
    <mergeCell ref="E16:E19"/>
    <mergeCell ref="J3:J4"/>
    <mergeCell ref="I3:I4"/>
    <mergeCell ref="H3:H4"/>
    <mergeCell ref="G3:G4"/>
    <mergeCell ref="F3:F4"/>
    <mergeCell ref="A3:A4"/>
    <mergeCell ref="B16:B23"/>
    <mergeCell ref="A40:A43"/>
    <mergeCell ref="B40:B43"/>
    <mergeCell ref="A45:A49"/>
    <mergeCell ref="B45:B49"/>
    <mergeCell ref="A50:A53"/>
    <mergeCell ref="B50:B53"/>
    <mergeCell ref="C50:C52"/>
    <mergeCell ref="A1:J1"/>
    <mergeCell ref="B3:C3"/>
    <mergeCell ref="D3:E3"/>
    <mergeCell ref="A5:A11"/>
    <mergeCell ref="B5:B15"/>
    <mergeCell ref="C5:C10"/>
    <mergeCell ref="C11:C15"/>
  </mergeCells>
  <pageMargins left="1.53" right="0.2"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Normal="100" workbookViewId="0">
      <selection activeCell="B16" sqref="B16"/>
    </sheetView>
  </sheetViews>
  <sheetFormatPr defaultRowHeight="14.5"/>
  <cols>
    <col min="1" max="1" width="4.26953125" style="28" customWidth="1"/>
    <col min="2" max="2" width="24.453125" style="3" customWidth="1"/>
  </cols>
  <sheetData>
    <row r="1" spans="1:11" ht="15.5">
      <c r="A1" s="38" t="s">
        <v>0</v>
      </c>
      <c r="B1" s="35"/>
    </row>
    <row r="2" spans="1:11" ht="15.5">
      <c r="A2" s="35"/>
      <c r="B2" s="36"/>
    </row>
    <row r="3" spans="1:11" ht="15.5">
      <c r="A3" s="35" t="s">
        <v>6</v>
      </c>
      <c r="B3" s="35" t="s">
        <v>118</v>
      </c>
    </row>
    <row r="4" spans="1:11" ht="15.5">
      <c r="A4" s="35"/>
      <c r="B4" s="36"/>
    </row>
    <row r="5" spans="1:11" ht="15.5">
      <c r="A5" s="37">
        <v>1</v>
      </c>
      <c r="B5" s="37" t="s">
        <v>32</v>
      </c>
    </row>
    <row r="6" spans="1:11" ht="15.5">
      <c r="A6" s="37">
        <v>2</v>
      </c>
      <c r="B6" s="37" t="s">
        <v>25</v>
      </c>
    </row>
    <row r="7" spans="1:11" ht="15.5">
      <c r="A7" s="37">
        <v>3</v>
      </c>
      <c r="B7" s="37" t="s">
        <v>30</v>
      </c>
    </row>
    <row r="8" spans="1:11" ht="15.5">
      <c r="A8" s="37">
        <v>4</v>
      </c>
      <c r="B8" s="37" t="s">
        <v>31</v>
      </c>
    </row>
    <row r="9" spans="1:11" ht="15.5">
      <c r="A9" s="37">
        <v>5</v>
      </c>
      <c r="B9" s="37" t="s">
        <v>26</v>
      </c>
    </row>
    <row r="10" spans="1:11" ht="15" customHeight="1">
      <c r="A10" s="37">
        <v>6</v>
      </c>
      <c r="B10" s="37" t="s">
        <v>119</v>
      </c>
    </row>
    <row r="11" spans="1:11" ht="15" customHeight="1">
      <c r="A11" s="37"/>
      <c r="B11" s="37" t="s">
        <v>120</v>
      </c>
    </row>
    <row r="12" spans="1:11" ht="15.5">
      <c r="A12" s="37">
        <v>7</v>
      </c>
      <c r="B12" s="37" t="s">
        <v>27</v>
      </c>
    </row>
    <row r="13" spans="1:11" s="13" customFormat="1" ht="15.5">
      <c r="A13" s="37">
        <v>8</v>
      </c>
      <c r="B13" s="37" t="s">
        <v>121</v>
      </c>
      <c r="C13"/>
      <c r="D13"/>
      <c r="E13"/>
      <c r="F13"/>
      <c r="G13"/>
      <c r="H13"/>
      <c r="I13"/>
      <c r="J13"/>
      <c r="K13"/>
    </row>
    <row r="14" spans="1:11" s="13" customFormat="1" ht="15.5">
      <c r="A14" s="37"/>
      <c r="B14" s="37" t="s">
        <v>122</v>
      </c>
      <c r="C14"/>
      <c r="D14"/>
      <c r="E14"/>
      <c r="F14"/>
      <c r="G14"/>
      <c r="H14"/>
      <c r="I14"/>
      <c r="J14"/>
      <c r="K14"/>
    </row>
    <row r="15" spans="1:11" s="13" customFormat="1" ht="15.5">
      <c r="A15" s="37">
        <v>9</v>
      </c>
      <c r="B15" s="37" t="s">
        <v>28</v>
      </c>
      <c r="C15"/>
      <c r="D15"/>
      <c r="E15"/>
      <c r="F15"/>
      <c r="G15"/>
      <c r="H15"/>
      <c r="I15"/>
      <c r="J15"/>
      <c r="K15"/>
    </row>
    <row r="16" spans="1:11" s="13" customFormat="1" ht="15" customHeight="1">
      <c r="A16" s="37">
        <v>10</v>
      </c>
      <c r="B16" s="37" t="s">
        <v>29</v>
      </c>
      <c r="C16"/>
      <c r="D16"/>
      <c r="E16"/>
      <c r="F16"/>
      <c r="G16"/>
      <c r="H16"/>
      <c r="I16"/>
      <c r="J16"/>
      <c r="K16"/>
    </row>
    <row r="17" spans="1:11" s="13" customFormat="1">
      <c r="A17" s="33"/>
      <c r="B17" s="34"/>
      <c r="C17"/>
      <c r="D17"/>
      <c r="E17"/>
      <c r="F17"/>
      <c r="G17"/>
      <c r="H17"/>
      <c r="I17"/>
      <c r="J17"/>
      <c r="K17"/>
    </row>
    <row r="18" spans="1:11">
      <c r="A18" s="33"/>
      <c r="B18" s="33"/>
    </row>
    <row r="19" spans="1:11">
      <c r="A19" s="33"/>
      <c r="B19" s="33"/>
    </row>
    <row r="20" spans="1:11">
      <c r="A20" s="33"/>
      <c r="B20" s="33"/>
    </row>
    <row r="21" spans="1:11">
      <c r="A21" s="33"/>
      <c r="B21" s="33"/>
    </row>
    <row r="22" spans="1:11">
      <c r="A22" s="33"/>
      <c r="B22" s="33"/>
    </row>
    <row r="23" spans="1:11">
      <c r="A23" s="33"/>
      <c r="B23" s="33"/>
    </row>
    <row r="24" spans="1:11">
      <c r="A24" s="33"/>
      <c r="B24" s="33"/>
    </row>
    <row r="25" spans="1:11">
      <c r="A25" s="33"/>
      <c r="B25" s="33"/>
    </row>
    <row r="26" spans="1:11">
      <c r="A26" s="33"/>
      <c r="B26"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zoomScaleNormal="100" workbookViewId="0">
      <pane xSplit="2" ySplit="4" topLeftCell="I34" activePane="bottomRight" state="frozen"/>
      <selection pane="topRight" activeCell="C1" sqref="C1"/>
      <selection pane="bottomLeft" activeCell="A5" sqref="A5"/>
      <selection pane="bottomRight" activeCell="L36" sqref="L36"/>
    </sheetView>
  </sheetViews>
  <sheetFormatPr defaultRowHeight="14.5"/>
  <cols>
    <col min="1" max="1" width="6.7265625" style="14" customWidth="1"/>
    <col min="2" max="2" width="40.26953125" style="13" customWidth="1"/>
    <col min="3" max="3" width="48.453125" style="13" customWidth="1"/>
    <col min="4" max="4" width="21.90625" style="13" customWidth="1"/>
    <col min="5" max="5" width="17.26953125" style="13" customWidth="1"/>
    <col min="6" max="6" width="12.1796875" style="13" customWidth="1"/>
    <col min="7" max="7" width="11.453125" style="13" customWidth="1"/>
    <col min="8" max="15" width="10.36328125" style="13" customWidth="1"/>
    <col min="16" max="16" width="10.26953125" style="13" customWidth="1"/>
    <col min="17" max="17" width="1.81640625" style="13" customWidth="1"/>
    <col min="18" max="18" width="24.54296875" style="3" customWidth="1"/>
    <col min="19" max="19" width="1.7265625" style="3" customWidth="1"/>
    <col min="20" max="20" width="21.26953125" style="14" customWidth="1"/>
    <col min="21" max="21" width="11" style="14" customWidth="1"/>
    <col min="22" max="22" width="9.1796875" style="14"/>
  </cols>
  <sheetData>
    <row r="1" spans="1:27" ht="17.5">
      <c r="A1" s="117" t="s">
        <v>0</v>
      </c>
      <c r="B1" s="117"/>
      <c r="C1" s="117"/>
      <c r="D1" s="117"/>
      <c r="E1" s="117"/>
      <c r="F1" s="117"/>
      <c r="G1" s="117"/>
      <c r="H1" s="117"/>
      <c r="I1" s="117"/>
      <c r="J1" s="117"/>
      <c r="K1" s="117"/>
      <c r="L1" s="117"/>
      <c r="M1" s="117"/>
      <c r="N1" s="117"/>
      <c r="O1" s="117"/>
      <c r="P1" s="117"/>
      <c r="Q1" s="117"/>
      <c r="R1" s="117"/>
      <c r="S1" s="117"/>
      <c r="T1" s="117"/>
      <c r="U1" s="117"/>
    </row>
    <row r="2" spans="1:27">
      <c r="A2" s="31" t="s">
        <v>117</v>
      </c>
    </row>
    <row r="3" spans="1:27" ht="18.75" customHeight="1">
      <c r="A3" s="126" t="s">
        <v>6</v>
      </c>
      <c r="B3" s="124" t="s">
        <v>3</v>
      </c>
      <c r="C3" s="124" t="s">
        <v>102</v>
      </c>
      <c r="D3" s="46" t="s">
        <v>498</v>
      </c>
      <c r="E3" s="46" t="s">
        <v>500</v>
      </c>
      <c r="F3" s="46"/>
      <c r="G3" s="46" t="s">
        <v>502</v>
      </c>
      <c r="H3" s="826" t="s">
        <v>503</v>
      </c>
      <c r="I3" s="827"/>
      <c r="J3" s="827"/>
      <c r="K3" s="827"/>
      <c r="L3" s="827"/>
      <c r="M3" s="827"/>
      <c r="N3" s="827"/>
      <c r="O3" s="827"/>
      <c r="P3" s="828"/>
      <c r="Q3" s="46"/>
      <c r="R3" s="133" t="s">
        <v>20</v>
      </c>
      <c r="S3" s="59"/>
      <c r="T3" s="133" t="s">
        <v>21</v>
      </c>
      <c r="U3" s="122" t="s">
        <v>57</v>
      </c>
    </row>
    <row r="4" spans="1:27" ht="28.5" customHeight="1" thickBot="1">
      <c r="A4" s="127"/>
      <c r="B4" s="125"/>
      <c r="C4" s="125"/>
      <c r="D4" s="47" t="s">
        <v>499</v>
      </c>
      <c r="E4" s="47" t="s">
        <v>501</v>
      </c>
      <c r="F4" s="47" t="s">
        <v>179</v>
      </c>
      <c r="G4" s="47" t="s">
        <v>501</v>
      </c>
      <c r="H4" s="829">
        <v>2011</v>
      </c>
      <c r="I4" s="829">
        <v>2012</v>
      </c>
      <c r="J4" s="829">
        <v>2013</v>
      </c>
      <c r="K4" s="829">
        <v>2014</v>
      </c>
      <c r="L4" s="829">
        <v>2015</v>
      </c>
      <c r="M4" s="47" t="s">
        <v>504</v>
      </c>
      <c r="N4" s="47"/>
      <c r="O4" s="47"/>
      <c r="P4" s="47"/>
      <c r="Q4" s="47"/>
      <c r="R4" s="134"/>
      <c r="S4" s="60"/>
      <c r="T4" s="134"/>
      <c r="U4" s="123"/>
    </row>
    <row r="5" spans="1:27" s="14" customFormat="1" ht="44" thickTop="1">
      <c r="A5" s="77">
        <v>1</v>
      </c>
      <c r="B5" s="80" t="s">
        <v>71</v>
      </c>
      <c r="C5" s="26" t="s">
        <v>135</v>
      </c>
      <c r="D5" s="48"/>
      <c r="E5" s="48"/>
      <c r="F5" s="48"/>
      <c r="G5" s="48"/>
      <c r="H5" s="830">
        <v>20964</v>
      </c>
      <c r="I5" s="830">
        <v>19452</v>
      </c>
      <c r="J5" s="830">
        <v>19421</v>
      </c>
      <c r="K5" s="831">
        <v>19451</v>
      </c>
      <c r="L5" s="831">
        <v>20491</v>
      </c>
      <c r="M5" s="832">
        <f>((I5-H5)/H5*100+(J5-I5)/I5*100+(K5-J5)/J5*100+(L5-K5)/K5*100)/4</f>
        <v>-0.46762248294144992</v>
      </c>
      <c r="N5" s="48"/>
      <c r="O5" s="48"/>
      <c r="P5" s="48"/>
      <c r="Q5" s="48" t="s">
        <v>154</v>
      </c>
      <c r="R5" s="49" t="s">
        <v>157</v>
      </c>
      <c r="S5" s="61" t="s">
        <v>154</v>
      </c>
      <c r="T5" s="49" t="s">
        <v>108</v>
      </c>
      <c r="U5" s="40" t="s">
        <v>109</v>
      </c>
      <c r="W5"/>
      <c r="X5"/>
      <c r="Y5"/>
      <c r="Z5"/>
      <c r="AA5"/>
    </row>
    <row r="6" spans="1:27" s="32" customFormat="1" ht="29">
      <c r="A6" s="78"/>
      <c r="B6" s="23"/>
      <c r="C6" s="27" t="s">
        <v>103</v>
      </c>
      <c r="D6" s="50"/>
      <c r="E6" s="50"/>
      <c r="F6" s="50"/>
      <c r="G6" s="50"/>
      <c r="H6" s="50"/>
      <c r="I6" s="50"/>
      <c r="J6" s="50"/>
      <c r="K6" s="50"/>
      <c r="L6" s="50"/>
      <c r="M6" s="50"/>
      <c r="N6" s="50"/>
      <c r="O6" s="50"/>
      <c r="P6" s="50"/>
      <c r="Q6" s="50" t="s">
        <v>154</v>
      </c>
      <c r="R6" s="51" t="s">
        <v>158</v>
      </c>
      <c r="S6" s="62"/>
      <c r="T6" s="51"/>
      <c r="U6" s="41"/>
      <c r="W6"/>
      <c r="X6"/>
      <c r="Y6"/>
      <c r="Z6"/>
      <c r="AA6"/>
    </row>
    <row r="7" spans="1:27" s="32" customFormat="1" ht="43.5">
      <c r="A7" s="78"/>
      <c r="B7" s="23"/>
      <c r="C7" s="27" t="s">
        <v>124</v>
      </c>
      <c r="D7" s="50"/>
      <c r="E7" s="50"/>
      <c r="F7" s="50"/>
      <c r="G7" s="50"/>
      <c r="H7" s="50"/>
      <c r="I7" s="50"/>
      <c r="J7" s="50"/>
      <c r="K7" s="50"/>
      <c r="L7" s="50"/>
      <c r="M7" s="50"/>
      <c r="N7" s="50"/>
      <c r="O7" s="50"/>
      <c r="P7" s="50"/>
      <c r="Q7" s="50"/>
      <c r="R7" s="51"/>
      <c r="S7" s="62"/>
      <c r="T7" s="51"/>
      <c r="U7" s="41"/>
      <c r="W7"/>
      <c r="X7"/>
      <c r="Y7"/>
      <c r="Z7"/>
      <c r="AA7"/>
    </row>
    <row r="8" spans="1:27" s="14" customFormat="1" ht="44" thickBot="1">
      <c r="A8" s="81"/>
      <c r="B8" s="24"/>
      <c r="C8" s="82" t="s">
        <v>107</v>
      </c>
      <c r="D8" s="83"/>
      <c r="E8" s="83"/>
      <c r="F8" s="83"/>
      <c r="G8" s="83"/>
      <c r="H8" s="83"/>
      <c r="I8" s="83"/>
      <c r="J8" s="83"/>
      <c r="K8" s="83"/>
      <c r="L8" s="83"/>
      <c r="M8" s="83"/>
      <c r="N8" s="83"/>
      <c r="O8" s="83"/>
      <c r="P8" s="83"/>
      <c r="Q8" s="83"/>
      <c r="R8" s="84"/>
      <c r="S8" s="85"/>
      <c r="T8" s="84"/>
      <c r="U8" s="86"/>
      <c r="W8"/>
      <c r="X8"/>
      <c r="Y8"/>
      <c r="Z8"/>
      <c r="AA8"/>
    </row>
    <row r="9" spans="1:27" s="32" customFormat="1" ht="45" customHeight="1" thickTop="1" thickBot="1">
      <c r="A9" s="77">
        <v>2</v>
      </c>
      <c r="B9" s="80" t="s">
        <v>123</v>
      </c>
      <c r="C9" s="26" t="s">
        <v>128</v>
      </c>
      <c r="D9" s="48"/>
      <c r="E9" s="48"/>
      <c r="F9" s="48"/>
      <c r="G9" s="48"/>
      <c r="H9" s="833">
        <v>252657.1</v>
      </c>
      <c r="I9" s="833">
        <v>237643.2</v>
      </c>
      <c r="J9" s="833">
        <v>263970.5</v>
      </c>
      <c r="K9" s="833">
        <v>220706.5</v>
      </c>
      <c r="L9" s="833">
        <v>228873.5</v>
      </c>
      <c r="M9" s="834">
        <f>((I9-H9)/H9*100+(J9-I9)/I9*100+(K9-J9)/J9*100+(L9-K9)/K9*100)/4</f>
        <v>-1.8883058410347791</v>
      </c>
      <c r="N9" s="48"/>
      <c r="O9" s="48"/>
      <c r="P9" s="48"/>
      <c r="Q9" s="48" t="s">
        <v>154</v>
      </c>
      <c r="R9" s="49" t="s">
        <v>146</v>
      </c>
      <c r="S9" s="61"/>
      <c r="T9" s="49" t="s">
        <v>145</v>
      </c>
      <c r="U9" s="40" t="s">
        <v>110</v>
      </c>
      <c r="W9"/>
      <c r="X9"/>
      <c r="Y9"/>
      <c r="Z9"/>
      <c r="AA9"/>
    </row>
    <row r="10" spans="1:27" s="32" customFormat="1" ht="58.5" thickTop="1">
      <c r="A10" s="78"/>
      <c r="B10" s="87"/>
      <c r="C10" s="27" t="s">
        <v>125</v>
      </c>
      <c r="D10" s="50"/>
      <c r="E10" s="50"/>
      <c r="F10" s="50"/>
      <c r="G10" s="50"/>
      <c r="H10" s="50"/>
      <c r="I10" s="50"/>
      <c r="J10" s="50"/>
      <c r="K10" s="50"/>
      <c r="L10" s="50"/>
      <c r="M10" s="50"/>
      <c r="N10" s="50"/>
      <c r="O10" s="50"/>
      <c r="P10" s="50"/>
      <c r="Q10" s="50" t="s">
        <v>154</v>
      </c>
      <c r="R10" s="51" t="s">
        <v>147</v>
      </c>
      <c r="S10" s="62"/>
      <c r="T10" s="51"/>
      <c r="U10" s="41"/>
      <c r="W10"/>
      <c r="X10"/>
      <c r="Y10"/>
      <c r="Z10"/>
      <c r="AA10"/>
    </row>
    <row r="11" spans="1:27" s="32" customFormat="1" ht="43.5">
      <c r="A11" s="78"/>
      <c r="B11" s="87"/>
      <c r="C11" s="27" t="s">
        <v>126</v>
      </c>
      <c r="D11" s="50"/>
      <c r="E11" s="50"/>
      <c r="F11" s="50"/>
      <c r="G11" s="50"/>
      <c r="H11" s="50"/>
      <c r="I11" s="50"/>
      <c r="J11" s="50"/>
      <c r="K11" s="50"/>
      <c r="L11" s="50"/>
      <c r="M11" s="50"/>
      <c r="N11" s="50"/>
      <c r="O11" s="50"/>
      <c r="P11" s="50"/>
      <c r="Q11" s="50" t="s">
        <v>154</v>
      </c>
      <c r="R11" s="51" t="s">
        <v>148</v>
      </c>
      <c r="S11" s="62"/>
      <c r="T11" s="51"/>
      <c r="U11" s="41"/>
      <c r="W11"/>
      <c r="X11"/>
      <c r="Y11"/>
      <c r="Z11"/>
      <c r="AA11"/>
    </row>
    <row r="12" spans="1:27" s="32" customFormat="1" ht="45.75" customHeight="1">
      <c r="A12" s="78"/>
      <c r="B12" s="87"/>
      <c r="C12" s="87" t="s">
        <v>127</v>
      </c>
      <c r="D12" s="50"/>
      <c r="E12" s="50"/>
      <c r="F12" s="50"/>
      <c r="G12" s="50"/>
      <c r="H12" s="50"/>
      <c r="I12" s="50"/>
      <c r="J12" s="50"/>
      <c r="K12" s="50"/>
      <c r="L12" s="50"/>
      <c r="M12" s="50"/>
      <c r="N12" s="50"/>
      <c r="O12" s="50"/>
      <c r="P12" s="50"/>
      <c r="Q12" s="50"/>
      <c r="R12" s="51"/>
      <c r="S12" s="62"/>
      <c r="T12" s="51"/>
      <c r="U12" s="41"/>
      <c r="W12"/>
      <c r="X12"/>
      <c r="Y12"/>
      <c r="Z12"/>
      <c r="AA12"/>
    </row>
    <row r="13" spans="1:27" s="74" customFormat="1" ht="45.75" customHeight="1">
      <c r="A13" s="81"/>
      <c r="B13" s="82"/>
      <c r="C13" s="82"/>
      <c r="D13" s="83"/>
      <c r="E13" s="83"/>
      <c r="F13" s="83"/>
      <c r="G13" s="83"/>
      <c r="H13" s="83"/>
      <c r="I13" s="83"/>
      <c r="J13" s="83"/>
      <c r="K13" s="83"/>
      <c r="L13" s="83"/>
      <c r="M13" s="83"/>
      <c r="N13" s="83"/>
      <c r="O13" s="83"/>
      <c r="P13" s="83"/>
      <c r="Q13" s="83"/>
      <c r="R13" s="84"/>
      <c r="S13" s="85"/>
      <c r="T13" s="84"/>
      <c r="U13" s="86"/>
      <c r="W13"/>
      <c r="X13"/>
      <c r="Y13"/>
      <c r="Z13"/>
      <c r="AA13"/>
    </row>
    <row r="14" spans="1:27" s="71" customFormat="1">
      <c r="A14" s="89">
        <v>3</v>
      </c>
      <c r="B14" s="98" t="s">
        <v>159</v>
      </c>
      <c r="C14" s="27"/>
      <c r="D14" s="50"/>
      <c r="E14" s="50"/>
      <c r="F14" s="50"/>
      <c r="G14" s="50"/>
      <c r="H14" s="50"/>
      <c r="I14" s="50"/>
      <c r="J14" s="50"/>
      <c r="K14" s="50"/>
      <c r="L14" s="50"/>
      <c r="M14" s="50"/>
      <c r="N14" s="50"/>
      <c r="O14" s="50"/>
      <c r="P14" s="50"/>
      <c r="Q14" s="50"/>
      <c r="R14" s="51"/>
      <c r="S14" s="62"/>
      <c r="T14" s="51"/>
      <c r="U14" s="45"/>
      <c r="W14"/>
      <c r="X14"/>
      <c r="Y14"/>
      <c r="Z14"/>
      <c r="AA14"/>
    </row>
    <row r="15" spans="1:27" s="14" customFormat="1">
      <c r="A15" s="88" t="s">
        <v>154</v>
      </c>
      <c r="B15" s="138" t="s">
        <v>164</v>
      </c>
      <c r="C15" s="138" t="s">
        <v>104</v>
      </c>
      <c r="D15" s="821"/>
      <c r="E15" s="821"/>
      <c r="F15" s="821"/>
      <c r="G15" s="821"/>
      <c r="H15" s="821"/>
      <c r="I15" s="821"/>
      <c r="J15" s="821"/>
      <c r="K15" s="821"/>
      <c r="L15" s="821"/>
      <c r="M15" s="821"/>
      <c r="N15" s="821"/>
      <c r="O15" s="821"/>
      <c r="P15" s="821"/>
      <c r="Q15" s="54" t="s">
        <v>154</v>
      </c>
      <c r="R15" s="141" t="s">
        <v>149</v>
      </c>
      <c r="S15" s="64"/>
      <c r="T15" s="141" t="s">
        <v>150</v>
      </c>
      <c r="U15" s="43" t="s">
        <v>110</v>
      </c>
      <c r="W15"/>
      <c r="X15"/>
      <c r="Y15"/>
      <c r="Z15"/>
      <c r="AA15"/>
    </row>
    <row r="16" spans="1:27" s="71" customFormat="1">
      <c r="A16" s="97"/>
      <c r="B16" s="139"/>
      <c r="C16" s="139"/>
      <c r="D16" s="822"/>
      <c r="E16" s="822"/>
      <c r="F16" s="822"/>
      <c r="G16" s="822"/>
      <c r="H16" s="822"/>
      <c r="I16" s="822"/>
      <c r="J16" s="822"/>
      <c r="K16" s="822"/>
      <c r="L16" s="822"/>
      <c r="M16" s="822"/>
      <c r="N16" s="822"/>
      <c r="O16" s="822"/>
      <c r="P16" s="822"/>
      <c r="Q16" s="50"/>
      <c r="R16" s="131"/>
      <c r="S16" s="62"/>
      <c r="T16" s="131"/>
      <c r="U16" s="41"/>
      <c r="W16"/>
      <c r="X16"/>
      <c r="Y16"/>
      <c r="Z16"/>
      <c r="AA16"/>
    </row>
    <row r="17" spans="1:27" s="71" customFormat="1">
      <c r="A17" s="97"/>
      <c r="B17" s="139"/>
      <c r="C17" s="139"/>
      <c r="D17" s="822"/>
      <c r="E17" s="822"/>
      <c r="F17" s="822"/>
      <c r="G17" s="822"/>
      <c r="H17" s="822"/>
      <c r="I17" s="822"/>
      <c r="J17" s="822"/>
      <c r="K17" s="822"/>
      <c r="L17" s="822"/>
      <c r="M17" s="822"/>
      <c r="N17" s="822"/>
      <c r="O17" s="822"/>
      <c r="P17" s="822"/>
      <c r="Q17" s="50"/>
      <c r="R17" s="131"/>
      <c r="S17" s="62"/>
      <c r="T17" s="131"/>
      <c r="U17" s="41"/>
      <c r="W17"/>
      <c r="X17"/>
      <c r="Y17"/>
      <c r="Z17"/>
      <c r="AA17"/>
    </row>
    <row r="18" spans="1:27" s="71" customFormat="1">
      <c r="A18" s="97"/>
      <c r="B18" s="139"/>
      <c r="C18" s="140"/>
      <c r="D18" s="822"/>
      <c r="E18" s="822"/>
      <c r="F18" s="822"/>
      <c r="G18" s="822"/>
      <c r="H18" s="822"/>
      <c r="I18" s="822"/>
      <c r="J18" s="822"/>
      <c r="K18" s="822"/>
      <c r="L18" s="822"/>
      <c r="M18" s="822"/>
      <c r="N18" s="822"/>
      <c r="O18" s="822"/>
      <c r="P18" s="822"/>
      <c r="Q18" s="50"/>
      <c r="R18" s="131"/>
      <c r="S18" s="62"/>
      <c r="T18" s="131"/>
      <c r="U18" s="41"/>
      <c r="W18"/>
      <c r="X18"/>
      <c r="Y18"/>
      <c r="Z18"/>
      <c r="AA18"/>
    </row>
    <row r="19" spans="1:27" s="14" customFormat="1">
      <c r="A19" s="45"/>
      <c r="B19" s="139"/>
      <c r="C19" s="135" t="s">
        <v>105</v>
      </c>
      <c r="D19" s="823"/>
      <c r="E19" s="823"/>
      <c r="F19" s="823"/>
      <c r="G19" s="823"/>
      <c r="H19" s="823"/>
      <c r="I19" s="823"/>
      <c r="J19" s="823"/>
      <c r="K19" s="823"/>
      <c r="L19" s="823"/>
      <c r="M19" s="823"/>
      <c r="N19" s="823"/>
      <c r="O19" s="823"/>
      <c r="P19" s="823"/>
      <c r="Q19" s="50" t="s">
        <v>154</v>
      </c>
      <c r="R19" s="131" t="s">
        <v>111</v>
      </c>
      <c r="S19" s="62"/>
      <c r="T19" s="131" t="s">
        <v>151</v>
      </c>
      <c r="U19" s="41"/>
      <c r="W19"/>
      <c r="X19"/>
      <c r="Y19"/>
      <c r="Z19"/>
      <c r="AA19"/>
    </row>
    <row r="20" spans="1:27" s="71" customFormat="1">
      <c r="A20" s="17"/>
      <c r="B20" s="139"/>
      <c r="C20" s="136"/>
      <c r="D20" s="823"/>
      <c r="E20" s="823"/>
      <c r="F20" s="823"/>
      <c r="G20" s="823"/>
      <c r="H20" s="823"/>
      <c r="I20" s="823"/>
      <c r="J20" s="823"/>
      <c r="K20" s="823"/>
      <c r="L20" s="823"/>
      <c r="M20" s="823"/>
      <c r="N20" s="823"/>
      <c r="O20" s="823"/>
      <c r="P20" s="823"/>
      <c r="Q20" s="50"/>
      <c r="R20" s="131"/>
      <c r="S20" s="62"/>
      <c r="T20" s="131"/>
      <c r="U20" s="41"/>
      <c r="W20"/>
      <c r="X20"/>
      <c r="Y20"/>
      <c r="Z20"/>
      <c r="AA20"/>
    </row>
    <row r="21" spans="1:27" s="71" customFormat="1">
      <c r="A21" s="17"/>
      <c r="B21" s="139"/>
      <c r="C21" s="136"/>
      <c r="D21" s="823"/>
      <c r="E21" s="823"/>
      <c r="F21" s="823"/>
      <c r="G21" s="823"/>
      <c r="H21" s="823"/>
      <c r="I21" s="823"/>
      <c r="J21" s="823"/>
      <c r="K21" s="823"/>
      <c r="L21" s="823"/>
      <c r="M21" s="823"/>
      <c r="N21" s="823"/>
      <c r="O21" s="823"/>
      <c r="P21" s="823"/>
      <c r="Q21" s="50"/>
      <c r="R21" s="131"/>
      <c r="S21" s="62"/>
      <c r="T21" s="131"/>
      <c r="U21" s="41"/>
      <c r="W21"/>
      <c r="X21"/>
      <c r="Y21"/>
      <c r="Z21"/>
      <c r="AA21"/>
    </row>
    <row r="22" spans="1:27" s="71" customFormat="1">
      <c r="A22" s="17"/>
      <c r="B22" s="139"/>
      <c r="C22" s="136"/>
      <c r="D22" s="823"/>
      <c r="E22" s="823"/>
      <c r="F22" s="823"/>
      <c r="G22" s="823"/>
      <c r="H22" s="823"/>
      <c r="I22" s="823"/>
      <c r="J22" s="823"/>
      <c r="K22" s="823"/>
      <c r="L22" s="823"/>
      <c r="M22" s="823"/>
      <c r="N22" s="823"/>
      <c r="O22" s="823"/>
      <c r="P22" s="823"/>
      <c r="Q22" s="50"/>
      <c r="R22" s="131"/>
      <c r="S22" s="62"/>
      <c r="T22" s="131"/>
      <c r="U22" s="41"/>
      <c r="W22"/>
      <c r="X22"/>
      <c r="Y22"/>
      <c r="Z22"/>
      <c r="AA22"/>
    </row>
    <row r="23" spans="1:27" s="71" customFormat="1">
      <c r="A23" s="17"/>
      <c r="B23" s="139"/>
      <c r="C23" s="136"/>
      <c r="D23" s="823"/>
      <c r="E23" s="823"/>
      <c r="F23" s="823"/>
      <c r="G23" s="823"/>
      <c r="H23" s="823"/>
      <c r="I23" s="823"/>
      <c r="J23" s="823"/>
      <c r="K23" s="823"/>
      <c r="L23" s="823"/>
      <c r="M23" s="823"/>
      <c r="N23" s="823"/>
      <c r="O23" s="823"/>
      <c r="P23" s="823"/>
      <c r="Q23" s="50"/>
      <c r="R23" s="131"/>
      <c r="S23" s="62"/>
      <c r="T23" s="131"/>
      <c r="U23" s="41"/>
      <c r="W23"/>
      <c r="X23"/>
      <c r="Y23"/>
      <c r="Z23"/>
      <c r="AA23"/>
    </row>
    <row r="24" spans="1:27" s="71" customFormat="1">
      <c r="A24" s="17"/>
      <c r="B24" s="139"/>
      <c r="C24" s="136"/>
      <c r="D24" s="823"/>
      <c r="E24" s="823"/>
      <c r="F24" s="823"/>
      <c r="G24" s="823"/>
      <c r="H24" s="823"/>
      <c r="I24" s="823"/>
      <c r="J24" s="823"/>
      <c r="K24" s="823"/>
      <c r="L24" s="823"/>
      <c r="M24" s="823"/>
      <c r="N24" s="823"/>
      <c r="O24" s="823"/>
      <c r="P24" s="823"/>
      <c r="Q24" s="50"/>
      <c r="R24" s="131"/>
      <c r="S24" s="62"/>
      <c r="T24" s="131"/>
      <c r="U24" s="41"/>
      <c r="W24"/>
      <c r="X24"/>
      <c r="Y24"/>
      <c r="Z24"/>
      <c r="AA24"/>
    </row>
    <row r="25" spans="1:27" s="71" customFormat="1">
      <c r="A25" s="17"/>
      <c r="B25" s="139"/>
      <c r="C25" s="136"/>
      <c r="D25" s="823"/>
      <c r="E25" s="823"/>
      <c r="F25" s="823"/>
      <c r="G25" s="823"/>
      <c r="H25" s="823"/>
      <c r="I25" s="823"/>
      <c r="J25" s="823"/>
      <c r="K25" s="823"/>
      <c r="L25" s="823"/>
      <c r="M25" s="823"/>
      <c r="N25" s="823"/>
      <c r="O25" s="823"/>
      <c r="P25" s="823"/>
      <c r="Q25" s="50"/>
      <c r="R25" s="51"/>
      <c r="S25" s="62"/>
      <c r="T25" s="51"/>
      <c r="U25" s="41"/>
      <c r="W25"/>
      <c r="X25"/>
      <c r="Y25"/>
      <c r="Z25"/>
      <c r="AA25"/>
    </row>
    <row r="26" spans="1:27" s="71" customFormat="1">
      <c r="A26" s="17"/>
      <c r="B26" s="139"/>
      <c r="C26" s="136"/>
      <c r="D26" s="823"/>
      <c r="E26" s="823"/>
      <c r="F26" s="823"/>
      <c r="G26" s="823"/>
      <c r="H26" s="823"/>
      <c r="I26" s="823"/>
      <c r="J26" s="823"/>
      <c r="K26" s="823"/>
      <c r="L26" s="823"/>
      <c r="M26" s="823"/>
      <c r="N26" s="823"/>
      <c r="O26" s="823"/>
      <c r="P26" s="823"/>
      <c r="Q26" s="50"/>
      <c r="R26" s="51"/>
      <c r="S26" s="62"/>
      <c r="T26" s="51"/>
      <c r="U26" s="41"/>
      <c r="W26"/>
      <c r="X26"/>
      <c r="Y26"/>
      <c r="Z26"/>
      <c r="AA26"/>
    </row>
    <row r="27" spans="1:27" s="71" customFormat="1">
      <c r="A27" s="17"/>
      <c r="B27" s="139"/>
      <c r="C27" s="136"/>
      <c r="D27" s="823"/>
      <c r="E27" s="823"/>
      <c r="F27" s="823"/>
      <c r="G27" s="823"/>
      <c r="H27" s="823"/>
      <c r="I27" s="823"/>
      <c r="J27" s="823"/>
      <c r="K27" s="823"/>
      <c r="L27" s="823"/>
      <c r="M27" s="823"/>
      <c r="N27" s="823"/>
      <c r="O27" s="823"/>
      <c r="P27" s="823"/>
      <c r="Q27" s="50"/>
      <c r="R27" s="51"/>
      <c r="S27" s="62"/>
      <c r="T27" s="51"/>
      <c r="U27" s="41"/>
      <c r="W27"/>
      <c r="X27"/>
      <c r="Y27"/>
      <c r="Z27"/>
      <c r="AA27"/>
    </row>
    <row r="28" spans="1:27" s="71" customFormat="1">
      <c r="A28" s="17"/>
      <c r="B28" s="139"/>
      <c r="C28" s="136"/>
      <c r="D28" s="823"/>
      <c r="E28" s="823"/>
      <c r="F28" s="823"/>
      <c r="G28" s="823"/>
      <c r="H28" s="823"/>
      <c r="I28" s="823"/>
      <c r="J28" s="823"/>
      <c r="K28" s="823"/>
      <c r="L28" s="823"/>
      <c r="M28" s="823"/>
      <c r="N28" s="823"/>
      <c r="O28" s="823"/>
      <c r="P28" s="823"/>
      <c r="Q28" s="50"/>
      <c r="R28" s="51"/>
      <c r="S28" s="62"/>
      <c r="T28" s="51"/>
      <c r="U28" s="41"/>
      <c r="W28"/>
      <c r="X28"/>
      <c r="Y28"/>
      <c r="Z28"/>
      <c r="AA28"/>
    </row>
    <row r="29" spans="1:27" s="71" customFormat="1">
      <c r="A29" s="17"/>
      <c r="B29" s="139"/>
      <c r="C29" s="136"/>
      <c r="D29" s="823"/>
      <c r="E29" s="823"/>
      <c r="F29" s="823"/>
      <c r="G29" s="823"/>
      <c r="H29" s="823"/>
      <c r="I29" s="823"/>
      <c r="J29" s="823"/>
      <c r="K29" s="823"/>
      <c r="L29" s="823"/>
      <c r="M29" s="823"/>
      <c r="N29" s="823"/>
      <c r="O29" s="823"/>
      <c r="P29" s="823"/>
      <c r="Q29" s="50"/>
      <c r="R29" s="51"/>
      <c r="S29" s="62"/>
      <c r="T29" s="51"/>
      <c r="U29" s="41"/>
      <c r="W29"/>
      <c r="X29"/>
      <c r="Y29"/>
      <c r="Z29"/>
      <c r="AA29"/>
    </row>
    <row r="30" spans="1:27" s="71" customFormat="1">
      <c r="A30" s="17"/>
      <c r="B30" s="140"/>
      <c r="C30" s="137"/>
      <c r="D30" s="824"/>
      <c r="E30" s="824"/>
      <c r="F30" s="824"/>
      <c r="G30" s="824"/>
      <c r="H30" s="824"/>
      <c r="I30" s="824"/>
      <c r="J30" s="824"/>
      <c r="K30" s="824"/>
      <c r="L30" s="824"/>
      <c r="M30" s="824"/>
      <c r="N30" s="824"/>
      <c r="O30" s="824"/>
      <c r="P30" s="824"/>
      <c r="Q30" s="52"/>
      <c r="R30" s="53"/>
      <c r="S30" s="63"/>
      <c r="T30" s="53"/>
      <c r="U30" s="42"/>
      <c r="W30"/>
      <c r="X30"/>
      <c r="Y30"/>
      <c r="Z30"/>
      <c r="AA30"/>
    </row>
    <row r="31" spans="1:27" s="14" customFormat="1" ht="58">
      <c r="A31" s="100" t="s">
        <v>154</v>
      </c>
      <c r="B31" s="93" t="s">
        <v>165</v>
      </c>
      <c r="C31" s="93" t="s">
        <v>155</v>
      </c>
      <c r="D31" s="95"/>
      <c r="E31" s="95"/>
      <c r="F31" s="95"/>
      <c r="G31" s="95"/>
      <c r="H31" s="95"/>
      <c r="I31" s="95"/>
      <c r="J31" s="95"/>
      <c r="K31" s="95"/>
      <c r="L31" s="95"/>
      <c r="M31" s="95"/>
      <c r="N31" s="95"/>
      <c r="O31" s="95"/>
      <c r="P31" s="95"/>
      <c r="Q31" s="95" t="s">
        <v>154</v>
      </c>
      <c r="R31" s="58" t="s">
        <v>142</v>
      </c>
      <c r="S31" s="70" t="s">
        <v>154</v>
      </c>
      <c r="T31" s="58" t="s">
        <v>143</v>
      </c>
      <c r="U31" s="39" t="s">
        <v>110</v>
      </c>
      <c r="W31"/>
      <c r="X31"/>
      <c r="Y31"/>
      <c r="Z31"/>
      <c r="AA31"/>
    </row>
    <row r="32" spans="1:27" s="32" customFormat="1" ht="30" customHeight="1">
      <c r="A32" s="89">
        <v>4</v>
      </c>
      <c r="B32" s="87" t="s">
        <v>129</v>
      </c>
      <c r="C32" s="27" t="s">
        <v>133</v>
      </c>
      <c r="D32" s="50"/>
      <c r="E32" s="50"/>
      <c r="F32" s="50"/>
      <c r="G32" s="50"/>
      <c r="H32" s="50"/>
      <c r="I32" s="50"/>
      <c r="J32" s="50"/>
      <c r="K32" s="50"/>
      <c r="L32" s="50"/>
      <c r="M32" s="50"/>
      <c r="N32" s="50"/>
      <c r="O32" s="50"/>
      <c r="P32" s="50"/>
      <c r="Q32" s="50" t="s">
        <v>154</v>
      </c>
      <c r="R32" s="131" t="s">
        <v>152</v>
      </c>
      <c r="S32" s="65"/>
      <c r="T32" s="131" t="s">
        <v>144</v>
      </c>
      <c r="U32" s="41" t="s">
        <v>110</v>
      </c>
      <c r="W32"/>
      <c r="X32"/>
      <c r="Y32"/>
      <c r="Z32"/>
      <c r="AA32"/>
    </row>
    <row r="33" spans="1:27" s="32" customFormat="1" ht="33" customHeight="1">
      <c r="A33" s="17"/>
      <c r="B33" s="23"/>
      <c r="C33" s="29" t="s">
        <v>130</v>
      </c>
      <c r="D33" s="50"/>
      <c r="E33" s="50"/>
      <c r="F33" s="50"/>
      <c r="G33" s="50"/>
      <c r="H33" s="50"/>
      <c r="I33" s="50"/>
      <c r="J33" s="50"/>
      <c r="K33" s="50"/>
      <c r="L33" s="50"/>
      <c r="M33" s="50"/>
      <c r="N33" s="50"/>
      <c r="O33" s="50"/>
      <c r="P33" s="50"/>
      <c r="Q33" s="50"/>
      <c r="R33" s="131"/>
      <c r="S33" s="65"/>
      <c r="T33" s="131"/>
      <c r="U33" s="41"/>
      <c r="W33"/>
      <c r="X33"/>
      <c r="Y33"/>
      <c r="Z33"/>
      <c r="AA33"/>
    </row>
    <row r="34" spans="1:27" s="32" customFormat="1" ht="95.25" customHeight="1">
      <c r="A34" s="18"/>
      <c r="B34" s="24"/>
      <c r="C34" s="93" t="s">
        <v>134</v>
      </c>
      <c r="D34" s="83"/>
      <c r="E34" s="83"/>
      <c r="F34" s="83"/>
      <c r="G34" s="83"/>
      <c r="H34" s="83"/>
      <c r="I34" s="83"/>
      <c r="J34" s="83"/>
      <c r="K34" s="83"/>
      <c r="L34" s="83"/>
      <c r="M34" s="83"/>
      <c r="N34" s="83"/>
      <c r="O34" s="83"/>
      <c r="P34" s="83"/>
      <c r="Q34" s="83" t="s">
        <v>154</v>
      </c>
      <c r="R34" s="84" t="s">
        <v>153</v>
      </c>
      <c r="S34" s="85"/>
      <c r="T34" s="132"/>
      <c r="U34" s="86"/>
      <c r="W34"/>
      <c r="X34"/>
      <c r="Y34"/>
      <c r="Z34"/>
      <c r="AA34"/>
    </row>
    <row r="35" spans="1:27" s="71" customFormat="1" ht="15" thickBot="1">
      <c r="A35" s="73">
        <v>5</v>
      </c>
      <c r="B35" s="44" t="s">
        <v>166</v>
      </c>
      <c r="C35" s="27"/>
      <c r="D35" s="52"/>
      <c r="E35" s="52"/>
      <c r="F35" s="52"/>
      <c r="G35" s="52"/>
      <c r="H35" s="52"/>
      <c r="I35" s="52"/>
      <c r="J35" s="52"/>
      <c r="K35" s="52"/>
      <c r="L35" s="52"/>
      <c r="M35" s="52"/>
      <c r="N35" s="52"/>
      <c r="O35" s="52"/>
      <c r="P35" s="52"/>
      <c r="Q35" s="52"/>
      <c r="R35" s="72"/>
      <c r="S35" s="92"/>
      <c r="T35" s="72"/>
      <c r="U35" s="79"/>
      <c r="W35"/>
      <c r="X35"/>
      <c r="Y35"/>
      <c r="Z35"/>
      <c r="AA35"/>
    </row>
    <row r="36" spans="1:27" s="14" customFormat="1" ht="117" thickTop="1" thickBot="1">
      <c r="A36" s="91" t="s">
        <v>154</v>
      </c>
      <c r="B36" s="90" t="s">
        <v>162</v>
      </c>
      <c r="C36" s="29" t="s">
        <v>106</v>
      </c>
      <c r="D36" s="55"/>
      <c r="E36" s="55"/>
      <c r="F36" s="55"/>
      <c r="G36" s="55"/>
      <c r="H36" s="55"/>
      <c r="I36" s="833">
        <v>15599</v>
      </c>
      <c r="J36" s="833">
        <v>15482</v>
      </c>
      <c r="K36" s="833">
        <v>16045</v>
      </c>
      <c r="L36" s="833">
        <v>228873.5</v>
      </c>
      <c r="M36" s="834" t="e">
        <f>((I36-H36)/H36*100+(J36-I36)/I36*100+(K36-J36)/J36*100+(L36-K36)/K36*100)/4</f>
        <v>#DIV/0!</v>
      </c>
      <c r="N36" s="55"/>
      <c r="O36" s="55"/>
      <c r="P36" s="55"/>
      <c r="Q36" s="55" t="s">
        <v>154</v>
      </c>
      <c r="R36" s="57" t="s">
        <v>160</v>
      </c>
      <c r="S36" s="68" t="s">
        <v>154</v>
      </c>
      <c r="T36" s="57" t="s">
        <v>112</v>
      </c>
      <c r="U36" s="30" t="s">
        <v>109</v>
      </c>
      <c r="W36"/>
      <c r="X36"/>
      <c r="Y36"/>
      <c r="Z36"/>
      <c r="AA36"/>
    </row>
    <row r="37" spans="1:27" s="99" customFormat="1" ht="174.5" thickTop="1">
      <c r="A37" s="91"/>
      <c r="B37" s="90"/>
      <c r="C37" s="29" t="s">
        <v>167</v>
      </c>
      <c r="D37" s="55"/>
      <c r="E37" s="55"/>
      <c r="F37" s="55"/>
      <c r="G37" s="55"/>
      <c r="H37" s="55"/>
      <c r="I37" s="55"/>
      <c r="J37" s="55"/>
      <c r="K37" s="55"/>
      <c r="L37" s="55"/>
      <c r="M37" s="55"/>
      <c r="N37" s="55"/>
      <c r="O37" s="55"/>
      <c r="P37" s="55"/>
      <c r="Q37" s="55"/>
      <c r="R37" s="57" t="s">
        <v>167</v>
      </c>
      <c r="S37" s="68"/>
      <c r="T37" s="57" t="s">
        <v>168</v>
      </c>
      <c r="U37" s="30"/>
      <c r="W37"/>
      <c r="X37"/>
      <c r="Y37"/>
      <c r="Z37"/>
      <c r="AA37"/>
    </row>
    <row r="38" spans="1:27" s="71" customFormat="1" ht="58">
      <c r="A38" s="91" t="s">
        <v>154</v>
      </c>
      <c r="B38" s="29" t="s">
        <v>77</v>
      </c>
      <c r="C38" s="25" t="s">
        <v>115</v>
      </c>
      <c r="D38" s="825"/>
      <c r="E38" s="825"/>
      <c r="F38" s="825"/>
      <c r="G38" s="825"/>
      <c r="H38" s="825"/>
      <c r="I38" s="825"/>
      <c r="J38" s="825"/>
      <c r="K38" s="825"/>
      <c r="L38" s="825"/>
      <c r="M38" s="825"/>
      <c r="N38" s="825"/>
      <c r="O38" s="825"/>
      <c r="P38" s="825"/>
      <c r="Q38" s="55" t="s">
        <v>154</v>
      </c>
      <c r="R38" s="57" t="s">
        <v>114</v>
      </c>
      <c r="S38" s="68" t="s">
        <v>154</v>
      </c>
      <c r="T38" s="69" t="s">
        <v>116</v>
      </c>
      <c r="U38" s="30" t="s">
        <v>109</v>
      </c>
      <c r="W38"/>
      <c r="X38"/>
      <c r="Y38"/>
      <c r="Z38"/>
      <c r="AA38"/>
    </row>
    <row r="39" spans="1:27" s="71" customFormat="1" ht="101.5">
      <c r="A39" s="104"/>
      <c r="B39" s="105"/>
      <c r="C39" s="76"/>
      <c r="D39" s="54"/>
      <c r="E39" s="54"/>
      <c r="F39" s="54"/>
      <c r="G39" s="54"/>
      <c r="H39" s="54"/>
      <c r="I39" s="54"/>
      <c r="J39" s="54"/>
      <c r="K39" s="54"/>
      <c r="L39" s="54"/>
      <c r="M39" s="54"/>
      <c r="N39" s="54"/>
      <c r="O39" s="54"/>
      <c r="P39" s="54"/>
      <c r="Q39" s="54" t="s">
        <v>154</v>
      </c>
      <c r="R39" s="75" t="s">
        <v>161</v>
      </c>
      <c r="S39" s="66"/>
      <c r="T39" s="75" t="s">
        <v>113</v>
      </c>
      <c r="U39" s="106"/>
      <c r="W39"/>
      <c r="X39"/>
      <c r="Y39"/>
      <c r="Z39"/>
      <c r="AA39"/>
    </row>
    <row r="40" spans="1:27" s="74" customFormat="1" ht="30.75" customHeight="1">
      <c r="A40" s="107"/>
      <c r="B40" s="24"/>
      <c r="C40" s="82"/>
      <c r="D40" s="83"/>
      <c r="E40" s="83"/>
      <c r="F40" s="83"/>
      <c r="G40" s="83"/>
      <c r="H40" s="83"/>
      <c r="I40" s="83"/>
      <c r="J40" s="83"/>
      <c r="K40" s="83"/>
      <c r="L40" s="83"/>
      <c r="M40" s="83"/>
      <c r="N40" s="83"/>
      <c r="O40" s="83"/>
      <c r="P40" s="83"/>
      <c r="Q40" s="83"/>
      <c r="R40" s="94"/>
      <c r="S40" s="108"/>
      <c r="T40" s="94"/>
      <c r="U40" s="81"/>
      <c r="W40"/>
      <c r="X40"/>
      <c r="Y40"/>
      <c r="Z40"/>
      <c r="AA40"/>
    </row>
    <row r="41" spans="1:27" s="71" customFormat="1">
      <c r="A41" s="96">
        <v>6</v>
      </c>
      <c r="B41" s="44" t="s">
        <v>76</v>
      </c>
      <c r="C41" s="27"/>
      <c r="D41" s="52"/>
      <c r="E41" s="52"/>
      <c r="F41" s="52"/>
      <c r="G41" s="52"/>
      <c r="H41" s="52"/>
      <c r="I41" s="52"/>
      <c r="J41" s="52"/>
      <c r="K41" s="52"/>
      <c r="L41" s="52"/>
      <c r="M41" s="52"/>
      <c r="N41" s="52"/>
      <c r="O41" s="52"/>
      <c r="P41" s="52"/>
      <c r="Q41" s="52"/>
      <c r="R41" s="72"/>
      <c r="S41" s="92"/>
      <c r="T41" s="72"/>
      <c r="U41" s="79"/>
      <c r="W41"/>
      <c r="X41"/>
      <c r="Y41"/>
      <c r="Z41"/>
      <c r="AA41"/>
    </row>
    <row r="42" spans="1:27" s="14" customFormat="1" ht="43.5">
      <c r="A42" s="91" t="s">
        <v>154</v>
      </c>
      <c r="B42" s="29" t="s">
        <v>72</v>
      </c>
      <c r="C42" s="29" t="s">
        <v>156</v>
      </c>
      <c r="D42" s="55"/>
      <c r="E42" s="55"/>
      <c r="F42" s="55"/>
      <c r="G42" s="55"/>
      <c r="H42" s="55"/>
      <c r="I42" s="55"/>
      <c r="J42" s="55"/>
      <c r="K42" s="55"/>
      <c r="L42" s="55"/>
      <c r="M42" s="55"/>
      <c r="N42" s="55"/>
      <c r="O42" s="55"/>
      <c r="P42" s="55"/>
      <c r="Q42" s="55" t="s">
        <v>154</v>
      </c>
      <c r="R42" s="56" t="s">
        <v>136</v>
      </c>
      <c r="S42" s="67" t="s">
        <v>154</v>
      </c>
      <c r="T42" s="56" t="s">
        <v>141</v>
      </c>
      <c r="U42" s="30" t="s">
        <v>110</v>
      </c>
      <c r="W42"/>
      <c r="X42"/>
      <c r="Y42"/>
      <c r="Z42"/>
      <c r="AA42"/>
    </row>
    <row r="43" spans="1:27" s="14" customFormat="1" ht="72.5">
      <c r="A43" s="100" t="s">
        <v>154</v>
      </c>
      <c r="B43" s="93" t="s">
        <v>163</v>
      </c>
      <c r="C43" s="93" t="s">
        <v>131</v>
      </c>
      <c r="D43" s="95"/>
      <c r="E43" s="95"/>
      <c r="F43" s="95"/>
      <c r="G43" s="95"/>
      <c r="H43" s="95"/>
      <c r="I43" s="95"/>
      <c r="J43" s="95"/>
      <c r="K43" s="95"/>
      <c r="L43" s="95"/>
      <c r="M43" s="95"/>
      <c r="N43" s="95"/>
      <c r="O43" s="95"/>
      <c r="P43" s="95"/>
      <c r="Q43" s="95" t="s">
        <v>154</v>
      </c>
      <c r="R43" s="58" t="s">
        <v>139</v>
      </c>
      <c r="S43" s="70" t="s">
        <v>154</v>
      </c>
      <c r="T43" s="58" t="s">
        <v>140</v>
      </c>
      <c r="U43" s="39" t="s">
        <v>110</v>
      </c>
      <c r="W43"/>
      <c r="X43"/>
      <c r="Y43"/>
      <c r="Z43"/>
      <c r="AA43"/>
    </row>
    <row r="44" spans="1:27" s="14" customFormat="1" ht="72.5">
      <c r="A44" s="101">
        <v>7</v>
      </c>
      <c r="B44" s="82" t="s">
        <v>78</v>
      </c>
      <c r="C44" s="102" t="s">
        <v>132</v>
      </c>
      <c r="D44" s="103"/>
      <c r="E44" s="103"/>
      <c r="F44" s="103"/>
      <c r="G44" s="103"/>
      <c r="H44" s="103"/>
      <c r="I44" s="103"/>
      <c r="J44" s="103"/>
      <c r="K44" s="103"/>
      <c r="L44" s="103"/>
      <c r="M44" s="103"/>
      <c r="N44" s="103"/>
      <c r="O44" s="103"/>
      <c r="P44" s="103"/>
      <c r="Q44" s="103" t="s">
        <v>154</v>
      </c>
      <c r="R44" s="84" t="s">
        <v>137</v>
      </c>
      <c r="S44" s="85" t="s">
        <v>154</v>
      </c>
      <c r="T44" s="84" t="s">
        <v>138</v>
      </c>
      <c r="U44" s="81" t="s">
        <v>110</v>
      </c>
      <c r="W44"/>
      <c r="X44"/>
      <c r="Y44"/>
      <c r="Z44"/>
      <c r="AA44"/>
    </row>
  </sheetData>
  <mergeCells count="17">
    <mergeCell ref="H3:P3"/>
    <mergeCell ref="T32:T34"/>
    <mergeCell ref="R32:R33"/>
    <mergeCell ref="A1:U1"/>
    <mergeCell ref="A3:A4"/>
    <mergeCell ref="B3:B4"/>
    <mergeCell ref="R3:R4"/>
    <mergeCell ref="T3:T4"/>
    <mergeCell ref="U3:U4"/>
    <mergeCell ref="C3:C4"/>
    <mergeCell ref="C19:C30"/>
    <mergeCell ref="R19:R24"/>
    <mergeCell ref="T19:T24"/>
    <mergeCell ref="B15:B30"/>
    <mergeCell ref="R15:R18"/>
    <mergeCell ref="T15:T18"/>
    <mergeCell ref="C15:C18"/>
  </mergeCells>
  <pageMargins left="1.53" right="0.2" top="0.75" bottom="0.75" header="0.3" footer="0.38"/>
  <pageSetup paperSize="5" orientation="landscape" r:id="rId1"/>
  <headerFooter>
    <oddFooter>&amp;C&amp;P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776"/>
  <sheetViews>
    <sheetView tabSelected="1" view="pageBreakPreview" topLeftCell="A238" zoomScale="150" zoomScaleSheetLayoutView="150" workbookViewId="0">
      <selection activeCell="H75" sqref="H75"/>
    </sheetView>
  </sheetViews>
  <sheetFormatPr defaultColWidth="9.1796875" defaultRowHeight="14.5"/>
  <cols>
    <col min="1" max="1" width="2.26953125" style="109" customWidth="1"/>
    <col min="2" max="2" width="14.81640625" style="109" customWidth="1"/>
    <col min="3" max="3" width="7.54296875" style="109" customWidth="1"/>
    <col min="4" max="4" width="7.81640625" style="109" customWidth="1"/>
    <col min="5" max="5" width="7.7265625" style="109" customWidth="1"/>
    <col min="6" max="6" width="7.54296875" style="109" customWidth="1"/>
    <col min="7" max="7" width="7.7265625" style="109" customWidth="1"/>
    <col min="8" max="8" width="5.81640625" style="109" customWidth="1"/>
    <col min="9" max="9" width="9.1796875" style="109"/>
    <col min="10" max="10" width="9.26953125" style="109" bestFit="1" customWidth="1"/>
    <col min="11" max="11" width="9.1796875" style="109"/>
    <col min="12" max="12" width="1.54296875" style="109" customWidth="1"/>
    <col min="13" max="13" width="2.7265625" style="109" customWidth="1"/>
    <col min="14" max="14" width="9.7265625" style="109" customWidth="1"/>
    <col min="15" max="15" width="10.54296875" style="109" customWidth="1"/>
    <col min="16" max="16" width="10.453125" style="109" customWidth="1"/>
    <col min="17" max="17" width="10.7265625" style="109" customWidth="1"/>
    <col min="18" max="18" width="10" style="109" customWidth="1"/>
    <col min="19" max="19" width="10.54296875" style="109" customWidth="1"/>
    <col min="20" max="20" width="7.453125" style="109" customWidth="1"/>
    <col min="21" max="21" width="7" style="109" customWidth="1"/>
    <col min="22" max="22" width="2.26953125" style="109" customWidth="1"/>
    <col min="23" max="23" width="14.81640625" style="109" customWidth="1"/>
    <col min="24" max="24" width="12.81640625" style="109" customWidth="1"/>
    <col min="25" max="25" width="14" style="109" customWidth="1"/>
    <col min="26" max="26" width="14.54296875" style="109" customWidth="1"/>
    <col min="27" max="27" width="1.81640625" style="109" customWidth="1"/>
    <col min="28" max="28" width="2.453125" style="109" customWidth="1"/>
    <col min="29" max="29" width="7.81640625" style="109" customWidth="1"/>
    <col min="30" max="30" width="6.26953125" style="109" customWidth="1"/>
    <col min="31" max="31" width="6" style="109" customWidth="1"/>
    <col min="32" max="32" width="6.1796875" style="109" customWidth="1"/>
    <col min="33" max="33" width="6.453125" style="109" customWidth="1"/>
    <col min="34" max="34" width="6" style="109" customWidth="1"/>
    <col min="35" max="35" width="6.453125" style="109" customWidth="1"/>
    <col min="36" max="36" width="6.26953125" style="109" customWidth="1"/>
    <col min="37" max="16384" width="9.1796875" style="109"/>
  </cols>
  <sheetData>
    <row r="1" spans="1:36" ht="11.15" customHeight="1">
      <c r="A1" s="142" t="s">
        <v>169</v>
      </c>
      <c r="B1" s="142"/>
      <c r="C1" s="142"/>
      <c r="D1" s="142"/>
      <c r="E1" s="142"/>
      <c r="F1" s="142"/>
      <c r="G1" s="142"/>
      <c r="H1" s="142"/>
      <c r="M1" s="143" t="s">
        <v>170</v>
      </c>
      <c r="N1" s="143"/>
      <c r="O1" s="143"/>
      <c r="P1" s="143"/>
      <c r="Q1" s="143"/>
      <c r="R1" s="143"/>
      <c r="S1" s="143"/>
      <c r="T1" s="143"/>
      <c r="V1" s="142" t="s">
        <v>171</v>
      </c>
      <c r="W1" s="142"/>
      <c r="X1" s="142"/>
      <c r="Y1" s="142"/>
      <c r="Z1" s="142"/>
      <c r="AA1" s="144"/>
      <c r="AB1" s="145" t="s">
        <v>172</v>
      </c>
      <c r="AC1" s="145"/>
      <c r="AD1" s="145"/>
      <c r="AE1" s="145"/>
      <c r="AF1" s="145"/>
      <c r="AG1" s="145"/>
      <c r="AH1" s="145"/>
      <c r="AI1" s="145"/>
      <c r="AJ1" s="145"/>
    </row>
    <row r="2" spans="1:36" ht="11.15" customHeight="1">
      <c r="A2" s="142"/>
      <c r="B2" s="142"/>
      <c r="C2" s="142"/>
      <c r="D2" s="142"/>
      <c r="E2" s="142"/>
      <c r="F2" s="142"/>
      <c r="G2" s="142"/>
      <c r="H2" s="142"/>
      <c r="M2" s="143" t="s">
        <v>173</v>
      </c>
      <c r="N2" s="143"/>
      <c r="O2" s="143"/>
      <c r="P2" s="143"/>
      <c r="Q2" s="143"/>
      <c r="R2" s="143"/>
      <c r="S2" s="143"/>
      <c r="T2" s="143"/>
      <c r="V2" s="142"/>
      <c r="W2" s="142"/>
      <c r="X2" s="142"/>
      <c r="Y2" s="142"/>
      <c r="Z2" s="142"/>
      <c r="AA2" s="144"/>
      <c r="AB2" s="146" t="s">
        <v>174</v>
      </c>
      <c r="AC2" s="146"/>
      <c r="AD2" s="146"/>
      <c r="AE2" s="146"/>
      <c r="AF2" s="146"/>
      <c r="AG2" s="146"/>
      <c r="AH2" s="146"/>
      <c r="AI2" s="146"/>
      <c r="AJ2" s="146"/>
    </row>
    <row r="3" spans="1:36" ht="8.25" customHeight="1">
      <c r="A3" s="147"/>
      <c r="B3" s="147"/>
      <c r="C3" s="147"/>
      <c r="D3" s="147"/>
      <c r="E3" s="147"/>
      <c r="F3" s="147"/>
      <c r="G3" s="147"/>
      <c r="H3" s="147"/>
      <c r="M3" s="148"/>
      <c r="N3" s="148"/>
      <c r="O3" s="148"/>
      <c r="P3" s="148"/>
      <c r="Q3" s="148"/>
      <c r="S3" s="149" t="s">
        <v>175</v>
      </c>
      <c r="T3" s="149"/>
      <c r="AA3" s="150"/>
      <c r="AB3" s="151"/>
      <c r="AC3" s="151"/>
      <c r="AD3" s="151"/>
      <c r="AE3" s="151"/>
      <c r="AF3" s="151"/>
      <c r="AG3" s="151"/>
      <c r="AH3" s="151"/>
      <c r="AJ3" s="152" t="s">
        <v>176</v>
      </c>
    </row>
    <row r="4" spans="1:36" ht="11.15" customHeight="1">
      <c r="A4" s="146" t="s">
        <v>177</v>
      </c>
      <c r="B4" s="146"/>
      <c r="C4" s="146"/>
      <c r="D4" s="146"/>
      <c r="E4" s="146"/>
      <c r="F4" s="146"/>
      <c r="G4" s="146"/>
      <c r="H4" s="146"/>
      <c r="M4" s="153" t="s">
        <v>6</v>
      </c>
      <c r="N4" s="153" t="s">
        <v>178</v>
      </c>
      <c r="O4" s="153" t="s">
        <v>179</v>
      </c>
      <c r="P4" s="153"/>
      <c r="Q4" s="153"/>
      <c r="R4" s="153"/>
      <c r="S4" s="153"/>
      <c r="T4" s="153" t="s">
        <v>180</v>
      </c>
      <c r="V4" s="154" t="s">
        <v>181</v>
      </c>
      <c r="W4" s="154"/>
      <c r="X4" s="154"/>
      <c r="Y4" s="154"/>
      <c r="Z4" s="154"/>
      <c r="AA4" s="155"/>
      <c r="AB4" s="156" t="s">
        <v>6</v>
      </c>
      <c r="AC4" s="157" t="s">
        <v>182</v>
      </c>
      <c r="AD4" s="158" t="s">
        <v>183</v>
      </c>
      <c r="AE4" s="159"/>
      <c r="AF4" s="159"/>
      <c r="AG4" s="159"/>
      <c r="AH4" s="159"/>
      <c r="AI4" s="160"/>
      <c r="AJ4" s="161" t="s">
        <v>184</v>
      </c>
    </row>
    <row r="5" spans="1:36" ht="11.15" customHeight="1" thickBot="1">
      <c r="A5" s="146" t="s">
        <v>185</v>
      </c>
      <c r="B5" s="146"/>
      <c r="C5" s="146"/>
      <c r="D5" s="146"/>
      <c r="E5" s="146"/>
      <c r="F5" s="146"/>
      <c r="G5" s="146"/>
      <c r="H5" s="146"/>
      <c r="M5" s="162"/>
      <c r="N5" s="162"/>
      <c r="O5" s="163">
        <v>2011</v>
      </c>
      <c r="P5" s="163">
        <v>2012</v>
      </c>
      <c r="Q5" s="163">
        <v>2013</v>
      </c>
      <c r="R5" s="163">
        <v>2014</v>
      </c>
      <c r="S5" s="163">
        <v>2015</v>
      </c>
      <c r="T5" s="162"/>
      <c r="V5" s="164" t="s">
        <v>186</v>
      </c>
      <c r="W5" s="164"/>
      <c r="X5" s="164"/>
      <c r="Y5" s="164"/>
      <c r="Z5" s="164"/>
      <c r="AA5" s="165"/>
      <c r="AB5" s="166"/>
      <c r="AC5" s="167" t="s">
        <v>187</v>
      </c>
      <c r="AD5" s="168" t="s">
        <v>188</v>
      </c>
      <c r="AE5" s="168" t="s">
        <v>189</v>
      </c>
      <c r="AF5" s="168" t="s">
        <v>190</v>
      </c>
      <c r="AG5" s="168" t="s">
        <v>191</v>
      </c>
      <c r="AH5" s="168" t="s">
        <v>192</v>
      </c>
      <c r="AI5" s="169" t="s">
        <v>193</v>
      </c>
      <c r="AJ5" s="170"/>
    </row>
    <row r="6" spans="1:36" ht="11.15" customHeight="1" thickTop="1">
      <c r="A6" s="171"/>
      <c r="B6" s="171"/>
      <c r="C6" s="171"/>
      <c r="D6" s="171"/>
      <c r="E6" s="171"/>
      <c r="F6" s="172" t="s">
        <v>194</v>
      </c>
      <c r="G6" s="172"/>
      <c r="H6" s="172"/>
      <c r="M6" s="173">
        <v>1</v>
      </c>
      <c r="N6" s="174" t="s">
        <v>195</v>
      </c>
      <c r="O6" s="175">
        <v>898019859.70000005</v>
      </c>
      <c r="P6" s="175">
        <v>640312860</v>
      </c>
      <c r="Q6" s="175">
        <v>986773650</v>
      </c>
      <c r="R6" s="176">
        <v>1182635730</v>
      </c>
      <c r="S6" s="176">
        <f>S37+S66</f>
        <v>792448578.10000002</v>
      </c>
      <c r="T6" s="177">
        <v>11.652198067192639</v>
      </c>
      <c r="V6" s="178"/>
      <c r="W6" s="178"/>
      <c r="X6" s="178"/>
      <c r="Y6" s="178"/>
      <c r="Z6" s="179" t="s">
        <v>196</v>
      </c>
      <c r="AA6" s="180"/>
      <c r="AB6" s="181">
        <v>1</v>
      </c>
      <c r="AC6" s="182" t="s">
        <v>195</v>
      </c>
      <c r="AD6" s="183">
        <v>1.5</v>
      </c>
      <c r="AE6" s="183">
        <v>0</v>
      </c>
      <c r="AF6" s="183">
        <v>0.45</v>
      </c>
      <c r="AG6" s="184">
        <v>0</v>
      </c>
      <c r="AH6" s="183">
        <v>0</v>
      </c>
      <c r="AI6" s="185">
        <v>0.15</v>
      </c>
      <c r="AJ6" s="186">
        <f>SUM(AD6:AI6)</f>
        <v>2.1</v>
      </c>
    </row>
    <row r="7" spans="1:36" ht="11.15" customHeight="1">
      <c r="A7" s="156" t="s">
        <v>6</v>
      </c>
      <c r="B7" s="187" t="s">
        <v>197</v>
      </c>
      <c r="C7" s="188" t="s">
        <v>179</v>
      </c>
      <c r="D7" s="189"/>
      <c r="E7" s="189"/>
      <c r="F7" s="189"/>
      <c r="G7" s="190"/>
      <c r="H7" s="187" t="s">
        <v>180</v>
      </c>
      <c r="M7" s="191">
        <v>2</v>
      </c>
      <c r="N7" s="192" t="s">
        <v>198</v>
      </c>
      <c r="O7" s="193">
        <v>91012480</v>
      </c>
      <c r="P7" s="193">
        <v>116132820</v>
      </c>
      <c r="Q7" s="193">
        <v>128953515</v>
      </c>
      <c r="R7" s="194">
        <v>120962927.5</v>
      </c>
      <c r="S7" s="194">
        <f>S38+S67</f>
        <v>110468396.3</v>
      </c>
      <c r="T7" s="195">
        <v>22.361919681098055</v>
      </c>
      <c r="V7" s="196" t="s">
        <v>6</v>
      </c>
      <c r="W7" s="197" t="s">
        <v>178</v>
      </c>
      <c r="X7" s="198" t="s">
        <v>199</v>
      </c>
      <c r="Y7" s="187" t="s">
        <v>200</v>
      </c>
      <c r="Z7" s="187" t="s">
        <v>201</v>
      </c>
      <c r="AA7" s="199"/>
      <c r="AB7" s="200">
        <v>2</v>
      </c>
      <c r="AC7" s="201" t="s">
        <v>198</v>
      </c>
      <c r="AD7" s="185">
        <v>0.6</v>
      </c>
      <c r="AE7" s="185">
        <v>2.65</v>
      </c>
      <c r="AF7" s="185">
        <v>0</v>
      </c>
      <c r="AG7" s="202">
        <v>0</v>
      </c>
      <c r="AH7" s="185">
        <v>0</v>
      </c>
      <c r="AI7" s="185">
        <v>3.7</v>
      </c>
      <c r="AJ7" s="186">
        <f>SUM(AD7:AI7)</f>
        <v>6.95</v>
      </c>
    </row>
    <row r="8" spans="1:36" ht="11.15" customHeight="1" thickBot="1">
      <c r="A8" s="166"/>
      <c r="B8" s="203"/>
      <c r="C8" s="204">
        <v>2011</v>
      </c>
      <c r="D8" s="204">
        <v>2012</v>
      </c>
      <c r="E8" s="204">
        <v>2013</v>
      </c>
      <c r="F8" s="204">
        <v>2014</v>
      </c>
      <c r="G8" s="204">
        <v>2015</v>
      </c>
      <c r="H8" s="203"/>
      <c r="M8" s="191">
        <v>3</v>
      </c>
      <c r="N8" s="192" t="s">
        <v>202</v>
      </c>
      <c r="O8" s="193">
        <v>64361100</v>
      </c>
      <c r="P8" s="193">
        <v>77656500</v>
      </c>
      <c r="Q8" s="193">
        <v>83606750</v>
      </c>
      <c r="R8" s="194">
        <v>100746600</v>
      </c>
      <c r="S8" s="194">
        <f>S39+S68</f>
        <v>76160987</v>
      </c>
      <c r="T8" s="195">
        <v>27.816450440767802</v>
      </c>
      <c r="V8" s="205"/>
      <c r="W8" s="206"/>
      <c r="X8" s="207"/>
      <c r="Y8" s="203"/>
      <c r="Z8" s="203"/>
      <c r="AA8" s="199"/>
      <c r="AB8" s="200">
        <v>3</v>
      </c>
      <c r="AC8" s="201" t="s">
        <v>202</v>
      </c>
      <c r="AD8" s="185">
        <v>11.4</v>
      </c>
      <c r="AE8" s="185">
        <v>0.6</v>
      </c>
      <c r="AF8" s="185">
        <v>0</v>
      </c>
      <c r="AG8" s="202">
        <v>0</v>
      </c>
      <c r="AH8" s="185">
        <v>0.5</v>
      </c>
      <c r="AI8" s="185">
        <v>1.1000000000000001</v>
      </c>
      <c r="AJ8" s="186">
        <f>SUM(AD8:AI8)</f>
        <v>13.6</v>
      </c>
    </row>
    <row r="9" spans="1:36" ht="11.15" customHeight="1" thickTop="1">
      <c r="A9" s="208">
        <v>1</v>
      </c>
      <c r="B9" s="209" t="s">
        <v>203</v>
      </c>
      <c r="C9" s="210">
        <f>SUM(C10:C11)</f>
        <v>3957.6</v>
      </c>
      <c r="D9" s="210">
        <f>SUM(D10:D11)</f>
        <v>4007.2</v>
      </c>
      <c r="E9" s="210">
        <f>SUM(E10:E11)</f>
        <v>4056.3</v>
      </c>
      <c r="F9" s="210">
        <f>SUM(F10:F11)</f>
        <v>4104.8999999999996</v>
      </c>
      <c r="G9" s="210">
        <f>SUM(G10:G11)</f>
        <v>4152.8</v>
      </c>
      <c r="H9" s="211">
        <f t="shared" ref="H9:H17" si="0">((D9-C9)/C9*100+(E9-D9)/D9*100+(F9-E9)/E9*100+(G9-F9)/F9*100)/4</f>
        <v>1.2109034047398342</v>
      </c>
      <c r="M9" s="191">
        <v>4</v>
      </c>
      <c r="N9" s="192" t="s">
        <v>204</v>
      </c>
      <c r="O9" s="193">
        <v>152441974</v>
      </c>
      <c r="P9" s="193">
        <v>110718040</v>
      </c>
      <c r="Q9" s="193">
        <v>151960769</v>
      </c>
      <c r="R9" s="194">
        <v>294952616.89999998</v>
      </c>
      <c r="S9" s="194">
        <f t="shared" ref="S9:S14" si="1">S40+S69</f>
        <v>186035956.69999999</v>
      </c>
      <c r="T9" s="195">
        <v>3.36</v>
      </c>
      <c r="V9" s="191">
        <v>1</v>
      </c>
      <c r="W9" s="192" t="s">
        <v>195</v>
      </c>
      <c r="X9" s="212">
        <v>641</v>
      </c>
      <c r="Y9" s="213">
        <f>43.02+68.83</f>
        <v>111.85</v>
      </c>
      <c r="Z9" s="214">
        <v>452</v>
      </c>
      <c r="AA9" s="215"/>
      <c r="AB9" s="216">
        <v>4</v>
      </c>
      <c r="AC9" s="201" t="s">
        <v>205</v>
      </c>
      <c r="AD9" s="185">
        <v>10.98</v>
      </c>
      <c r="AE9" s="185">
        <v>0</v>
      </c>
      <c r="AF9" s="185">
        <v>0</v>
      </c>
      <c r="AG9" s="202">
        <v>5.08</v>
      </c>
      <c r="AH9" s="185">
        <v>0</v>
      </c>
      <c r="AI9" s="185">
        <v>2.3199999999999998</v>
      </c>
      <c r="AJ9" s="186">
        <f>SUM(AD9:AI9)</f>
        <v>18.380000000000003</v>
      </c>
    </row>
    <row r="10" spans="1:36" ht="11.15" customHeight="1" thickBot="1">
      <c r="A10" s="217" t="s">
        <v>206</v>
      </c>
      <c r="B10" s="218" t="s">
        <v>207</v>
      </c>
      <c r="C10" s="219">
        <v>1991.8</v>
      </c>
      <c r="D10" s="220">
        <v>2017</v>
      </c>
      <c r="E10" s="221">
        <v>2042</v>
      </c>
      <c r="F10" s="221">
        <v>2066.6999999999998</v>
      </c>
      <c r="G10" s="221">
        <v>2091</v>
      </c>
      <c r="H10" s="222">
        <f>(((D10-C10)/C10*100)+((E10-D10)/D10*100)+((F10-E10)/E10*100)+((G10-F10)/F10*100))/4</f>
        <v>1.2225094348298278</v>
      </c>
      <c r="M10" s="191">
        <v>5</v>
      </c>
      <c r="N10" s="192" t="s">
        <v>205</v>
      </c>
      <c r="O10" s="193">
        <v>277883836</v>
      </c>
      <c r="P10" s="193">
        <v>289828400</v>
      </c>
      <c r="Q10" s="193">
        <v>366806190</v>
      </c>
      <c r="R10" s="194">
        <v>487345440</v>
      </c>
      <c r="S10" s="194">
        <f t="shared" si="1"/>
        <v>434133653.60000002</v>
      </c>
      <c r="T10" s="195">
        <v>21.15</v>
      </c>
      <c r="V10" s="191">
        <v>2</v>
      </c>
      <c r="W10" s="192" t="s">
        <v>198</v>
      </c>
      <c r="X10" s="212">
        <v>753.5</v>
      </c>
      <c r="Y10" s="213">
        <f>109.8+219.6+164.7</f>
        <v>494.09999999999997</v>
      </c>
      <c r="Z10" s="214">
        <v>500.8</v>
      </c>
      <c r="AA10" s="215"/>
      <c r="AB10" s="216">
        <v>5</v>
      </c>
      <c r="AC10" s="201" t="s">
        <v>208</v>
      </c>
      <c r="AD10" s="185">
        <v>14</v>
      </c>
      <c r="AE10" s="185">
        <v>0</v>
      </c>
      <c r="AF10" s="185">
        <v>0</v>
      </c>
      <c r="AG10" s="202">
        <v>0</v>
      </c>
      <c r="AH10" s="185">
        <v>0</v>
      </c>
      <c r="AI10" s="185">
        <v>6</v>
      </c>
      <c r="AJ10" s="186">
        <f>SUM(AD10:AI10)</f>
        <v>20</v>
      </c>
    </row>
    <row r="11" spans="1:36" ht="11.15" customHeight="1" thickTop="1" thickBot="1">
      <c r="A11" s="223" t="s">
        <v>209</v>
      </c>
      <c r="B11" s="224" t="s">
        <v>210</v>
      </c>
      <c r="C11" s="225">
        <v>1965.8</v>
      </c>
      <c r="D11" s="226">
        <v>1990.2</v>
      </c>
      <c r="E11" s="227">
        <v>2014.3</v>
      </c>
      <c r="F11" s="227">
        <v>2038.2</v>
      </c>
      <c r="G11" s="227">
        <v>2061.8000000000002</v>
      </c>
      <c r="H11" s="186">
        <f>(((D11-C11)/C11*100)+((E11-D11)/D11*100)+((F11-E11)/E11*100)+((G11-F11)/F11*100))/4</f>
        <v>1.1991398341494079</v>
      </c>
      <c r="M11" s="191">
        <v>6</v>
      </c>
      <c r="N11" s="192" t="s">
        <v>208</v>
      </c>
      <c r="O11" s="193">
        <v>177972590</v>
      </c>
      <c r="P11" s="193">
        <v>208705275</v>
      </c>
      <c r="Q11" s="193">
        <v>274133220</v>
      </c>
      <c r="R11" s="194">
        <v>318965720</v>
      </c>
      <c r="S11" s="194">
        <f t="shared" si="1"/>
        <v>312713682.69999999</v>
      </c>
      <c r="T11" s="195">
        <v>19.579999999999998</v>
      </c>
      <c r="V11" s="191">
        <v>3</v>
      </c>
      <c r="W11" s="192" t="s">
        <v>202</v>
      </c>
      <c r="X11" s="212">
        <v>9.75</v>
      </c>
      <c r="Y11" s="213">
        <v>0</v>
      </c>
      <c r="Z11" s="214">
        <v>0</v>
      </c>
      <c r="AA11" s="215"/>
      <c r="AB11" s="228" t="s">
        <v>211</v>
      </c>
      <c r="AC11" s="229"/>
      <c r="AD11" s="230">
        <f t="shared" ref="AD11:AJ11" si="2">SUM(AD6:AD10)</f>
        <v>38.480000000000004</v>
      </c>
      <c r="AE11" s="230">
        <f t="shared" si="2"/>
        <v>3.25</v>
      </c>
      <c r="AF11" s="230">
        <f t="shared" si="2"/>
        <v>0.45</v>
      </c>
      <c r="AG11" s="230">
        <f t="shared" si="2"/>
        <v>5.08</v>
      </c>
      <c r="AH11" s="230">
        <f t="shared" si="2"/>
        <v>0.5</v>
      </c>
      <c r="AI11" s="230">
        <f t="shared" si="2"/>
        <v>13.27</v>
      </c>
      <c r="AJ11" s="230">
        <f t="shared" si="2"/>
        <v>61.03</v>
      </c>
    </row>
    <row r="12" spans="1:36" ht="11.15" customHeight="1" thickTop="1">
      <c r="A12" s="208">
        <v>2</v>
      </c>
      <c r="B12" s="209" t="s">
        <v>212</v>
      </c>
      <c r="C12" s="231">
        <f>SUM(C13:C14)</f>
        <v>34844</v>
      </c>
      <c r="D12" s="231">
        <f>SUM(D13:D14)</f>
        <v>33559</v>
      </c>
      <c r="E12" s="231">
        <f>SUM(E13:E14)</f>
        <v>31948</v>
      </c>
      <c r="F12" s="231">
        <f>SUM(F13:F14)</f>
        <v>30330</v>
      </c>
      <c r="G12" s="231">
        <f>SUM(G13:G14)</f>
        <v>30235</v>
      </c>
      <c r="H12" s="211">
        <f t="shared" si="0"/>
        <v>-3.4665168850665009</v>
      </c>
      <c r="M12" s="191">
        <v>7</v>
      </c>
      <c r="N12" s="192" t="s">
        <v>213</v>
      </c>
      <c r="O12" s="193">
        <v>236938005</v>
      </c>
      <c r="P12" s="193">
        <v>105981350</v>
      </c>
      <c r="Q12" s="193">
        <v>136705825</v>
      </c>
      <c r="R12" s="194">
        <v>159257915</v>
      </c>
      <c r="S12" s="194">
        <f t="shared" si="1"/>
        <v>151019824.09999999</v>
      </c>
      <c r="T12" s="195">
        <v>14.43</v>
      </c>
      <c r="V12" s="191">
        <v>4</v>
      </c>
      <c r="W12" s="192" t="s">
        <v>204</v>
      </c>
      <c r="X12" s="212">
        <v>968.5</v>
      </c>
      <c r="Y12" s="213">
        <f>66.78+66.78+89.04+22.26</f>
        <v>244.86</v>
      </c>
      <c r="Z12" s="214">
        <v>127</v>
      </c>
      <c r="AA12" s="232"/>
      <c r="AB12" s="151"/>
      <c r="AC12" s="151"/>
      <c r="AD12" s="151"/>
      <c r="AE12" s="151"/>
      <c r="AF12" s="151"/>
      <c r="AG12" s="233"/>
      <c r="AH12" s="151"/>
      <c r="AI12" s="234"/>
    </row>
    <row r="13" spans="1:36" ht="11.15" customHeight="1">
      <c r="A13" s="223" t="s">
        <v>206</v>
      </c>
      <c r="B13" s="224" t="s">
        <v>214</v>
      </c>
      <c r="C13" s="235">
        <v>20964</v>
      </c>
      <c r="D13" s="235">
        <v>19452</v>
      </c>
      <c r="E13" s="235">
        <f>E192</f>
        <v>19421</v>
      </c>
      <c r="F13" s="236">
        <f>F192</f>
        <v>19451</v>
      </c>
      <c r="G13" s="236">
        <f>G192</f>
        <v>20491</v>
      </c>
      <c r="H13" s="186">
        <f>((D13-C13)/C13*100+(E13-D13)/D13*100+(F13-E13)/E13*100+(G13-F13)/F13*100)/4</f>
        <v>-0.46762248294144992</v>
      </c>
      <c r="M13" s="191">
        <v>8</v>
      </c>
      <c r="N13" s="192" t="s">
        <v>215</v>
      </c>
      <c r="O13" s="193">
        <v>82772600</v>
      </c>
      <c r="P13" s="193">
        <v>99485700</v>
      </c>
      <c r="Q13" s="193">
        <v>79058000</v>
      </c>
      <c r="R13" s="194">
        <v>82070840</v>
      </c>
      <c r="S13" s="194">
        <f t="shared" si="1"/>
        <v>41261662.899999999</v>
      </c>
      <c r="T13" s="195">
        <v>46.68</v>
      </c>
      <c r="V13" s="191">
        <v>5</v>
      </c>
      <c r="W13" s="192" t="s">
        <v>205</v>
      </c>
      <c r="X13" s="212">
        <v>1291.4000000000001</v>
      </c>
      <c r="Y13" s="213">
        <f>56.4+225.52+394.64+169.12</f>
        <v>845.68</v>
      </c>
      <c r="Z13" s="214">
        <v>51.7</v>
      </c>
      <c r="AA13" s="232"/>
      <c r="AB13" s="171"/>
    </row>
    <row r="14" spans="1:36" ht="11.15" customHeight="1" thickBot="1">
      <c r="A14" s="223" t="s">
        <v>209</v>
      </c>
      <c r="B14" s="224" t="s">
        <v>216</v>
      </c>
      <c r="C14" s="235">
        <v>13880</v>
      </c>
      <c r="D14" s="235">
        <v>14107</v>
      </c>
      <c r="E14" s="236">
        <v>12527</v>
      </c>
      <c r="F14" s="236">
        <v>10879</v>
      </c>
      <c r="G14" s="236">
        <v>9744</v>
      </c>
      <c r="H14" s="186">
        <f>((D14-C14)/C14*100+(E14-D14)/D14*100+(F14-E14)/E14*100+(G14-F14)/F14*100)/4</f>
        <v>-8.2882987190285196</v>
      </c>
      <c r="M14" s="191">
        <v>9</v>
      </c>
      <c r="N14" s="192" t="s">
        <v>217</v>
      </c>
      <c r="O14" s="193">
        <v>36574894</v>
      </c>
      <c r="P14" s="193">
        <v>84430800</v>
      </c>
      <c r="Q14" s="193">
        <v>117133800</v>
      </c>
      <c r="R14" s="194">
        <v>155833600</v>
      </c>
      <c r="S14" s="194">
        <f t="shared" si="1"/>
        <v>163722179.59999999</v>
      </c>
      <c r="T14" s="195">
        <v>96.51</v>
      </c>
      <c r="V14" s="191">
        <v>6</v>
      </c>
      <c r="W14" s="192" t="s">
        <v>208</v>
      </c>
      <c r="X14" s="212">
        <v>0.5</v>
      </c>
      <c r="Y14" s="213">
        <f>71.49+101.32+144.77+14.48</f>
        <v>332.06000000000006</v>
      </c>
      <c r="Z14" s="214">
        <v>27</v>
      </c>
      <c r="AA14" s="232"/>
    </row>
    <row r="15" spans="1:36" ht="11.15" customHeight="1" thickTop="1" thickBot="1">
      <c r="A15" s="208">
        <v>3</v>
      </c>
      <c r="B15" s="209" t="s">
        <v>218</v>
      </c>
      <c r="C15" s="231">
        <f>SUM(C16:C17)</f>
        <v>55726</v>
      </c>
      <c r="D15" s="231">
        <f>SUM(D16:D17)</f>
        <v>55695</v>
      </c>
      <c r="E15" s="231">
        <f>SUM(E16:E17)</f>
        <v>59947</v>
      </c>
      <c r="F15" s="231">
        <f>SUM(F16:F17)</f>
        <v>60711</v>
      </c>
      <c r="G15" s="231">
        <f>SUM(G16:G17)</f>
        <v>57701</v>
      </c>
      <c r="H15" s="211">
        <f t="shared" si="0"/>
        <v>0.97383799212692668</v>
      </c>
      <c r="M15" s="237" t="s">
        <v>184</v>
      </c>
      <c r="N15" s="237"/>
      <c r="O15" s="238">
        <f>SUM(O6:O14)</f>
        <v>2017977338.7</v>
      </c>
      <c r="P15" s="238">
        <f>SUM(P6:P14)</f>
        <v>1733251745</v>
      </c>
      <c r="Q15" s="238">
        <f>SUM(Q6:Q14)</f>
        <v>2325131719</v>
      </c>
      <c r="R15" s="238">
        <f>SUM(R6:R14)</f>
        <v>2902771389.4000001</v>
      </c>
      <c r="S15" s="238">
        <f>SUM(S6:S14)</f>
        <v>2267964921</v>
      </c>
      <c r="T15" s="239">
        <v>12.953350596853896</v>
      </c>
      <c r="V15" s="191">
        <v>7</v>
      </c>
      <c r="W15" s="192" t="s">
        <v>213</v>
      </c>
      <c r="X15" s="212">
        <v>212</v>
      </c>
      <c r="Y15" s="213">
        <f>124.24+279.53+124.24</f>
        <v>528.01</v>
      </c>
      <c r="Z15" s="214">
        <v>157.5</v>
      </c>
      <c r="AA15" s="232"/>
    </row>
    <row r="16" spans="1:36" ht="11.15" customHeight="1" thickTop="1">
      <c r="A16" s="223" t="s">
        <v>206</v>
      </c>
      <c r="B16" s="224" t="s">
        <v>219</v>
      </c>
      <c r="C16" s="235">
        <v>40524</v>
      </c>
      <c r="D16" s="235">
        <v>40527</v>
      </c>
      <c r="E16" s="235">
        <f>E220</f>
        <v>39691</v>
      </c>
      <c r="F16" s="236">
        <f>F220</f>
        <v>40373</v>
      </c>
      <c r="G16" s="236">
        <f>G220</f>
        <v>39182</v>
      </c>
      <c r="H16" s="186">
        <f t="shared" si="0"/>
        <v>-0.82178424058490762</v>
      </c>
      <c r="M16" s="148"/>
      <c r="N16" s="148"/>
      <c r="O16" s="148"/>
      <c r="P16" s="148"/>
      <c r="Q16" s="148"/>
      <c r="R16" s="148"/>
      <c r="S16" s="148"/>
      <c r="T16" s="148"/>
      <c r="V16" s="191">
        <v>8</v>
      </c>
      <c r="W16" s="192" t="s">
        <v>215</v>
      </c>
      <c r="X16" s="240">
        <v>0</v>
      </c>
      <c r="Y16" s="241">
        <v>75</v>
      </c>
      <c r="Z16" s="214">
        <v>0</v>
      </c>
      <c r="AA16" s="232"/>
      <c r="AC16" s="242" t="s">
        <v>220</v>
      </c>
      <c r="AD16" s="242"/>
      <c r="AE16" s="242"/>
      <c r="AF16" s="242"/>
      <c r="AG16" s="242"/>
      <c r="AH16" s="242"/>
      <c r="AI16" s="242"/>
      <c r="AJ16" s="242"/>
    </row>
    <row r="17" spans="1:27" ht="11.15" customHeight="1" thickBot="1">
      <c r="A17" s="223" t="s">
        <v>209</v>
      </c>
      <c r="B17" s="224" t="s">
        <v>221</v>
      </c>
      <c r="C17" s="235">
        <v>15202</v>
      </c>
      <c r="D17" s="235">
        <v>15168</v>
      </c>
      <c r="E17" s="236">
        <v>20256</v>
      </c>
      <c r="F17" s="236">
        <v>20338</v>
      </c>
      <c r="G17" s="236">
        <v>18519</v>
      </c>
      <c r="H17" s="186">
        <f t="shared" si="0"/>
        <v>6.1954045969844822</v>
      </c>
      <c r="M17" s="242" t="s">
        <v>222</v>
      </c>
      <c r="N17" s="242"/>
      <c r="O17" s="242"/>
      <c r="P17" s="242"/>
      <c r="Q17" s="242"/>
      <c r="R17" s="242"/>
      <c r="S17" s="242"/>
      <c r="T17" s="242"/>
      <c r="V17" s="191">
        <v>9</v>
      </c>
      <c r="W17" s="192" t="s">
        <v>217</v>
      </c>
      <c r="X17" s="212">
        <v>0</v>
      </c>
      <c r="Y17" s="213">
        <v>0</v>
      </c>
      <c r="Z17" s="214">
        <v>0</v>
      </c>
      <c r="AA17" s="232"/>
    </row>
    <row r="18" spans="1:27" ht="13.5" customHeight="1" thickTop="1" thickBot="1">
      <c r="A18" s="243">
        <v>4</v>
      </c>
      <c r="B18" s="244" t="s">
        <v>223</v>
      </c>
      <c r="C18" s="245">
        <v>28.7</v>
      </c>
      <c r="D18" s="245">
        <v>29.71</v>
      </c>
      <c r="E18" s="245">
        <v>30.58</v>
      </c>
      <c r="F18" s="246">
        <v>31.17</v>
      </c>
      <c r="G18" s="246">
        <v>32.200000000000003</v>
      </c>
      <c r="H18" s="245">
        <f>((D18-C18)/C18*100+(E18-D18)/D18*100+(F18-E18)/E18*100+(G18-F18)/F18*100)/4</f>
        <v>2.9203239362382125</v>
      </c>
      <c r="M18" s="148"/>
      <c r="N18" s="247"/>
      <c r="O18" s="247"/>
      <c r="P18" s="247"/>
      <c r="Q18" s="247"/>
      <c r="R18" s="247"/>
      <c r="S18" s="247"/>
      <c r="T18" s="247"/>
      <c r="V18" s="248" t="s">
        <v>184</v>
      </c>
      <c r="W18" s="249"/>
      <c r="X18" s="250">
        <f>SUM(X9:X17)</f>
        <v>3876.65</v>
      </c>
      <c r="Y18" s="251">
        <f>SUM(Y9:Y17)</f>
        <v>2631.5599999999995</v>
      </c>
      <c r="Z18" s="252">
        <f>SUM(Z9:Z17)</f>
        <v>1316</v>
      </c>
      <c r="AA18" s="253"/>
    </row>
    <row r="19" spans="1:27" ht="11.15" customHeight="1" thickTop="1">
      <c r="A19" s="254" t="s">
        <v>224</v>
      </c>
      <c r="B19" s="255"/>
      <c r="C19" s="255"/>
      <c r="D19" s="255"/>
      <c r="E19" s="255"/>
      <c r="F19" s="255"/>
      <c r="G19" s="255" t="s">
        <v>225</v>
      </c>
      <c r="H19" s="255"/>
      <c r="M19" s="148"/>
      <c r="N19" s="247"/>
      <c r="O19" s="247"/>
      <c r="P19" s="247"/>
      <c r="Q19" s="247"/>
      <c r="R19" s="247"/>
      <c r="S19" s="247"/>
      <c r="T19" s="247"/>
      <c r="V19" s="178"/>
      <c r="W19" s="256" t="s">
        <v>226</v>
      </c>
      <c r="X19" s="178"/>
      <c r="Y19" s="178"/>
      <c r="Z19" s="178"/>
      <c r="AA19" s="178"/>
    </row>
    <row r="20" spans="1:27" ht="11.15" customHeight="1">
      <c r="A20" s="148"/>
      <c r="B20" s="242" t="s">
        <v>227</v>
      </c>
      <c r="C20" s="242"/>
      <c r="D20" s="242"/>
      <c r="E20" s="242"/>
      <c r="F20" s="242"/>
      <c r="G20" s="242"/>
      <c r="H20" s="242"/>
      <c r="M20" s="148"/>
      <c r="N20" s="247"/>
      <c r="O20" s="247"/>
      <c r="P20" s="247"/>
      <c r="Q20" s="247"/>
      <c r="R20" s="247"/>
      <c r="S20" s="247"/>
      <c r="T20" s="247"/>
      <c r="V20" s="171"/>
      <c r="W20" s="242" t="s">
        <v>228</v>
      </c>
      <c r="X20" s="242"/>
      <c r="Y20" s="242"/>
      <c r="Z20" s="242"/>
      <c r="AA20" s="247"/>
    </row>
    <row r="21" spans="1:27" ht="11.15" customHeight="1">
      <c r="A21" s="148"/>
      <c r="B21" s="247"/>
      <c r="C21" s="247"/>
      <c r="D21" s="247"/>
      <c r="E21" s="247"/>
      <c r="F21" s="247"/>
      <c r="G21" s="247"/>
      <c r="H21" s="247"/>
      <c r="M21" s="148"/>
      <c r="N21" s="247"/>
      <c r="O21" s="247"/>
      <c r="P21" s="247"/>
      <c r="Q21" s="247"/>
      <c r="R21" s="247"/>
      <c r="S21" s="247"/>
      <c r="T21" s="247"/>
    </row>
    <row r="22" spans="1:27" ht="11.15" customHeight="1">
      <c r="A22" s="148"/>
      <c r="B22" s="247"/>
      <c r="C22" s="247"/>
      <c r="D22" s="247"/>
      <c r="E22" s="247"/>
      <c r="F22" s="247"/>
      <c r="G22" s="247"/>
      <c r="H22" s="247"/>
      <c r="M22" s="148"/>
      <c r="N22" s="247"/>
      <c r="O22" s="247"/>
      <c r="P22" s="247"/>
      <c r="Q22" s="247"/>
      <c r="R22" s="247"/>
      <c r="S22" s="247"/>
      <c r="T22" s="247"/>
    </row>
    <row r="23" spans="1:27" ht="11.15" customHeight="1">
      <c r="A23" s="148"/>
      <c r="B23" s="247"/>
      <c r="C23" s="247"/>
      <c r="D23" s="247"/>
      <c r="E23" s="247"/>
      <c r="F23" s="247"/>
      <c r="G23" s="247"/>
      <c r="H23" s="247"/>
      <c r="M23" s="148"/>
      <c r="N23" s="247"/>
      <c r="O23" s="247"/>
      <c r="P23" s="247"/>
      <c r="Q23" s="247"/>
      <c r="R23" s="247"/>
      <c r="S23" s="247"/>
      <c r="T23" s="247"/>
    </row>
    <row r="24" spans="1:27" ht="11.15" customHeight="1">
      <c r="A24" s="148"/>
      <c r="B24" s="247"/>
      <c r="C24" s="247"/>
      <c r="D24" s="247"/>
      <c r="E24" s="247"/>
      <c r="F24" s="247"/>
      <c r="G24" s="247"/>
      <c r="H24" s="247"/>
      <c r="M24" s="148"/>
      <c r="N24" s="247"/>
      <c r="O24" s="247"/>
      <c r="P24" s="247"/>
      <c r="Q24" s="247"/>
      <c r="R24" s="247"/>
      <c r="S24" s="247"/>
      <c r="T24" s="247"/>
    </row>
    <row r="25" spans="1:27" ht="11.15" customHeight="1">
      <c r="A25" s="148"/>
      <c r="B25" s="247"/>
      <c r="C25" s="247"/>
      <c r="D25" s="247"/>
      <c r="E25" s="247"/>
      <c r="F25" s="247"/>
      <c r="G25" s="247"/>
      <c r="H25" s="247"/>
      <c r="M25" s="148"/>
      <c r="N25" s="247"/>
      <c r="O25" s="247"/>
      <c r="P25" s="247"/>
      <c r="Q25" s="247"/>
      <c r="R25" s="247"/>
      <c r="S25" s="247"/>
      <c r="T25" s="247"/>
    </row>
    <row r="26" spans="1:27" ht="11.15" customHeight="1">
      <c r="A26" s="148"/>
      <c r="B26" s="247"/>
      <c r="C26" s="247"/>
      <c r="D26" s="247"/>
      <c r="E26" s="247"/>
      <c r="F26" s="247"/>
      <c r="G26" s="247"/>
      <c r="H26" s="247"/>
      <c r="M26" s="148"/>
      <c r="N26" s="247"/>
      <c r="O26" s="247"/>
      <c r="P26" s="247"/>
      <c r="Q26" s="247"/>
      <c r="R26" s="247"/>
      <c r="S26" s="247"/>
      <c r="T26" s="247"/>
    </row>
    <row r="27" spans="1:27" ht="11.15" customHeight="1">
      <c r="A27" s="148"/>
      <c r="B27" s="247"/>
      <c r="C27" s="247"/>
      <c r="D27" s="247"/>
      <c r="E27" s="247"/>
      <c r="F27" s="247"/>
      <c r="G27" s="247"/>
      <c r="H27" s="247"/>
      <c r="M27" s="148"/>
      <c r="N27" s="247"/>
      <c r="O27" s="247"/>
      <c r="P27" s="247"/>
      <c r="Q27" s="247"/>
      <c r="R27" s="247"/>
      <c r="S27" s="247"/>
      <c r="T27" s="247"/>
    </row>
    <row r="28" spans="1:27" ht="11.15" customHeight="1">
      <c r="A28" s="148"/>
      <c r="B28" s="247"/>
      <c r="C28" s="247"/>
      <c r="D28" s="247"/>
      <c r="E28" s="247"/>
      <c r="F28" s="247"/>
      <c r="G28" s="247"/>
      <c r="H28" s="247"/>
      <c r="M28" s="148"/>
      <c r="N28" s="247"/>
      <c r="O28" s="247"/>
      <c r="P28" s="247"/>
      <c r="Q28" s="247"/>
      <c r="R28" s="247"/>
      <c r="S28" s="247"/>
      <c r="T28" s="247"/>
      <c r="V28" s="154" t="s">
        <v>229</v>
      </c>
      <c r="W28" s="154"/>
      <c r="X28" s="154"/>
      <c r="Y28" s="154"/>
      <c r="Z28" s="154"/>
    </row>
    <row r="29" spans="1:27" ht="11.15" customHeight="1">
      <c r="A29" s="148"/>
      <c r="B29" s="247"/>
      <c r="C29" s="247"/>
      <c r="D29" s="247"/>
      <c r="E29" s="247"/>
      <c r="F29" s="247"/>
      <c r="G29" s="247"/>
      <c r="H29" s="247"/>
      <c r="V29" s="164" t="s">
        <v>230</v>
      </c>
      <c r="W29" s="164"/>
      <c r="X29" s="164"/>
      <c r="Y29" s="164"/>
      <c r="Z29" s="164"/>
      <c r="AA29" s="257"/>
    </row>
    <row r="30" spans="1:27" ht="11.15" customHeight="1">
      <c r="A30" s="148"/>
      <c r="B30" s="247"/>
      <c r="C30" s="247"/>
      <c r="D30" s="247"/>
      <c r="E30" s="247"/>
      <c r="F30" s="247"/>
      <c r="G30" s="247"/>
      <c r="H30" s="247"/>
      <c r="V30" s="178"/>
      <c r="W30" s="178"/>
      <c r="X30" s="258"/>
      <c r="Y30" s="258" t="s">
        <v>231</v>
      </c>
      <c r="Z30" s="258"/>
      <c r="AA30" s="259"/>
    </row>
    <row r="31" spans="1:27" ht="11.15" customHeight="1">
      <c r="A31" s="148"/>
      <c r="B31" s="247"/>
      <c r="C31" s="247"/>
      <c r="D31" s="247"/>
      <c r="E31" s="247"/>
      <c r="F31" s="247"/>
      <c r="G31" s="247"/>
      <c r="H31" s="247"/>
      <c r="V31" s="196" t="s">
        <v>6</v>
      </c>
      <c r="W31" s="197" t="s">
        <v>178</v>
      </c>
      <c r="X31" s="158" t="s">
        <v>179</v>
      </c>
      <c r="Y31" s="160"/>
      <c r="Z31" s="260"/>
      <c r="AA31" s="258"/>
    </row>
    <row r="32" spans="1:27" ht="11.15" customHeight="1" thickBot="1">
      <c r="A32" s="148"/>
      <c r="B32" s="247"/>
      <c r="C32" s="247"/>
      <c r="D32" s="247"/>
      <c r="E32" s="247"/>
      <c r="F32" s="247"/>
      <c r="G32" s="247"/>
      <c r="H32" s="247"/>
      <c r="M32" s="261" t="s">
        <v>232</v>
      </c>
      <c r="N32" s="261"/>
      <c r="O32" s="261"/>
      <c r="P32" s="261"/>
      <c r="Q32" s="261"/>
      <c r="R32" s="261"/>
      <c r="S32" s="261"/>
      <c r="T32" s="261"/>
      <c r="V32" s="205"/>
      <c r="W32" s="206"/>
      <c r="X32" s="262">
        <v>2014</v>
      </c>
      <c r="Y32" s="204">
        <v>2015</v>
      </c>
      <c r="Z32" s="199"/>
      <c r="AA32" s="199"/>
    </row>
    <row r="33" spans="1:27" ht="11.15" customHeight="1" thickTop="1">
      <c r="M33" s="146" t="s">
        <v>173</v>
      </c>
      <c r="N33" s="146"/>
      <c r="O33" s="146"/>
      <c r="P33" s="146"/>
      <c r="Q33" s="146"/>
      <c r="R33" s="146"/>
      <c r="S33" s="146"/>
      <c r="T33" s="146"/>
      <c r="V33" s="173">
        <v>1</v>
      </c>
      <c r="W33" s="174" t="s">
        <v>195</v>
      </c>
      <c r="X33" s="263">
        <v>1.2</v>
      </c>
      <c r="Y33" s="183"/>
      <c r="Z33" s="264"/>
      <c r="AA33" s="199"/>
    </row>
    <row r="34" spans="1:27" ht="11.15" customHeight="1">
      <c r="M34" s="265"/>
      <c r="N34" s="265"/>
      <c r="O34" s="265"/>
      <c r="P34" s="265"/>
      <c r="Q34" s="265"/>
      <c r="R34" s="266" t="s">
        <v>233</v>
      </c>
      <c r="S34" s="266"/>
      <c r="T34" s="266"/>
      <c r="V34" s="191">
        <v>2</v>
      </c>
      <c r="W34" s="192" t="s">
        <v>198</v>
      </c>
      <c r="X34" s="267">
        <v>0</v>
      </c>
      <c r="Y34" s="185"/>
      <c r="Z34" s="264"/>
      <c r="AA34" s="264"/>
    </row>
    <row r="35" spans="1:27" ht="11.15" customHeight="1">
      <c r="A35" s="143" t="s">
        <v>234</v>
      </c>
      <c r="B35" s="143"/>
      <c r="C35" s="143"/>
      <c r="D35" s="143"/>
      <c r="E35" s="143"/>
      <c r="F35" s="143"/>
      <c r="G35" s="143"/>
      <c r="H35" s="143"/>
      <c r="M35" s="268" t="s">
        <v>6</v>
      </c>
      <c r="N35" s="269" t="s">
        <v>178</v>
      </c>
      <c r="O35" s="158" t="s">
        <v>179</v>
      </c>
      <c r="P35" s="159"/>
      <c r="Q35" s="159"/>
      <c r="R35" s="159"/>
      <c r="S35" s="160"/>
      <c r="T35" s="269" t="s">
        <v>180</v>
      </c>
      <c r="V35" s="191">
        <v>3</v>
      </c>
      <c r="W35" s="192" t="s">
        <v>202</v>
      </c>
      <c r="X35" s="267">
        <v>1</v>
      </c>
      <c r="Y35" s="185"/>
      <c r="Z35" s="264"/>
      <c r="AA35" s="264"/>
    </row>
    <row r="36" spans="1:27" ht="11.15" customHeight="1" thickBot="1">
      <c r="A36" s="143" t="s">
        <v>173</v>
      </c>
      <c r="B36" s="143"/>
      <c r="C36" s="143"/>
      <c r="D36" s="143"/>
      <c r="E36" s="143"/>
      <c r="F36" s="143"/>
      <c r="G36" s="143"/>
      <c r="H36" s="143"/>
      <c r="M36" s="270"/>
      <c r="N36" s="271"/>
      <c r="O36" s="204">
        <v>2011</v>
      </c>
      <c r="P36" s="204">
        <v>2012</v>
      </c>
      <c r="Q36" s="204">
        <v>2013</v>
      </c>
      <c r="R36" s="204">
        <v>2014</v>
      </c>
      <c r="S36" s="204">
        <v>2015</v>
      </c>
      <c r="T36" s="271"/>
      <c r="V36" s="191">
        <v>4</v>
      </c>
      <c r="W36" s="192" t="s">
        <v>204</v>
      </c>
      <c r="X36" s="267">
        <v>4</v>
      </c>
      <c r="Y36" s="185"/>
      <c r="Z36" s="264"/>
      <c r="AA36" s="264"/>
    </row>
    <row r="37" spans="1:27" ht="11.15" customHeight="1" thickTop="1">
      <c r="A37" s="148"/>
      <c r="B37" s="148"/>
      <c r="C37" s="148"/>
      <c r="D37" s="148"/>
      <c r="E37" s="148"/>
      <c r="F37" s="148"/>
      <c r="G37" s="272" t="s">
        <v>235</v>
      </c>
      <c r="H37" s="272"/>
      <c r="M37" s="273">
        <v>1</v>
      </c>
      <c r="N37" s="274" t="s">
        <v>195</v>
      </c>
      <c r="O37" s="275">
        <v>895454449.70000005</v>
      </c>
      <c r="P37" s="275">
        <v>638112700</v>
      </c>
      <c r="Q37" s="276">
        <v>984110450</v>
      </c>
      <c r="R37" s="276">
        <f>1178706950+551700</f>
        <v>1179258650</v>
      </c>
      <c r="S37" s="277">
        <v>789370528.10000002</v>
      </c>
      <c r="T37" s="278">
        <f>((P37-O37)/O37*100+(Q37-P37)/P37*100+(R37-Q37)/Q37*100+(S37-R37)/R37*100)/4</f>
        <v>3.0627847206287093</v>
      </c>
      <c r="V37" s="191">
        <v>5</v>
      </c>
      <c r="W37" s="192" t="s">
        <v>205</v>
      </c>
      <c r="X37" s="267">
        <v>100</v>
      </c>
      <c r="Y37" s="185"/>
      <c r="Z37" s="264"/>
      <c r="AA37" s="264"/>
    </row>
    <row r="38" spans="1:27" ht="11.15" customHeight="1">
      <c r="A38" s="162" t="s">
        <v>6</v>
      </c>
      <c r="B38" s="162" t="s">
        <v>178</v>
      </c>
      <c r="C38" s="279" t="s">
        <v>179</v>
      </c>
      <c r="D38" s="280"/>
      <c r="E38" s="280"/>
      <c r="F38" s="280"/>
      <c r="G38" s="281"/>
      <c r="H38" s="162" t="s">
        <v>180</v>
      </c>
      <c r="J38" s="282"/>
      <c r="K38" s="282"/>
      <c r="M38" s="283">
        <v>2</v>
      </c>
      <c r="N38" s="284" t="s">
        <v>198</v>
      </c>
      <c r="O38" s="285">
        <v>46580450</v>
      </c>
      <c r="P38" s="285">
        <v>65748200</v>
      </c>
      <c r="Q38" s="285">
        <v>68313030</v>
      </c>
      <c r="R38" s="285">
        <f>115291227.5+196500</f>
        <v>115487727.5</v>
      </c>
      <c r="S38" s="286">
        <v>105194979.3</v>
      </c>
      <c r="T38" s="186">
        <f>((P38-O38)/O38*100+(Q38-P38)/P38*100+(R38-Q38)/Q38*100+(S38-R38)/R38*100)/4</f>
        <v>26.298751692358294</v>
      </c>
      <c r="V38" s="191">
        <v>6</v>
      </c>
      <c r="W38" s="192" t="s">
        <v>208</v>
      </c>
      <c r="X38" s="267">
        <v>10.42</v>
      </c>
      <c r="Y38" s="185"/>
      <c r="Z38" s="264"/>
      <c r="AA38" s="264"/>
    </row>
    <row r="39" spans="1:27" ht="11.15" customHeight="1" thickBot="1">
      <c r="A39" s="287"/>
      <c r="B39" s="287"/>
      <c r="C39" s="288">
        <v>2011</v>
      </c>
      <c r="D39" s="288">
        <v>2012</v>
      </c>
      <c r="E39" s="288">
        <v>2013</v>
      </c>
      <c r="F39" s="288">
        <v>2014</v>
      </c>
      <c r="G39" s="288">
        <v>2015</v>
      </c>
      <c r="H39" s="287"/>
      <c r="J39" s="282"/>
      <c r="K39" s="282"/>
      <c r="M39" s="283">
        <v>3</v>
      </c>
      <c r="N39" s="284" t="s">
        <v>202</v>
      </c>
      <c r="O39" s="285">
        <v>23704800</v>
      </c>
      <c r="P39" s="285">
        <v>23946700</v>
      </c>
      <c r="Q39" s="285">
        <v>23962550</v>
      </c>
      <c r="R39" s="285">
        <f>26162100+2125300</f>
        <v>28287400</v>
      </c>
      <c r="S39" s="286">
        <v>19081787</v>
      </c>
      <c r="T39" s="186">
        <f t="shared" ref="T39:T45" si="3">((P39-O39)/O39*100+(Q39-P39)/P39*100+(R39-Q39)/Q39*100+(S39-R39)/R39*100)/4</f>
        <v>-3.3520321555634274</v>
      </c>
      <c r="V39" s="191">
        <v>7</v>
      </c>
      <c r="W39" s="192" t="s">
        <v>213</v>
      </c>
      <c r="X39" s="267">
        <v>0</v>
      </c>
      <c r="Y39" s="185"/>
      <c r="Z39" s="264"/>
      <c r="AA39" s="264"/>
    </row>
    <row r="40" spans="1:27" ht="11.15" customHeight="1" thickTop="1">
      <c r="A40" s="173">
        <v>1</v>
      </c>
      <c r="B40" s="174" t="s">
        <v>195</v>
      </c>
      <c r="C40" s="175">
        <v>852</v>
      </c>
      <c r="D40" s="175">
        <v>787</v>
      </c>
      <c r="E40" s="175">
        <v>762</v>
      </c>
      <c r="F40" s="175">
        <v>952</v>
      </c>
      <c r="G40" s="289">
        <f>G183+G507</f>
        <v>1330</v>
      </c>
      <c r="H40" s="278">
        <f>(((D40-C40)/C40*100)+((E40-D40)/D40*100)+((F40-E40)/E40*100)+((G40-F40)/F40*100))/4</f>
        <v>13.458634374395343</v>
      </c>
      <c r="J40" s="290"/>
      <c r="K40" s="282"/>
      <c r="M40" s="283">
        <v>4</v>
      </c>
      <c r="N40" s="284" t="s">
        <v>204</v>
      </c>
      <c r="O40" s="285">
        <v>117299630.09999999</v>
      </c>
      <c r="P40" s="285">
        <v>68754300</v>
      </c>
      <c r="Q40" s="285">
        <v>82561398.599999994</v>
      </c>
      <c r="R40" s="285">
        <f>131651116.9+123000</f>
        <v>131774116.90000001</v>
      </c>
      <c r="S40" s="286">
        <v>111957696.7</v>
      </c>
      <c r="T40" s="186">
        <f t="shared" si="3"/>
        <v>5.8163232034311267</v>
      </c>
      <c r="V40" s="191">
        <v>8</v>
      </c>
      <c r="W40" s="192" t="s">
        <v>215</v>
      </c>
      <c r="X40" s="267">
        <v>0.02</v>
      </c>
      <c r="Y40" s="185"/>
      <c r="Z40" s="264"/>
      <c r="AA40" s="264"/>
    </row>
    <row r="41" spans="1:27" ht="11.15" customHeight="1" thickBot="1">
      <c r="A41" s="191">
        <v>2</v>
      </c>
      <c r="B41" s="192" t="s">
        <v>198</v>
      </c>
      <c r="C41" s="193">
        <v>3710</v>
      </c>
      <c r="D41" s="193">
        <v>3273</v>
      </c>
      <c r="E41" s="193">
        <v>3378</v>
      </c>
      <c r="F41" s="193">
        <v>1602</v>
      </c>
      <c r="G41" s="291">
        <f>G184+G508</f>
        <v>1232</v>
      </c>
      <c r="H41" s="186">
        <f>((D41-C41)/C41*100+(E41-D41)/D41*100+(F41-E41)/E41*100+(G41-F41)/F41*100)/4</f>
        <v>-21.060632009787309</v>
      </c>
      <c r="J41" s="292"/>
      <c r="K41" s="282"/>
      <c r="M41" s="283">
        <v>5</v>
      </c>
      <c r="N41" s="284" t="s">
        <v>205</v>
      </c>
      <c r="O41" s="285">
        <v>208553440</v>
      </c>
      <c r="P41" s="285">
        <v>242904200</v>
      </c>
      <c r="Q41" s="285">
        <v>280908000</v>
      </c>
      <c r="R41" s="285">
        <f>392628800+1506700</f>
        <v>394135500</v>
      </c>
      <c r="S41" s="286">
        <v>313459823.60000002</v>
      </c>
      <c r="T41" s="186">
        <f t="shared" si="3"/>
        <v>12.988803818779102</v>
      </c>
      <c r="V41" s="293">
        <v>9</v>
      </c>
      <c r="W41" s="294" t="s">
        <v>217</v>
      </c>
      <c r="X41" s="295">
        <v>0</v>
      </c>
      <c r="Y41" s="296"/>
      <c r="Z41" s="253"/>
      <c r="AA41" s="264"/>
    </row>
    <row r="42" spans="1:27" ht="11.15" customHeight="1" thickTop="1" thickBot="1">
      <c r="A42" s="191">
        <v>3</v>
      </c>
      <c r="B42" s="192" t="s">
        <v>202</v>
      </c>
      <c r="C42" s="193">
        <v>5411</v>
      </c>
      <c r="D42" s="193">
        <v>5542</v>
      </c>
      <c r="E42" s="193">
        <v>3506</v>
      </c>
      <c r="F42" s="193">
        <v>3656</v>
      </c>
      <c r="G42" s="291">
        <f t="shared" ref="G42:G48" si="4">G185+G509</f>
        <v>3489</v>
      </c>
      <c r="H42" s="186">
        <f t="shared" ref="H42:H48" si="5">((D42-C42)/C42*100+(E42-D42)/D42*100+(F42-E42)/E42*100+(G42-F42)/F42*100)/4</f>
        <v>-8.6515248370441746</v>
      </c>
      <c r="J42" s="292"/>
      <c r="K42" s="282"/>
      <c r="M42" s="283">
        <v>6</v>
      </c>
      <c r="N42" s="284" t="s">
        <v>208</v>
      </c>
      <c r="O42" s="285">
        <v>168063464.5</v>
      </c>
      <c r="P42" s="285">
        <v>197962225</v>
      </c>
      <c r="Q42" s="285">
        <v>245365800</v>
      </c>
      <c r="R42" s="285">
        <f>297680150+28320</f>
        <v>297708470</v>
      </c>
      <c r="S42" s="286">
        <v>290105682.69999999</v>
      </c>
      <c r="T42" s="186">
        <f t="shared" si="3"/>
        <v>15.128665956483013</v>
      </c>
      <c r="V42" s="248" t="s">
        <v>184</v>
      </c>
      <c r="W42" s="249"/>
      <c r="X42" s="297">
        <f>SUM(X33:X41)</f>
        <v>116.64</v>
      </c>
      <c r="Y42" s="298"/>
      <c r="Z42" s="253"/>
      <c r="AA42" s="264"/>
    </row>
    <row r="43" spans="1:27" ht="11.15" customHeight="1" thickTop="1">
      <c r="A43" s="191">
        <v>4</v>
      </c>
      <c r="B43" s="192" t="s">
        <v>204</v>
      </c>
      <c r="C43" s="193">
        <v>2679</v>
      </c>
      <c r="D43" s="193">
        <v>2942</v>
      </c>
      <c r="E43" s="193">
        <v>3070</v>
      </c>
      <c r="F43" s="193">
        <v>3515</v>
      </c>
      <c r="G43" s="291">
        <f t="shared" si="4"/>
        <v>3144</v>
      </c>
      <c r="H43" s="186">
        <f t="shared" si="5"/>
        <v>4.5270566068315521</v>
      </c>
      <c r="J43" s="292"/>
      <c r="K43" s="282"/>
      <c r="M43" s="283">
        <v>7</v>
      </c>
      <c r="N43" s="284" t="s">
        <v>213</v>
      </c>
      <c r="O43" s="285">
        <v>12497281.4</v>
      </c>
      <c r="P43" s="285">
        <v>21609400</v>
      </c>
      <c r="Q43" s="285">
        <v>17661400</v>
      </c>
      <c r="R43" s="285">
        <v>20636600</v>
      </c>
      <c r="S43" s="286">
        <v>21741275.399999999</v>
      </c>
      <c r="T43" s="186">
        <f t="shared" si="3"/>
        <v>19.210436848387381</v>
      </c>
      <c r="V43" s="178"/>
      <c r="W43" s="178"/>
      <c r="X43" s="178"/>
      <c r="Y43" s="178"/>
      <c r="Z43" s="178"/>
      <c r="AA43" s="253"/>
    </row>
    <row r="44" spans="1:27" ht="11.15" customHeight="1">
      <c r="A44" s="191">
        <v>5</v>
      </c>
      <c r="B44" s="192" t="s">
        <v>205</v>
      </c>
      <c r="C44" s="193">
        <v>4741</v>
      </c>
      <c r="D44" s="193">
        <v>3594</v>
      </c>
      <c r="E44" s="193">
        <v>3943</v>
      </c>
      <c r="F44" s="193">
        <v>3936</v>
      </c>
      <c r="G44" s="291">
        <f t="shared" si="4"/>
        <v>5264</v>
      </c>
      <c r="H44" s="186">
        <f t="shared" si="5"/>
        <v>4.7699320601556039</v>
      </c>
      <c r="J44" s="292"/>
      <c r="K44" s="282"/>
      <c r="M44" s="283">
        <v>8</v>
      </c>
      <c r="N44" s="284" t="s">
        <v>215</v>
      </c>
      <c r="O44" s="285">
        <v>18775400</v>
      </c>
      <c r="P44" s="285">
        <v>21847900</v>
      </c>
      <c r="Q44" s="285">
        <v>26473300</v>
      </c>
      <c r="R44" s="285">
        <f>24176100+1617200</f>
        <v>25793300</v>
      </c>
      <c r="S44" s="286">
        <v>13056022.9</v>
      </c>
      <c r="T44" s="186">
        <f t="shared" si="3"/>
        <v>-3.6038322980830024</v>
      </c>
      <c r="V44" s="171"/>
      <c r="W44" s="242"/>
      <c r="X44" s="242"/>
      <c r="Y44" s="242"/>
      <c r="Z44" s="242"/>
      <c r="AA44" s="299"/>
    </row>
    <row r="45" spans="1:27" ht="11.15" customHeight="1" thickBot="1">
      <c r="A45" s="191">
        <v>6</v>
      </c>
      <c r="B45" s="192" t="s">
        <v>208</v>
      </c>
      <c r="C45" s="193">
        <v>6909</v>
      </c>
      <c r="D45" s="193">
        <v>6370</v>
      </c>
      <c r="E45" s="193">
        <v>6597</v>
      </c>
      <c r="F45" s="193">
        <v>6650</v>
      </c>
      <c r="G45" s="291">
        <f t="shared" si="4"/>
        <v>6954</v>
      </c>
      <c r="H45" s="186">
        <f t="shared" si="5"/>
        <v>0.28424622309311531</v>
      </c>
      <c r="J45" s="292"/>
      <c r="K45" s="282"/>
      <c r="M45" s="300">
        <v>9</v>
      </c>
      <c r="N45" s="301" t="s">
        <v>217</v>
      </c>
      <c r="O45" s="302">
        <v>6969700</v>
      </c>
      <c r="P45" s="302">
        <v>15022800</v>
      </c>
      <c r="Q45" s="303">
        <v>17019800</v>
      </c>
      <c r="R45" s="303">
        <v>18939100</v>
      </c>
      <c r="S45" s="304">
        <v>17978179.600000001</v>
      </c>
      <c r="T45" s="186">
        <f t="shared" si="3"/>
        <v>33.760170778738839</v>
      </c>
      <c r="V45" s="305"/>
      <c r="W45" s="306"/>
      <c r="X45" s="306"/>
      <c r="Y45" s="306"/>
      <c r="Z45" s="306"/>
      <c r="AA45" s="307"/>
    </row>
    <row r="46" spans="1:27" ht="11.15" customHeight="1" thickTop="1" thickBot="1">
      <c r="A46" s="191">
        <v>7</v>
      </c>
      <c r="B46" s="192" t="s">
        <v>213</v>
      </c>
      <c r="C46" s="193">
        <v>4138</v>
      </c>
      <c r="D46" s="193">
        <v>4173</v>
      </c>
      <c r="E46" s="193">
        <v>4183</v>
      </c>
      <c r="F46" s="193">
        <v>3760</v>
      </c>
      <c r="G46" s="291">
        <f t="shared" si="4"/>
        <v>3798</v>
      </c>
      <c r="H46" s="186">
        <f t="shared" si="5"/>
        <v>-2.0040665656722374</v>
      </c>
      <c r="J46" s="292"/>
      <c r="K46" s="282"/>
      <c r="M46" s="308" t="s">
        <v>184</v>
      </c>
      <c r="N46" s="309"/>
      <c r="O46" s="310">
        <f>SUM(O37:O45)</f>
        <v>1497898615.7</v>
      </c>
      <c r="P46" s="310">
        <f>SUM(P37:P45)</f>
        <v>1295908425</v>
      </c>
      <c r="Q46" s="310">
        <f>SUM(Q37:Q45)</f>
        <v>1746375728.5999999</v>
      </c>
      <c r="R46" s="310">
        <f>SUM(R37:R45)</f>
        <v>2212020864.4000001</v>
      </c>
      <c r="S46" s="310">
        <f>SUM(S37:S45)</f>
        <v>1681945975.3000002</v>
      </c>
      <c r="T46" s="311">
        <f>((P46-O46)/O46*100+(Q46-P46)/P46*100+(R46-Q46)/Q46*100+(S46-R46)/R46*100)/4</f>
        <v>5.9939922866764501</v>
      </c>
      <c r="V46" s="312"/>
      <c r="W46" s="312"/>
      <c r="X46" s="312"/>
      <c r="Y46" s="312"/>
      <c r="Z46" s="312"/>
      <c r="AA46" s="312"/>
    </row>
    <row r="47" spans="1:27" ht="11.15" customHeight="1" thickTop="1">
      <c r="A47" s="191">
        <v>8</v>
      </c>
      <c r="B47" s="192" t="s">
        <v>215</v>
      </c>
      <c r="C47" s="193">
        <v>2964</v>
      </c>
      <c r="D47" s="193">
        <v>3302</v>
      </c>
      <c r="E47" s="193">
        <v>2973</v>
      </c>
      <c r="F47" s="193">
        <v>2866</v>
      </c>
      <c r="G47" s="291">
        <f t="shared" si="4"/>
        <v>1625</v>
      </c>
      <c r="H47" s="186">
        <f t="shared" si="5"/>
        <v>-11.364993856920584</v>
      </c>
      <c r="J47" s="292"/>
      <c r="M47" s="265"/>
      <c r="N47" s="265"/>
      <c r="O47" s="265"/>
      <c r="P47" s="265"/>
      <c r="Q47" s="265"/>
      <c r="R47" s="313"/>
      <c r="S47" s="313"/>
      <c r="T47" s="265"/>
      <c r="V47" s="312"/>
      <c r="W47" s="312"/>
      <c r="X47" s="312"/>
      <c r="Y47" s="312"/>
      <c r="Z47" s="312"/>
      <c r="AA47" s="312"/>
    </row>
    <row r="48" spans="1:27" ht="11.15" customHeight="1" thickBot="1">
      <c r="A48" s="293">
        <v>9</v>
      </c>
      <c r="B48" s="294" t="s">
        <v>217</v>
      </c>
      <c r="C48" s="314">
        <v>3440</v>
      </c>
      <c r="D48" s="314">
        <v>3516</v>
      </c>
      <c r="E48" s="314">
        <v>3536</v>
      </c>
      <c r="F48" s="314">
        <v>3393</v>
      </c>
      <c r="G48" s="315">
        <f t="shared" si="4"/>
        <v>3399</v>
      </c>
      <c r="H48" s="186">
        <f t="shared" si="5"/>
        <v>-0.27228811200118486</v>
      </c>
      <c r="J48" s="292"/>
      <c r="M48" s="265"/>
      <c r="N48" s="242" t="s">
        <v>236</v>
      </c>
      <c r="O48" s="242"/>
      <c r="P48" s="242"/>
      <c r="Q48" s="242"/>
      <c r="R48" s="242"/>
      <c r="S48" s="242"/>
      <c r="T48" s="242"/>
      <c r="V48" s="312"/>
      <c r="W48" s="312"/>
      <c r="X48" s="312"/>
      <c r="Y48" s="312"/>
      <c r="Z48" s="312"/>
      <c r="AA48" s="312"/>
    </row>
    <row r="49" spans="1:28" ht="11.15" customHeight="1" thickTop="1" thickBot="1">
      <c r="A49" s="316" t="s">
        <v>184</v>
      </c>
      <c r="B49" s="317"/>
      <c r="C49" s="318">
        <f>SUM(C40:C48)</f>
        <v>34844</v>
      </c>
      <c r="D49" s="318">
        <f>SUM(D40:D48)</f>
        <v>33499</v>
      </c>
      <c r="E49" s="318">
        <f>SUM(E40:E48)</f>
        <v>31948</v>
      </c>
      <c r="F49" s="318">
        <f>SUM(F40:F48)</f>
        <v>30330</v>
      </c>
      <c r="G49" s="318">
        <f>SUM(G40:G48)</f>
        <v>30235</v>
      </c>
      <c r="H49" s="319">
        <f>((D49-C49)/C49*100+(E49-D49)/D49*100+(F49-E49)/E49*100+(G49-F49)/F49*100)/4</f>
        <v>-3.4669379895563117</v>
      </c>
      <c r="J49" s="282"/>
      <c r="K49" s="282"/>
      <c r="M49" s="265"/>
      <c r="N49" s="247"/>
      <c r="O49" s="247"/>
      <c r="P49" s="247"/>
      <c r="Q49" s="247"/>
      <c r="R49" s="247"/>
      <c r="S49" s="247"/>
      <c r="T49" s="247"/>
      <c r="V49" s="312"/>
      <c r="W49" s="312"/>
      <c r="X49" s="312"/>
      <c r="Y49" s="312"/>
      <c r="Z49" s="312"/>
      <c r="AA49" s="312"/>
    </row>
    <row r="50" spans="1:28" ht="11.15" customHeight="1" thickTop="1">
      <c r="J50" s="282"/>
      <c r="K50" s="282"/>
      <c r="M50" s="265"/>
      <c r="N50" s="247"/>
      <c r="O50" s="247"/>
      <c r="P50" s="247"/>
      <c r="Q50" s="247"/>
      <c r="R50" s="320"/>
      <c r="S50" s="321"/>
      <c r="T50" s="247"/>
      <c r="V50" s="312"/>
      <c r="W50" s="312"/>
      <c r="X50" s="312"/>
      <c r="Y50" s="312"/>
      <c r="Z50" s="312"/>
      <c r="AA50" s="312"/>
    </row>
    <row r="51" spans="1:28" ht="11.15" customHeight="1">
      <c r="B51" s="242" t="s">
        <v>237</v>
      </c>
      <c r="C51" s="242"/>
      <c r="D51" s="242"/>
      <c r="E51" s="242"/>
      <c r="F51" s="242"/>
      <c r="G51" s="242"/>
      <c r="H51" s="242"/>
      <c r="J51" s="282"/>
      <c r="K51" s="282"/>
      <c r="M51" s="265"/>
      <c r="N51" s="247"/>
      <c r="O51" s="247"/>
      <c r="P51" s="247"/>
      <c r="Q51" s="247"/>
      <c r="R51" s="320"/>
      <c r="S51" s="320"/>
      <c r="T51" s="247"/>
      <c r="V51" s="312"/>
      <c r="W51" s="312"/>
      <c r="X51" s="312"/>
      <c r="Y51" s="312"/>
      <c r="Z51" s="312"/>
      <c r="AA51" s="312"/>
    </row>
    <row r="52" spans="1:28" ht="11.15" customHeight="1">
      <c r="B52" s="247"/>
      <c r="C52" s="247"/>
      <c r="D52" s="247"/>
      <c r="E52" s="247"/>
      <c r="F52" s="247"/>
      <c r="G52" s="247"/>
      <c r="H52" s="247"/>
      <c r="J52" s="282"/>
      <c r="K52" s="282"/>
      <c r="M52" s="265"/>
      <c r="N52" s="247"/>
      <c r="O52" s="247"/>
      <c r="P52" s="247"/>
      <c r="Q52" s="247"/>
      <c r="R52" s="320"/>
      <c r="S52" s="320"/>
      <c r="T52" s="247"/>
      <c r="V52" s="312"/>
      <c r="W52" s="312"/>
      <c r="X52" s="312"/>
      <c r="Y52" s="312"/>
      <c r="Z52" s="312"/>
      <c r="AA52" s="312"/>
    </row>
    <row r="53" spans="1:28" ht="11.15" customHeight="1">
      <c r="B53" s="247"/>
      <c r="C53" s="247"/>
      <c r="D53" s="247"/>
      <c r="E53" s="247"/>
      <c r="F53" s="247"/>
      <c r="G53" s="247"/>
      <c r="H53" s="247"/>
      <c r="J53" s="282"/>
      <c r="K53" s="282"/>
      <c r="M53" s="265"/>
      <c r="N53" s="247"/>
      <c r="O53" s="247"/>
      <c r="P53" s="247"/>
      <c r="Q53" s="247"/>
      <c r="R53" s="320"/>
      <c r="S53" s="320"/>
      <c r="T53" s="247"/>
      <c r="V53" s="312"/>
      <c r="W53" s="312"/>
      <c r="X53" s="312"/>
      <c r="Y53" s="312"/>
      <c r="Z53" s="312"/>
      <c r="AA53" s="312"/>
    </row>
    <row r="54" spans="1:28" ht="11.15" customHeight="1">
      <c r="B54" s="247"/>
      <c r="C54" s="247"/>
      <c r="D54" s="247"/>
      <c r="E54" s="247"/>
      <c r="F54" s="247"/>
      <c r="G54" s="247"/>
      <c r="H54" s="247"/>
      <c r="J54" s="282"/>
      <c r="K54" s="282"/>
      <c r="M54" s="265"/>
      <c r="N54" s="247"/>
      <c r="O54" s="247"/>
      <c r="P54" s="247"/>
      <c r="Q54" s="247"/>
      <c r="R54" s="320"/>
      <c r="S54" s="320"/>
      <c r="T54" s="247"/>
      <c r="V54" s="312"/>
      <c r="W54" s="312"/>
      <c r="X54" s="312"/>
      <c r="Y54" s="312"/>
      <c r="Z54" s="312"/>
      <c r="AA54" s="312"/>
    </row>
    <row r="55" spans="1:28" ht="11.15" customHeight="1">
      <c r="B55" s="247"/>
      <c r="C55" s="247"/>
      <c r="D55" s="247"/>
      <c r="E55" s="247"/>
      <c r="F55" s="247"/>
      <c r="G55" s="247"/>
      <c r="H55" s="247"/>
      <c r="J55" s="282"/>
      <c r="K55" s="282"/>
      <c r="M55" s="265"/>
      <c r="N55" s="247"/>
      <c r="O55" s="247"/>
      <c r="P55" s="247"/>
      <c r="Q55" s="247"/>
      <c r="R55" s="320"/>
      <c r="S55" s="320"/>
      <c r="T55" s="247"/>
      <c r="V55" s="312"/>
      <c r="W55" s="312"/>
      <c r="X55" s="312"/>
      <c r="Y55" s="312"/>
      <c r="Z55" s="312"/>
      <c r="AA55" s="312"/>
    </row>
    <row r="56" spans="1:28" ht="11.15" customHeight="1">
      <c r="B56" s="247"/>
      <c r="C56" s="247"/>
      <c r="D56" s="247"/>
      <c r="E56" s="247"/>
      <c r="F56" s="247"/>
      <c r="G56" s="247"/>
      <c r="H56" s="247"/>
      <c r="J56" s="282"/>
      <c r="K56" s="282"/>
      <c r="M56" s="265"/>
      <c r="N56" s="247"/>
      <c r="O56" s="247"/>
      <c r="P56" s="247"/>
      <c r="Q56" s="247"/>
      <c r="R56" s="320"/>
      <c r="S56" s="320"/>
      <c r="T56" s="247"/>
      <c r="V56" s="312"/>
      <c r="W56" s="312"/>
      <c r="X56" s="312"/>
      <c r="Y56" s="312"/>
      <c r="Z56" s="312"/>
      <c r="AA56" s="312"/>
    </row>
    <row r="57" spans="1:28" ht="11.15" customHeight="1">
      <c r="B57" s="247"/>
      <c r="C57" s="247"/>
      <c r="D57" s="247"/>
      <c r="E57" s="247"/>
      <c r="F57" s="247"/>
      <c r="G57" s="247"/>
      <c r="H57" s="247"/>
      <c r="J57" s="282"/>
      <c r="K57" s="282"/>
      <c r="R57" s="322"/>
      <c r="S57" s="322"/>
      <c r="V57" s="312"/>
      <c r="W57" s="312"/>
      <c r="X57" s="312"/>
      <c r="Y57" s="312"/>
      <c r="Z57" s="312"/>
      <c r="AA57" s="312"/>
    </row>
    <row r="58" spans="1:28" ht="11.15" customHeight="1">
      <c r="B58" s="247"/>
      <c r="C58" s="247"/>
      <c r="D58" s="247"/>
      <c r="E58" s="247"/>
      <c r="F58" s="247"/>
      <c r="G58" s="247"/>
      <c r="H58" s="247"/>
      <c r="R58" s="322"/>
      <c r="S58" s="322"/>
      <c r="V58" s="312"/>
      <c r="W58" s="312"/>
      <c r="X58" s="312"/>
      <c r="Y58" s="312"/>
      <c r="Z58" s="312"/>
      <c r="AA58" s="312"/>
    </row>
    <row r="59" spans="1:28" ht="11.15" customHeight="1">
      <c r="V59" s="323"/>
      <c r="W59" s="323"/>
      <c r="X59" s="323"/>
      <c r="Y59" s="323"/>
      <c r="Z59" s="323"/>
      <c r="AA59" s="324"/>
    </row>
    <row r="60" spans="1:28" ht="11.15" customHeight="1">
      <c r="V60" s="325"/>
      <c r="W60" s="325"/>
      <c r="X60" s="325"/>
      <c r="Y60" s="325"/>
      <c r="Z60" s="325"/>
      <c r="AA60" s="326"/>
    </row>
    <row r="61" spans="1:28" ht="11.15" customHeight="1">
      <c r="A61" s="143" t="s">
        <v>238</v>
      </c>
      <c r="B61" s="143"/>
      <c r="C61" s="143"/>
      <c r="D61" s="143"/>
      <c r="E61" s="143"/>
      <c r="F61" s="143"/>
      <c r="G61" s="143"/>
      <c r="H61" s="143"/>
      <c r="M61" s="146" t="s">
        <v>239</v>
      </c>
      <c r="N61" s="146"/>
      <c r="O61" s="146"/>
      <c r="P61" s="146"/>
      <c r="Q61" s="146"/>
      <c r="R61" s="146"/>
      <c r="S61" s="146"/>
      <c r="T61" s="146"/>
      <c r="V61" s="299"/>
      <c r="W61" s="299"/>
      <c r="X61" s="299"/>
      <c r="Y61" s="299"/>
      <c r="Z61" s="327"/>
      <c r="AA61" s="327"/>
    </row>
    <row r="62" spans="1:28" ht="11.15" customHeight="1">
      <c r="A62" s="143" t="s">
        <v>173</v>
      </c>
      <c r="B62" s="143"/>
      <c r="C62" s="143"/>
      <c r="D62" s="143"/>
      <c r="E62" s="143"/>
      <c r="F62" s="143"/>
      <c r="G62" s="143"/>
      <c r="H62" s="143"/>
      <c r="M62" s="146" t="s">
        <v>173</v>
      </c>
      <c r="N62" s="146"/>
      <c r="O62" s="146"/>
      <c r="P62" s="146"/>
      <c r="Q62" s="146"/>
      <c r="R62" s="146"/>
      <c r="S62" s="146"/>
      <c r="T62" s="146"/>
      <c r="V62" s="328"/>
      <c r="W62" s="329"/>
      <c r="X62" s="330"/>
      <c r="Y62" s="330"/>
      <c r="Z62" s="330"/>
      <c r="AA62" s="199"/>
    </row>
    <row r="63" spans="1:28" ht="11.15" customHeight="1">
      <c r="A63" s="148"/>
      <c r="B63" s="148"/>
      <c r="C63" s="148"/>
      <c r="D63" s="148"/>
      <c r="E63" s="148"/>
      <c r="F63" s="148"/>
      <c r="G63" s="148"/>
      <c r="H63" s="331" t="s">
        <v>240</v>
      </c>
      <c r="M63" s="171"/>
      <c r="N63" s="171"/>
      <c r="O63" s="171"/>
      <c r="P63" s="171"/>
      <c r="Q63" s="171"/>
      <c r="R63" s="172" t="s">
        <v>233</v>
      </c>
      <c r="S63" s="172"/>
      <c r="T63" s="172"/>
      <c r="V63" s="328"/>
      <c r="W63" s="329"/>
      <c r="X63" s="199"/>
      <c r="Y63" s="199"/>
      <c r="Z63" s="199"/>
      <c r="AA63" s="199"/>
    </row>
    <row r="64" spans="1:28" ht="11.15" customHeight="1">
      <c r="A64" s="153" t="s">
        <v>6</v>
      </c>
      <c r="B64" s="153" t="s">
        <v>178</v>
      </c>
      <c r="C64" s="153" t="s">
        <v>179</v>
      </c>
      <c r="D64" s="153"/>
      <c r="E64" s="153"/>
      <c r="F64" s="153"/>
      <c r="G64" s="153"/>
      <c r="H64" s="153" t="s">
        <v>180</v>
      </c>
      <c r="M64" s="156" t="s">
        <v>6</v>
      </c>
      <c r="N64" s="187" t="s">
        <v>178</v>
      </c>
      <c r="O64" s="158" t="s">
        <v>179</v>
      </c>
      <c r="P64" s="159"/>
      <c r="Q64" s="159"/>
      <c r="R64" s="159"/>
      <c r="S64" s="160"/>
      <c r="T64" s="187" t="s">
        <v>180</v>
      </c>
      <c r="V64" s="332"/>
      <c r="W64" s="333"/>
      <c r="X64" s="334"/>
      <c r="Y64" s="334"/>
      <c r="Z64" s="334"/>
      <c r="AA64" s="334"/>
      <c r="AB64" s="335"/>
    </row>
    <row r="65" spans="1:28" ht="11.15" customHeight="1" thickBot="1">
      <c r="A65" s="162"/>
      <c r="B65" s="162"/>
      <c r="C65" s="163">
        <v>2011</v>
      </c>
      <c r="D65" s="163">
        <v>2012</v>
      </c>
      <c r="E65" s="163">
        <v>2013</v>
      </c>
      <c r="F65" s="163">
        <v>2014</v>
      </c>
      <c r="G65" s="163">
        <v>2015</v>
      </c>
      <c r="H65" s="162"/>
      <c r="M65" s="166"/>
      <c r="N65" s="203"/>
      <c r="O65" s="336">
        <v>2011</v>
      </c>
      <c r="P65" s="336">
        <v>2012</v>
      </c>
      <c r="Q65" s="336">
        <v>2013</v>
      </c>
      <c r="R65" s="336">
        <v>2014</v>
      </c>
      <c r="S65" s="336">
        <v>2015</v>
      </c>
      <c r="T65" s="203"/>
      <c r="V65" s="332"/>
      <c r="W65" s="333"/>
      <c r="X65" s="334"/>
      <c r="Y65" s="334"/>
      <c r="Z65" s="334"/>
      <c r="AA65" s="334"/>
      <c r="AB65" s="335"/>
    </row>
    <row r="66" spans="1:28" ht="11.15" customHeight="1" thickTop="1">
      <c r="A66" s="173">
        <v>1</v>
      </c>
      <c r="B66" s="174" t="s">
        <v>195</v>
      </c>
      <c r="C66" s="337">
        <v>44645.5</v>
      </c>
      <c r="D66" s="337">
        <v>31077.599999999999</v>
      </c>
      <c r="E66" s="337">
        <v>45943</v>
      </c>
      <c r="F66" s="337">
        <v>46193.599999999999</v>
      </c>
      <c r="G66" s="338">
        <f>G388+G593</f>
        <v>34615.200000000004</v>
      </c>
      <c r="H66" s="278">
        <f>(((D66-C66)/C66*100)+((E66-D66)/D66*100)+((F66-E66)/E66*100)+((G66-F66)/F66*100))/4</f>
        <v>-1.7691541106914972</v>
      </c>
      <c r="M66" s="339">
        <v>1</v>
      </c>
      <c r="N66" s="340" t="s">
        <v>195</v>
      </c>
      <c r="O66" s="341">
        <v>2565410</v>
      </c>
      <c r="P66" s="341">
        <v>2200160</v>
      </c>
      <c r="Q66" s="342">
        <v>2663200</v>
      </c>
      <c r="R66" s="343">
        <v>3377080</v>
      </c>
      <c r="S66" s="343">
        <v>3078050</v>
      </c>
      <c r="T66" s="278">
        <f t="shared" ref="T66:T75" si="6">((P66-O66)/O66*100+(Q66-P66)/P66*100+(R66-Q66)/Q66*100+(S66-R66)/R66*100)/4</f>
        <v>6.1897269350822306</v>
      </c>
      <c r="V66" s="332"/>
      <c r="W66" s="333"/>
      <c r="X66" s="334"/>
      <c r="Y66" s="334"/>
      <c r="Z66" s="334"/>
      <c r="AA66" s="334"/>
      <c r="AB66" s="335"/>
    </row>
    <row r="67" spans="1:28" ht="11.15" customHeight="1">
      <c r="A67" s="191">
        <v>2</v>
      </c>
      <c r="B67" s="192" t="s">
        <v>198</v>
      </c>
      <c r="C67" s="344">
        <v>38388.5</v>
      </c>
      <c r="D67" s="344">
        <v>48564.700000000004</v>
      </c>
      <c r="E67" s="344">
        <v>49094.9</v>
      </c>
      <c r="F67" s="344">
        <v>6620.5</v>
      </c>
      <c r="G67" s="345">
        <f>G389+G594</f>
        <v>7059.53</v>
      </c>
      <c r="H67" s="186">
        <f>((D67-C67)/C67*100+(E67-D67)/D67*100+(F67-E67)/E67*100+(G67-F67)/F67*100)/4</f>
        <v>-13.070830323674675</v>
      </c>
      <c r="M67" s="223">
        <v>2</v>
      </c>
      <c r="N67" s="224" t="s">
        <v>198</v>
      </c>
      <c r="O67" s="226">
        <v>44432030</v>
      </c>
      <c r="P67" s="226">
        <v>50384620</v>
      </c>
      <c r="Q67" s="346">
        <v>60640485</v>
      </c>
      <c r="R67" s="347">
        <v>5475200</v>
      </c>
      <c r="S67" s="347">
        <v>5273417</v>
      </c>
      <c r="T67" s="186">
        <f t="shared" si="6"/>
        <v>-15.226057101717261</v>
      </c>
      <c r="V67" s="332"/>
      <c r="W67" s="333"/>
      <c r="X67" s="334"/>
      <c r="Y67" s="334"/>
      <c r="Z67" s="334"/>
      <c r="AA67" s="334"/>
      <c r="AB67" s="335"/>
    </row>
    <row r="68" spans="1:28" ht="11.15" customHeight="1">
      <c r="A68" s="191">
        <v>3</v>
      </c>
      <c r="B68" s="192" t="s">
        <v>202</v>
      </c>
      <c r="C68" s="344">
        <v>2941.9</v>
      </c>
      <c r="D68" s="344">
        <v>3434.1000000000004</v>
      </c>
      <c r="E68" s="344">
        <v>4183.5</v>
      </c>
      <c r="F68" s="344">
        <v>4784.1000000000004</v>
      </c>
      <c r="G68" s="345">
        <f t="shared" ref="G68:G74" si="7">G390+G595</f>
        <v>3760</v>
      </c>
      <c r="H68" s="186">
        <f t="shared" ref="H68:H74" si="8">((D68-C68)/C68*100+(E68-D68)/D68*100+(F68-E68)/E68*100+(G68-F68)/F68*100)/4</f>
        <v>7.8757676997855661</v>
      </c>
      <c r="M68" s="223">
        <v>3</v>
      </c>
      <c r="N68" s="224" t="s">
        <v>202</v>
      </c>
      <c r="O68" s="226">
        <v>40656300</v>
      </c>
      <c r="P68" s="226">
        <v>53709800</v>
      </c>
      <c r="Q68" s="346">
        <v>59644200</v>
      </c>
      <c r="R68" s="347">
        <v>72459200</v>
      </c>
      <c r="S68" s="347">
        <v>57079200</v>
      </c>
      <c r="T68" s="186">
        <f t="shared" si="6"/>
        <v>10.853992168306739</v>
      </c>
      <c r="V68" s="332"/>
      <c r="W68" s="333"/>
      <c r="X68" s="334"/>
      <c r="Y68" s="334"/>
      <c r="Z68" s="334"/>
      <c r="AA68" s="334"/>
      <c r="AB68" s="335"/>
    </row>
    <row r="69" spans="1:28" ht="11.15" customHeight="1">
      <c r="A69" s="191">
        <v>4</v>
      </c>
      <c r="B69" s="192" t="s">
        <v>204</v>
      </c>
      <c r="C69" s="344">
        <v>19338.5</v>
      </c>
      <c r="D69" s="344">
        <v>11873.8</v>
      </c>
      <c r="E69" s="344">
        <v>15293</v>
      </c>
      <c r="F69" s="344">
        <v>25365.599999999999</v>
      </c>
      <c r="G69" s="345">
        <f t="shared" si="7"/>
        <v>22051.95</v>
      </c>
      <c r="H69" s="186">
        <f t="shared" si="8"/>
        <v>10.749133434030126</v>
      </c>
      <c r="M69" s="223">
        <v>4</v>
      </c>
      <c r="N69" s="224" t="s">
        <v>204</v>
      </c>
      <c r="O69" s="226">
        <v>35142344</v>
      </c>
      <c r="P69" s="226">
        <v>41963740</v>
      </c>
      <c r="Q69" s="346">
        <v>69399370</v>
      </c>
      <c r="R69" s="347">
        <v>163178500</v>
      </c>
      <c r="S69" s="347">
        <v>74078260</v>
      </c>
      <c r="T69" s="186">
        <f t="shared" si="6"/>
        <v>41.329214999036523</v>
      </c>
      <c r="V69" s="332"/>
      <c r="W69" s="333"/>
      <c r="X69" s="334"/>
      <c r="Y69" s="334"/>
      <c r="Z69" s="334"/>
      <c r="AA69" s="334"/>
      <c r="AB69" s="335"/>
    </row>
    <row r="70" spans="1:28" ht="11.15" customHeight="1">
      <c r="A70" s="191">
        <v>5</v>
      </c>
      <c r="B70" s="192" t="s">
        <v>205</v>
      </c>
      <c r="C70" s="344">
        <v>15005.599999999999</v>
      </c>
      <c r="D70" s="344">
        <v>14456.4</v>
      </c>
      <c r="E70" s="344">
        <v>16304.4</v>
      </c>
      <c r="F70" s="344">
        <v>19863.400000000001</v>
      </c>
      <c r="G70" s="345">
        <f t="shared" si="7"/>
        <v>19148.5</v>
      </c>
      <c r="H70" s="186">
        <f t="shared" si="8"/>
        <v>6.8381700879154339</v>
      </c>
      <c r="M70" s="223">
        <v>5</v>
      </c>
      <c r="N70" s="224" t="s">
        <v>205</v>
      </c>
      <c r="O70" s="226">
        <v>69330396</v>
      </c>
      <c r="P70" s="226">
        <v>46924200</v>
      </c>
      <c r="Q70" s="346">
        <v>85898190</v>
      </c>
      <c r="R70" s="347">
        <v>93209940</v>
      </c>
      <c r="S70" s="347">
        <v>120673830</v>
      </c>
      <c r="T70" s="186">
        <f t="shared" si="6"/>
        <v>22.178999879551018</v>
      </c>
      <c r="V70" s="332"/>
      <c r="W70" s="333"/>
      <c r="X70" s="334"/>
      <c r="Y70" s="334"/>
      <c r="Z70" s="334"/>
      <c r="AA70" s="334"/>
      <c r="AB70" s="335"/>
    </row>
    <row r="71" spans="1:28" ht="11.15" customHeight="1">
      <c r="A71" s="191">
        <v>6</v>
      </c>
      <c r="B71" s="192" t="s">
        <v>208</v>
      </c>
      <c r="C71" s="344">
        <v>18814.899999999998</v>
      </c>
      <c r="D71" s="344">
        <v>18446.099999999999</v>
      </c>
      <c r="E71" s="344">
        <v>21394.44</v>
      </c>
      <c r="F71" s="344">
        <v>22122.1</v>
      </c>
      <c r="G71" s="345">
        <f t="shared" si="7"/>
        <v>25371.34</v>
      </c>
      <c r="H71" s="186">
        <f t="shared" si="8"/>
        <v>8.0280780886785248</v>
      </c>
      <c r="M71" s="223">
        <v>6</v>
      </c>
      <c r="N71" s="224" t="s">
        <v>208</v>
      </c>
      <c r="O71" s="226">
        <v>9909125</v>
      </c>
      <c r="P71" s="226">
        <v>10743050</v>
      </c>
      <c r="Q71" s="346">
        <v>28767420</v>
      </c>
      <c r="R71" s="347">
        <v>21257250</v>
      </c>
      <c r="S71" s="347">
        <v>22608000</v>
      </c>
      <c r="T71" s="186">
        <f t="shared" si="6"/>
        <v>39.110136589418211</v>
      </c>
      <c r="V71" s="332"/>
      <c r="W71" s="333"/>
      <c r="X71" s="334"/>
      <c r="Y71" s="334"/>
      <c r="Z71" s="334"/>
      <c r="AA71" s="334"/>
      <c r="AB71" s="335"/>
    </row>
    <row r="72" spans="1:28" ht="11.15" customHeight="1">
      <c r="A72" s="191">
        <v>7</v>
      </c>
      <c r="B72" s="192" t="s">
        <v>213</v>
      </c>
      <c r="C72" s="344">
        <v>108715.55</v>
      </c>
      <c r="D72" s="344">
        <v>102312.5</v>
      </c>
      <c r="E72" s="344">
        <v>103002.81999999999</v>
      </c>
      <c r="F72" s="344">
        <v>85791.5</v>
      </c>
      <c r="G72" s="345">
        <f t="shared" si="7"/>
        <v>108216.77</v>
      </c>
      <c r="H72" s="186">
        <f t="shared" si="8"/>
        <v>1.0536738207321976</v>
      </c>
      <c r="M72" s="223">
        <v>7</v>
      </c>
      <c r="N72" s="224" t="s">
        <v>213</v>
      </c>
      <c r="O72" s="226">
        <v>224440724</v>
      </c>
      <c r="P72" s="226">
        <v>84371950</v>
      </c>
      <c r="Q72" s="346">
        <v>119044425</v>
      </c>
      <c r="R72" s="347">
        <v>138621315</v>
      </c>
      <c r="S72" s="347">
        <v>129278548.7</v>
      </c>
      <c r="T72" s="186">
        <f t="shared" si="6"/>
        <v>-2.9019680248488147</v>
      </c>
      <c r="V72" s="332"/>
      <c r="W72" s="333"/>
      <c r="X72" s="334"/>
      <c r="Y72" s="334"/>
      <c r="Z72" s="334"/>
      <c r="AA72" s="334"/>
      <c r="AB72" s="335"/>
    </row>
    <row r="73" spans="1:28" ht="11.15" customHeight="1">
      <c r="A73" s="191">
        <v>8</v>
      </c>
      <c r="B73" s="192" t="s">
        <v>215</v>
      </c>
      <c r="C73" s="344">
        <v>2341.8500000000004</v>
      </c>
      <c r="D73" s="344">
        <v>2772.5</v>
      </c>
      <c r="E73" s="344">
        <v>2605.9</v>
      </c>
      <c r="F73" s="344">
        <v>2638.8</v>
      </c>
      <c r="G73" s="345">
        <f t="shared" si="7"/>
        <v>1383.29</v>
      </c>
      <c r="H73" s="186">
        <f t="shared" si="8"/>
        <v>-8.4840033936736905</v>
      </c>
      <c r="M73" s="223">
        <v>8</v>
      </c>
      <c r="N73" s="224" t="s">
        <v>215</v>
      </c>
      <c r="O73" s="226">
        <v>63997200</v>
      </c>
      <c r="P73" s="226">
        <v>77637800</v>
      </c>
      <c r="Q73" s="346">
        <v>52584700</v>
      </c>
      <c r="R73" s="347">
        <v>56277540</v>
      </c>
      <c r="S73" s="347">
        <v>28205640</v>
      </c>
      <c r="T73" s="186">
        <f t="shared" si="6"/>
        <v>-13.453340253718675</v>
      </c>
      <c r="V73" s="348"/>
      <c r="W73" s="348"/>
      <c r="X73" s="349"/>
      <c r="Y73" s="349"/>
      <c r="Z73" s="349"/>
      <c r="AA73" s="349"/>
    </row>
    <row r="74" spans="1:28" ht="11.15" customHeight="1" thickBot="1">
      <c r="A74" s="293">
        <v>9</v>
      </c>
      <c r="B74" s="294" t="s">
        <v>217</v>
      </c>
      <c r="C74" s="344">
        <v>2464.8000000000002</v>
      </c>
      <c r="D74" s="344">
        <v>4705.5</v>
      </c>
      <c r="E74" s="344">
        <v>6148.5</v>
      </c>
      <c r="F74" s="344">
        <v>7326.9</v>
      </c>
      <c r="G74" s="345">
        <f t="shared" si="7"/>
        <v>7266.9</v>
      </c>
      <c r="H74" s="186">
        <f t="shared" si="8"/>
        <v>34.980243998585486</v>
      </c>
      <c r="M74" s="350">
        <v>9</v>
      </c>
      <c r="N74" s="351" t="s">
        <v>217</v>
      </c>
      <c r="O74" s="226">
        <v>29605194</v>
      </c>
      <c r="P74" s="226">
        <v>69408000</v>
      </c>
      <c r="Q74" s="346">
        <v>100114000</v>
      </c>
      <c r="R74" s="347">
        <v>136894500</v>
      </c>
      <c r="S74" s="347">
        <v>145744000</v>
      </c>
      <c r="T74" s="186">
        <f t="shared" si="6"/>
        <v>55.472072469875783</v>
      </c>
      <c r="V74" s="299"/>
      <c r="W74" s="299"/>
      <c r="X74" s="299"/>
      <c r="Y74" s="299"/>
      <c r="Z74" s="299"/>
      <c r="AA74" s="299"/>
    </row>
    <row r="75" spans="1:28" ht="11.15" customHeight="1" thickTop="1" thickBot="1">
      <c r="A75" s="237" t="s">
        <v>184</v>
      </c>
      <c r="B75" s="237"/>
      <c r="C75" s="352">
        <f>SUM(C66:C74)</f>
        <v>252657.1</v>
      </c>
      <c r="D75" s="352">
        <f>SUM(D66:D74)</f>
        <v>237643.2</v>
      </c>
      <c r="E75" s="352">
        <f>SUM(E66:E74)</f>
        <v>263970.45999999996</v>
      </c>
      <c r="F75" s="352">
        <f>SUM(F66:F74)</f>
        <v>220706.49999999997</v>
      </c>
      <c r="G75" s="352">
        <f>SUM(G66:G74)</f>
        <v>228873.48</v>
      </c>
      <c r="H75" s="319">
        <f>((D75-C75)/C75*100+(E75-D75)/D75*100+(F75-E75)/E75*100+(G75-F75)/F75*100)/4</f>
        <v>-1.8883091470651336</v>
      </c>
      <c r="M75" s="353" t="s">
        <v>184</v>
      </c>
      <c r="N75" s="354"/>
      <c r="O75" s="355">
        <f>SUM(O66:O74)</f>
        <v>520078723</v>
      </c>
      <c r="P75" s="355">
        <f>SUM(P66:P74)</f>
        <v>437343320</v>
      </c>
      <c r="Q75" s="355">
        <f>SUM(Q66:Q74)</f>
        <v>578755990</v>
      </c>
      <c r="R75" s="355">
        <f>SUM(R66:R74)</f>
        <v>690750525</v>
      </c>
      <c r="S75" s="355">
        <f>SUM(S66:S74)</f>
        <v>586018945.70000005</v>
      </c>
      <c r="T75" s="311">
        <f t="shared" si="6"/>
        <v>5.1537848085768463</v>
      </c>
      <c r="V75" s="305"/>
      <c r="W75" s="306"/>
      <c r="X75" s="306"/>
      <c r="Y75" s="306"/>
      <c r="Z75" s="306"/>
      <c r="AA75" s="307"/>
    </row>
    <row r="76" spans="1:28" ht="11.15" customHeight="1" thickTop="1">
      <c r="A76" s="148"/>
      <c r="B76" s="148"/>
      <c r="C76" s="148"/>
      <c r="D76" s="148"/>
      <c r="E76" s="148"/>
      <c r="F76" s="148"/>
      <c r="G76" s="148"/>
      <c r="H76" s="148"/>
      <c r="M76" s="171"/>
      <c r="N76" s="171"/>
      <c r="O76" s="356"/>
      <c r="P76" s="171"/>
      <c r="Q76" s="171"/>
      <c r="R76" s="171"/>
      <c r="S76" s="171"/>
      <c r="T76" s="171"/>
    </row>
    <row r="77" spans="1:28" ht="11.15" customHeight="1">
      <c r="A77" s="148"/>
      <c r="B77" s="242" t="s">
        <v>241</v>
      </c>
      <c r="C77" s="242"/>
      <c r="D77" s="242"/>
      <c r="E77" s="242"/>
      <c r="F77" s="242"/>
      <c r="G77" s="242"/>
      <c r="H77" s="242"/>
      <c r="M77" s="171"/>
      <c r="N77" s="242" t="s">
        <v>242</v>
      </c>
      <c r="O77" s="242"/>
      <c r="P77" s="242"/>
      <c r="Q77" s="242"/>
      <c r="R77" s="242"/>
      <c r="S77" s="242"/>
      <c r="T77" s="242"/>
    </row>
    <row r="78" spans="1:28" ht="11.15" customHeight="1">
      <c r="A78" s="148"/>
      <c r="B78" s="247"/>
      <c r="C78" s="247"/>
      <c r="D78" s="247"/>
      <c r="E78" s="247"/>
      <c r="F78" s="247"/>
      <c r="G78" s="247"/>
      <c r="H78" s="247"/>
    </row>
    <row r="79" spans="1:28" ht="11.15" customHeight="1">
      <c r="A79" s="148"/>
      <c r="B79" s="247"/>
      <c r="C79" s="247"/>
      <c r="D79" s="247"/>
      <c r="E79" s="247"/>
      <c r="F79" s="247"/>
      <c r="G79" s="247"/>
      <c r="H79" s="247"/>
    </row>
    <row r="80" spans="1:28" ht="11.15" customHeight="1">
      <c r="A80" s="148"/>
      <c r="B80" s="247"/>
      <c r="C80" s="247"/>
      <c r="D80" s="247"/>
      <c r="E80" s="247"/>
      <c r="F80" s="247"/>
      <c r="G80" s="247"/>
      <c r="H80" s="247"/>
    </row>
    <row r="81" spans="1:27" ht="11.15" customHeight="1">
      <c r="A81" s="148"/>
      <c r="B81" s="247"/>
      <c r="C81" s="247"/>
      <c r="D81" s="247"/>
      <c r="E81" s="247"/>
      <c r="F81" s="247"/>
      <c r="G81" s="247"/>
      <c r="H81" s="247"/>
      <c r="S81" s="282"/>
    </row>
    <row r="82" spans="1:27" ht="11.15" customHeight="1">
      <c r="A82" s="148"/>
      <c r="B82" s="247"/>
      <c r="C82" s="247"/>
      <c r="D82" s="247"/>
      <c r="E82" s="247"/>
      <c r="F82" s="247"/>
      <c r="G82" s="247"/>
      <c r="H82" s="247"/>
      <c r="S82" s="282"/>
    </row>
    <row r="83" spans="1:27" ht="11.15" customHeight="1">
      <c r="A83" s="148"/>
      <c r="B83" s="247"/>
      <c r="C83" s="247"/>
      <c r="D83" s="247"/>
      <c r="E83" s="247"/>
      <c r="F83" s="247"/>
      <c r="G83" s="247"/>
      <c r="H83" s="247"/>
      <c r="S83" s="282"/>
    </row>
    <row r="84" spans="1:27" ht="11.15" customHeight="1">
      <c r="A84" s="148"/>
      <c r="B84" s="247"/>
      <c r="C84" s="247"/>
      <c r="D84" s="247"/>
      <c r="E84" s="247"/>
      <c r="F84" s="247"/>
      <c r="G84" s="247"/>
      <c r="H84" s="247"/>
      <c r="S84" s="282"/>
    </row>
    <row r="85" spans="1:27" ht="11.15" customHeight="1">
      <c r="A85" s="148"/>
      <c r="B85" s="247"/>
      <c r="C85" s="247"/>
      <c r="D85" s="247"/>
      <c r="E85" s="247"/>
      <c r="F85" s="247"/>
      <c r="G85" s="247"/>
      <c r="H85" s="247"/>
      <c r="S85" s="282"/>
    </row>
    <row r="86" spans="1:27" ht="11.15" customHeight="1">
      <c r="A86" s="148"/>
      <c r="B86" s="247"/>
      <c r="C86" s="247"/>
      <c r="D86" s="247"/>
      <c r="E86" s="247"/>
      <c r="F86" s="247"/>
      <c r="G86" s="247"/>
      <c r="H86" s="247"/>
    </row>
    <row r="87" spans="1:27" ht="11.15" customHeight="1">
      <c r="A87" s="148"/>
      <c r="B87" s="247"/>
      <c r="C87" s="247"/>
      <c r="D87" s="247"/>
      <c r="E87" s="247"/>
      <c r="F87" s="247"/>
      <c r="G87" s="247"/>
      <c r="H87" s="247"/>
    </row>
    <row r="88" spans="1:27" ht="11.15" customHeight="1"/>
    <row r="89" spans="1:27" ht="11.15" customHeight="1">
      <c r="M89" s="357" t="s">
        <v>243</v>
      </c>
      <c r="N89" s="357"/>
      <c r="O89" s="357"/>
      <c r="P89" s="357"/>
      <c r="Q89" s="357"/>
      <c r="R89" s="357"/>
      <c r="S89" s="357"/>
      <c r="T89" s="357"/>
    </row>
    <row r="90" spans="1:27" ht="11.15" customHeight="1">
      <c r="A90" s="143" t="s">
        <v>244</v>
      </c>
      <c r="B90" s="143"/>
      <c r="C90" s="143"/>
      <c r="D90" s="143"/>
      <c r="E90" s="143"/>
      <c r="F90" s="143"/>
      <c r="G90" s="143"/>
      <c r="H90" s="143"/>
      <c r="M90" s="357" t="s">
        <v>245</v>
      </c>
      <c r="N90" s="357"/>
      <c r="O90" s="357"/>
      <c r="P90" s="357"/>
      <c r="Q90" s="357"/>
      <c r="R90" s="357"/>
      <c r="S90" s="357"/>
      <c r="T90" s="357"/>
      <c r="V90" s="154"/>
      <c r="W90" s="154"/>
      <c r="X90" s="154"/>
      <c r="Y90" s="154"/>
      <c r="Z90" s="154"/>
      <c r="AA90" s="257"/>
    </row>
    <row r="91" spans="1:27" ht="11.15" customHeight="1">
      <c r="A91" s="143" t="s">
        <v>173</v>
      </c>
      <c r="B91" s="143"/>
      <c r="C91" s="143"/>
      <c r="D91" s="143"/>
      <c r="E91" s="143"/>
      <c r="F91" s="143"/>
      <c r="G91" s="143"/>
      <c r="H91" s="143"/>
      <c r="M91" s="358"/>
      <c r="N91" s="358"/>
      <c r="O91" s="358"/>
      <c r="P91" s="358"/>
      <c r="Q91" s="358"/>
      <c r="R91" s="359" t="s">
        <v>246</v>
      </c>
      <c r="S91" s="359"/>
      <c r="T91" s="359"/>
      <c r="V91" s="164"/>
      <c r="W91" s="164"/>
      <c r="X91" s="164"/>
      <c r="Y91" s="164"/>
      <c r="Z91" s="164"/>
      <c r="AA91" s="259"/>
    </row>
    <row r="92" spans="1:27" ht="11.15" customHeight="1">
      <c r="A92" s="148"/>
      <c r="B92" s="148"/>
      <c r="C92" s="148"/>
      <c r="D92" s="148"/>
      <c r="E92" s="148"/>
      <c r="F92" s="148"/>
      <c r="G92" s="360" t="s">
        <v>247</v>
      </c>
      <c r="H92" s="360"/>
      <c r="M92" s="361" t="s">
        <v>6</v>
      </c>
      <c r="N92" s="362" t="s">
        <v>248</v>
      </c>
      <c r="O92" s="158" t="s">
        <v>179</v>
      </c>
      <c r="P92" s="159"/>
      <c r="Q92" s="159"/>
      <c r="R92" s="159"/>
      <c r="S92" s="160"/>
      <c r="T92" s="363" t="s">
        <v>180</v>
      </c>
      <c r="V92" s="178"/>
      <c r="W92" s="178"/>
      <c r="X92" s="258"/>
      <c r="Y92" s="258"/>
      <c r="Z92" s="258"/>
      <c r="AA92" s="258"/>
    </row>
    <row r="93" spans="1:27" ht="11.15" customHeight="1" thickBot="1">
      <c r="A93" s="153" t="s">
        <v>6</v>
      </c>
      <c r="B93" s="153" t="s">
        <v>178</v>
      </c>
      <c r="C93" s="153" t="s">
        <v>179</v>
      </c>
      <c r="D93" s="153"/>
      <c r="E93" s="153"/>
      <c r="F93" s="153"/>
      <c r="G93" s="153"/>
      <c r="H93" s="153" t="s">
        <v>180</v>
      </c>
      <c r="M93" s="364"/>
      <c r="N93" s="365"/>
      <c r="O93" s="336">
        <v>2011</v>
      </c>
      <c r="P93" s="336">
        <v>2012</v>
      </c>
      <c r="Q93" s="336">
        <v>2013</v>
      </c>
      <c r="R93" s="336">
        <v>2014</v>
      </c>
      <c r="S93" s="336">
        <v>2015</v>
      </c>
      <c r="T93" s="366"/>
      <c r="V93" s="328"/>
      <c r="W93" s="329"/>
      <c r="X93" s="330"/>
      <c r="Y93" s="330"/>
      <c r="Z93" s="260"/>
      <c r="AA93" s="260"/>
    </row>
    <row r="94" spans="1:27" ht="11.15" customHeight="1" thickTop="1" thickBot="1">
      <c r="A94" s="162"/>
      <c r="B94" s="162"/>
      <c r="C94" s="163">
        <v>2011</v>
      </c>
      <c r="D94" s="163">
        <v>2012</v>
      </c>
      <c r="E94" s="163">
        <v>2013</v>
      </c>
      <c r="F94" s="163">
        <v>2014</v>
      </c>
      <c r="G94" s="163">
        <v>2015</v>
      </c>
      <c r="H94" s="162"/>
      <c r="M94" s="367">
        <v>1</v>
      </c>
      <c r="N94" s="368" t="s">
        <v>249</v>
      </c>
      <c r="O94" s="369">
        <v>277014560</v>
      </c>
      <c r="P94" s="369">
        <v>150525180</v>
      </c>
      <c r="Q94" s="370">
        <v>206475120</v>
      </c>
      <c r="R94" s="371">
        <v>173333490.80000001</v>
      </c>
      <c r="S94" s="371">
        <v>168524637.69999999</v>
      </c>
      <c r="T94" s="186">
        <f t="shared" ref="T94:T99" si="9">((P94-O94)/O94*100+(Q94-P94)/P94*100+(R94-Q94)/Q94*100+(S94-R94)/R94*100)/4</f>
        <v>-6.8293249460346406</v>
      </c>
      <c r="V94" s="328"/>
      <c r="W94" s="329"/>
      <c r="X94" s="330"/>
      <c r="Y94" s="330"/>
      <c r="Z94" s="199"/>
      <c r="AA94" s="199"/>
    </row>
    <row r="95" spans="1:27" ht="11.15" customHeight="1" thickTop="1">
      <c r="A95" s="174">
        <v>1</v>
      </c>
      <c r="B95" s="174" t="s">
        <v>195</v>
      </c>
      <c r="C95" s="175">
        <v>9394</v>
      </c>
      <c r="D95" s="175">
        <v>9389</v>
      </c>
      <c r="E95" s="175">
        <v>9191</v>
      </c>
      <c r="F95" s="175">
        <v>9483</v>
      </c>
      <c r="G95" s="289">
        <f>G211+G535</f>
        <v>9711</v>
      </c>
      <c r="H95" s="278">
        <f>(((D95-C95)/C95*100)+((E95-D95)/D95*100)+((F95-E95)/E95*100)+((G95-F95)/F95*100))/4</f>
        <v>0.85481179721216749</v>
      </c>
      <c r="M95" s="372">
        <v>2</v>
      </c>
      <c r="N95" s="373" t="s">
        <v>250</v>
      </c>
      <c r="O95" s="374">
        <v>93901800</v>
      </c>
      <c r="P95" s="374">
        <v>74011040</v>
      </c>
      <c r="Q95" s="375">
        <v>130563660</v>
      </c>
      <c r="R95" s="376">
        <v>215008250</v>
      </c>
      <c r="S95" s="376">
        <v>158480930</v>
      </c>
      <c r="T95" s="186">
        <f t="shared" si="9"/>
        <v>23.403681882036732</v>
      </c>
      <c r="V95" s="332"/>
      <c r="W95" s="333"/>
      <c r="X95" s="377"/>
      <c r="Y95" s="377"/>
      <c r="Z95" s="264"/>
      <c r="AA95" s="264"/>
    </row>
    <row r="96" spans="1:27" ht="11.15" customHeight="1">
      <c r="A96" s="192">
        <v>2</v>
      </c>
      <c r="B96" s="192" t="s">
        <v>198</v>
      </c>
      <c r="C96" s="193">
        <v>3727</v>
      </c>
      <c r="D96" s="193">
        <v>3273</v>
      </c>
      <c r="E96" s="193">
        <v>3012</v>
      </c>
      <c r="F96" s="193">
        <v>1912</v>
      </c>
      <c r="G96" s="291">
        <f>G212+G536</f>
        <v>1950</v>
      </c>
      <c r="H96" s="186">
        <f>((D96-C96)/C96*100+(E96-D96)/D96*100+(F96-E96)/E96*100+(G96-F96)/F96*100)/4</f>
        <v>-13.672212806987588</v>
      </c>
      <c r="M96" s="372">
        <v>3</v>
      </c>
      <c r="N96" s="373" t="s">
        <v>251</v>
      </c>
      <c r="O96" s="374">
        <v>115640770</v>
      </c>
      <c r="P96" s="374">
        <v>150901000</v>
      </c>
      <c r="Q96" s="375">
        <v>154050010</v>
      </c>
      <c r="R96" s="376">
        <v>198033964.19999999</v>
      </c>
      <c r="S96" s="376">
        <v>143381778</v>
      </c>
      <c r="T96" s="186">
        <f t="shared" si="9"/>
        <v>8.3830844194533523</v>
      </c>
      <c r="V96" s="332"/>
      <c r="W96" s="333"/>
      <c r="X96" s="377"/>
      <c r="Y96" s="377"/>
      <c r="Z96" s="264"/>
      <c r="AA96" s="264"/>
    </row>
    <row r="97" spans="1:27" ht="11.15" customHeight="1">
      <c r="A97" s="192">
        <v>3</v>
      </c>
      <c r="B97" s="192" t="s">
        <v>202</v>
      </c>
      <c r="C97" s="193">
        <v>8469</v>
      </c>
      <c r="D97" s="193">
        <v>5413</v>
      </c>
      <c r="E97" s="193">
        <v>7953</v>
      </c>
      <c r="F97" s="193">
        <v>9892</v>
      </c>
      <c r="G97" s="378">
        <f t="shared" ref="G97:G103" si="10">G213+G537</f>
        <v>9222</v>
      </c>
      <c r="H97" s="186">
        <f t="shared" ref="H97:H103" si="11">((D97-C97)/C97*100+(E97-D97)/D97*100+(F97-E97)/E97*100+(G97-F97)/F97*100)/4</f>
        <v>7.1117787145583744</v>
      </c>
      <c r="M97" s="372">
        <v>4</v>
      </c>
      <c r="N97" s="373" t="s">
        <v>252</v>
      </c>
      <c r="O97" s="374">
        <v>7032078</v>
      </c>
      <c r="P97" s="374">
        <v>8109300</v>
      </c>
      <c r="Q97" s="375">
        <v>6742550</v>
      </c>
      <c r="R97" s="376">
        <v>8114400</v>
      </c>
      <c r="S97" s="376">
        <v>6822600</v>
      </c>
      <c r="T97" s="186">
        <f t="shared" si="9"/>
        <v>0.72272364866346361</v>
      </c>
      <c r="V97" s="332"/>
      <c r="W97" s="333"/>
      <c r="X97" s="377"/>
      <c r="Y97" s="377"/>
      <c r="Z97" s="264"/>
      <c r="AA97" s="264"/>
    </row>
    <row r="98" spans="1:27" ht="11.15" customHeight="1">
      <c r="A98" s="192">
        <v>4</v>
      </c>
      <c r="B98" s="192" t="s">
        <v>204</v>
      </c>
      <c r="C98" s="193">
        <v>10945</v>
      </c>
      <c r="D98" s="193">
        <v>11514</v>
      </c>
      <c r="E98" s="193">
        <v>11447</v>
      </c>
      <c r="F98" s="193">
        <v>11809</v>
      </c>
      <c r="G98" s="378">
        <f t="shared" si="10"/>
        <v>11911</v>
      </c>
      <c r="H98" s="186">
        <f t="shared" si="11"/>
        <v>2.1607422999069992</v>
      </c>
      <c r="M98" s="372">
        <v>5</v>
      </c>
      <c r="N98" s="373" t="s">
        <v>253</v>
      </c>
      <c r="O98" s="374">
        <v>26489515</v>
      </c>
      <c r="P98" s="374">
        <v>53796800</v>
      </c>
      <c r="Q98" s="375">
        <v>80924650</v>
      </c>
      <c r="R98" s="376">
        <v>96260420</v>
      </c>
      <c r="S98" s="376">
        <v>108809000</v>
      </c>
      <c r="T98" s="186">
        <f t="shared" si="9"/>
        <v>46.375102743032535</v>
      </c>
      <c r="V98" s="332"/>
      <c r="W98" s="333"/>
      <c r="X98" s="377"/>
      <c r="Y98" s="377"/>
      <c r="Z98" s="264"/>
      <c r="AA98" s="264"/>
    </row>
    <row r="99" spans="1:27" ht="11.15" customHeight="1" thickBot="1">
      <c r="A99" s="192">
        <v>5</v>
      </c>
      <c r="B99" s="192" t="s">
        <v>205</v>
      </c>
      <c r="C99" s="193">
        <v>7819</v>
      </c>
      <c r="D99" s="193">
        <v>7805</v>
      </c>
      <c r="E99" s="193">
        <v>10271</v>
      </c>
      <c r="F99" s="193">
        <v>9849</v>
      </c>
      <c r="G99" s="378">
        <f>G215+G539</f>
        <v>8374</v>
      </c>
      <c r="H99" s="186">
        <f t="shared" si="11"/>
        <v>3.0828212873186156</v>
      </c>
      <c r="M99" s="372">
        <v>6</v>
      </c>
      <c r="N99" s="373" t="s">
        <v>254</v>
      </c>
      <c r="O99" s="374">
        <v>0</v>
      </c>
      <c r="P99" s="374">
        <v>0</v>
      </c>
      <c r="Q99" s="375">
        <v>0</v>
      </c>
      <c r="R99" s="375">
        <v>0</v>
      </c>
      <c r="S99" s="375">
        <v>0</v>
      </c>
      <c r="T99" s="186" t="e">
        <f t="shared" si="9"/>
        <v>#DIV/0!</v>
      </c>
      <c r="V99" s="332"/>
      <c r="W99" s="333"/>
      <c r="X99" s="377"/>
      <c r="Y99" s="377"/>
      <c r="Z99" s="264"/>
      <c r="AA99" s="264"/>
    </row>
    <row r="100" spans="1:27" ht="11.15" customHeight="1" thickTop="1" thickBot="1">
      <c r="A100" s="192">
        <v>6</v>
      </c>
      <c r="B100" s="192" t="s">
        <v>208</v>
      </c>
      <c r="C100" s="193">
        <v>7316</v>
      </c>
      <c r="D100" s="193">
        <v>7091</v>
      </c>
      <c r="E100" s="193">
        <v>7322</v>
      </c>
      <c r="F100" s="193">
        <v>7340</v>
      </c>
      <c r="G100" s="378">
        <f t="shared" si="10"/>
        <v>7346</v>
      </c>
      <c r="H100" s="186">
        <f t="shared" si="11"/>
        <v>0.12744445436277077</v>
      </c>
      <c r="M100" s="379" t="s">
        <v>184</v>
      </c>
      <c r="N100" s="380"/>
      <c r="O100" s="381">
        <f>SUM(O94:O99)</f>
        <v>520078723</v>
      </c>
      <c r="P100" s="381">
        <f>SUM(P94:P99)</f>
        <v>437343320</v>
      </c>
      <c r="Q100" s="381">
        <f>SUM(Q94:Q99)</f>
        <v>578755990</v>
      </c>
      <c r="R100" s="381">
        <f>SUM(R94:R99)</f>
        <v>690750525</v>
      </c>
      <c r="S100" s="381">
        <f>SUM(S94:S99)</f>
        <v>586018945.70000005</v>
      </c>
      <c r="T100" s="311">
        <f>((P100-O100)/O100*100+(Q100-P100)/P100*100+(R100-Q100)/Q100*100+(S100-R100)/R100*100)/4</f>
        <v>5.1537848085768463</v>
      </c>
      <c r="V100" s="332"/>
      <c r="W100" s="333"/>
      <c r="X100" s="377"/>
      <c r="Y100" s="377"/>
      <c r="Z100" s="264"/>
      <c r="AA100" s="264"/>
    </row>
    <row r="101" spans="1:27" ht="11.15" customHeight="1" thickTop="1">
      <c r="A101" s="192">
        <v>7</v>
      </c>
      <c r="B101" s="192" t="s">
        <v>213</v>
      </c>
      <c r="C101" s="193">
        <v>4148</v>
      </c>
      <c r="D101" s="193">
        <v>4167</v>
      </c>
      <c r="E101" s="193">
        <v>4220</v>
      </c>
      <c r="F101" s="193">
        <v>3970</v>
      </c>
      <c r="G101" s="378">
        <f t="shared" si="10"/>
        <v>3873</v>
      </c>
      <c r="H101" s="186">
        <f t="shared" si="11"/>
        <v>-1.6593863079282427</v>
      </c>
      <c r="M101" s="358"/>
      <c r="N101" s="358"/>
      <c r="O101" s="358"/>
      <c r="P101" s="358"/>
      <c r="Q101" s="358"/>
      <c r="R101" s="358"/>
      <c r="S101" s="358"/>
      <c r="T101" s="382"/>
      <c r="V101" s="332"/>
      <c r="W101" s="333"/>
      <c r="X101" s="377"/>
      <c r="Y101" s="377"/>
      <c r="Z101" s="264"/>
      <c r="AA101" s="264"/>
    </row>
    <row r="102" spans="1:27" ht="11.15" customHeight="1">
      <c r="A102" s="192">
        <v>8</v>
      </c>
      <c r="B102" s="192" t="s">
        <v>215</v>
      </c>
      <c r="C102" s="193">
        <v>3209</v>
      </c>
      <c r="D102" s="193">
        <v>3561</v>
      </c>
      <c r="E102" s="193">
        <v>3051</v>
      </c>
      <c r="F102" s="193">
        <v>2871</v>
      </c>
      <c r="G102" s="378">
        <f t="shared" si="10"/>
        <v>1702</v>
      </c>
      <c r="H102" s="186">
        <f t="shared" si="11"/>
        <v>-12.492473872123272</v>
      </c>
      <c r="M102" s="358"/>
      <c r="N102" s="242" t="s">
        <v>255</v>
      </c>
      <c r="O102" s="242"/>
      <c r="P102" s="242"/>
      <c r="Q102" s="242"/>
      <c r="R102" s="242"/>
      <c r="S102" s="242"/>
      <c r="T102" s="242"/>
      <c r="V102" s="332"/>
      <c r="W102" s="333"/>
      <c r="X102" s="377"/>
      <c r="Y102" s="377"/>
      <c r="Z102" s="264"/>
      <c r="AA102" s="264"/>
    </row>
    <row r="103" spans="1:27" ht="11.15" customHeight="1" thickBot="1">
      <c r="A103" s="294">
        <v>9</v>
      </c>
      <c r="B103" s="294" t="s">
        <v>217</v>
      </c>
      <c r="C103" s="314">
        <v>3412</v>
      </c>
      <c r="D103" s="314">
        <v>3482</v>
      </c>
      <c r="E103" s="314">
        <v>3480</v>
      </c>
      <c r="F103" s="314">
        <v>3585</v>
      </c>
      <c r="G103" s="383">
        <f t="shared" si="10"/>
        <v>3612</v>
      </c>
      <c r="H103" s="186">
        <f t="shared" si="11"/>
        <v>1.44113096255488</v>
      </c>
      <c r="M103" s="171"/>
      <c r="N103" s="384" t="s">
        <v>256</v>
      </c>
      <c r="O103" s="384"/>
      <c r="P103" s="384"/>
      <c r="Q103" s="384"/>
      <c r="R103" s="384"/>
      <c r="S103" s="356"/>
      <c r="T103" s="171"/>
      <c r="V103" s="332"/>
      <c r="W103" s="333"/>
      <c r="X103" s="385"/>
      <c r="Y103" s="385"/>
      <c r="Z103" s="253"/>
      <c r="AA103" s="253"/>
    </row>
    <row r="104" spans="1:27" ht="11.15" customHeight="1" thickTop="1">
      <c r="A104" s="386" t="s">
        <v>184</v>
      </c>
      <c r="B104" s="386"/>
      <c r="C104" s="387">
        <f>SUM(C95:C103)</f>
        <v>58439</v>
      </c>
      <c r="D104" s="387">
        <f>SUM(D95:D103)</f>
        <v>55695</v>
      </c>
      <c r="E104" s="387">
        <f>SUM(E95:E103)</f>
        <v>59947</v>
      </c>
      <c r="F104" s="387">
        <f>SUM(F95:F103)</f>
        <v>60711</v>
      </c>
      <c r="G104" s="387">
        <f>SUM(G95:G103)</f>
        <v>57701</v>
      </c>
      <c r="H104" s="388">
        <f>((D104-C104)/C104*100+(E104-D104)/D104*100+(F104-E104)/E104*100+(G104-F104)/F104*100)/4</f>
        <v>-0.18612828736892228</v>
      </c>
      <c r="M104" s="171"/>
      <c r="N104" s="384"/>
      <c r="O104" s="384"/>
      <c r="P104" s="384"/>
      <c r="Q104" s="384"/>
      <c r="R104" s="384"/>
      <c r="S104" s="389"/>
      <c r="T104" s="390"/>
      <c r="V104" s="348"/>
      <c r="W104" s="348"/>
      <c r="X104" s="391"/>
      <c r="Y104" s="391"/>
      <c r="Z104" s="253"/>
      <c r="AA104" s="253"/>
    </row>
    <row r="105" spans="1:27" ht="11.15" customHeight="1">
      <c r="A105" s="148"/>
      <c r="B105" s="148"/>
      <c r="C105" s="148"/>
      <c r="D105" s="148"/>
      <c r="E105" s="148"/>
      <c r="F105" s="148"/>
      <c r="G105" s="148"/>
      <c r="H105" s="148"/>
      <c r="M105" s="171"/>
      <c r="N105" s="384"/>
      <c r="O105" s="384"/>
      <c r="P105" s="384"/>
      <c r="Q105" s="384"/>
      <c r="R105" s="384"/>
      <c r="S105" s="389"/>
      <c r="T105" s="390"/>
      <c r="V105" s="299"/>
      <c r="W105" s="299"/>
      <c r="X105" s="299"/>
      <c r="Y105" s="299"/>
      <c r="Z105" s="178"/>
      <c r="AA105" s="178"/>
    </row>
    <row r="106" spans="1:27" ht="11.15" customHeight="1">
      <c r="A106" s="148"/>
      <c r="B106" s="242" t="s">
        <v>257</v>
      </c>
      <c r="C106" s="242"/>
      <c r="D106" s="242"/>
      <c r="E106" s="242"/>
      <c r="F106" s="242"/>
      <c r="G106" s="242"/>
      <c r="H106" s="242"/>
      <c r="M106" s="171"/>
      <c r="N106" s="392"/>
      <c r="O106" s="392"/>
      <c r="P106" s="392"/>
      <c r="Q106" s="392"/>
      <c r="R106" s="392"/>
      <c r="S106" s="389"/>
      <c r="T106" s="390"/>
      <c r="V106" s="171"/>
      <c r="W106" s="242"/>
      <c r="X106" s="242"/>
      <c r="Y106" s="242"/>
      <c r="Z106" s="242"/>
      <c r="AA106" s="247"/>
    </row>
    <row r="107" spans="1:27" ht="11.15" customHeight="1">
      <c r="M107" s="171"/>
      <c r="N107" s="392"/>
      <c r="O107" s="392"/>
      <c r="P107" s="392"/>
      <c r="Q107" s="392"/>
      <c r="R107" s="392"/>
      <c r="S107" s="389"/>
      <c r="T107" s="390"/>
    </row>
    <row r="108" spans="1:27" ht="11.15" customHeight="1">
      <c r="M108" s="171"/>
      <c r="N108" s="392"/>
      <c r="O108" s="392"/>
      <c r="P108" s="392"/>
      <c r="Q108" s="392"/>
      <c r="R108" s="392"/>
      <c r="S108" s="389"/>
      <c r="T108" s="390"/>
    </row>
    <row r="109" spans="1:27" ht="11.15" customHeight="1">
      <c r="M109" s="171"/>
      <c r="N109" s="392"/>
      <c r="O109" s="392"/>
      <c r="P109" s="392"/>
      <c r="Q109" s="392"/>
      <c r="R109" s="392"/>
      <c r="S109" s="389"/>
      <c r="T109" s="390"/>
    </row>
    <row r="110" spans="1:27" ht="11.15" customHeight="1">
      <c r="M110" s="171"/>
      <c r="N110" s="392"/>
      <c r="O110" s="392"/>
      <c r="P110" s="392"/>
      <c r="Q110" s="392"/>
      <c r="R110" s="392"/>
      <c r="S110" s="389"/>
      <c r="T110" s="390"/>
    </row>
    <row r="111" spans="1:27" ht="11.15" customHeight="1">
      <c r="M111" s="171"/>
      <c r="N111" s="392"/>
      <c r="O111" s="392"/>
      <c r="P111" s="392"/>
      <c r="Q111" s="392"/>
      <c r="R111" s="392"/>
      <c r="S111" s="389"/>
      <c r="T111" s="390"/>
    </row>
    <row r="112" spans="1:27" ht="11.15" customHeight="1">
      <c r="M112" s="171"/>
      <c r="N112" s="392"/>
      <c r="O112" s="392"/>
      <c r="P112" s="392"/>
      <c r="Q112" s="392"/>
      <c r="R112" s="392"/>
      <c r="S112" s="389"/>
      <c r="T112" s="390"/>
    </row>
    <row r="113" spans="1:20" ht="11.15" customHeight="1">
      <c r="M113" s="171"/>
      <c r="N113" s="392"/>
      <c r="O113" s="392"/>
      <c r="P113" s="392"/>
      <c r="Q113" s="392"/>
      <c r="R113" s="392"/>
      <c r="S113" s="389"/>
      <c r="T113" s="390"/>
    </row>
    <row r="114" spans="1:20" ht="11.15" customHeight="1">
      <c r="M114" s="171"/>
      <c r="N114" s="392"/>
      <c r="O114" s="392"/>
      <c r="P114" s="392"/>
      <c r="Q114" s="392"/>
      <c r="R114" s="392"/>
      <c r="S114" s="389"/>
      <c r="T114" s="390"/>
    </row>
    <row r="115" spans="1:20" ht="11.15" customHeight="1">
      <c r="M115" s="171"/>
      <c r="N115" s="392"/>
      <c r="O115" s="392"/>
      <c r="P115" s="392"/>
      <c r="Q115" s="392"/>
      <c r="R115" s="392"/>
      <c r="S115" s="389"/>
      <c r="T115" s="390"/>
    </row>
    <row r="116" spans="1:20" ht="11.15" customHeight="1">
      <c r="M116" s="171"/>
      <c r="N116" s="392"/>
      <c r="O116" s="392"/>
      <c r="P116" s="392"/>
      <c r="Q116" s="392"/>
      <c r="R116" s="392"/>
      <c r="S116" s="389"/>
      <c r="T116" s="390"/>
    </row>
    <row r="117" spans="1:20" ht="11.15" customHeight="1">
      <c r="A117" s="393" t="s">
        <v>258</v>
      </c>
      <c r="B117" s="393"/>
      <c r="C117" s="393"/>
      <c r="D117" s="393"/>
      <c r="E117" s="393"/>
      <c r="F117" s="393"/>
      <c r="G117" s="393"/>
      <c r="H117" s="393"/>
      <c r="M117" s="171"/>
      <c r="N117" s="392"/>
      <c r="O117" s="392"/>
      <c r="P117" s="392"/>
      <c r="Q117" s="392"/>
      <c r="R117" s="392"/>
      <c r="S117" s="389"/>
      <c r="T117" s="390"/>
    </row>
    <row r="118" spans="1:20" ht="11.15" customHeight="1">
      <c r="A118" s="393" t="s">
        <v>259</v>
      </c>
      <c r="B118" s="393"/>
      <c r="C118" s="393"/>
      <c r="D118" s="393"/>
      <c r="E118" s="393"/>
      <c r="F118" s="393"/>
      <c r="G118" s="393"/>
      <c r="H118" s="393"/>
      <c r="M118" s="171"/>
      <c r="N118" s="394"/>
      <c r="O118" s="394"/>
      <c r="P118" s="394"/>
      <c r="Q118" s="394"/>
      <c r="R118" s="389"/>
      <c r="S118" s="389"/>
      <c r="T118" s="390"/>
    </row>
    <row r="119" spans="1:20" ht="11.15" customHeight="1">
      <c r="A119" s="395"/>
      <c r="B119" s="395"/>
      <c r="C119" s="395"/>
      <c r="D119" s="395"/>
      <c r="E119" s="395"/>
      <c r="F119" s="395"/>
      <c r="G119" s="395"/>
      <c r="H119" s="396" t="s">
        <v>260</v>
      </c>
    </row>
    <row r="120" spans="1:20" ht="11.15" customHeight="1">
      <c r="A120" s="397" t="s">
        <v>6</v>
      </c>
      <c r="B120" s="398" t="s">
        <v>178</v>
      </c>
      <c r="C120" s="158" t="s">
        <v>179</v>
      </c>
      <c r="D120" s="159"/>
      <c r="E120" s="159"/>
      <c r="F120" s="159"/>
      <c r="G120" s="160"/>
      <c r="H120" s="398" t="s">
        <v>180</v>
      </c>
    </row>
    <row r="121" spans="1:20" ht="11.15" customHeight="1" thickBot="1">
      <c r="A121" s="399"/>
      <c r="B121" s="400"/>
      <c r="C121" s="204">
        <v>2011</v>
      </c>
      <c r="D121" s="204">
        <v>2012</v>
      </c>
      <c r="E121" s="204">
        <v>2013</v>
      </c>
      <c r="F121" s="204">
        <v>2014</v>
      </c>
      <c r="G121" s="204">
        <v>2015</v>
      </c>
      <c r="H121" s="400"/>
      <c r="M121" s="401" t="s">
        <v>261</v>
      </c>
      <c r="N121" s="401"/>
      <c r="O121" s="401"/>
      <c r="P121" s="401"/>
      <c r="Q121" s="401"/>
      <c r="R121" s="401"/>
      <c r="S121" s="401"/>
      <c r="T121" s="401"/>
    </row>
    <row r="122" spans="1:20" ht="11.15" customHeight="1" thickTop="1">
      <c r="A122" s="402">
        <v>1</v>
      </c>
      <c r="B122" s="403" t="s">
        <v>195</v>
      </c>
      <c r="C122" s="404">
        <v>62</v>
      </c>
      <c r="D122" s="404">
        <v>39</v>
      </c>
      <c r="E122" s="404">
        <v>41</v>
      </c>
      <c r="F122" s="404">
        <v>44</v>
      </c>
      <c r="G122" s="404">
        <v>45</v>
      </c>
      <c r="H122" s="278">
        <f>(((D122-C122)/C122*100)+((E122-D122)/D122*100)+((F122-E122)/E122*100)+((G122-F122)/F122*100))/4</f>
        <v>-5.5946921554710691</v>
      </c>
      <c r="M122" s="146" t="s">
        <v>262</v>
      </c>
      <c r="N122" s="146"/>
      <c r="O122" s="146"/>
      <c r="P122" s="146"/>
      <c r="Q122" s="146"/>
      <c r="R122" s="146"/>
      <c r="S122" s="146"/>
      <c r="T122" s="146"/>
    </row>
    <row r="123" spans="1:20" ht="11.15" customHeight="1">
      <c r="A123" s="405">
        <v>2</v>
      </c>
      <c r="B123" s="406" t="s">
        <v>198</v>
      </c>
      <c r="C123" s="407">
        <v>59</v>
      </c>
      <c r="D123" s="407">
        <v>56</v>
      </c>
      <c r="E123" s="407">
        <v>57</v>
      </c>
      <c r="F123" s="407">
        <v>54</v>
      </c>
      <c r="G123" s="407">
        <v>53</v>
      </c>
      <c r="H123" s="186">
        <f>((D123-C123)/C123*100+(E123-D123)/D123*100+(F123-E123)/E123*100+(G123-F123)/F123*100)/4</f>
        <v>-2.6035103058965681</v>
      </c>
      <c r="M123" s="408"/>
      <c r="N123" s="408"/>
      <c r="O123" s="408"/>
      <c r="P123" s="408"/>
      <c r="Q123" s="408"/>
      <c r="R123" s="409" t="s">
        <v>263</v>
      </c>
      <c r="S123" s="409"/>
      <c r="T123" s="409"/>
    </row>
    <row r="124" spans="1:20" ht="11.15" customHeight="1">
      <c r="A124" s="405">
        <v>3</v>
      </c>
      <c r="B124" s="406" t="s">
        <v>202</v>
      </c>
      <c r="C124" s="407">
        <v>228</v>
      </c>
      <c r="D124" s="407">
        <v>197</v>
      </c>
      <c r="E124" s="407">
        <v>128</v>
      </c>
      <c r="F124" s="407">
        <v>190</v>
      </c>
      <c r="G124" s="407">
        <v>190</v>
      </c>
      <c r="H124" s="186">
        <f t="shared" ref="H124:H130" si="12">((D124-C124)/C124*100+(E124-D124)/D124*100+(F124-E124)/E124*100+(G124-F124)/F124*100)/4</f>
        <v>-4.6092984682518434E-2</v>
      </c>
      <c r="M124" s="410" t="s">
        <v>6</v>
      </c>
      <c r="N124" s="411" t="s">
        <v>178</v>
      </c>
      <c r="O124" s="158" t="s">
        <v>179</v>
      </c>
      <c r="P124" s="159"/>
      <c r="Q124" s="159"/>
      <c r="R124" s="159"/>
      <c r="S124" s="160"/>
      <c r="T124" s="411" t="s">
        <v>180</v>
      </c>
    </row>
    <row r="125" spans="1:20" ht="11.15" customHeight="1" thickBot="1">
      <c r="A125" s="405">
        <v>4</v>
      </c>
      <c r="B125" s="406" t="s">
        <v>204</v>
      </c>
      <c r="C125" s="407">
        <v>182</v>
      </c>
      <c r="D125" s="407">
        <v>174</v>
      </c>
      <c r="E125" s="407">
        <v>165</v>
      </c>
      <c r="F125" s="407">
        <f>166+6</f>
        <v>172</v>
      </c>
      <c r="G125" s="407">
        <v>164</v>
      </c>
      <c r="H125" s="186">
        <f t="shared" si="12"/>
        <v>-2.494189184245319</v>
      </c>
      <c r="M125" s="412"/>
      <c r="N125" s="413"/>
      <c r="O125" s="336">
        <v>2011</v>
      </c>
      <c r="P125" s="336">
        <v>2012</v>
      </c>
      <c r="Q125" s="336">
        <v>2013</v>
      </c>
      <c r="R125" s="336">
        <v>2014</v>
      </c>
      <c r="S125" s="336">
        <v>2015</v>
      </c>
      <c r="T125" s="413"/>
    </row>
    <row r="126" spans="1:20" ht="11.15" customHeight="1" thickTop="1">
      <c r="A126" s="405">
        <v>5</v>
      </c>
      <c r="B126" s="406" t="s">
        <v>205</v>
      </c>
      <c r="C126" s="407">
        <v>152</v>
      </c>
      <c r="D126" s="407">
        <v>157</v>
      </c>
      <c r="E126" s="407">
        <v>135</v>
      </c>
      <c r="F126" s="407">
        <v>131</v>
      </c>
      <c r="G126" s="407">
        <v>38</v>
      </c>
      <c r="H126" s="186">
        <f t="shared" si="12"/>
        <v>-21.169648636117341</v>
      </c>
      <c r="M126" s="414">
        <v>1</v>
      </c>
      <c r="N126" s="415" t="s">
        <v>264</v>
      </c>
      <c r="O126" s="416">
        <v>15451977</v>
      </c>
      <c r="P126" s="416">
        <v>25481400</v>
      </c>
      <c r="Q126" s="417">
        <f>33803200+5153500</f>
        <v>38956700</v>
      </c>
      <c r="R126" s="417">
        <f>27980900+5859000</f>
        <v>33839900</v>
      </c>
      <c r="S126" s="417">
        <f>27941500+5364500</f>
        <v>33306000</v>
      </c>
      <c r="T126" s="418">
        <f t="shared" ref="T126:T131" si="13">((P126-O126)/O126*100+(Q126-P126)/P126*100+(R126-Q126)/Q126*100+(S126-R126)/R126*100)/4</f>
        <v>25.76940866837074</v>
      </c>
    </row>
    <row r="127" spans="1:20" ht="11.15" customHeight="1">
      <c r="A127" s="405">
        <v>6</v>
      </c>
      <c r="B127" s="406" t="s">
        <v>208</v>
      </c>
      <c r="C127" s="407">
        <v>53</v>
      </c>
      <c r="D127" s="407">
        <v>45</v>
      </c>
      <c r="E127" s="407">
        <v>52</v>
      </c>
      <c r="F127" s="407">
        <v>55</v>
      </c>
      <c r="G127" s="407">
        <v>55</v>
      </c>
      <c r="H127" s="186">
        <f t="shared" si="12"/>
        <v>1.5576116755362037</v>
      </c>
      <c r="M127" s="419">
        <v>2</v>
      </c>
      <c r="N127" s="420" t="s">
        <v>265</v>
      </c>
      <c r="O127" s="418">
        <v>839000</v>
      </c>
      <c r="P127" s="418">
        <v>1064000</v>
      </c>
      <c r="Q127" s="421">
        <v>1133000</v>
      </c>
      <c r="R127" s="421">
        <v>1220000</v>
      </c>
      <c r="S127" s="421">
        <v>1161900</v>
      </c>
      <c r="T127" s="418">
        <f t="shared" si="13"/>
        <v>9.0547591024189913</v>
      </c>
    </row>
    <row r="128" spans="1:20" ht="11.15" customHeight="1">
      <c r="A128" s="405">
        <v>7</v>
      </c>
      <c r="B128" s="406" t="s">
        <v>213</v>
      </c>
      <c r="C128" s="407">
        <v>178</v>
      </c>
      <c r="D128" s="407">
        <v>83</v>
      </c>
      <c r="E128" s="407">
        <v>173</v>
      </c>
      <c r="F128" s="407">
        <v>173</v>
      </c>
      <c r="G128" s="407">
        <v>173</v>
      </c>
      <c r="H128" s="186">
        <f t="shared" si="12"/>
        <v>13.765737105726275</v>
      </c>
      <c r="M128" s="422">
        <v>3</v>
      </c>
      <c r="N128" s="420" t="s">
        <v>266</v>
      </c>
      <c r="O128" s="418">
        <v>2416886262</v>
      </c>
      <c r="P128" s="418">
        <v>2597281200</v>
      </c>
      <c r="Q128" s="421">
        <v>2883818300</v>
      </c>
      <c r="R128" s="421">
        <v>336415300</v>
      </c>
      <c r="S128" s="421">
        <v>1410694200</v>
      </c>
      <c r="T128" s="418">
        <f t="shared" si="13"/>
        <v>62.373230096328371</v>
      </c>
    </row>
    <row r="129" spans="1:20" ht="11.15" customHeight="1">
      <c r="A129" s="405">
        <v>8</v>
      </c>
      <c r="B129" s="406" t="s">
        <v>215</v>
      </c>
      <c r="C129" s="407">
        <v>68</v>
      </c>
      <c r="D129" s="407">
        <v>66</v>
      </c>
      <c r="E129" s="407">
        <v>49</v>
      </c>
      <c r="F129" s="407">
        <v>48</v>
      </c>
      <c r="G129" s="407">
        <v>48</v>
      </c>
      <c r="H129" s="186">
        <f t="shared" si="12"/>
        <v>-7.6848921386736517</v>
      </c>
      <c r="M129" s="422">
        <v>4</v>
      </c>
      <c r="N129" s="420" t="s">
        <v>267</v>
      </c>
      <c r="O129" s="418">
        <v>26452263</v>
      </c>
      <c r="P129" s="418">
        <v>37593500</v>
      </c>
      <c r="Q129" s="421">
        <v>29634100</v>
      </c>
      <c r="R129" s="421">
        <v>53898000</v>
      </c>
      <c r="S129" s="421">
        <v>33955600</v>
      </c>
      <c r="T129" s="418">
        <f t="shared" si="13"/>
        <v>16.456011928482702</v>
      </c>
    </row>
    <row r="130" spans="1:20" ht="11.15" customHeight="1" thickBot="1">
      <c r="A130" s="423">
        <v>9</v>
      </c>
      <c r="B130" s="424" t="s">
        <v>217</v>
      </c>
      <c r="C130" s="425">
        <v>9</v>
      </c>
      <c r="D130" s="425">
        <v>15</v>
      </c>
      <c r="E130" s="425">
        <v>15</v>
      </c>
      <c r="F130" s="425">
        <v>15</v>
      </c>
      <c r="G130" s="425">
        <v>13</v>
      </c>
      <c r="H130" s="186">
        <f t="shared" si="12"/>
        <v>13.33333333333333</v>
      </c>
      <c r="M130" s="426">
        <v>5</v>
      </c>
      <c r="N130" s="427" t="s">
        <v>268</v>
      </c>
      <c r="O130" s="428">
        <v>6000000</v>
      </c>
      <c r="P130" s="428">
        <v>78112000</v>
      </c>
      <c r="Q130" s="429">
        <v>4830900</v>
      </c>
      <c r="R130" s="429">
        <v>3060651800</v>
      </c>
      <c r="S130" s="429">
        <v>4537495000</v>
      </c>
      <c r="T130" s="418">
        <f t="shared" si="13"/>
        <v>16103.007623882437</v>
      </c>
    </row>
    <row r="131" spans="1:20" ht="11.15" customHeight="1" thickTop="1" thickBot="1">
      <c r="A131" s="430" t="s">
        <v>184</v>
      </c>
      <c r="B131" s="431"/>
      <c r="C131" s="432">
        <f>SUM(C122:C130)</f>
        <v>991</v>
      </c>
      <c r="D131" s="432">
        <f>SUM(D122:D130)</f>
        <v>832</v>
      </c>
      <c r="E131" s="432">
        <f>SUM(E122:E130)</f>
        <v>815</v>
      </c>
      <c r="F131" s="432">
        <f>SUM(F122:F130)</f>
        <v>882</v>
      </c>
      <c r="G131" s="432">
        <f>SUM(G122:G130)</f>
        <v>779</v>
      </c>
      <c r="H131" s="319">
        <f>((D131-C131)/C131*100+(E131-D131)/D131*100+(F131-E131)/E131*100+(G131-F131)/F131*100)/4</f>
        <v>-5.3862036166446021</v>
      </c>
      <c r="M131" s="433" t="s">
        <v>184</v>
      </c>
      <c r="N131" s="434"/>
      <c r="O131" s="435">
        <f>SUM(O126:O129)</f>
        <v>2459629502</v>
      </c>
      <c r="P131" s="435">
        <f>SUM(P126:P130)</f>
        <v>2739532100</v>
      </c>
      <c r="Q131" s="435">
        <f>SUM(Q126:Q130)</f>
        <v>2958373000</v>
      </c>
      <c r="R131" s="435">
        <f>SUM(R126:R130)</f>
        <v>3486025000</v>
      </c>
      <c r="S131" s="435">
        <f>SUM(S126:S130)</f>
        <v>6016612700</v>
      </c>
      <c r="T131" s="435">
        <f t="shared" si="13"/>
        <v>27.449092000772499</v>
      </c>
    </row>
    <row r="132" spans="1:20" ht="11.15" customHeight="1" thickTop="1">
      <c r="A132" s="395"/>
      <c r="B132" s="395"/>
      <c r="C132" s="395"/>
      <c r="D132" s="395"/>
      <c r="E132" s="395"/>
      <c r="F132" s="395"/>
      <c r="G132" s="395"/>
      <c r="H132" s="395"/>
    </row>
    <row r="133" spans="1:20" ht="11.15" customHeight="1">
      <c r="A133" s="395"/>
      <c r="B133" s="242" t="s">
        <v>269</v>
      </c>
      <c r="C133" s="242"/>
      <c r="D133" s="242"/>
      <c r="E133" s="242"/>
      <c r="F133" s="242"/>
      <c r="G133" s="242"/>
      <c r="H133" s="242"/>
      <c r="N133" s="242" t="s">
        <v>270</v>
      </c>
      <c r="O133" s="242"/>
      <c r="P133" s="242"/>
      <c r="Q133" s="242"/>
      <c r="R133" s="242"/>
      <c r="S133" s="242"/>
      <c r="T133" s="242"/>
    </row>
    <row r="134" spans="1:20" ht="11.15" customHeight="1">
      <c r="A134" s="395"/>
      <c r="B134" s="247"/>
      <c r="C134" s="247"/>
      <c r="D134" s="247"/>
      <c r="E134" s="247"/>
      <c r="F134" s="247"/>
      <c r="G134" s="247"/>
      <c r="H134" s="247"/>
      <c r="N134" s="247"/>
      <c r="O134" s="247"/>
      <c r="P134" s="247"/>
      <c r="Q134" s="247"/>
      <c r="R134" s="247"/>
      <c r="S134" s="247"/>
      <c r="T134" s="247"/>
    </row>
    <row r="135" spans="1:20" ht="11.15" customHeight="1">
      <c r="A135" s="395"/>
      <c r="B135" s="247"/>
      <c r="C135" s="247"/>
      <c r="D135" s="247"/>
      <c r="E135" s="247"/>
      <c r="F135" s="247"/>
      <c r="G135" s="247"/>
      <c r="H135" s="247"/>
      <c r="N135" s="247"/>
      <c r="O135" s="247"/>
      <c r="P135" s="247"/>
      <c r="Q135" s="247"/>
      <c r="R135" s="247"/>
      <c r="S135" s="247"/>
      <c r="T135" s="247"/>
    </row>
    <row r="136" spans="1:20" ht="11.15" customHeight="1">
      <c r="A136" s="395"/>
      <c r="B136" s="247"/>
      <c r="C136" s="247"/>
      <c r="D136" s="247"/>
      <c r="E136" s="247"/>
      <c r="F136" s="247"/>
      <c r="G136" s="247"/>
      <c r="H136" s="247"/>
      <c r="N136" s="247"/>
      <c r="O136" s="247"/>
      <c r="P136" s="247"/>
      <c r="Q136" s="247"/>
      <c r="R136" s="247"/>
      <c r="S136" s="247"/>
      <c r="T136" s="247"/>
    </row>
    <row r="137" spans="1:20" ht="11.15" customHeight="1">
      <c r="A137" s="395"/>
      <c r="B137" s="247"/>
      <c r="C137" s="247"/>
      <c r="D137" s="247"/>
      <c r="E137" s="247"/>
      <c r="F137" s="247"/>
      <c r="G137" s="247"/>
      <c r="H137" s="247"/>
      <c r="N137" s="247"/>
      <c r="O137" s="247"/>
      <c r="P137" s="247"/>
      <c r="Q137" s="247"/>
      <c r="R137" s="247"/>
      <c r="S137" s="247"/>
      <c r="T137" s="247"/>
    </row>
    <row r="138" spans="1:20" ht="11.15" customHeight="1">
      <c r="A138" s="395"/>
      <c r="B138" s="247"/>
      <c r="C138" s="247"/>
      <c r="D138" s="247"/>
      <c r="E138" s="247"/>
      <c r="F138" s="247"/>
      <c r="G138" s="247"/>
      <c r="H138" s="247"/>
      <c r="N138" s="247"/>
      <c r="O138" s="247"/>
      <c r="P138" s="247"/>
      <c r="Q138" s="247"/>
      <c r="R138" s="247"/>
      <c r="S138" s="247"/>
      <c r="T138" s="247"/>
    </row>
    <row r="139" spans="1:20" ht="11.15" customHeight="1">
      <c r="A139" s="395"/>
      <c r="B139" s="247"/>
      <c r="C139" s="247"/>
      <c r="D139" s="247"/>
      <c r="E139" s="247"/>
      <c r="F139" s="247"/>
      <c r="G139" s="247"/>
      <c r="H139" s="247"/>
      <c r="N139" s="247"/>
      <c r="O139" s="247"/>
      <c r="P139" s="247"/>
      <c r="Q139" s="247"/>
      <c r="R139" s="247"/>
      <c r="S139" s="247"/>
      <c r="T139" s="247"/>
    </row>
    <row r="140" spans="1:20" ht="11.15" customHeight="1">
      <c r="A140" s="395"/>
      <c r="B140" s="247"/>
      <c r="C140" s="247"/>
      <c r="D140" s="247"/>
      <c r="E140" s="247"/>
      <c r="F140" s="247"/>
      <c r="G140" s="247"/>
      <c r="H140" s="247"/>
      <c r="N140" s="247"/>
      <c r="O140" s="247"/>
      <c r="P140" s="247"/>
      <c r="Q140" s="247"/>
      <c r="R140" s="247"/>
      <c r="S140" s="247"/>
      <c r="T140" s="247"/>
    </row>
    <row r="141" spans="1:20" ht="11.15" customHeight="1">
      <c r="A141" s="395"/>
      <c r="B141" s="247"/>
      <c r="C141" s="247"/>
      <c r="D141" s="247"/>
      <c r="E141" s="247"/>
      <c r="F141" s="247"/>
      <c r="G141" s="247"/>
      <c r="H141" s="247"/>
      <c r="N141" s="247"/>
      <c r="O141" s="247"/>
      <c r="P141" s="247"/>
      <c r="Q141" s="247"/>
      <c r="R141" s="247"/>
      <c r="S141" s="247"/>
      <c r="T141" s="247"/>
    </row>
    <row r="142" spans="1:20" ht="11.15" customHeight="1">
      <c r="A142" s="395"/>
      <c r="B142" s="247"/>
      <c r="C142" s="247"/>
      <c r="D142" s="247"/>
      <c r="E142" s="247"/>
      <c r="F142" s="247"/>
      <c r="G142" s="247"/>
      <c r="H142" s="247"/>
      <c r="N142" s="247"/>
      <c r="O142" s="247"/>
      <c r="P142" s="247"/>
      <c r="Q142" s="247"/>
      <c r="R142" s="247"/>
      <c r="S142" s="247"/>
      <c r="T142" s="247"/>
    </row>
    <row r="143" spans="1:20" ht="11.15" customHeight="1">
      <c r="N143" s="247"/>
      <c r="O143" s="247"/>
      <c r="P143" s="247"/>
      <c r="Q143" s="247"/>
      <c r="R143" s="247"/>
      <c r="S143" s="247"/>
      <c r="T143" s="247"/>
    </row>
    <row r="144" spans="1:20" ht="11.15" customHeight="1">
      <c r="N144" s="247"/>
      <c r="O144" s="247"/>
      <c r="P144" s="247"/>
      <c r="Q144" s="247"/>
      <c r="R144" s="247"/>
      <c r="S144" s="247"/>
      <c r="T144" s="247"/>
    </row>
    <row r="145" spans="1:20" ht="11.15" customHeight="1">
      <c r="N145" s="247"/>
      <c r="O145" s="247"/>
      <c r="P145" s="247"/>
      <c r="Q145" s="247"/>
      <c r="R145" s="247"/>
      <c r="S145" s="247"/>
      <c r="T145" s="247"/>
    </row>
    <row r="146" spans="1:20" ht="11.15" customHeight="1">
      <c r="A146" s="142" t="s">
        <v>271</v>
      </c>
      <c r="B146" s="142"/>
      <c r="C146" s="142"/>
      <c r="D146" s="142"/>
      <c r="E146" s="142"/>
      <c r="F146" s="142"/>
      <c r="G146" s="142"/>
      <c r="H146" s="142"/>
    </row>
    <row r="147" spans="1:20" ht="11.15" customHeight="1">
      <c r="A147" s="142"/>
      <c r="B147" s="142"/>
      <c r="C147" s="142"/>
      <c r="D147" s="142"/>
      <c r="E147" s="142"/>
      <c r="F147" s="142"/>
      <c r="G147" s="142"/>
      <c r="H147" s="142"/>
    </row>
    <row r="148" spans="1:20" ht="11.15" customHeight="1"/>
    <row r="149" spans="1:20" ht="11.15" customHeight="1">
      <c r="A149" s="154" t="s">
        <v>272</v>
      </c>
      <c r="B149" s="154"/>
      <c r="C149" s="154"/>
      <c r="D149" s="154"/>
      <c r="E149" s="154"/>
      <c r="F149" s="154"/>
      <c r="G149" s="154"/>
      <c r="H149" s="154"/>
      <c r="M149" s="145" t="s">
        <v>273</v>
      </c>
      <c r="N149" s="145"/>
      <c r="O149" s="145"/>
      <c r="P149" s="145"/>
      <c r="Q149" s="145"/>
      <c r="R149" s="145"/>
      <c r="S149" s="145"/>
      <c r="T149" s="145"/>
    </row>
    <row r="150" spans="1:20" ht="11.15" customHeight="1">
      <c r="A150" s="164" t="s">
        <v>274</v>
      </c>
      <c r="B150" s="164"/>
      <c r="C150" s="164"/>
      <c r="D150" s="164"/>
      <c r="E150" s="164"/>
      <c r="F150" s="164"/>
      <c r="G150" s="164"/>
      <c r="H150" s="164"/>
      <c r="M150" s="146" t="s">
        <v>275</v>
      </c>
      <c r="N150" s="146"/>
      <c r="O150" s="146"/>
      <c r="P150" s="146"/>
      <c r="Q150" s="146"/>
      <c r="R150" s="146"/>
      <c r="S150" s="146"/>
      <c r="T150" s="146"/>
    </row>
    <row r="151" spans="1:20" ht="11.15" customHeight="1">
      <c r="A151" s="178"/>
      <c r="B151" s="178"/>
      <c r="C151" s="178"/>
      <c r="D151" s="178"/>
      <c r="E151" s="178"/>
      <c r="F151" s="178"/>
      <c r="G151" s="178"/>
      <c r="H151" s="436" t="s">
        <v>240</v>
      </c>
      <c r="M151" s="151"/>
      <c r="N151" s="151"/>
      <c r="O151" s="151"/>
      <c r="P151" s="151"/>
      <c r="Q151" s="151"/>
      <c r="R151" s="151"/>
      <c r="S151" s="151"/>
      <c r="T151" s="152" t="s">
        <v>276</v>
      </c>
    </row>
    <row r="152" spans="1:20" ht="11.15" customHeight="1">
      <c r="A152" s="196" t="s">
        <v>6</v>
      </c>
      <c r="B152" s="197" t="s">
        <v>178</v>
      </c>
      <c r="C152" s="158" t="s">
        <v>179</v>
      </c>
      <c r="D152" s="159"/>
      <c r="E152" s="159"/>
      <c r="F152" s="159"/>
      <c r="G152" s="160"/>
      <c r="H152" s="197" t="s">
        <v>180</v>
      </c>
      <c r="M152" s="156" t="s">
        <v>6</v>
      </c>
      <c r="N152" s="187" t="s">
        <v>277</v>
      </c>
      <c r="O152" s="158" t="s">
        <v>179</v>
      </c>
      <c r="P152" s="159"/>
      <c r="Q152" s="159"/>
      <c r="R152" s="159"/>
      <c r="S152" s="160"/>
      <c r="T152" s="187" t="s">
        <v>180</v>
      </c>
    </row>
    <row r="153" spans="1:20" ht="11.15" customHeight="1" thickBot="1">
      <c r="A153" s="205"/>
      <c r="B153" s="206"/>
      <c r="C153" s="204">
        <v>2011</v>
      </c>
      <c r="D153" s="204">
        <v>2012</v>
      </c>
      <c r="E153" s="204">
        <v>2013</v>
      </c>
      <c r="F153" s="204">
        <v>2014</v>
      </c>
      <c r="G153" s="204">
        <v>2015</v>
      </c>
      <c r="H153" s="206"/>
      <c r="M153" s="166"/>
      <c r="N153" s="203"/>
      <c r="O153" s="336">
        <v>2011</v>
      </c>
      <c r="P153" s="336">
        <v>2012</v>
      </c>
      <c r="Q153" s="336">
        <v>2013</v>
      </c>
      <c r="R153" s="336">
        <v>2014</v>
      </c>
      <c r="S153" s="336">
        <v>2015</v>
      </c>
      <c r="T153" s="203"/>
    </row>
    <row r="154" spans="1:20" ht="11.15" customHeight="1" thickTop="1">
      <c r="A154" s="437">
        <v>1</v>
      </c>
      <c r="B154" s="438" t="s">
        <v>278</v>
      </c>
      <c r="C154" s="439">
        <v>69088.7</v>
      </c>
      <c r="D154" s="439">
        <v>42964.75</v>
      </c>
      <c r="E154" s="439">
        <f>57943.9+1340.8</f>
        <v>59284.700000000004</v>
      </c>
      <c r="F154" s="439">
        <f>61256.4+1331.9</f>
        <v>62588.3</v>
      </c>
      <c r="G154" s="439">
        <v>53294.34</v>
      </c>
      <c r="H154" s="278">
        <f>((D154-C154)/C154*100+(E154-D154)/D154*100+(F154-E154)/E154*100+(G154-F154)/F154*100)/4</f>
        <v>-2.2761507109405761</v>
      </c>
      <c r="M154" s="181">
        <v>1</v>
      </c>
      <c r="N154" s="182" t="s">
        <v>279</v>
      </c>
      <c r="O154" s="278">
        <v>58752207.579999998</v>
      </c>
      <c r="P154" s="278">
        <v>43654046.219999999</v>
      </c>
      <c r="Q154" s="278">
        <f>34353996</f>
        <v>34353996</v>
      </c>
      <c r="R154" s="278">
        <v>32160288.219999999</v>
      </c>
      <c r="S154" s="278">
        <v>20549534.440000001</v>
      </c>
      <c r="T154" s="186">
        <f>((P154-O154)/O154*100+(Q154-P154)/P154*100+(R154-Q154)/Q154*100+(S154-R154)/R154*100)/4</f>
        <v>-22.372594569091156</v>
      </c>
    </row>
    <row r="155" spans="1:20" ht="11.15" customHeight="1">
      <c r="A155" s="440">
        <v>2</v>
      </c>
      <c r="B155" s="441" t="s">
        <v>280</v>
      </c>
      <c r="C155" s="442">
        <v>452.6</v>
      </c>
      <c r="D155" s="442">
        <v>439.9</v>
      </c>
      <c r="E155" s="442">
        <v>460.5</v>
      </c>
      <c r="F155" s="442">
        <v>497.9</v>
      </c>
      <c r="G155" s="442">
        <v>765.34</v>
      </c>
      <c r="H155" s="186">
        <f>((D155-C155)/C155*100+(E155-D155)/D155*100+(F155-E155)/E155*100+(G155-F155)/F155*100)/4</f>
        <v>15.928019202125601</v>
      </c>
      <c r="M155" s="200">
        <v>2</v>
      </c>
      <c r="N155" s="201" t="s">
        <v>281</v>
      </c>
      <c r="O155" s="186">
        <v>2505539.0499999998</v>
      </c>
      <c r="P155" s="186">
        <v>7250227.4400000004</v>
      </c>
      <c r="Q155" s="186">
        <v>1465648.44</v>
      </c>
      <c r="R155" s="186">
        <v>2115528.44</v>
      </c>
      <c r="S155" s="186">
        <v>1500917</v>
      </c>
      <c r="T155" s="186">
        <f>((P155-O155)/O155*100+(Q155-P155)/P155*100+(R155-Q155)/Q155*100+(S155-R155)/R155*100)/4</f>
        <v>31.217893548499511</v>
      </c>
    </row>
    <row r="156" spans="1:20" ht="11.15" customHeight="1">
      <c r="A156" s="440">
        <v>3</v>
      </c>
      <c r="B156" s="441" t="s">
        <v>282</v>
      </c>
      <c r="C156" s="442">
        <v>478.9</v>
      </c>
      <c r="D156" s="442">
        <v>2144.6999999999998</v>
      </c>
      <c r="E156" s="442">
        <v>1772</v>
      </c>
      <c r="F156" s="442">
        <v>2281.9</v>
      </c>
      <c r="G156" s="442">
        <v>2515.1</v>
      </c>
      <c r="H156" s="186">
        <f t="shared" ref="H156:H161" si="14">((D156-C156)/C156*100+(E156-D156)/D156*100+(F156-E156)/E156*100+(G156-F156)/F156*100)/4</f>
        <v>92.364006083046277</v>
      </c>
      <c r="M156" s="200">
        <v>3</v>
      </c>
      <c r="N156" s="201" t="s">
        <v>283</v>
      </c>
      <c r="O156" s="186">
        <v>22493453.760000002</v>
      </c>
      <c r="P156" s="186">
        <v>32797621.849999998</v>
      </c>
      <c r="Q156" s="186">
        <f>3647579.44+27169363.85+2086986.49+1441876.26+5987404.27+30920.45</f>
        <v>40364130.760000005</v>
      </c>
      <c r="R156" s="186">
        <v>42064115.609999999</v>
      </c>
      <c r="S156" s="186">
        <v>48249267.100000001</v>
      </c>
      <c r="T156" s="186">
        <f>((P156-O156)/O156*100+(Q156-P156)/P156*100+(R156-Q156)/Q156*100+(S156-R156)/R156*100)/4</f>
        <v>21.948913779048056</v>
      </c>
    </row>
    <row r="157" spans="1:20" ht="11.15" customHeight="1">
      <c r="A157" s="440">
        <v>4</v>
      </c>
      <c r="B157" s="441" t="s">
        <v>284</v>
      </c>
      <c r="C157" s="442">
        <v>17367.900000000001</v>
      </c>
      <c r="D157" s="442">
        <v>17745</v>
      </c>
      <c r="E157" s="442">
        <v>13576.7</v>
      </c>
      <c r="F157" s="442">
        <v>17565.8</v>
      </c>
      <c r="G157" s="442">
        <v>22837</v>
      </c>
      <c r="H157" s="186">
        <f t="shared" si="14"/>
        <v>9.5178793074061083</v>
      </c>
      <c r="M157" s="200">
        <v>4</v>
      </c>
      <c r="N157" s="201" t="s">
        <v>285</v>
      </c>
      <c r="O157" s="186">
        <v>428218.25</v>
      </c>
      <c r="P157" s="186">
        <v>523768.06</v>
      </c>
      <c r="Q157" s="186">
        <f>258.3+194994.1+162190.5+104356.41+223907.1</f>
        <v>685706.41</v>
      </c>
      <c r="R157" s="186">
        <f>350293.73+107348+50448.3+85200.9</f>
        <v>593290.92999999993</v>
      </c>
      <c r="S157" s="186">
        <v>593026.26</v>
      </c>
      <c r="T157" s="186">
        <f>((P157-O157)/O157*100+(Q157-P157)/P157*100+(R157-Q157)/Q157*100+(S157-R157)/R157*100)/4</f>
        <v>9.9273178816744654</v>
      </c>
    </row>
    <row r="158" spans="1:20" ht="11.15" customHeight="1">
      <c r="A158" s="440">
        <v>5</v>
      </c>
      <c r="B158" s="441" t="s">
        <v>286</v>
      </c>
      <c r="C158" s="442">
        <v>9315.1</v>
      </c>
      <c r="D158" s="442">
        <v>14639.4</v>
      </c>
      <c r="E158" s="442">
        <v>19852.8</v>
      </c>
      <c r="F158" s="442">
        <v>25523.5</v>
      </c>
      <c r="G158" s="442">
        <v>17457.8</v>
      </c>
      <c r="H158" s="186">
        <f t="shared" si="14"/>
        <v>22.433125979720561</v>
      </c>
      <c r="M158" s="200">
        <v>5</v>
      </c>
      <c r="N158" s="201" t="s">
        <v>287</v>
      </c>
      <c r="O158" s="186">
        <v>1980124.6300000001</v>
      </c>
      <c r="P158" s="186">
        <v>4243116.41</v>
      </c>
      <c r="Q158" s="186">
        <f>1436.5+458412.93+184662.8+430341.72+2189947.23</f>
        <v>3264801.1799999997</v>
      </c>
      <c r="R158" s="186">
        <f>3904.5+145314.13+1045289.95+217023.71+886684.43+2162928.37</f>
        <v>4461145.09</v>
      </c>
      <c r="S158" s="186">
        <v>6563699.21</v>
      </c>
      <c r="T158" s="186">
        <f t="shared" ref="T158:T163" si="15">((P158-O158)/O158*100+(Q158-P158)/P158*100+(R158-Q158)/Q158*100+(S158-R158)/R158*100)/4</f>
        <v>43.750715495057378</v>
      </c>
    </row>
    <row r="159" spans="1:20" ht="11.15" customHeight="1">
      <c r="A159" s="440">
        <v>6</v>
      </c>
      <c r="B159" s="443" t="s">
        <v>288</v>
      </c>
      <c r="C159" s="442">
        <v>2748.1</v>
      </c>
      <c r="D159" s="442">
        <v>2375.6999999999998</v>
      </c>
      <c r="E159" s="442">
        <v>6813</v>
      </c>
      <c r="F159" s="442">
        <v>7733</v>
      </c>
      <c r="G159" s="442">
        <v>7113.8</v>
      </c>
      <c r="H159" s="186">
        <f t="shared" si="14"/>
        <v>44.680951806230517</v>
      </c>
      <c r="M159" s="200">
        <v>6</v>
      </c>
      <c r="N159" s="201" t="s">
        <v>289</v>
      </c>
      <c r="O159" s="186">
        <v>10949618.66</v>
      </c>
      <c r="P159" s="186">
        <v>10676403.59</v>
      </c>
      <c r="Q159" s="186">
        <f>1731015.31+8490596.8</f>
        <v>10221612.110000001</v>
      </c>
      <c r="R159" s="186">
        <f>2159395.99+8229927.68</f>
        <v>10389323.67</v>
      </c>
      <c r="S159" s="186">
        <v>13409464.33</v>
      </c>
      <c r="T159" s="186">
        <f t="shared" si="15"/>
        <v>5.9888568106129849</v>
      </c>
    </row>
    <row r="160" spans="1:20" ht="11.15" customHeight="1">
      <c r="A160" s="440">
        <v>7</v>
      </c>
      <c r="B160" s="443" t="s">
        <v>290</v>
      </c>
      <c r="C160" s="442">
        <v>1911.4</v>
      </c>
      <c r="D160" s="442">
        <v>1370.6</v>
      </c>
      <c r="E160" s="442">
        <v>1816.8</v>
      </c>
      <c r="F160" s="442">
        <v>1933.3</v>
      </c>
      <c r="G160" s="442">
        <v>834.1</v>
      </c>
      <c r="H160" s="186">
        <f t="shared" si="14"/>
        <v>-11.54552285852639</v>
      </c>
      <c r="M160" s="200">
        <v>7</v>
      </c>
      <c r="N160" s="201" t="s">
        <v>291</v>
      </c>
      <c r="O160" s="186">
        <v>0</v>
      </c>
      <c r="P160" s="186">
        <v>0</v>
      </c>
      <c r="Q160" s="186">
        <v>0</v>
      </c>
      <c r="R160" s="186">
        <v>0</v>
      </c>
      <c r="S160" s="186">
        <v>0</v>
      </c>
      <c r="T160" s="186" t="e">
        <f t="shared" si="15"/>
        <v>#DIV/0!</v>
      </c>
    </row>
    <row r="161" spans="1:20" ht="11.15" customHeight="1">
      <c r="A161" s="440">
        <v>8</v>
      </c>
      <c r="B161" s="443" t="s">
        <v>292</v>
      </c>
      <c r="C161" s="442">
        <v>8.9</v>
      </c>
      <c r="D161" s="442">
        <v>54.6</v>
      </c>
      <c r="E161" s="442">
        <v>15.4</v>
      </c>
      <c r="F161" s="442">
        <v>117.4</v>
      </c>
      <c r="G161" s="442">
        <v>150</v>
      </c>
      <c r="H161" s="186">
        <f t="shared" si="14"/>
        <v>282.94856251711718</v>
      </c>
      <c r="M161" s="200">
        <v>8</v>
      </c>
      <c r="N161" s="201" t="s">
        <v>293</v>
      </c>
      <c r="O161" s="186">
        <v>1949010.5999999999</v>
      </c>
      <c r="P161" s="186">
        <v>5850386.5200000005</v>
      </c>
      <c r="Q161" s="186">
        <f>6695060.66+93382.39</f>
        <v>6788443.0499999998</v>
      </c>
      <c r="R161" s="186">
        <v>4441958.5</v>
      </c>
      <c r="S161" s="186">
        <v>5797486.6600000001</v>
      </c>
      <c r="T161" s="186">
        <f t="shared" si="15"/>
        <v>53.039199898968491</v>
      </c>
    </row>
    <row r="162" spans="1:20" ht="11.15" customHeight="1" thickBot="1">
      <c r="A162" s="444"/>
      <c r="B162" s="445"/>
      <c r="C162" s="446"/>
      <c r="D162" s="446" t="s">
        <v>294</v>
      </c>
      <c r="E162" s="446" t="s">
        <v>294</v>
      </c>
      <c r="F162" s="447" t="s">
        <v>294</v>
      </c>
      <c r="G162" s="447" t="s">
        <v>294</v>
      </c>
      <c r="H162" s="448"/>
      <c r="M162" s="200">
        <v>9</v>
      </c>
      <c r="N162" s="201" t="s">
        <v>295</v>
      </c>
      <c r="O162" s="186">
        <v>23055.5</v>
      </c>
      <c r="P162" s="186">
        <v>175510.92</v>
      </c>
      <c r="Q162" s="186">
        <v>101631</v>
      </c>
      <c r="R162" s="186">
        <v>93624.35</v>
      </c>
      <c r="S162" s="186">
        <v>4094.25</v>
      </c>
      <c r="T162" s="186">
        <f t="shared" si="15"/>
        <v>128.91367999357524</v>
      </c>
    </row>
    <row r="163" spans="1:20" ht="11.15" customHeight="1" thickTop="1" thickBot="1">
      <c r="A163" s="248" t="s">
        <v>184</v>
      </c>
      <c r="B163" s="249"/>
      <c r="C163" s="449">
        <f>SUM(C154:C162)</f>
        <v>101371.6</v>
      </c>
      <c r="D163" s="449">
        <f>SUM(D154:D162)</f>
        <v>81734.650000000009</v>
      </c>
      <c r="E163" s="449">
        <f>SUM(E154:E162)</f>
        <v>103591.90000000001</v>
      </c>
      <c r="F163" s="449">
        <f>SUM(F154:F162)</f>
        <v>118241.1</v>
      </c>
      <c r="G163" s="449">
        <f>SUM(G154:G162)</f>
        <v>104967.48000000001</v>
      </c>
      <c r="H163" s="311">
        <f>((D163-C163)/C163*100+(E163-D163)/D163*100+(F163-E163)/E163*100+(G163-F163)/F163*100)/4</f>
        <v>2.5714577846386049</v>
      </c>
      <c r="M163" s="450">
        <v>10</v>
      </c>
      <c r="N163" s="451" t="s">
        <v>191</v>
      </c>
      <c r="O163" s="452">
        <v>573165.22</v>
      </c>
      <c r="P163" s="452">
        <v>836097.96</v>
      </c>
      <c r="Q163" s="452">
        <v>1485864.9</v>
      </c>
      <c r="R163" s="452">
        <v>2490371.88</v>
      </c>
      <c r="S163" s="452">
        <f>2157682.43+254648.69</f>
        <v>2412331.12</v>
      </c>
      <c r="T163" s="186">
        <f t="shared" si="15"/>
        <v>47.014629738609756</v>
      </c>
    </row>
    <row r="164" spans="1:20" ht="11.15" customHeight="1" thickTop="1" thickBot="1">
      <c r="A164" s="178"/>
      <c r="B164" s="178"/>
      <c r="C164" s="178"/>
      <c r="D164" s="178"/>
      <c r="E164" s="178"/>
      <c r="F164" s="178"/>
      <c r="G164" s="178"/>
      <c r="H164" s="178"/>
      <c r="M164" s="453" t="s">
        <v>211</v>
      </c>
      <c r="N164" s="454"/>
      <c r="O164" s="319">
        <f>SUM(O154:O163)</f>
        <v>99654393.249999985</v>
      </c>
      <c r="P164" s="319">
        <f>SUM(P154:P163)</f>
        <v>106007178.96999998</v>
      </c>
      <c r="Q164" s="319">
        <f>SUM(Q154:Q163)</f>
        <v>98731833.849999994</v>
      </c>
      <c r="R164" s="319">
        <f>SUM(R154:R163)</f>
        <v>98809646.689999998</v>
      </c>
      <c r="S164" s="319">
        <f>SUM(S154:S163)</f>
        <v>99079820.370000005</v>
      </c>
      <c r="T164" s="311">
        <f>((P164-O164)/O164*100+(Q164-P164)/P164*100+(R164-Q164)/Q164*100+(S164-R164)/R164*100)/4</f>
        <v>-3.4002511941209138E-2</v>
      </c>
    </row>
    <row r="165" spans="1:20" ht="11.15" customHeight="1" thickTop="1">
      <c r="A165" s="171"/>
      <c r="B165" s="242" t="s">
        <v>296</v>
      </c>
      <c r="C165" s="242"/>
      <c r="D165" s="242"/>
      <c r="E165" s="242"/>
      <c r="F165" s="242"/>
      <c r="G165" s="242"/>
      <c r="H165" s="242"/>
      <c r="M165" s="151"/>
      <c r="N165" s="151"/>
      <c r="O165" s="151"/>
      <c r="P165" s="151"/>
      <c r="Q165" s="151"/>
      <c r="R165" s="151"/>
      <c r="S165" s="151"/>
      <c r="T165" s="234"/>
    </row>
    <row r="166" spans="1:20" ht="11.15" customHeight="1">
      <c r="A166" s="171"/>
      <c r="B166" s="247"/>
      <c r="C166" s="247"/>
      <c r="D166" s="247"/>
      <c r="E166" s="247"/>
      <c r="F166" s="247"/>
      <c r="G166" s="247"/>
      <c r="H166" s="247"/>
      <c r="M166" s="171"/>
      <c r="N166" s="242" t="s">
        <v>297</v>
      </c>
      <c r="O166" s="242"/>
      <c r="P166" s="242"/>
      <c r="Q166" s="242"/>
      <c r="R166" s="242"/>
      <c r="S166" s="242"/>
      <c r="T166" s="242"/>
    </row>
    <row r="167" spans="1:20" ht="11.15" customHeight="1">
      <c r="A167" s="171"/>
      <c r="B167" s="247"/>
      <c r="C167" s="247"/>
      <c r="D167" s="247"/>
      <c r="E167" s="247"/>
      <c r="F167" s="247"/>
      <c r="G167" s="247"/>
      <c r="H167" s="247"/>
    </row>
    <row r="168" spans="1:20" ht="11.15" customHeight="1">
      <c r="A168" s="171"/>
      <c r="B168" s="247"/>
      <c r="C168" s="247"/>
      <c r="D168" s="247"/>
      <c r="E168" s="247"/>
      <c r="F168" s="247"/>
      <c r="G168" s="247"/>
      <c r="H168" s="247"/>
    </row>
    <row r="169" spans="1:20" ht="11.15" customHeight="1">
      <c r="A169" s="171"/>
      <c r="B169" s="247"/>
      <c r="C169" s="247"/>
      <c r="D169" s="247"/>
      <c r="E169" s="247"/>
      <c r="F169" s="247"/>
      <c r="G169" s="247"/>
      <c r="H169" s="247"/>
    </row>
    <row r="170" spans="1:20" ht="11.15" customHeight="1">
      <c r="A170" s="171"/>
      <c r="B170" s="247"/>
      <c r="C170" s="247"/>
      <c r="D170" s="247"/>
      <c r="E170" s="247"/>
      <c r="F170" s="247"/>
      <c r="G170" s="247"/>
      <c r="H170" s="247"/>
    </row>
    <row r="171" spans="1:20" ht="11.15" customHeight="1">
      <c r="A171" s="171"/>
      <c r="B171" s="247"/>
      <c r="C171" s="247"/>
      <c r="D171" s="247"/>
      <c r="E171" s="247"/>
      <c r="F171" s="247"/>
      <c r="G171" s="247"/>
      <c r="H171" s="247"/>
    </row>
    <row r="172" spans="1:20" ht="11.15" customHeight="1">
      <c r="A172" s="171"/>
      <c r="B172" s="247"/>
      <c r="C172" s="247"/>
      <c r="D172" s="247"/>
      <c r="E172" s="247"/>
      <c r="F172" s="247"/>
      <c r="G172" s="247"/>
      <c r="H172" s="247"/>
    </row>
    <row r="173" spans="1:20" ht="11.15" customHeight="1">
      <c r="A173" s="171"/>
      <c r="B173" s="247"/>
      <c r="C173" s="247"/>
      <c r="D173" s="247"/>
      <c r="E173" s="247"/>
      <c r="F173" s="247"/>
      <c r="G173" s="247"/>
      <c r="H173" s="247"/>
    </row>
    <row r="174" spans="1:20" ht="11.15" customHeight="1">
      <c r="A174" s="171"/>
      <c r="B174" s="247"/>
      <c r="C174" s="247"/>
      <c r="D174" s="247"/>
      <c r="E174" s="247"/>
      <c r="F174" s="247"/>
      <c r="G174" s="247"/>
      <c r="H174" s="247"/>
    </row>
    <row r="175" spans="1:20" ht="11.15" customHeight="1">
      <c r="A175" s="171"/>
      <c r="B175" s="247"/>
      <c r="C175" s="247"/>
      <c r="D175" s="247"/>
      <c r="E175" s="247"/>
      <c r="F175" s="247"/>
      <c r="G175" s="247"/>
      <c r="H175" s="247"/>
    </row>
    <row r="176" spans="1:20" ht="11.15" customHeight="1"/>
    <row r="177" spans="1:23" ht="11.15" customHeight="1">
      <c r="M177" s="145" t="s">
        <v>273</v>
      </c>
      <c r="N177" s="145"/>
      <c r="O177" s="145"/>
      <c r="P177" s="145"/>
      <c r="Q177" s="145"/>
      <c r="R177" s="145"/>
      <c r="S177" s="145"/>
      <c r="T177" s="145"/>
    </row>
    <row r="178" spans="1:23" ht="11.15" customHeight="1">
      <c r="A178" s="146" t="s">
        <v>298</v>
      </c>
      <c r="B178" s="146"/>
      <c r="C178" s="146"/>
      <c r="D178" s="146"/>
      <c r="E178" s="146"/>
      <c r="F178" s="146"/>
      <c r="G178" s="146"/>
      <c r="H178" s="146"/>
      <c r="M178" s="145" t="s">
        <v>299</v>
      </c>
      <c r="N178" s="145"/>
      <c r="O178" s="145"/>
      <c r="P178" s="145"/>
      <c r="Q178" s="145"/>
      <c r="R178" s="145"/>
      <c r="S178" s="145"/>
      <c r="T178" s="145"/>
    </row>
    <row r="179" spans="1:23" ht="11.15" customHeight="1">
      <c r="A179" s="146" t="s">
        <v>300</v>
      </c>
      <c r="B179" s="146"/>
      <c r="C179" s="146"/>
      <c r="D179" s="146"/>
      <c r="E179" s="146"/>
      <c r="F179" s="146"/>
      <c r="G179" s="146"/>
      <c r="H179" s="146"/>
      <c r="M179" s="151"/>
      <c r="N179" s="151"/>
      <c r="O179" s="151"/>
      <c r="P179" s="151"/>
      <c r="Q179" s="151"/>
      <c r="R179" s="151"/>
      <c r="S179" s="151"/>
      <c r="T179" s="152" t="s">
        <v>276</v>
      </c>
    </row>
    <row r="180" spans="1:23" ht="11.15" customHeight="1">
      <c r="A180" s="171"/>
      <c r="B180" s="171"/>
      <c r="C180" s="171"/>
      <c r="D180" s="171"/>
      <c r="E180" s="171"/>
      <c r="F180" s="172" t="s">
        <v>235</v>
      </c>
      <c r="G180" s="172"/>
      <c r="H180" s="172"/>
      <c r="M180" s="455" t="s">
        <v>6</v>
      </c>
      <c r="N180" s="456" t="s">
        <v>277</v>
      </c>
      <c r="O180" s="158" t="s">
        <v>179</v>
      </c>
      <c r="P180" s="159"/>
      <c r="Q180" s="159"/>
      <c r="R180" s="159"/>
      <c r="S180" s="160"/>
      <c r="T180" s="187" t="s">
        <v>180</v>
      </c>
    </row>
    <row r="181" spans="1:23" ht="11.15" customHeight="1" thickBot="1">
      <c r="A181" s="156" t="s">
        <v>6</v>
      </c>
      <c r="B181" s="187" t="s">
        <v>178</v>
      </c>
      <c r="C181" s="158" t="s">
        <v>179</v>
      </c>
      <c r="D181" s="159"/>
      <c r="E181" s="159"/>
      <c r="F181" s="159"/>
      <c r="G181" s="160"/>
      <c r="H181" s="187" t="s">
        <v>180</v>
      </c>
      <c r="M181" s="457"/>
      <c r="N181" s="458"/>
      <c r="O181" s="336">
        <v>2011</v>
      </c>
      <c r="P181" s="336">
        <v>2012</v>
      </c>
      <c r="Q181" s="336">
        <v>2013</v>
      </c>
      <c r="R181" s="336">
        <v>2014</v>
      </c>
      <c r="S181" s="336">
        <v>2015</v>
      </c>
      <c r="T181" s="203"/>
    </row>
    <row r="182" spans="1:23" ht="11.15" customHeight="1" thickTop="1" thickBot="1">
      <c r="A182" s="166"/>
      <c r="B182" s="203"/>
      <c r="C182" s="204">
        <v>2011</v>
      </c>
      <c r="D182" s="204">
        <v>2012</v>
      </c>
      <c r="E182" s="204">
        <v>2013</v>
      </c>
      <c r="F182" s="204">
        <v>2014</v>
      </c>
      <c r="G182" s="204">
        <v>2015</v>
      </c>
      <c r="H182" s="203"/>
      <c r="J182" s="282"/>
      <c r="M182" s="200">
        <v>11</v>
      </c>
      <c r="N182" s="222" t="s">
        <v>301</v>
      </c>
      <c r="O182" s="186">
        <v>0</v>
      </c>
      <c r="P182" s="186">
        <v>0</v>
      </c>
      <c r="Q182" s="186">
        <v>0</v>
      </c>
      <c r="R182" s="186">
        <f>50+293201.24</f>
        <v>293251.24</v>
      </c>
      <c r="S182" s="186">
        <f>16389.6+27</f>
        <v>16416.599999999999</v>
      </c>
      <c r="T182" s="186" t="e">
        <f>((P182-O182)/O182*100+(Q182-P182)/P182*100+(R182-Q182)/Q182*100+(S182-R182)/R182*100)/4</f>
        <v>#DIV/0!</v>
      </c>
    </row>
    <row r="183" spans="1:23" ht="11.15" customHeight="1" thickTop="1">
      <c r="A183" s="340">
        <v>1</v>
      </c>
      <c r="B183" s="340" t="s">
        <v>195</v>
      </c>
      <c r="C183" s="341">
        <v>558</v>
      </c>
      <c r="D183" s="341">
        <v>636</v>
      </c>
      <c r="E183" s="341">
        <v>613</v>
      </c>
      <c r="F183" s="459">
        <f>723+83</f>
        <v>806</v>
      </c>
      <c r="G183" s="460">
        <v>1181</v>
      </c>
      <c r="H183" s="278">
        <f>((D183-C183)/C183*100+(E183-D183)/D183*100+(F183-E183)/E183*100+(G183-F183)/F183*100)/4</f>
        <v>22.093174864987709</v>
      </c>
      <c r="J183" s="282"/>
      <c r="K183" s="282"/>
      <c r="M183" s="200">
        <f>M182+1</f>
        <v>12</v>
      </c>
      <c r="N183" s="186" t="s">
        <v>302</v>
      </c>
      <c r="O183" s="186">
        <v>37372.589999999997</v>
      </c>
      <c r="P183" s="186">
        <v>603950.44999999995</v>
      </c>
      <c r="Q183" s="186">
        <f>30667.8+143666.6+7240.2</f>
        <v>181574.6</v>
      </c>
      <c r="R183" s="186">
        <f>99627.85+29739.88</f>
        <v>129367.73000000001</v>
      </c>
      <c r="S183" s="186">
        <f>99627.85+29739.88</f>
        <v>129367.73000000001</v>
      </c>
      <c r="T183" s="186">
        <f>((P183-O183)/O183*100+(Q183-P183)/P183*100+(R183-Q183)/Q183*100+(S183-R183)/R183*100)/4</f>
        <v>354.33433216177627</v>
      </c>
    </row>
    <row r="184" spans="1:23" ht="11.15" customHeight="1">
      <c r="A184" s="224">
        <v>2</v>
      </c>
      <c r="B184" s="224" t="s">
        <v>198</v>
      </c>
      <c r="C184" s="226">
        <v>1717</v>
      </c>
      <c r="D184" s="226">
        <v>1274</v>
      </c>
      <c r="E184" s="226">
        <v>1406</v>
      </c>
      <c r="F184" s="226">
        <f>1364+30</f>
        <v>1394</v>
      </c>
      <c r="G184" s="213">
        <v>1024</v>
      </c>
      <c r="H184" s="186">
        <f>((D184-C184)/C184*100+(E184-D184)/D184*100+(F184-E184)/E184*100+(G184-F184)/F184*100)/4</f>
        <v>-10.708889295628456</v>
      </c>
      <c r="J184"/>
      <c r="K184" s="282"/>
      <c r="M184" s="200">
        <f>M183+1</f>
        <v>13</v>
      </c>
      <c r="N184" s="186" t="s">
        <v>303</v>
      </c>
      <c r="O184" s="186">
        <v>1600</v>
      </c>
      <c r="P184" s="186">
        <v>0</v>
      </c>
      <c r="Q184" s="186">
        <v>0</v>
      </c>
      <c r="R184" s="186">
        <v>0</v>
      </c>
      <c r="S184" s="186">
        <v>0</v>
      </c>
      <c r="T184" s="186" t="e">
        <f>((P184-O184)/O184*100+(Q184-P184)/P184*100+(R184-Q184)/Q184*100+(S184-R184)/R184*100)/4</f>
        <v>#DIV/0!</v>
      </c>
    </row>
    <row r="185" spans="1:23" ht="11.15" customHeight="1">
      <c r="A185" s="224">
        <v>3</v>
      </c>
      <c r="B185" s="224" t="s">
        <v>202</v>
      </c>
      <c r="C185" s="226">
        <v>2339</v>
      </c>
      <c r="D185" s="226">
        <v>2470</v>
      </c>
      <c r="E185" s="226">
        <v>2004</v>
      </c>
      <c r="F185" s="226">
        <f>1134+1020</f>
        <v>2154</v>
      </c>
      <c r="G185" s="213">
        <v>2016</v>
      </c>
      <c r="H185" s="186">
        <f t="shared" ref="H185:H191" si="16">((D185-C185)/C185*100+(E185-D185)/D185*100+(F185-E185)/E185*100+(G185-F185)/F185*100)/4</f>
        <v>-3.0468420011921342</v>
      </c>
      <c r="J185"/>
      <c r="K185" s="282"/>
      <c r="M185" s="200">
        <v>14</v>
      </c>
      <c r="N185" s="186" t="s">
        <v>304</v>
      </c>
      <c r="O185" s="186">
        <v>22371868.34</v>
      </c>
      <c r="P185" s="186">
        <v>25933109.449999999</v>
      </c>
      <c r="Q185" s="186">
        <v>19731859.699999999</v>
      </c>
      <c r="R185" s="186">
        <v>22057001.030000001</v>
      </c>
      <c r="S185" s="186">
        <v>17937024.350000001</v>
      </c>
      <c r="T185" s="186">
        <f>((P185-O185)/O185*100+(Q185-P185)/P185*100+(R185-Q185)/Q185*100+(S185-R185)/R185*100)/4</f>
        <v>-3.7222928154444292</v>
      </c>
    </row>
    <row r="186" spans="1:23" ht="11.15" customHeight="1">
      <c r="A186" s="224">
        <v>4</v>
      </c>
      <c r="B186" s="224" t="s">
        <v>204</v>
      </c>
      <c r="C186" s="226">
        <v>1870</v>
      </c>
      <c r="D186" s="226">
        <v>2014</v>
      </c>
      <c r="E186" s="226">
        <v>2025</v>
      </c>
      <c r="F186" s="226">
        <f>1881+144</f>
        <v>2025</v>
      </c>
      <c r="G186" s="213">
        <v>1559</v>
      </c>
      <c r="H186" s="186">
        <f t="shared" si="16"/>
        <v>-3.6914085392481724</v>
      </c>
      <c r="J186"/>
      <c r="K186" s="282"/>
      <c r="M186" s="200">
        <f>M185+1</f>
        <v>15</v>
      </c>
      <c r="N186" s="186" t="s">
        <v>292</v>
      </c>
      <c r="O186" s="186">
        <v>2001333.1400000001</v>
      </c>
      <c r="P186" s="186">
        <v>4630568.2699999809</v>
      </c>
      <c r="Q186" s="186">
        <v>12015545.829999998</v>
      </c>
      <c r="R186" s="186">
        <v>14462289.49</v>
      </c>
      <c r="S186" s="186">
        <v>17670784.739999998</v>
      </c>
      <c r="T186" s="186">
        <f t="shared" ref="T186:T192" si="17">((P186-O186)/O186*100+(Q186-P186)/P186*100+(R186-Q186)/Q186*100+(S186-R186)/R186*100)/4</f>
        <v>83.351442146410776</v>
      </c>
    </row>
    <row r="187" spans="1:23" ht="11.15" customHeight="1">
      <c r="A187" s="224">
        <v>5</v>
      </c>
      <c r="B187" s="224" t="s">
        <v>205</v>
      </c>
      <c r="C187" s="226">
        <v>3964</v>
      </c>
      <c r="D187" s="226">
        <v>2992</v>
      </c>
      <c r="E187" s="226">
        <v>3358</v>
      </c>
      <c r="F187" s="226">
        <f>3221+163</f>
        <v>3384</v>
      </c>
      <c r="G187" s="213">
        <v>4732</v>
      </c>
      <c r="H187" s="186">
        <f t="shared" si="16"/>
        <v>7.080179977688176</v>
      </c>
      <c r="J187"/>
      <c r="K187" s="282"/>
      <c r="M187" s="200">
        <f>M186+1</f>
        <v>16</v>
      </c>
      <c r="N187" s="186" t="s">
        <v>305</v>
      </c>
      <c r="O187" s="186">
        <v>698796</v>
      </c>
      <c r="P187" s="186">
        <v>603368.52</v>
      </c>
      <c r="Q187" s="186">
        <v>495145</v>
      </c>
      <c r="R187" s="186">
        <v>415298.75</v>
      </c>
      <c r="S187" s="186">
        <v>46487</v>
      </c>
      <c r="T187" s="186">
        <f t="shared" si="17"/>
        <v>-34.131185628532869</v>
      </c>
    </row>
    <row r="188" spans="1:23" ht="11.15" customHeight="1">
      <c r="A188" s="224">
        <v>6</v>
      </c>
      <c r="B188" s="224" t="s">
        <v>208</v>
      </c>
      <c r="C188" s="226">
        <v>6579</v>
      </c>
      <c r="D188" s="226">
        <v>6040</v>
      </c>
      <c r="E188" s="226">
        <v>6040</v>
      </c>
      <c r="F188" s="226">
        <f>5994+46</f>
        <v>6040</v>
      </c>
      <c r="G188" s="213">
        <v>6344</v>
      </c>
      <c r="H188" s="186">
        <f t="shared" si="16"/>
        <v>-0.78990546883571944</v>
      </c>
      <c r="J188"/>
      <c r="K188" s="282"/>
      <c r="M188" s="200">
        <f>M187+1</f>
        <v>17</v>
      </c>
      <c r="N188" s="186" t="s">
        <v>306</v>
      </c>
      <c r="O188" s="461">
        <v>0</v>
      </c>
      <c r="P188" s="461">
        <v>0</v>
      </c>
      <c r="Q188" s="461">
        <v>0</v>
      </c>
      <c r="R188" s="186">
        <v>0</v>
      </c>
      <c r="S188" s="186">
        <v>0</v>
      </c>
      <c r="T188" s="186" t="e">
        <f t="shared" si="17"/>
        <v>#DIV/0!</v>
      </c>
      <c r="W188" s="462"/>
    </row>
    <row r="189" spans="1:23" ht="11.15" customHeight="1" thickBot="1">
      <c r="A189" s="224">
        <v>7</v>
      </c>
      <c r="B189" s="224" t="s">
        <v>213</v>
      </c>
      <c r="C189" s="226">
        <v>1070</v>
      </c>
      <c r="D189" s="226">
        <v>1086</v>
      </c>
      <c r="E189" s="226">
        <v>1096</v>
      </c>
      <c r="F189" s="226">
        <f>1086+0</f>
        <v>1086</v>
      </c>
      <c r="G189" s="213">
        <v>1139</v>
      </c>
      <c r="H189" s="186">
        <f t="shared" si="16"/>
        <v>1.5960058290138355</v>
      </c>
      <c r="J189"/>
      <c r="K189" s="282"/>
      <c r="M189" s="200">
        <f>M188+1</f>
        <v>18</v>
      </c>
      <c r="N189" s="186" t="s">
        <v>307</v>
      </c>
      <c r="O189" s="461">
        <v>0</v>
      </c>
      <c r="P189" s="461">
        <v>0</v>
      </c>
      <c r="Q189" s="461">
        <v>0</v>
      </c>
      <c r="R189" s="186">
        <v>0</v>
      </c>
      <c r="S189" s="186">
        <v>0</v>
      </c>
      <c r="T189" s="186" t="e">
        <f t="shared" si="17"/>
        <v>#DIV/0!</v>
      </c>
    </row>
    <row r="190" spans="1:23" ht="11.15" customHeight="1" thickTop="1" thickBot="1">
      <c r="A190" s="224">
        <v>8</v>
      </c>
      <c r="B190" s="224" t="s">
        <v>215</v>
      </c>
      <c r="C190" s="226">
        <v>1034</v>
      </c>
      <c r="D190" s="226">
        <v>1041</v>
      </c>
      <c r="E190" s="226">
        <v>1046</v>
      </c>
      <c r="F190" s="226">
        <f>724+215</f>
        <v>939</v>
      </c>
      <c r="G190" s="213">
        <v>877</v>
      </c>
      <c r="H190" s="186">
        <f t="shared" si="16"/>
        <v>-3.9187311052926086</v>
      </c>
      <c r="J190"/>
      <c r="K190" s="282"/>
      <c r="M190" s="463" t="s">
        <v>308</v>
      </c>
      <c r="N190" s="464"/>
      <c r="O190" s="311">
        <f>SUM(O182:O186)+O164</f>
        <v>124066567.31999999</v>
      </c>
      <c r="P190" s="311">
        <f>SUM(P182:P186)+P164</f>
        <v>137174807.13999996</v>
      </c>
      <c r="Q190" s="311">
        <f>SUM(Q182:Q186)+Q164</f>
        <v>130660813.97999999</v>
      </c>
      <c r="R190" s="311">
        <f>SUM(R182:R186)+R164</f>
        <v>135751556.18000001</v>
      </c>
      <c r="S190" s="311">
        <f>SUM(S182:S186)+S164</f>
        <v>134833413.79000002</v>
      </c>
      <c r="T190" s="311">
        <f t="shared" si="17"/>
        <v>2.2591548270506068</v>
      </c>
    </row>
    <row r="191" spans="1:23" ht="11.15" customHeight="1" thickTop="1" thickBot="1">
      <c r="A191" s="351">
        <v>9</v>
      </c>
      <c r="B191" s="351" t="s">
        <v>309</v>
      </c>
      <c r="C191" s="465">
        <v>1833</v>
      </c>
      <c r="D191" s="465">
        <v>1839</v>
      </c>
      <c r="E191" s="465">
        <v>1833</v>
      </c>
      <c r="F191" s="466">
        <v>1623</v>
      </c>
      <c r="G191" s="467">
        <v>1619</v>
      </c>
      <c r="H191" s="186">
        <f t="shared" si="16"/>
        <v>-2.9255044219516289</v>
      </c>
      <c r="J191"/>
      <c r="K191" s="282"/>
      <c r="M191" s="463" t="s">
        <v>310</v>
      </c>
      <c r="N191" s="464"/>
      <c r="O191" s="311">
        <f>SUM(O187:O189)</f>
        <v>698796</v>
      </c>
      <c r="P191" s="311">
        <f>SUM(P187:P189)</f>
        <v>603368.52</v>
      </c>
      <c r="Q191" s="311">
        <f>SUM(Q187:Q189)</f>
        <v>495145</v>
      </c>
      <c r="R191" s="311">
        <f>SUM(R187:R189)</f>
        <v>415298.75</v>
      </c>
      <c r="S191" s="311">
        <f>SUM(S187:S189)</f>
        <v>46487</v>
      </c>
      <c r="T191" s="311">
        <f t="shared" si="17"/>
        <v>-34.131185628532869</v>
      </c>
    </row>
    <row r="192" spans="1:23" ht="11.15" customHeight="1" thickTop="1" thickBot="1">
      <c r="A192" s="468" t="s">
        <v>184</v>
      </c>
      <c r="B192" s="469"/>
      <c r="C192" s="470">
        <f>SUM(C183:C191)</f>
        <v>20964</v>
      </c>
      <c r="D192" s="470">
        <f>SUM(D183:D191)</f>
        <v>19392</v>
      </c>
      <c r="E192" s="470">
        <f>SUM(E183:E191)</f>
        <v>19421</v>
      </c>
      <c r="F192" s="470">
        <f>SUM(F183:F191)</f>
        <v>19451</v>
      </c>
      <c r="G192" s="470">
        <f>SUM(G183:G191)</f>
        <v>20491</v>
      </c>
      <c r="H192" s="319">
        <f>((D192-C192)/C192*100+(E192-D192)/D192*100+(F192-E192)/E192*100+(G192-F192)/F192*100)/4</f>
        <v>-0.46194550094169506</v>
      </c>
      <c r="J192"/>
      <c r="M192" s="453" t="s">
        <v>311</v>
      </c>
      <c r="N192" s="454"/>
      <c r="O192" s="319">
        <f>O191+O190</f>
        <v>124765363.31999999</v>
      </c>
      <c r="P192" s="319">
        <f>P191+P190</f>
        <v>137778175.65999997</v>
      </c>
      <c r="Q192" s="319">
        <f>Q191+Q190</f>
        <v>131155958.97999999</v>
      </c>
      <c r="R192" s="319">
        <f>R191+R190</f>
        <v>136166854.93000001</v>
      </c>
      <c r="S192" s="319">
        <f>S191+S190</f>
        <v>134879900.79000002</v>
      </c>
      <c r="T192" s="319">
        <f t="shared" si="17"/>
        <v>2.1247066502278456</v>
      </c>
    </row>
    <row r="193" spans="1:20" ht="11.15" customHeight="1" thickTop="1">
      <c r="A193" s="171"/>
      <c r="B193" s="171"/>
      <c r="C193" s="171"/>
      <c r="D193" s="171"/>
      <c r="E193" s="171"/>
      <c r="F193" s="171"/>
      <c r="G193" s="171"/>
      <c r="H193" s="171"/>
      <c r="J193" s="282"/>
      <c r="K193" s="282"/>
      <c r="M193" s="471"/>
      <c r="N193" s="471"/>
      <c r="O193" s="472"/>
      <c r="P193" s="472"/>
      <c r="Q193" s="473"/>
      <c r="R193" s="473"/>
      <c r="S193" s="473"/>
      <c r="T193" s="472"/>
    </row>
    <row r="194" spans="1:20" ht="11.15" customHeight="1">
      <c r="A194" s="171"/>
      <c r="B194" s="242" t="s">
        <v>312</v>
      </c>
      <c r="C194" s="242"/>
      <c r="D194" s="242"/>
      <c r="E194" s="242"/>
      <c r="F194" s="242"/>
      <c r="G194" s="242"/>
      <c r="H194" s="242"/>
      <c r="J194" s="282"/>
      <c r="K194" s="282"/>
      <c r="M194" s="474"/>
      <c r="N194" s="242" t="s">
        <v>313</v>
      </c>
      <c r="O194" s="242"/>
      <c r="P194" s="242"/>
      <c r="Q194" s="242"/>
      <c r="R194" s="242"/>
      <c r="S194" s="242"/>
      <c r="T194" s="242"/>
    </row>
    <row r="195" spans="1:20" ht="11.15" customHeight="1">
      <c r="B195" s="475" t="s">
        <v>314</v>
      </c>
      <c r="J195" s="282"/>
      <c r="K195" s="282"/>
      <c r="M195" s="474"/>
      <c r="N195" s="247"/>
      <c r="O195" s="247"/>
      <c r="P195" s="247"/>
      <c r="Q195" s="247"/>
      <c r="R195" s="247"/>
      <c r="S195" s="247"/>
      <c r="T195" s="247"/>
    </row>
    <row r="196" spans="1:20" ht="11.15" customHeight="1">
      <c r="J196" s="282"/>
      <c r="K196" s="282"/>
      <c r="M196" s="474"/>
      <c r="N196" s="247"/>
      <c r="O196" s="247"/>
      <c r="P196" s="247"/>
      <c r="Q196" s="247"/>
      <c r="R196" s="247"/>
      <c r="S196" s="247"/>
      <c r="T196" s="247"/>
    </row>
    <row r="197" spans="1:20" ht="11.15" customHeight="1">
      <c r="J197" s="282"/>
      <c r="K197" s="282"/>
      <c r="M197" s="474"/>
      <c r="N197" s="247"/>
      <c r="O197" s="247"/>
      <c r="P197" s="247"/>
      <c r="Q197" s="247"/>
      <c r="R197" s="247"/>
      <c r="S197" s="247"/>
      <c r="T197" s="247"/>
    </row>
    <row r="198" spans="1:20" ht="11.15" customHeight="1">
      <c r="J198" s="282"/>
      <c r="K198" s="282"/>
      <c r="M198" s="474"/>
      <c r="N198" s="247"/>
      <c r="O198" s="247"/>
      <c r="P198" s="247"/>
      <c r="Q198" s="247"/>
      <c r="R198" s="247"/>
      <c r="S198" s="247"/>
      <c r="T198" s="247"/>
    </row>
    <row r="199" spans="1:20" ht="11.15" customHeight="1">
      <c r="J199" s="282"/>
      <c r="K199" s="282"/>
      <c r="M199" s="474"/>
      <c r="N199" s="247"/>
      <c r="O199" s="247"/>
      <c r="P199" s="247"/>
      <c r="Q199" s="247"/>
      <c r="R199" s="247"/>
      <c r="S199" s="247"/>
      <c r="T199" s="247"/>
    </row>
    <row r="200" spans="1:20" ht="11.15" customHeight="1">
      <c r="J200" s="282"/>
      <c r="K200" s="282"/>
      <c r="M200" s="474"/>
      <c r="N200" s="247"/>
      <c r="O200" s="247"/>
      <c r="P200" s="247"/>
      <c r="Q200" s="247"/>
      <c r="R200" s="247"/>
      <c r="S200" s="247"/>
      <c r="T200" s="247"/>
    </row>
    <row r="201" spans="1:20" ht="11.15" customHeight="1">
      <c r="J201" s="282"/>
      <c r="K201" s="282"/>
      <c r="M201" s="474"/>
      <c r="N201" s="247"/>
      <c r="O201" s="247"/>
      <c r="P201" s="247"/>
      <c r="Q201" s="247"/>
      <c r="R201" s="247"/>
      <c r="S201" s="247"/>
      <c r="T201" s="247"/>
    </row>
    <row r="202" spans="1:20" ht="11.15" customHeight="1">
      <c r="M202" s="474"/>
      <c r="N202" s="247"/>
      <c r="O202" s="247"/>
      <c r="P202" s="247"/>
      <c r="Q202" s="247"/>
      <c r="R202" s="247"/>
      <c r="S202" s="247"/>
      <c r="T202" s="247"/>
    </row>
    <row r="203" spans="1:20" ht="11.15" customHeight="1">
      <c r="M203" s="474"/>
      <c r="N203" s="476"/>
      <c r="O203" s="476"/>
      <c r="P203" s="476"/>
      <c r="Q203" s="476"/>
      <c r="R203" s="476"/>
      <c r="S203" s="476"/>
      <c r="T203" s="477"/>
    </row>
    <row r="204" spans="1:20" ht="11.15" customHeight="1"/>
    <row r="205" spans="1:20" ht="11.15" customHeight="1">
      <c r="M205" s="146" t="s">
        <v>315</v>
      </c>
      <c r="N205" s="146"/>
      <c r="O205" s="146"/>
      <c r="P205" s="146"/>
      <c r="Q205" s="146"/>
      <c r="R205" s="146"/>
      <c r="S205" s="146"/>
      <c r="T205" s="146"/>
    </row>
    <row r="206" spans="1:20" ht="11.15" customHeight="1">
      <c r="A206" s="146" t="s">
        <v>316</v>
      </c>
      <c r="B206" s="146"/>
      <c r="C206" s="146"/>
      <c r="D206" s="146"/>
      <c r="E206" s="146"/>
      <c r="F206" s="146"/>
      <c r="G206" s="146"/>
      <c r="H206" s="146"/>
      <c r="M206" s="146" t="s">
        <v>317</v>
      </c>
      <c r="N206" s="146"/>
      <c r="O206" s="146"/>
      <c r="P206" s="146"/>
      <c r="Q206" s="146"/>
      <c r="R206" s="146"/>
      <c r="S206" s="146"/>
      <c r="T206" s="146"/>
    </row>
    <row r="207" spans="1:20" ht="11.15" customHeight="1">
      <c r="A207" s="146" t="s">
        <v>173</v>
      </c>
      <c r="B207" s="146"/>
      <c r="C207" s="146"/>
      <c r="D207" s="146"/>
      <c r="E207" s="146"/>
      <c r="F207" s="146"/>
      <c r="G207" s="146"/>
      <c r="H207" s="146"/>
      <c r="M207" s="171"/>
      <c r="N207" s="171"/>
      <c r="O207" s="171"/>
      <c r="P207" s="171"/>
      <c r="Q207" s="171"/>
      <c r="R207" s="171"/>
      <c r="S207" s="171"/>
      <c r="T207" s="390" t="s">
        <v>240</v>
      </c>
    </row>
    <row r="208" spans="1:20" ht="11.15" customHeight="1">
      <c r="A208" s="171"/>
      <c r="B208" s="171"/>
      <c r="C208" s="171"/>
      <c r="D208" s="171"/>
      <c r="E208" s="171"/>
      <c r="F208" s="171"/>
      <c r="G208" s="171"/>
      <c r="H208" s="390" t="s">
        <v>247</v>
      </c>
      <c r="M208" s="156" t="s">
        <v>6</v>
      </c>
      <c r="N208" s="187" t="s">
        <v>318</v>
      </c>
      <c r="O208" s="158" t="s">
        <v>179</v>
      </c>
      <c r="P208" s="159"/>
      <c r="Q208" s="159"/>
      <c r="R208" s="159"/>
      <c r="S208" s="160"/>
      <c r="T208" s="187" t="s">
        <v>180</v>
      </c>
    </row>
    <row r="209" spans="1:20" ht="11.15" customHeight="1" thickBot="1">
      <c r="A209" s="156" t="s">
        <v>6</v>
      </c>
      <c r="B209" s="187" t="s">
        <v>178</v>
      </c>
      <c r="C209" s="158" t="s">
        <v>179</v>
      </c>
      <c r="D209" s="159"/>
      <c r="E209" s="159"/>
      <c r="F209" s="159"/>
      <c r="G209" s="160"/>
      <c r="H209" s="187" t="s">
        <v>180</v>
      </c>
      <c r="J209" s="282"/>
      <c r="K209" s="282"/>
      <c r="M209" s="166"/>
      <c r="N209" s="203"/>
      <c r="O209" s="204">
        <v>2011</v>
      </c>
      <c r="P209" s="204">
        <v>2012</v>
      </c>
      <c r="Q209" s="204">
        <v>2013</v>
      </c>
      <c r="R209" s="204">
        <v>2014</v>
      </c>
      <c r="S209" s="204">
        <v>2015</v>
      </c>
      <c r="T209" s="203"/>
    </row>
    <row r="210" spans="1:20" ht="11.15" customHeight="1" thickTop="1" thickBot="1">
      <c r="A210" s="166"/>
      <c r="B210" s="203"/>
      <c r="C210" s="204">
        <v>2011</v>
      </c>
      <c r="D210" s="204">
        <v>2012</v>
      </c>
      <c r="E210" s="204">
        <v>2013</v>
      </c>
      <c r="F210" s="204">
        <v>2014</v>
      </c>
      <c r="G210" s="204">
        <v>2015</v>
      </c>
      <c r="H210" s="203"/>
      <c r="J210" s="282"/>
      <c r="K210" s="282"/>
      <c r="M210" s="339">
        <v>1</v>
      </c>
      <c r="N210" s="340" t="s">
        <v>319</v>
      </c>
      <c r="O210" s="278">
        <v>2756.4</v>
      </c>
      <c r="P210" s="478">
        <v>2806.2627699999998</v>
      </c>
      <c r="Q210" s="479">
        <v>2462.0481</v>
      </c>
      <c r="R210" s="479">
        <v>2804.4</v>
      </c>
      <c r="S210" s="479">
        <v>3028.7828</v>
      </c>
      <c r="T210" s="278">
        <f>((P210-O210)/O210*100+(Q210-P210)/P210*100+(R210-Q210)/Q210*100+(S210-R210)/R210*100)/4</f>
        <v>2.8623252833038575</v>
      </c>
    </row>
    <row r="211" spans="1:20" ht="11.15" customHeight="1" thickTop="1">
      <c r="A211" s="340">
        <v>1</v>
      </c>
      <c r="B211" s="340" t="s">
        <v>195</v>
      </c>
      <c r="C211" s="341">
        <v>8903</v>
      </c>
      <c r="D211" s="341">
        <v>8935</v>
      </c>
      <c r="E211" s="341">
        <v>8924</v>
      </c>
      <c r="F211" s="459">
        <f>9018+83</f>
        <v>9101</v>
      </c>
      <c r="G211" s="480">
        <v>9145</v>
      </c>
      <c r="H211" s="278">
        <f>((D211-C211)/C211*100+(E211-D211)/D211*100+(F211-E211)/E211*100+(G211-F211)/F211*100)/4</f>
        <v>0.67579922760325251</v>
      </c>
      <c r="J211" s="481"/>
      <c r="K211" s="282"/>
      <c r="M211" s="223">
        <v>2</v>
      </c>
      <c r="N211" s="224" t="s">
        <v>320</v>
      </c>
      <c r="O211" s="186">
        <v>1865.38</v>
      </c>
      <c r="P211" s="482">
        <v>2505.2991700000007</v>
      </c>
      <c r="Q211" s="186">
        <v>2368.2143599999999</v>
      </c>
      <c r="R211" s="186">
        <v>3176.1</v>
      </c>
      <c r="S211" s="186">
        <v>2596.9367000000002</v>
      </c>
      <c r="T211" s="186">
        <f>((P211-O211)/O211*100+(Q211-P211)/P211*100+(R211-Q211)/Q211*100+(S211-R211)/R211*100)/4</f>
        <v>11.177973516996216</v>
      </c>
    </row>
    <row r="212" spans="1:20" ht="11.15" customHeight="1">
      <c r="A212" s="224">
        <v>2</v>
      </c>
      <c r="B212" s="224" t="s">
        <v>198</v>
      </c>
      <c r="C212" s="226">
        <v>1734</v>
      </c>
      <c r="D212" s="226">
        <v>1274</v>
      </c>
      <c r="E212" s="226">
        <v>1040</v>
      </c>
      <c r="F212" s="226">
        <f>1362+30</f>
        <v>1392</v>
      </c>
      <c r="G212" s="483">
        <v>1430</v>
      </c>
      <c r="H212" s="186">
        <f>((D212-C212)/C212*100+(E212-D212)/D212*100+(F212-E212)/E212*100+(G212-F212)/F212*100)/4</f>
        <v>-2.0798915993296987</v>
      </c>
      <c r="J212" s="481"/>
      <c r="K212" s="282"/>
      <c r="M212" s="223">
        <v>3</v>
      </c>
      <c r="N212" s="224" t="s">
        <v>321</v>
      </c>
      <c r="O212" s="186">
        <v>1871.77</v>
      </c>
      <c r="P212" s="482">
        <v>2407.1495799999998</v>
      </c>
      <c r="Q212" s="186">
        <v>1872.9179000000001</v>
      </c>
      <c r="R212" s="186">
        <v>2969.96</v>
      </c>
      <c r="S212" s="186">
        <v>2809.4625999999998</v>
      </c>
      <c r="T212" s="186">
        <f t="shared" ref="T212:T221" si="18">((P212-O212)/O212*100+(Q212-P212)/P212*100+(R212-Q212)/Q212*100+(S212-R212)/R212*100)/4</f>
        <v>14.894810453188564</v>
      </c>
    </row>
    <row r="213" spans="1:20" ht="11.15" customHeight="1">
      <c r="A213" s="224">
        <v>3</v>
      </c>
      <c r="B213" s="224" t="s">
        <v>202</v>
      </c>
      <c r="C213" s="226">
        <v>2337</v>
      </c>
      <c r="D213" s="226">
        <v>2166</v>
      </c>
      <c r="E213" s="226">
        <v>1806</v>
      </c>
      <c r="F213" s="226">
        <f>936+1020</f>
        <v>1956</v>
      </c>
      <c r="G213" s="483">
        <v>2213</v>
      </c>
      <c r="H213" s="186">
        <f t="shared" ref="H213:H218" si="19">((D213-C213)/C213*100+(E213-D213)/D213*100+(F213-E213)/E213*100+(G213-F213)/F213*100)/4</f>
        <v>-0.62321616011377978</v>
      </c>
      <c r="J213" s="481"/>
      <c r="K213" s="282"/>
      <c r="M213" s="223">
        <v>4</v>
      </c>
      <c r="N213" s="224" t="s">
        <v>322</v>
      </c>
      <c r="O213" s="186">
        <v>2467.89</v>
      </c>
      <c r="P213" s="482">
        <v>1916.3267099999998</v>
      </c>
      <c r="Q213" s="186">
        <v>2988.0156200000001</v>
      </c>
      <c r="R213" s="186">
        <v>3097.58</v>
      </c>
      <c r="S213" s="186">
        <v>2803.4841999999999</v>
      </c>
      <c r="T213" s="186">
        <f t="shared" si="18"/>
        <v>6.9367386290413382</v>
      </c>
    </row>
    <row r="214" spans="1:20" ht="11.15" customHeight="1">
      <c r="A214" s="224">
        <v>4</v>
      </c>
      <c r="B214" s="224" t="s">
        <v>204</v>
      </c>
      <c r="C214" s="226">
        <v>10029</v>
      </c>
      <c r="D214" s="226">
        <v>10173</v>
      </c>
      <c r="E214" s="226">
        <v>10173</v>
      </c>
      <c r="F214" s="226">
        <f>10029+144</f>
        <v>10173</v>
      </c>
      <c r="G214" s="483">
        <v>10173</v>
      </c>
      <c r="H214" s="186">
        <f t="shared" si="19"/>
        <v>0.35895901884534848</v>
      </c>
      <c r="J214" s="481"/>
      <c r="K214" s="282"/>
      <c r="M214" s="223">
        <v>5</v>
      </c>
      <c r="N214" s="224" t="s">
        <v>323</v>
      </c>
      <c r="O214" s="186">
        <v>2676.03</v>
      </c>
      <c r="P214" s="482">
        <v>2225.4019699999999</v>
      </c>
      <c r="Q214" s="186">
        <v>2731.1246499999993</v>
      </c>
      <c r="R214" s="186">
        <v>2424</v>
      </c>
      <c r="S214" s="186">
        <v>3125.4364</v>
      </c>
      <c r="T214" s="186">
        <f t="shared" si="18"/>
        <v>5.8943426671135146</v>
      </c>
    </row>
    <row r="215" spans="1:20" ht="11.15" customHeight="1">
      <c r="A215" s="224">
        <v>5</v>
      </c>
      <c r="B215" s="224" t="s">
        <v>205</v>
      </c>
      <c r="C215" s="226">
        <v>6813</v>
      </c>
      <c r="D215" s="226">
        <v>7180</v>
      </c>
      <c r="E215" s="226">
        <v>7150</v>
      </c>
      <c r="F215" s="226">
        <f>6816+242</f>
        <v>7058</v>
      </c>
      <c r="G215" s="483">
        <v>5583</v>
      </c>
      <c r="H215" s="186">
        <f t="shared" si="19"/>
        <v>-4.3040128612603539</v>
      </c>
      <c r="J215" s="481"/>
      <c r="K215" s="282"/>
      <c r="M215" s="223">
        <v>6</v>
      </c>
      <c r="N215" s="224" t="s">
        <v>324</v>
      </c>
      <c r="O215" s="186">
        <v>2932.65</v>
      </c>
      <c r="P215" s="482">
        <v>2395.3497600000005</v>
      </c>
      <c r="Q215" s="186">
        <v>3466.6532700000002</v>
      </c>
      <c r="R215" s="186">
        <v>3436.56</v>
      </c>
      <c r="S215" s="186">
        <v>2537.6046000000001</v>
      </c>
      <c r="T215" s="186">
        <f t="shared" si="18"/>
        <v>-0.15591976558965115</v>
      </c>
    </row>
    <row r="216" spans="1:20" ht="11.15" customHeight="1">
      <c r="A216" s="224">
        <v>6</v>
      </c>
      <c r="B216" s="224" t="s">
        <v>208</v>
      </c>
      <c r="C216" s="226">
        <v>6579</v>
      </c>
      <c r="D216" s="226">
        <v>6643</v>
      </c>
      <c r="E216" s="226">
        <v>6643</v>
      </c>
      <c r="F216" s="226">
        <f>6348+295</f>
        <v>6643</v>
      </c>
      <c r="G216" s="483">
        <v>6649</v>
      </c>
      <c r="H216" s="186">
        <f t="shared" si="19"/>
        <v>0.26577821398202561</v>
      </c>
      <c r="J216" s="481"/>
      <c r="K216" s="282"/>
      <c r="M216" s="223">
        <v>7</v>
      </c>
      <c r="N216" s="224" t="s">
        <v>325</v>
      </c>
      <c r="O216" s="186">
        <v>2403.7399999999998</v>
      </c>
      <c r="P216" s="482">
        <v>2179.6759199999997</v>
      </c>
      <c r="Q216" s="186">
        <v>2864.7733899999994</v>
      </c>
      <c r="R216" s="186">
        <v>3501.54</v>
      </c>
      <c r="S216" s="186">
        <v>2182.6741999999999</v>
      </c>
      <c r="T216" s="186">
        <f t="shared" si="18"/>
        <v>1.6679615358568682</v>
      </c>
    </row>
    <row r="217" spans="1:20" ht="11.15" customHeight="1">
      <c r="A217" s="224">
        <v>7</v>
      </c>
      <c r="B217" s="224" t="s">
        <v>213</v>
      </c>
      <c r="C217" s="226">
        <v>1080</v>
      </c>
      <c r="D217" s="226">
        <v>1080</v>
      </c>
      <c r="E217" s="226">
        <v>1132</v>
      </c>
      <c r="F217" s="226">
        <f>1296</f>
        <v>1296</v>
      </c>
      <c r="G217" s="483">
        <v>1212</v>
      </c>
      <c r="H217" s="186">
        <f t="shared" si="19"/>
        <v>3.2052414605418136</v>
      </c>
      <c r="J217" s="481"/>
      <c r="K217" s="282"/>
      <c r="M217" s="223">
        <v>8</v>
      </c>
      <c r="N217" s="224" t="s">
        <v>326</v>
      </c>
      <c r="O217" s="186">
        <v>2438.36</v>
      </c>
      <c r="P217" s="482">
        <v>2663.5891900000006</v>
      </c>
      <c r="Q217" s="484">
        <v>3563.7929399999994</v>
      </c>
      <c r="R217" s="484">
        <v>3033.89</v>
      </c>
      <c r="S217" s="484">
        <v>1974.5219</v>
      </c>
      <c r="T217" s="186">
        <f t="shared" si="18"/>
        <v>-1.6883326099526617</v>
      </c>
    </row>
    <row r="218" spans="1:20" ht="11.15" customHeight="1">
      <c r="A218" s="224">
        <v>8</v>
      </c>
      <c r="B218" s="224" t="s">
        <v>215</v>
      </c>
      <c r="C218" s="226">
        <v>1264</v>
      </c>
      <c r="D218" s="226">
        <v>1271</v>
      </c>
      <c r="E218" s="226">
        <v>1046</v>
      </c>
      <c r="F218" s="226">
        <f>724+215</f>
        <v>939</v>
      </c>
      <c r="G218" s="483">
        <v>954</v>
      </c>
      <c r="H218" s="186">
        <f t="shared" si="19"/>
        <v>-6.4452000824208442</v>
      </c>
      <c r="J218" s="481"/>
      <c r="M218" s="350">
        <v>9</v>
      </c>
      <c r="N218" s="351" t="s">
        <v>327</v>
      </c>
      <c r="O218" s="461">
        <v>2313.5</v>
      </c>
      <c r="P218" s="485">
        <v>1609.6734599999995</v>
      </c>
      <c r="Q218" s="486">
        <v>2538.7141799999995</v>
      </c>
      <c r="R218" s="486">
        <v>3616.37</v>
      </c>
      <c r="S218" s="486">
        <v>2652.8723</v>
      </c>
      <c r="T218" s="186">
        <f t="shared" si="18"/>
        <v>10.774930110157049</v>
      </c>
    </row>
    <row r="219" spans="1:20" ht="11.15" customHeight="1" thickBot="1">
      <c r="A219" s="351">
        <v>9</v>
      </c>
      <c r="B219" s="351" t="s">
        <v>309</v>
      </c>
      <c r="C219" s="465">
        <v>1805</v>
      </c>
      <c r="D219" s="465">
        <v>1805</v>
      </c>
      <c r="E219" s="465">
        <v>1777</v>
      </c>
      <c r="F219" s="220">
        <v>1815</v>
      </c>
      <c r="G219" s="487">
        <v>1823</v>
      </c>
      <c r="H219" s="186">
        <f>((D219-C219)/C219*100+(E219-D219)/D219*100+(F219-E219)/E219*100+(G219-F219)/F219*100)/4</f>
        <v>0.25699009450651739</v>
      </c>
      <c r="J219" s="481"/>
      <c r="K219" s="282"/>
      <c r="M219" s="350">
        <v>10</v>
      </c>
      <c r="N219" s="351" t="s">
        <v>328</v>
      </c>
      <c r="O219" s="461">
        <v>2318.94</v>
      </c>
      <c r="P219" s="485">
        <v>2245.6</v>
      </c>
      <c r="Q219" s="486">
        <v>2843.6692899999998</v>
      </c>
      <c r="R219" s="486">
        <v>3944.18</v>
      </c>
      <c r="S219" s="486">
        <v>2656.9072000000001</v>
      </c>
      <c r="T219" s="186">
        <f t="shared" si="18"/>
        <v>7.3833476421549822</v>
      </c>
    </row>
    <row r="220" spans="1:20" ht="11.15" customHeight="1" thickTop="1" thickBot="1">
      <c r="A220" s="468" t="s">
        <v>184</v>
      </c>
      <c r="B220" s="469"/>
      <c r="C220" s="470">
        <f>SUM(C211:C219)</f>
        <v>40544</v>
      </c>
      <c r="D220" s="470">
        <f>SUM(D211:D219)</f>
        <v>40527</v>
      </c>
      <c r="E220" s="470">
        <f>SUM(E211:E219)</f>
        <v>39691</v>
      </c>
      <c r="F220" s="470">
        <f>SUM(F211:F219)</f>
        <v>40373</v>
      </c>
      <c r="G220" s="470">
        <f>SUM(G211:G219)</f>
        <v>39182</v>
      </c>
      <c r="H220" s="319">
        <f>((D220-C220)/C220*100+(E220-D220)/D220*100+(F220-E220)/E220*100+(G220-F220)/F220*100)/4</f>
        <v>-0.83411743452487808</v>
      </c>
      <c r="J220" s="282"/>
      <c r="K220" s="282"/>
      <c r="M220" s="350">
        <v>11</v>
      </c>
      <c r="N220" s="351" t="s">
        <v>329</v>
      </c>
      <c r="O220" s="461">
        <v>2308.4299999999998</v>
      </c>
      <c r="P220" s="485">
        <v>3730.0650000000001</v>
      </c>
      <c r="Q220" s="486">
        <v>3713.1011800000001</v>
      </c>
      <c r="R220" s="486">
        <v>3722.37</v>
      </c>
      <c r="S220" s="486">
        <v>3673.5140999999999</v>
      </c>
      <c r="T220" s="186">
        <f t="shared" si="18"/>
        <v>15.01671023728484</v>
      </c>
    </row>
    <row r="221" spans="1:20" ht="11.15" customHeight="1" thickTop="1" thickBot="1">
      <c r="A221" s="488"/>
      <c r="B221" s="488"/>
      <c r="C221" s="488"/>
      <c r="D221" s="488"/>
      <c r="E221" s="488"/>
      <c r="F221" s="488"/>
      <c r="G221" s="488"/>
      <c r="H221" s="488"/>
      <c r="J221" s="282"/>
      <c r="K221" s="282"/>
      <c r="M221" s="350">
        <v>12</v>
      </c>
      <c r="N221" s="351" t="s">
        <v>330</v>
      </c>
      <c r="O221" s="461">
        <v>2195.1799999999998</v>
      </c>
      <c r="P221" s="485">
        <v>2693.98</v>
      </c>
      <c r="Q221" s="486">
        <v>2851.8896599999998</v>
      </c>
      <c r="R221" s="486">
        <v>3471.69</v>
      </c>
      <c r="S221" s="486">
        <v>3194.0744</v>
      </c>
      <c r="T221" s="186">
        <f t="shared" si="18"/>
        <v>10.580125213739871</v>
      </c>
    </row>
    <row r="222" spans="1:20" ht="11.15" customHeight="1" thickTop="1" thickBot="1">
      <c r="A222" s="488"/>
      <c r="B222" s="242" t="s">
        <v>331</v>
      </c>
      <c r="C222" s="242"/>
      <c r="D222" s="242"/>
      <c r="E222" s="242"/>
      <c r="F222" s="242"/>
      <c r="G222" s="242"/>
      <c r="H222" s="242"/>
      <c r="J222" s="282"/>
      <c r="K222" s="282"/>
      <c r="M222" s="468" t="s">
        <v>184</v>
      </c>
      <c r="N222" s="469"/>
      <c r="O222" s="319">
        <f>SUM(O210:O221)</f>
        <v>28548.27</v>
      </c>
      <c r="P222" s="319">
        <f>SUM(P210:P221)</f>
        <v>29378.373529999997</v>
      </c>
      <c r="Q222" s="319">
        <f>SUM(Q210:Q221)</f>
        <v>34264.914539999998</v>
      </c>
      <c r="R222" s="319">
        <f>SUM(R210:R221)</f>
        <v>39198.639999999999</v>
      </c>
      <c r="S222" s="319">
        <f>SUM(S210:S221)</f>
        <v>33236.271400000005</v>
      </c>
      <c r="T222" s="319">
        <f>((P222-O222)/O222*100+(Q222-P222)/P222*100+(R222-Q222)/Q222*100+(S222-R222)/R222*100)/4</f>
        <v>4.6822395665642169</v>
      </c>
    </row>
    <row r="223" spans="1:20" ht="11.15" customHeight="1" thickTop="1">
      <c r="A223" s="488"/>
      <c r="B223" s="475" t="s">
        <v>314</v>
      </c>
      <c r="C223" s="247"/>
      <c r="D223" s="247"/>
      <c r="E223" s="247"/>
      <c r="F223" s="247"/>
      <c r="G223" s="247"/>
      <c r="H223" s="247"/>
      <c r="J223" s="282"/>
      <c r="K223" s="282"/>
      <c r="M223" s="171"/>
      <c r="N223" s="171"/>
      <c r="O223" s="489"/>
      <c r="P223" s="151"/>
      <c r="Q223" s="171"/>
      <c r="R223" s="171"/>
      <c r="S223" s="171"/>
      <c r="T223" s="171"/>
    </row>
    <row r="224" spans="1:20" ht="11.15" customHeight="1">
      <c r="A224" s="488"/>
      <c r="B224" s="247"/>
      <c r="C224" s="247"/>
      <c r="D224" s="247"/>
      <c r="E224" s="247"/>
      <c r="F224" s="247"/>
      <c r="G224" s="247"/>
      <c r="H224" s="247"/>
      <c r="J224" s="282"/>
      <c r="K224" s="282"/>
      <c r="M224" s="171"/>
      <c r="N224" s="242" t="s">
        <v>332</v>
      </c>
      <c r="O224" s="242"/>
      <c r="P224" s="242"/>
      <c r="Q224" s="242"/>
      <c r="R224" s="242"/>
      <c r="S224" s="242"/>
      <c r="T224" s="242"/>
    </row>
    <row r="225" spans="1:20" ht="11.15" customHeight="1">
      <c r="A225" s="488"/>
      <c r="B225" s="247"/>
      <c r="C225" s="247"/>
      <c r="D225" s="247"/>
      <c r="E225" s="247"/>
      <c r="F225" s="247"/>
      <c r="G225" s="247"/>
      <c r="H225" s="247"/>
      <c r="J225" s="282"/>
      <c r="K225" s="282"/>
      <c r="M225" s="171"/>
      <c r="N225" s="247"/>
      <c r="O225" s="247"/>
      <c r="P225" s="247"/>
      <c r="Q225" s="247"/>
      <c r="R225" s="247"/>
      <c r="S225" s="247"/>
      <c r="T225" s="247"/>
    </row>
    <row r="226" spans="1:20" ht="11.15" customHeight="1">
      <c r="A226" s="488"/>
      <c r="B226" s="247"/>
      <c r="C226" s="247"/>
      <c r="D226" s="247"/>
      <c r="E226" s="247"/>
      <c r="F226" s="247"/>
      <c r="G226" s="247"/>
      <c r="H226" s="247"/>
      <c r="J226" s="282"/>
      <c r="K226" s="282"/>
      <c r="M226" s="171"/>
      <c r="N226" s="247"/>
      <c r="O226" s="247"/>
      <c r="P226" s="247"/>
      <c r="Q226" s="247"/>
      <c r="R226" s="247"/>
      <c r="S226" s="490"/>
      <c r="T226" s="247"/>
    </row>
    <row r="227" spans="1:20" ht="11.15" customHeight="1">
      <c r="A227" s="488"/>
      <c r="B227" s="247"/>
      <c r="C227" s="247"/>
      <c r="D227" s="247"/>
      <c r="E227" s="247"/>
      <c r="F227" s="247"/>
      <c r="G227" s="247"/>
      <c r="H227" s="247"/>
      <c r="J227" s="282"/>
      <c r="K227" s="282"/>
      <c r="M227" s="171"/>
      <c r="N227" s="247"/>
      <c r="O227" s="247"/>
      <c r="P227" s="247"/>
      <c r="Q227" s="247"/>
      <c r="R227" s="247"/>
      <c r="S227" s="247"/>
      <c r="T227" s="247"/>
    </row>
    <row r="228" spans="1:20" ht="11.15" customHeight="1">
      <c r="A228" s="488"/>
      <c r="B228" s="247"/>
      <c r="C228" s="247"/>
      <c r="D228" s="247"/>
      <c r="E228" s="247"/>
      <c r="F228" s="247"/>
      <c r="G228" s="247"/>
      <c r="H228" s="247"/>
      <c r="M228" s="171"/>
      <c r="N228" s="247"/>
      <c r="O228" s="247"/>
      <c r="P228" s="247"/>
      <c r="Q228" s="247"/>
      <c r="R228" s="247"/>
      <c r="S228" s="247"/>
      <c r="T228" s="247"/>
    </row>
    <row r="229" spans="1:20" ht="11.15" customHeight="1">
      <c r="A229" s="488"/>
      <c r="B229" s="247"/>
      <c r="C229" s="247"/>
      <c r="D229" s="247"/>
      <c r="E229" s="247"/>
      <c r="F229" s="247"/>
      <c r="G229" s="247"/>
      <c r="H229" s="247"/>
      <c r="M229" s="171"/>
      <c r="N229" s="247"/>
      <c r="O229" s="247"/>
      <c r="P229" s="247"/>
      <c r="Q229" s="247"/>
      <c r="R229" s="247"/>
      <c r="S229" s="247"/>
      <c r="T229" s="247"/>
    </row>
    <row r="230" spans="1:20" ht="11.15" customHeight="1">
      <c r="A230" s="488"/>
      <c r="B230" s="247"/>
      <c r="C230" s="247"/>
      <c r="D230" s="247"/>
      <c r="E230" s="247"/>
      <c r="F230" s="247"/>
      <c r="G230" s="247"/>
      <c r="H230" s="247"/>
      <c r="M230" s="171"/>
      <c r="N230" s="247"/>
      <c r="O230" s="247"/>
      <c r="P230" s="247"/>
      <c r="Q230" s="247"/>
      <c r="R230" s="247"/>
      <c r="S230" s="247"/>
      <c r="T230" s="247"/>
    </row>
    <row r="231" spans="1:20" ht="11.15" customHeight="1">
      <c r="A231" s="488"/>
      <c r="B231" s="247"/>
      <c r="C231" s="247"/>
      <c r="D231" s="247"/>
      <c r="E231" s="247"/>
      <c r="F231" s="247"/>
      <c r="G231" s="247"/>
      <c r="H231" s="247"/>
      <c r="M231" s="171"/>
      <c r="N231" s="247"/>
      <c r="O231" s="247"/>
      <c r="P231" s="247"/>
      <c r="Q231" s="247"/>
      <c r="R231" s="247"/>
      <c r="S231" s="247"/>
      <c r="T231" s="247"/>
    </row>
    <row r="232" spans="1:20" ht="11.15" customHeight="1">
      <c r="M232" s="171"/>
      <c r="N232" s="247"/>
      <c r="O232" s="247"/>
      <c r="P232" s="247"/>
      <c r="Q232" s="247"/>
      <c r="R232" s="247"/>
      <c r="S232" s="247"/>
      <c r="T232" s="247"/>
    </row>
    <row r="233" spans="1:20" ht="11.15" customHeight="1"/>
    <row r="234" spans="1:20" ht="11.15" customHeight="1"/>
    <row r="235" spans="1:20" ht="11.15" customHeight="1">
      <c r="A235" s="146" t="s">
        <v>333</v>
      </c>
      <c r="B235" s="146"/>
      <c r="C235" s="146"/>
      <c r="D235" s="146"/>
      <c r="E235" s="146"/>
      <c r="F235" s="146"/>
      <c r="G235" s="146"/>
      <c r="H235" s="146"/>
      <c r="M235" s="491" t="s">
        <v>334</v>
      </c>
      <c r="N235" s="491"/>
      <c r="O235" s="491"/>
      <c r="P235" s="491"/>
      <c r="Q235" s="491"/>
      <c r="R235" s="491"/>
      <c r="S235" s="491"/>
      <c r="T235" s="491"/>
    </row>
    <row r="236" spans="1:20" ht="11.15" customHeight="1">
      <c r="A236" s="146" t="s">
        <v>335</v>
      </c>
      <c r="B236" s="146"/>
      <c r="C236" s="146"/>
      <c r="D236" s="146"/>
      <c r="E236" s="146"/>
      <c r="F236" s="146"/>
      <c r="G236" s="146"/>
      <c r="H236" s="146"/>
      <c r="M236" s="491" t="s">
        <v>336</v>
      </c>
      <c r="N236" s="491"/>
      <c r="O236" s="491"/>
      <c r="P236" s="491"/>
      <c r="Q236" s="491"/>
      <c r="R236" s="491"/>
      <c r="S236" s="491"/>
      <c r="T236" s="491"/>
    </row>
    <row r="237" spans="1:20" ht="11.15" customHeight="1">
      <c r="A237" s="171"/>
      <c r="B237" s="171"/>
      <c r="C237" s="171"/>
      <c r="D237" s="171"/>
      <c r="E237" s="171"/>
      <c r="F237" s="172" t="s">
        <v>235</v>
      </c>
      <c r="G237" s="172"/>
      <c r="H237" s="172"/>
      <c r="M237" s="492"/>
      <c r="N237" s="492"/>
      <c r="O237" s="492"/>
      <c r="P237" s="492"/>
      <c r="Q237" s="492"/>
      <c r="R237" s="492"/>
      <c r="S237" s="492"/>
      <c r="T237" s="493" t="s">
        <v>263</v>
      </c>
    </row>
    <row r="238" spans="1:20" ht="11.15" customHeight="1">
      <c r="A238" s="156" t="s">
        <v>6</v>
      </c>
      <c r="B238" s="187" t="s">
        <v>337</v>
      </c>
      <c r="C238" s="158" t="s">
        <v>179</v>
      </c>
      <c r="D238" s="159"/>
      <c r="E238" s="159"/>
      <c r="F238" s="159"/>
      <c r="G238" s="160"/>
      <c r="H238" s="494" t="s">
        <v>180</v>
      </c>
      <c r="M238" s="495" t="s">
        <v>6</v>
      </c>
      <c r="N238" s="496" t="s">
        <v>318</v>
      </c>
      <c r="O238" s="158" t="s">
        <v>179</v>
      </c>
      <c r="P238" s="159"/>
      <c r="Q238" s="159"/>
      <c r="R238" s="159"/>
      <c r="S238" s="160"/>
      <c r="T238" s="496" t="s">
        <v>180</v>
      </c>
    </row>
    <row r="239" spans="1:20" ht="11.15" customHeight="1" thickBot="1">
      <c r="A239" s="166"/>
      <c r="B239" s="203"/>
      <c r="C239" s="204">
        <v>2011</v>
      </c>
      <c r="D239" s="204">
        <v>2012</v>
      </c>
      <c r="E239" s="204">
        <v>2013</v>
      </c>
      <c r="F239" s="204">
        <v>2014</v>
      </c>
      <c r="G239" s="204">
        <v>2015</v>
      </c>
      <c r="H239" s="497"/>
      <c r="J239" s="282"/>
      <c r="M239" s="498"/>
      <c r="N239" s="499"/>
      <c r="O239" s="204">
        <v>2011</v>
      </c>
      <c r="P239" s="204">
        <v>2012</v>
      </c>
      <c r="Q239" s="204">
        <v>2013</v>
      </c>
      <c r="R239" s="204">
        <v>2014</v>
      </c>
      <c r="S239" s="204">
        <v>2015</v>
      </c>
      <c r="T239" s="499"/>
    </row>
    <row r="240" spans="1:20" ht="11.15" customHeight="1" thickTop="1">
      <c r="A240" s="340">
        <v>1</v>
      </c>
      <c r="B240" s="340" t="s">
        <v>338</v>
      </c>
      <c r="C240" s="341">
        <v>2449</v>
      </c>
      <c r="D240" s="341">
        <v>2465</v>
      </c>
      <c r="E240" s="341">
        <v>2604</v>
      </c>
      <c r="F240" s="459">
        <f>2276+376</f>
        <v>2652</v>
      </c>
      <c r="G240" s="459">
        <v>3258</v>
      </c>
      <c r="H240" s="278">
        <f>((D240-C240)/C240*100+(E240-D240)/D240*100+(F240-E240)/E240*100+(G240-F240)/F240*100)/4</f>
        <v>7.7465674568954714</v>
      </c>
      <c r="J240" s="282"/>
      <c r="M240" s="500">
        <v>1</v>
      </c>
      <c r="N240" s="479" t="s">
        <v>319</v>
      </c>
      <c r="O240" s="479">
        <v>232030</v>
      </c>
      <c r="P240" s="501">
        <v>162900</v>
      </c>
      <c r="Q240" s="479">
        <v>70700</v>
      </c>
      <c r="R240" s="479">
        <v>21200</v>
      </c>
      <c r="S240" s="479">
        <v>33400</v>
      </c>
      <c r="T240" s="502">
        <v>-29.182949347671318</v>
      </c>
    </row>
    <row r="241" spans="1:20" ht="11.15" customHeight="1">
      <c r="A241" s="224">
        <v>2</v>
      </c>
      <c r="B241" s="224" t="s">
        <v>339</v>
      </c>
      <c r="C241" s="226">
        <v>12440</v>
      </c>
      <c r="D241" s="226">
        <v>12357</v>
      </c>
      <c r="E241" s="226">
        <v>12721</v>
      </c>
      <c r="F241" s="226">
        <v>12880</v>
      </c>
      <c r="G241" s="226">
        <v>13180</v>
      </c>
      <c r="H241" s="186">
        <f>((D241-C241)/C241*100+(E241-D241)/D241*100+(F241-E241)/E241*100+(G241-F241)/F241*100)/4</f>
        <v>1.4643976264317755</v>
      </c>
      <c r="J241" s="282"/>
      <c r="M241" s="503">
        <v>2</v>
      </c>
      <c r="N241" s="504" t="s">
        <v>320</v>
      </c>
      <c r="O241" s="504">
        <v>218874</v>
      </c>
      <c r="P241" s="505">
        <v>191740</v>
      </c>
      <c r="Q241" s="505">
        <v>80900</v>
      </c>
      <c r="R241" s="505">
        <v>82600</v>
      </c>
      <c r="S241" s="505">
        <v>49100</v>
      </c>
      <c r="T241" s="504">
        <v>-35.813694003557849</v>
      </c>
    </row>
    <row r="242" spans="1:20" ht="11.15" customHeight="1">
      <c r="A242" s="224">
        <v>3</v>
      </c>
      <c r="B242" s="224" t="s">
        <v>340</v>
      </c>
      <c r="C242" s="226">
        <v>710</v>
      </c>
      <c r="D242" s="226">
        <v>660</v>
      </c>
      <c r="E242" s="226">
        <v>720</v>
      </c>
      <c r="F242" s="226">
        <f>SUM(F243:F250)</f>
        <v>1052</v>
      </c>
      <c r="G242" s="226">
        <f>SUM(G243:G250)</f>
        <v>1019</v>
      </c>
      <c r="H242" s="186">
        <f t="shared" ref="H242:H250" si="20">((D242-C242)/C242*100+(E242-D242)/D242*100+(F242-E242)/E242*100+(G242-F242)/F242*100)/4</f>
        <v>11.25572113790397</v>
      </c>
      <c r="J242" s="282"/>
      <c r="M242" s="503">
        <v>3</v>
      </c>
      <c r="N242" s="504" t="s">
        <v>321</v>
      </c>
      <c r="O242" s="504">
        <v>297850</v>
      </c>
      <c r="P242" s="505">
        <v>135789</v>
      </c>
      <c r="Q242" s="505">
        <v>124500</v>
      </c>
      <c r="R242" s="505">
        <v>63200</v>
      </c>
      <c r="S242" s="505">
        <v>29300</v>
      </c>
      <c r="T242" s="504">
        <v>-40.158065214052442</v>
      </c>
    </row>
    <row r="243" spans="1:20" ht="11.15" customHeight="1">
      <c r="A243" s="224"/>
      <c r="B243" s="224" t="s">
        <v>341</v>
      </c>
      <c r="C243" s="226">
        <v>52</v>
      </c>
      <c r="D243" s="226">
        <v>15</v>
      </c>
      <c r="E243" s="226">
        <v>68</v>
      </c>
      <c r="F243" s="226">
        <v>71</v>
      </c>
      <c r="G243" s="226">
        <v>83</v>
      </c>
      <c r="H243" s="186">
        <f t="shared" si="20"/>
        <v>75.873165084018439</v>
      </c>
      <c r="J243" s="282"/>
      <c r="M243" s="503">
        <v>4</v>
      </c>
      <c r="N243" s="504" t="s">
        <v>322</v>
      </c>
      <c r="O243" s="504">
        <v>319913</v>
      </c>
      <c r="P243" s="505">
        <v>187798</v>
      </c>
      <c r="Q243" s="505">
        <v>118550</v>
      </c>
      <c r="R243" s="505">
        <v>3000</v>
      </c>
      <c r="S243" s="505">
        <v>12400</v>
      </c>
      <c r="T243" s="504">
        <v>-34.379376785039618</v>
      </c>
    </row>
    <row r="244" spans="1:20" ht="11.15" customHeight="1">
      <c r="A244" s="224"/>
      <c r="B244" s="224" t="s">
        <v>342</v>
      </c>
      <c r="C244" s="226">
        <v>31</v>
      </c>
      <c r="D244" s="226">
        <v>17</v>
      </c>
      <c r="E244" s="226">
        <v>9</v>
      </c>
      <c r="F244" s="226">
        <v>38</v>
      </c>
      <c r="G244" s="226">
        <v>96</v>
      </c>
      <c r="H244" s="186">
        <f t="shared" si="20"/>
        <v>95.658421829399572</v>
      </c>
      <c r="J244" s="282"/>
      <c r="M244" s="503">
        <v>5</v>
      </c>
      <c r="N244" s="504" t="s">
        <v>323</v>
      </c>
      <c r="O244" s="504">
        <v>262730</v>
      </c>
      <c r="P244" s="505">
        <v>171000</v>
      </c>
      <c r="Q244" s="505">
        <v>129960</v>
      </c>
      <c r="R244" s="505">
        <v>40700</v>
      </c>
      <c r="S244" s="505">
        <v>3600</v>
      </c>
      <c r="T244" s="504">
        <v>-39.691636288010606</v>
      </c>
    </row>
    <row r="245" spans="1:20" ht="11.15" customHeight="1">
      <c r="A245" s="224"/>
      <c r="B245" s="224" t="s">
        <v>343</v>
      </c>
      <c r="C245" s="226">
        <v>44</v>
      </c>
      <c r="D245" s="226">
        <v>44</v>
      </c>
      <c r="E245" s="226">
        <v>45</v>
      </c>
      <c r="F245" s="226">
        <v>42</v>
      </c>
      <c r="G245" s="226">
        <v>38</v>
      </c>
      <c r="H245" s="186">
        <f t="shared" si="20"/>
        <v>-3.4794372294372296</v>
      </c>
      <c r="J245" s="282"/>
      <c r="M245" s="503">
        <v>6</v>
      </c>
      <c r="N245" s="504" t="s">
        <v>324</v>
      </c>
      <c r="O245" s="504">
        <v>186925</v>
      </c>
      <c r="P245" s="505">
        <v>177122</v>
      </c>
      <c r="Q245" s="505">
        <v>182500</v>
      </c>
      <c r="R245" s="505">
        <v>61500</v>
      </c>
      <c r="S245" s="505">
        <v>0</v>
      </c>
      <c r="T245" s="504">
        <v>-40.582888446164915</v>
      </c>
    </row>
    <row r="246" spans="1:20" ht="11.15" customHeight="1">
      <c r="A246" s="224"/>
      <c r="B246" s="224" t="s">
        <v>344</v>
      </c>
      <c r="C246" s="226">
        <v>134</v>
      </c>
      <c r="D246" s="226">
        <v>134</v>
      </c>
      <c r="E246" s="226">
        <v>134</v>
      </c>
      <c r="F246" s="226">
        <v>437</v>
      </c>
      <c r="G246" s="226">
        <v>320</v>
      </c>
      <c r="H246" s="186">
        <f t="shared" si="20"/>
        <v>49.83648690187507</v>
      </c>
      <c r="J246" s="282"/>
      <c r="M246" s="503">
        <v>7</v>
      </c>
      <c r="N246" s="504" t="s">
        <v>325</v>
      </c>
      <c r="O246" s="504">
        <v>158370</v>
      </c>
      <c r="P246" s="505">
        <v>152518</v>
      </c>
      <c r="Q246" s="505">
        <v>200550</v>
      </c>
      <c r="R246" s="505">
        <v>218300</v>
      </c>
      <c r="S246" s="505">
        <v>0</v>
      </c>
      <c r="T246" s="504">
        <v>-35.262700457695637</v>
      </c>
    </row>
    <row r="247" spans="1:20" ht="11.15" customHeight="1">
      <c r="A247" s="224"/>
      <c r="B247" s="224" t="s">
        <v>345</v>
      </c>
      <c r="C247" s="226">
        <v>89</v>
      </c>
      <c r="D247" s="226">
        <v>90</v>
      </c>
      <c r="E247" s="226">
        <v>109</v>
      </c>
      <c r="F247" s="226">
        <v>109</v>
      </c>
      <c r="G247" s="226">
        <v>127</v>
      </c>
      <c r="H247" s="186">
        <f t="shared" si="20"/>
        <v>9.6871170211547497</v>
      </c>
      <c r="J247" s="282"/>
      <c r="M247" s="503">
        <v>8</v>
      </c>
      <c r="N247" s="504" t="s">
        <v>326</v>
      </c>
      <c r="O247" s="504">
        <v>149450</v>
      </c>
      <c r="P247" s="505">
        <v>54070</v>
      </c>
      <c r="Q247" s="505">
        <v>90760</v>
      </c>
      <c r="R247" s="505">
        <v>356300</v>
      </c>
      <c r="S247" s="505">
        <v>0</v>
      </c>
      <c r="T247" s="504">
        <v>-32.341836898190202</v>
      </c>
    </row>
    <row r="248" spans="1:20" ht="11.15" customHeight="1">
      <c r="A248" s="351"/>
      <c r="B248" s="351" t="s">
        <v>346</v>
      </c>
      <c r="C248" s="465">
        <v>176</v>
      </c>
      <c r="D248" s="465">
        <v>176</v>
      </c>
      <c r="E248" s="465">
        <v>176</v>
      </c>
      <c r="F248" s="226">
        <v>176</v>
      </c>
      <c r="G248" s="226">
        <v>176</v>
      </c>
      <c r="H248" s="186">
        <f t="shared" si="20"/>
        <v>0</v>
      </c>
      <c r="J248" s="282"/>
      <c r="M248" s="506">
        <v>9</v>
      </c>
      <c r="N248" s="507" t="s">
        <v>327</v>
      </c>
      <c r="O248" s="507">
        <v>149933</v>
      </c>
      <c r="P248" s="508">
        <v>147249</v>
      </c>
      <c r="Q248" s="508">
        <v>113600</v>
      </c>
      <c r="R248" s="508">
        <v>330000</v>
      </c>
      <c r="S248" s="508">
        <v>0</v>
      </c>
      <c r="T248" s="504">
        <v>48.297264926571891</v>
      </c>
    </row>
    <row r="249" spans="1:20" ht="11.15" customHeight="1">
      <c r="A249" s="351"/>
      <c r="B249" s="351" t="s">
        <v>347</v>
      </c>
      <c r="C249" s="465">
        <v>177</v>
      </c>
      <c r="D249" s="465">
        <v>177</v>
      </c>
      <c r="E249" s="465">
        <v>177</v>
      </c>
      <c r="F249" s="226">
        <v>177</v>
      </c>
      <c r="G249" s="226">
        <v>177</v>
      </c>
      <c r="H249" s="186">
        <f t="shared" si="20"/>
        <v>0</v>
      </c>
      <c r="J249" s="282"/>
      <c r="M249" s="506">
        <v>10</v>
      </c>
      <c r="N249" s="507" t="s">
        <v>328</v>
      </c>
      <c r="O249" s="507">
        <v>265002</v>
      </c>
      <c r="P249" s="508">
        <v>125280</v>
      </c>
      <c r="Q249" s="508">
        <v>73200</v>
      </c>
      <c r="R249" s="508">
        <v>435600</v>
      </c>
      <c r="S249" s="508">
        <v>0</v>
      </c>
      <c r="T249" s="504">
        <v>34.191907487708157</v>
      </c>
    </row>
    <row r="250" spans="1:20" ht="11.15" customHeight="1" thickBot="1">
      <c r="A250" s="351"/>
      <c r="B250" s="351" t="s">
        <v>348</v>
      </c>
      <c r="C250" s="465">
        <v>7</v>
      </c>
      <c r="D250" s="465">
        <v>7</v>
      </c>
      <c r="E250" s="465">
        <v>2</v>
      </c>
      <c r="F250" s="220">
        <v>2</v>
      </c>
      <c r="G250" s="220">
        <v>2</v>
      </c>
      <c r="H250" s="186">
        <f t="shared" si="20"/>
        <v>-17.857142857142858</v>
      </c>
      <c r="J250" s="282"/>
      <c r="M250" s="506">
        <v>11</v>
      </c>
      <c r="N250" s="507" t="s">
        <v>329</v>
      </c>
      <c r="O250" s="507">
        <v>147210</v>
      </c>
      <c r="P250" s="508">
        <v>41892</v>
      </c>
      <c r="Q250" s="508">
        <v>142400</v>
      </c>
      <c r="R250" s="508">
        <v>136346</v>
      </c>
      <c r="S250" s="508">
        <v>0</v>
      </c>
      <c r="T250" s="504">
        <v>14.926386032335728</v>
      </c>
    </row>
    <row r="251" spans="1:20" ht="11.15" customHeight="1" thickTop="1" thickBot="1">
      <c r="A251" s="468" t="s">
        <v>184</v>
      </c>
      <c r="B251" s="469"/>
      <c r="C251" s="470">
        <f>C242+C241+C240</f>
        <v>15599</v>
      </c>
      <c r="D251" s="470">
        <f>D242+D241+D240</f>
        <v>15482</v>
      </c>
      <c r="E251" s="470">
        <f>E242+E241+E240</f>
        <v>16045</v>
      </c>
      <c r="F251" s="470">
        <f>F242+F241+F240</f>
        <v>16584</v>
      </c>
      <c r="G251" s="470">
        <f>G242+G241+G240</f>
        <v>17457</v>
      </c>
      <c r="H251" s="319">
        <f>((D251-C251)/C251*100+(E251-D251)/D251*100+(F251-E251)/E251*100+(G251-F251)/F251*100)/4</f>
        <v>2.8774612358870124</v>
      </c>
      <c r="I251" s="509"/>
      <c r="M251" s="506">
        <v>12</v>
      </c>
      <c r="N251" s="507" t="s">
        <v>330</v>
      </c>
      <c r="O251" s="507">
        <v>118713</v>
      </c>
      <c r="P251" s="508">
        <v>87500</v>
      </c>
      <c r="Q251" s="508">
        <v>80056</v>
      </c>
      <c r="R251" s="508">
        <v>100000</v>
      </c>
      <c r="S251" s="508">
        <v>0</v>
      </c>
      <c r="T251" s="510">
        <v>-27.178462622629468</v>
      </c>
    </row>
    <row r="252" spans="1:20" ht="11.15" customHeight="1" thickTop="1" thickBot="1">
      <c r="A252" s="171"/>
      <c r="B252" s="171"/>
      <c r="C252" s="171"/>
      <c r="D252" s="171"/>
      <c r="E252" s="171"/>
      <c r="F252" s="171"/>
      <c r="G252" s="171"/>
      <c r="H252" s="171"/>
      <c r="M252" s="511" t="s">
        <v>184</v>
      </c>
      <c r="N252" s="512"/>
      <c r="O252" s="513">
        <f>SUM(O240:O251)</f>
        <v>2507000</v>
      </c>
      <c r="P252" s="513">
        <f>SUM(P240:P251)</f>
        <v>1634858</v>
      </c>
      <c r="Q252" s="513">
        <f>SUM(Q240:Q251)</f>
        <v>1407676</v>
      </c>
      <c r="R252" s="513">
        <f>SUM(R240:R251)</f>
        <v>1848746</v>
      </c>
      <c r="S252" s="513">
        <f>SUM(S240:S251)</f>
        <v>127800</v>
      </c>
      <c r="T252" s="513">
        <v>-37.654181942988068</v>
      </c>
    </row>
    <row r="253" spans="1:20" ht="11.15" customHeight="1" thickTop="1">
      <c r="A253" s="171"/>
      <c r="B253" s="242" t="s">
        <v>349</v>
      </c>
      <c r="C253" s="242"/>
      <c r="D253" s="242"/>
      <c r="E253" s="242"/>
      <c r="F253" s="242"/>
      <c r="G253" s="242"/>
      <c r="H253" s="242"/>
      <c r="M253" s="514"/>
      <c r="N253" s="514"/>
      <c r="O253" s="514"/>
      <c r="P253" s="514"/>
      <c r="Q253" s="514"/>
      <c r="R253" s="515"/>
      <c r="S253" s="515"/>
      <c r="T253" s="514"/>
    </row>
    <row r="254" spans="1:20" ht="11.15" customHeight="1">
      <c r="A254" s="171"/>
      <c r="B254" s="247"/>
      <c r="C254" s="247"/>
      <c r="D254" s="247"/>
      <c r="E254" s="247"/>
      <c r="F254" s="247"/>
      <c r="G254" s="247"/>
      <c r="H254" s="247"/>
      <c r="M254" s="514"/>
      <c r="N254" s="242" t="s">
        <v>350</v>
      </c>
      <c r="O254" s="242"/>
      <c r="P254" s="242"/>
      <c r="Q254" s="242"/>
      <c r="R254" s="242"/>
      <c r="S254" s="242"/>
      <c r="T254" s="242"/>
    </row>
    <row r="255" spans="1:20" ht="11.15" customHeight="1">
      <c r="A255" s="171"/>
      <c r="B255" s="247"/>
      <c r="C255" s="247"/>
      <c r="D255" s="247"/>
      <c r="E255" s="247"/>
      <c r="F255" s="247"/>
      <c r="G255" s="247"/>
      <c r="H255" s="247"/>
    </row>
    <row r="256" spans="1:20" ht="11.15" customHeight="1">
      <c r="A256" s="171"/>
      <c r="B256" s="247"/>
      <c r="C256" s="247"/>
      <c r="D256" s="247"/>
      <c r="E256" s="247"/>
      <c r="F256" s="247"/>
      <c r="G256" s="247"/>
      <c r="H256" s="247"/>
    </row>
    <row r="257" spans="1:20" ht="11.15" customHeight="1">
      <c r="A257" s="171"/>
      <c r="B257" s="247"/>
      <c r="C257" s="247"/>
      <c r="D257" s="247"/>
      <c r="E257" s="247"/>
      <c r="F257" s="247"/>
      <c r="G257" s="247"/>
      <c r="H257" s="247"/>
    </row>
    <row r="258" spans="1:20" ht="11.15" customHeight="1">
      <c r="A258" s="171"/>
      <c r="B258" s="247"/>
      <c r="C258" s="247"/>
      <c r="D258" s="247"/>
      <c r="E258" s="247"/>
      <c r="F258" s="247"/>
      <c r="G258" s="247"/>
      <c r="H258" s="247"/>
    </row>
    <row r="259" spans="1:20" ht="11.15" customHeight="1">
      <c r="A259" s="171"/>
      <c r="B259" s="247"/>
      <c r="C259" s="247"/>
      <c r="D259" s="247"/>
      <c r="E259" s="247"/>
      <c r="F259" s="247"/>
      <c r="G259" s="247"/>
      <c r="H259" s="247"/>
    </row>
    <row r="260" spans="1:20" ht="11.15" customHeight="1">
      <c r="A260" s="171"/>
      <c r="B260" s="247"/>
      <c r="C260" s="247"/>
      <c r="D260" s="247"/>
      <c r="E260" s="247"/>
      <c r="F260" s="247"/>
      <c r="G260" s="247"/>
      <c r="H260" s="247"/>
    </row>
    <row r="261" spans="1:20" ht="11.15" customHeight="1">
      <c r="A261" s="171"/>
      <c r="B261" s="247"/>
      <c r="C261" s="247"/>
      <c r="D261" s="247"/>
      <c r="E261" s="247"/>
      <c r="F261" s="247"/>
      <c r="G261" s="247"/>
      <c r="H261" s="247"/>
    </row>
    <row r="262" spans="1:20" ht="11.15" customHeight="1">
      <c r="A262" s="171"/>
      <c r="B262" s="247"/>
      <c r="C262" s="247"/>
      <c r="D262" s="247"/>
      <c r="E262" s="247"/>
      <c r="F262" s="247"/>
      <c r="G262" s="247"/>
      <c r="H262" s="247"/>
    </row>
    <row r="263" spans="1:20" ht="11.15" customHeight="1"/>
    <row r="264" spans="1:20" ht="11.15" customHeight="1"/>
    <row r="265" spans="1:20" ht="11.15" customHeight="1">
      <c r="M265" s="516" t="s">
        <v>351</v>
      </c>
      <c r="N265" s="516"/>
      <c r="O265" s="516"/>
      <c r="P265" s="516"/>
      <c r="Q265" s="516"/>
      <c r="R265" s="516"/>
      <c r="S265" s="516"/>
      <c r="T265" s="516"/>
    </row>
    <row r="266" spans="1:20" ht="11.15" customHeight="1">
      <c r="A266" s="517" t="s">
        <v>352</v>
      </c>
      <c r="B266" s="517"/>
      <c r="C266" s="517"/>
      <c r="D266" s="517"/>
      <c r="E266" s="517"/>
      <c r="F266" s="517"/>
      <c r="G266" s="517"/>
      <c r="H266" s="517"/>
      <c r="I266" s="148"/>
      <c r="M266" s="516" t="s">
        <v>353</v>
      </c>
      <c r="N266" s="516"/>
      <c r="O266" s="516"/>
      <c r="P266" s="516"/>
      <c r="Q266" s="516"/>
      <c r="R266" s="516"/>
      <c r="S266" s="516"/>
      <c r="T266" s="516"/>
    </row>
    <row r="267" spans="1:20" ht="11.15" customHeight="1">
      <c r="A267" s="146" t="s">
        <v>173</v>
      </c>
      <c r="B267" s="146"/>
      <c r="C267" s="146"/>
      <c r="D267" s="146"/>
      <c r="E267" s="146"/>
      <c r="F267" s="146"/>
      <c r="G267" s="146"/>
      <c r="H267" s="146"/>
      <c r="I267" s="148"/>
      <c r="M267" s="518"/>
      <c r="N267" s="518"/>
      <c r="O267" s="518"/>
      <c r="P267" s="518"/>
      <c r="Q267" s="518"/>
      <c r="R267" s="518"/>
      <c r="S267" s="518"/>
      <c r="T267" s="519" t="s">
        <v>276</v>
      </c>
    </row>
    <row r="268" spans="1:20" ht="11.15" customHeight="1">
      <c r="A268" s="520"/>
      <c r="B268" s="520"/>
      <c r="C268" s="520"/>
      <c r="D268" s="520"/>
      <c r="E268" s="520"/>
      <c r="F268" s="520"/>
      <c r="G268" s="520"/>
      <c r="H268" s="521" t="s">
        <v>260</v>
      </c>
      <c r="I268" s="148"/>
      <c r="M268" s="522" t="s">
        <v>6</v>
      </c>
      <c r="N268" s="523" t="s">
        <v>318</v>
      </c>
      <c r="O268" s="158" t="s">
        <v>179</v>
      </c>
      <c r="P268" s="159"/>
      <c r="Q268" s="159"/>
      <c r="R268" s="159"/>
      <c r="S268" s="160"/>
      <c r="T268" s="523" t="s">
        <v>180</v>
      </c>
    </row>
    <row r="269" spans="1:20" ht="11.15" customHeight="1" thickBot="1">
      <c r="A269" s="524" t="s">
        <v>6</v>
      </c>
      <c r="B269" s="525" t="s">
        <v>178</v>
      </c>
      <c r="C269" s="188" t="s">
        <v>179</v>
      </c>
      <c r="D269" s="189"/>
      <c r="E269" s="189"/>
      <c r="F269" s="189"/>
      <c r="G269" s="190"/>
      <c r="H269" s="525" t="s">
        <v>180</v>
      </c>
      <c r="I269" s="148"/>
      <c r="M269" s="526"/>
      <c r="N269" s="527"/>
      <c r="O269" s="336">
        <v>2011</v>
      </c>
      <c r="P269" s="336">
        <v>2012</v>
      </c>
      <c r="Q269" s="336">
        <v>2013</v>
      </c>
      <c r="R269" s="336">
        <v>2014</v>
      </c>
      <c r="S269" s="336">
        <v>2015</v>
      </c>
      <c r="T269" s="527"/>
    </row>
    <row r="270" spans="1:20" ht="11.15" customHeight="1" thickTop="1" thickBot="1">
      <c r="A270" s="528"/>
      <c r="B270" s="529"/>
      <c r="C270" s="204">
        <v>2011</v>
      </c>
      <c r="D270" s="204">
        <v>2012</v>
      </c>
      <c r="E270" s="204">
        <v>2013</v>
      </c>
      <c r="F270" s="204">
        <v>2014</v>
      </c>
      <c r="G270" s="204">
        <v>2015</v>
      </c>
      <c r="H270" s="529"/>
      <c r="I270" s="148"/>
      <c r="M270" s="530">
        <v>1</v>
      </c>
      <c r="N270" s="531" t="s">
        <v>319</v>
      </c>
      <c r="O270" s="532">
        <v>11842463</v>
      </c>
      <c r="P270" s="533">
        <v>10744836.770000001</v>
      </c>
      <c r="Q270" s="532">
        <v>12015388.949999999</v>
      </c>
      <c r="R270" s="532">
        <v>11224649.279999999</v>
      </c>
      <c r="S270" s="532">
        <v>12558321.9</v>
      </c>
      <c r="T270" s="186">
        <f>((P270-O270)/O270*100+(Q270-P270)/P270*100+(R270-Q270)/Q270*100+(S270-R270)/R270*100)/4</f>
        <v>1.9641974839072696</v>
      </c>
    </row>
    <row r="271" spans="1:20" ht="11.15" customHeight="1" thickTop="1">
      <c r="A271" s="534">
        <v>1</v>
      </c>
      <c r="B271" s="534" t="s">
        <v>195</v>
      </c>
      <c r="C271" s="535">
        <v>3311</v>
      </c>
      <c r="D271" s="535">
        <v>2861</v>
      </c>
      <c r="E271" s="535">
        <v>2242</v>
      </c>
      <c r="F271" s="536">
        <f>2332+83</f>
        <v>2415</v>
      </c>
      <c r="G271" s="537">
        <v>1277</v>
      </c>
      <c r="H271" s="278">
        <f>((D271-C271)/C271*100+(E271-D271)/D271*100+(F271-E271)/E271*100+(G271-F271)/F271*100)/4</f>
        <v>-18.658170070736947</v>
      </c>
      <c r="I271" s="148"/>
      <c r="J271"/>
      <c r="K271" s="538"/>
      <c r="M271" s="539">
        <v>2</v>
      </c>
      <c r="N271" s="540" t="s">
        <v>320</v>
      </c>
      <c r="O271" s="541">
        <v>7584830.0899999999</v>
      </c>
      <c r="P271" s="542">
        <v>9272837.4900000002</v>
      </c>
      <c r="Q271" s="543">
        <v>10389404.424000001</v>
      </c>
      <c r="R271" s="543">
        <v>10563477.050000001</v>
      </c>
      <c r="S271" s="543">
        <v>9647818.0800000001</v>
      </c>
      <c r="T271" s="186">
        <f>((P271-O271)/O271*100+(Q271-P271)/P271*100+(R271-Q271)/Q271*100+(S271-R271)/R271*100)/4</f>
        <v>6.8259085119941165</v>
      </c>
    </row>
    <row r="272" spans="1:20" ht="11.15" customHeight="1">
      <c r="A272" s="544">
        <v>2</v>
      </c>
      <c r="B272" s="544" t="s">
        <v>198</v>
      </c>
      <c r="C272" s="545">
        <v>4047</v>
      </c>
      <c r="D272" s="545">
        <v>2739</v>
      </c>
      <c r="E272" s="545">
        <v>3077</v>
      </c>
      <c r="F272" s="546">
        <f>3047+30</f>
        <v>3077</v>
      </c>
      <c r="G272" s="547">
        <v>3077</v>
      </c>
      <c r="H272" s="186">
        <f>((D272-C272)/C272*100+(E272-D272)/D272*100+(F272-E272)/E272*100+(G272-F272)/F272*100)/4</f>
        <v>-4.9949917602886789</v>
      </c>
      <c r="I272" s="148"/>
      <c r="J272"/>
      <c r="K272" s="282"/>
      <c r="M272" s="539">
        <v>3</v>
      </c>
      <c r="N272" s="540" t="s">
        <v>321</v>
      </c>
      <c r="O272" s="541">
        <v>8071818.04</v>
      </c>
      <c r="P272" s="542">
        <v>11714888.390000001</v>
      </c>
      <c r="Q272" s="543">
        <v>7100245.8300000001</v>
      </c>
      <c r="R272" s="543">
        <v>8806782.8900000006</v>
      </c>
      <c r="S272" s="543">
        <v>13877711.82</v>
      </c>
      <c r="T272" s="186">
        <f>((P272-O272)/O272*100+(Q272-P272)/P272*100+(R272-Q272)/Q272*100+(S272-R272)/R272*100)/4</f>
        <v>21.83916385617837</v>
      </c>
    </row>
    <row r="273" spans="1:20" ht="11.15" customHeight="1">
      <c r="A273" s="544">
        <v>3</v>
      </c>
      <c r="B273" s="544" t="s">
        <v>202</v>
      </c>
      <c r="C273" s="545">
        <v>3018</v>
      </c>
      <c r="D273" s="545">
        <v>3129</v>
      </c>
      <c r="E273" s="545">
        <v>9557</v>
      </c>
      <c r="F273" s="546">
        <f>3917+4899</f>
        <v>8816</v>
      </c>
      <c r="G273" s="547">
        <v>4479</v>
      </c>
      <c r="H273" s="186">
        <f>((D273-C273)/C273*100+(E273-D273)/D273*100+(F273-E273)/E273*100+(G273-F273)/F273*100)/4</f>
        <v>38.040713220954132</v>
      </c>
      <c r="I273" s="148"/>
      <c r="J273"/>
      <c r="K273" s="538"/>
      <c r="M273" s="539">
        <v>4</v>
      </c>
      <c r="N273" s="540" t="s">
        <v>322</v>
      </c>
      <c r="O273" s="541">
        <v>10531587.01</v>
      </c>
      <c r="P273" s="542">
        <v>8696976.6799999997</v>
      </c>
      <c r="Q273" s="543">
        <v>10483108.77</v>
      </c>
      <c r="R273" s="543">
        <v>11094964.18</v>
      </c>
      <c r="S273" s="543">
        <v>11509713.560000001</v>
      </c>
      <c r="T273" s="186">
        <f>((P273-O273)/O273*100+(Q273-P273)/P273*100+(R273-Q273)/Q273*100+(S273-R273)/R273*100)/4</f>
        <v>3.1730191289360921</v>
      </c>
    </row>
    <row r="274" spans="1:20" ht="11.15" customHeight="1">
      <c r="A274" s="544">
        <v>4</v>
      </c>
      <c r="B274" s="544" t="s">
        <v>204</v>
      </c>
      <c r="C274" s="545">
        <v>3741</v>
      </c>
      <c r="D274" s="545">
        <v>1134</v>
      </c>
      <c r="E274" s="545">
        <v>994</v>
      </c>
      <c r="F274" s="546">
        <f>778+5</f>
        <v>783</v>
      </c>
      <c r="G274" s="547">
        <v>3453</v>
      </c>
      <c r="H274" s="186">
        <f t="shared" ref="H274:H279" si="21">((D274-C274)/C274*100+(E274-D274)/D274*100+(F274-E274)/E274*100+(G274-F274)/F274*100)/4</f>
        <v>59.433968996590636</v>
      </c>
      <c r="I274" s="148"/>
      <c r="J274"/>
      <c r="K274" s="538"/>
      <c r="M274" s="539">
        <v>5</v>
      </c>
      <c r="N274" s="540" t="s">
        <v>323</v>
      </c>
      <c r="O274" s="541">
        <v>12189939.220000001</v>
      </c>
      <c r="P274" s="542">
        <v>9575894.2300000023</v>
      </c>
      <c r="Q274" s="543">
        <v>11315568.829999998</v>
      </c>
      <c r="R274" s="543">
        <v>9191508.0700000003</v>
      </c>
      <c r="S274" s="543">
        <v>13542355.783</v>
      </c>
      <c r="T274" s="186">
        <f t="shared" ref="T274:T281" si="22">((P274-O274)/O274*100+(Q274-P274)/P274*100+(R274-Q274)/Q274*100+(S274-R274)/R274*100)/4</f>
        <v>6.3218315202198427</v>
      </c>
    </row>
    <row r="275" spans="1:20" ht="11.15" customHeight="1">
      <c r="A275" s="544">
        <v>5</v>
      </c>
      <c r="B275" s="544" t="s">
        <v>205</v>
      </c>
      <c r="C275" s="545">
        <v>5871</v>
      </c>
      <c r="D275" s="545">
        <v>6490</v>
      </c>
      <c r="E275" s="545">
        <v>5512</v>
      </c>
      <c r="F275" s="546">
        <f>4751+612</f>
        <v>5363</v>
      </c>
      <c r="G275" s="547">
        <v>5183</v>
      </c>
      <c r="H275" s="186">
        <f t="shared" si="21"/>
        <v>-2.646378056190966</v>
      </c>
      <c r="I275" s="148"/>
      <c r="J275"/>
      <c r="K275" s="538"/>
      <c r="M275" s="539">
        <v>6</v>
      </c>
      <c r="N275" s="540" t="s">
        <v>324</v>
      </c>
      <c r="O275" s="541">
        <v>14433501.67</v>
      </c>
      <c r="P275" s="542">
        <v>12635674.329999998</v>
      </c>
      <c r="Q275" s="543">
        <v>12206755.489999998</v>
      </c>
      <c r="R275" s="543">
        <v>12132070.99</v>
      </c>
      <c r="S275" s="543">
        <v>10740069.35</v>
      </c>
      <c r="T275" s="186">
        <f t="shared" si="22"/>
        <v>-6.9840010428314176</v>
      </c>
    </row>
    <row r="276" spans="1:20" ht="11.15" customHeight="1">
      <c r="A276" s="544">
        <v>6</v>
      </c>
      <c r="B276" s="544" t="s">
        <v>208</v>
      </c>
      <c r="C276" s="545">
        <v>9522</v>
      </c>
      <c r="D276" s="545">
        <v>11908</v>
      </c>
      <c r="E276" s="545">
        <v>13818</v>
      </c>
      <c r="F276" s="546">
        <f>13752+66</f>
        <v>13818</v>
      </c>
      <c r="G276" s="547">
        <v>15902</v>
      </c>
      <c r="H276" s="186">
        <f t="shared" si="21"/>
        <v>14.04479389626737</v>
      </c>
      <c r="I276" s="148"/>
      <c r="J276"/>
      <c r="K276" s="538"/>
      <c r="M276" s="539">
        <v>7</v>
      </c>
      <c r="N276" s="540" t="s">
        <v>325</v>
      </c>
      <c r="O276" s="541">
        <v>11842589.039999999</v>
      </c>
      <c r="P276" s="542">
        <v>12083162.189999999</v>
      </c>
      <c r="Q276" s="543">
        <v>11014661.499999998</v>
      </c>
      <c r="R276" s="543">
        <v>13560840.9</v>
      </c>
      <c r="S276" s="543">
        <v>11012697.369999999</v>
      </c>
      <c r="T276" s="186">
        <f t="shared" si="22"/>
        <v>-0.62141126221472565</v>
      </c>
    </row>
    <row r="277" spans="1:20" ht="11.15" customHeight="1">
      <c r="A277" s="544">
        <v>7</v>
      </c>
      <c r="B277" s="544" t="s">
        <v>213</v>
      </c>
      <c r="C277" s="545">
        <v>2066</v>
      </c>
      <c r="D277" s="545">
        <v>1451</v>
      </c>
      <c r="E277" s="545">
        <v>3033</v>
      </c>
      <c r="F277" s="546">
        <v>3177</v>
      </c>
      <c r="G277" s="547">
        <v>2926</v>
      </c>
      <c r="H277" s="186">
        <f t="shared" si="21"/>
        <v>19.026957192568023</v>
      </c>
      <c r="I277" s="148"/>
      <c r="J277"/>
      <c r="K277" s="538"/>
      <c r="M277" s="539">
        <v>8</v>
      </c>
      <c r="N277" s="540" t="s">
        <v>326</v>
      </c>
      <c r="O277" s="541">
        <v>9532161.5600000005</v>
      </c>
      <c r="P277" s="542">
        <v>11963224.68</v>
      </c>
      <c r="Q277" s="543">
        <v>14122223.820000002</v>
      </c>
      <c r="R277" s="543">
        <v>11003723.369999999</v>
      </c>
      <c r="S277" s="543">
        <v>8359054.29</v>
      </c>
      <c r="T277" s="186">
        <f t="shared" si="22"/>
        <v>-0.64144174950324118</v>
      </c>
    </row>
    <row r="278" spans="1:20" ht="11.15" customHeight="1">
      <c r="A278" s="544">
        <v>8</v>
      </c>
      <c r="B278" s="544" t="s">
        <v>215</v>
      </c>
      <c r="C278" s="545">
        <v>1268</v>
      </c>
      <c r="D278" s="545">
        <v>1579</v>
      </c>
      <c r="E278" s="545">
        <v>1629</v>
      </c>
      <c r="F278" s="546">
        <f>1374+222</f>
        <v>1596</v>
      </c>
      <c r="G278" s="547">
        <v>1596</v>
      </c>
      <c r="H278" s="186">
        <f t="shared" si="21"/>
        <v>6.4168980764973957</v>
      </c>
      <c r="I278" s="148"/>
      <c r="J278"/>
      <c r="K278" s="282"/>
      <c r="M278" s="548">
        <v>9</v>
      </c>
      <c r="N278" s="549" t="s">
        <v>327</v>
      </c>
      <c r="O278" s="550">
        <v>9524228.3699999992</v>
      </c>
      <c r="P278" s="551">
        <v>8328011.7799999993</v>
      </c>
      <c r="Q278" s="552">
        <v>8951847.4471700005</v>
      </c>
      <c r="R278" s="552">
        <v>10824991.5</v>
      </c>
      <c r="S278" s="552">
        <v>8843053.3300000001</v>
      </c>
      <c r="T278" s="186">
        <f t="shared" si="22"/>
        <v>-0.61328943210593234</v>
      </c>
    </row>
    <row r="279" spans="1:20" ht="11.15" customHeight="1" thickBot="1">
      <c r="A279" s="553">
        <v>9</v>
      </c>
      <c r="B279" s="553" t="s">
        <v>217</v>
      </c>
      <c r="C279" s="554">
        <v>1833</v>
      </c>
      <c r="D279" s="554">
        <v>1839</v>
      </c>
      <c r="E279" s="554">
        <v>1833</v>
      </c>
      <c r="F279" s="555">
        <f>1623</f>
        <v>1623</v>
      </c>
      <c r="G279" s="556">
        <v>1619</v>
      </c>
      <c r="H279" s="186">
        <f t="shared" si="21"/>
        <v>-2.9255044219516289</v>
      </c>
      <c r="I279" s="148"/>
      <c r="J279"/>
      <c r="K279" s="282"/>
      <c r="M279" s="548">
        <v>10</v>
      </c>
      <c r="N279" s="549" t="s">
        <v>328</v>
      </c>
      <c r="O279" s="550">
        <v>8642981.5999999996</v>
      </c>
      <c r="P279" s="551">
        <v>8823942.879999999</v>
      </c>
      <c r="Q279" s="552">
        <v>8945860.2599999998</v>
      </c>
      <c r="R279" s="552">
        <v>12339482.619999999</v>
      </c>
      <c r="S279" s="552">
        <v>10954092.51</v>
      </c>
      <c r="T279" s="186">
        <f t="shared" si="22"/>
        <v>7.5458055341380224</v>
      </c>
    </row>
    <row r="280" spans="1:20" ht="11.15" customHeight="1" thickTop="1" thickBot="1">
      <c r="A280" s="557" t="s">
        <v>184</v>
      </c>
      <c r="B280" s="558"/>
      <c r="C280" s="559">
        <f>SUM(C271:C279)</f>
        <v>34677</v>
      </c>
      <c r="D280" s="559">
        <f>SUM(D271:D279)</f>
        <v>33130</v>
      </c>
      <c r="E280" s="559">
        <f>SUM(E271:E279)</f>
        <v>41695</v>
      </c>
      <c r="F280" s="559">
        <f>SUM(F271:F279)</f>
        <v>40668</v>
      </c>
      <c r="G280" s="560">
        <f>SUM(G271:G279)</f>
        <v>39512</v>
      </c>
      <c r="H280" s="311">
        <f>((D280-C280)/C280*100+(E280-D280)/D280*100+(F280-E280)/E280*100+(G280-F280)/F280*100)/4</f>
        <v>4.021469105711267</v>
      </c>
      <c r="I280" s="148"/>
      <c r="M280" s="548">
        <v>11</v>
      </c>
      <c r="N280" s="549" t="s">
        <v>329</v>
      </c>
      <c r="O280" s="550">
        <v>9870705.9199999999</v>
      </c>
      <c r="P280" s="551">
        <v>16469934.390000004</v>
      </c>
      <c r="Q280" s="552">
        <v>12901466.029999999</v>
      </c>
      <c r="R280" s="552">
        <v>12492162.07</v>
      </c>
      <c r="S280" s="552">
        <v>12344775.52</v>
      </c>
      <c r="T280" s="186">
        <f t="shared" si="22"/>
        <v>10.209442711457031</v>
      </c>
    </row>
    <row r="281" spans="1:20" ht="11.15" customHeight="1" thickTop="1" thickBot="1">
      <c r="A281" s="520"/>
      <c r="B281" s="520"/>
      <c r="C281" s="520"/>
      <c r="D281" s="520"/>
      <c r="E281" s="520"/>
      <c r="F281" s="520"/>
      <c r="G281" s="520"/>
      <c r="H281" s="520"/>
      <c r="I281" s="148"/>
      <c r="J281" s="282"/>
      <c r="K281" s="282"/>
      <c r="M281" s="548">
        <v>12</v>
      </c>
      <c r="N281" s="549" t="s">
        <v>330</v>
      </c>
      <c r="O281" s="550">
        <v>9999761.8000000007</v>
      </c>
      <c r="P281" s="551">
        <v>16865423.329999998</v>
      </c>
      <c r="Q281" s="552">
        <v>11214282.630000001</v>
      </c>
      <c r="R281" s="552">
        <v>12516903.26</v>
      </c>
      <c r="S281" s="552">
        <v>11443750.279999999</v>
      </c>
      <c r="T281" s="186">
        <f t="shared" si="22"/>
        <v>9.5482731185674581</v>
      </c>
    </row>
    <row r="282" spans="1:20" ht="11.15" customHeight="1" thickTop="1" thickBot="1">
      <c r="A282" s="520"/>
      <c r="B282" s="242" t="s">
        <v>354</v>
      </c>
      <c r="C282" s="242"/>
      <c r="D282" s="242"/>
      <c r="E282" s="242"/>
      <c r="F282" s="242"/>
      <c r="G282" s="242"/>
      <c r="H282" s="242"/>
      <c r="I282" s="148"/>
      <c r="J282" s="282"/>
      <c r="K282" s="282"/>
      <c r="M282" s="561" t="s">
        <v>184</v>
      </c>
      <c r="N282" s="562"/>
      <c r="O282" s="563">
        <f>SUM(O270:O281)</f>
        <v>124066567.31999999</v>
      </c>
      <c r="P282" s="563">
        <f>SUM(P270:P281)</f>
        <v>137174807.13999999</v>
      </c>
      <c r="Q282" s="563">
        <f>SUM(Q270:Q281)</f>
        <v>130660813.98117</v>
      </c>
      <c r="R282" s="563">
        <f>SUM(R270:R281)</f>
        <v>135751556.18000001</v>
      </c>
      <c r="S282" s="563">
        <f>SUM(S270:S281)</f>
        <v>134833413.79300001</v>
      </c>
      <c r="T282" s="319">
        <f>((P282-O282)/O282*100+(Q282-P282)/P282*100+(R282-Q282)/Q282*100+(S282-R282)/R282*100)/4</f>
        <v>2.2591548275837332</v>
      </c>
    </row>
    <row r="283" spans="1:20" ht="11.15" customHeight="1" thickTop="1">
      <c r="A283" s="520"/>
      <c r="B283" s="520"/>
      <c r="C283" s="520"/>
      <c r="D283" s="520"/>
      <c r="E283" s="520"/>
      <c r="F283" s="520"/>
      <c r="G283" s="520"/>
      <c r="H283" s="520"/>
      <c r="I283" s="148"/>
      <c r="J283" s="282"/>
      <c r="K283" s="282"/>
      <c r="M283" s="518"/>
      <c r="N283" s="564"/>
      <c r="O283" s="564"/>
      <c r="P283" s="564"/>
      <c r="Q283" s="564"/>
      <c r="R283" s="564"/>
      <c r="S283" s="565"/>
      <c r="T283" s="519"/>
    </row>
    <row r="284" spans="1:20" ht="11.15" customHeight="1">
      <c r="A284" s="520"/>
      <c r="B284" s="520"/>
      <c r="C284" s="566"/>
      <c r="D284" s="520"/>
      <c r="E284" s="520"/>
      <c r="F284" s="520"/>
      <c r="G284" s="520"/>
      <c r="H284" s="520"/>
      <c r="I284" s="148"/>
      <c r="J284" s="282"/>
      <c r="K284" s="282"/>
      <c r="M284" s="171"/>
      <c r="N284" s="242" t="s">
        <v>355</v>
      </c>
      <c r="O284" s="242"/>
      <c r="P284" s="242"/>
      <c r="Q284" s="242"/>
      <c r="R284" s="242"/>
      <c r="S284" s="242"/>
      <c r="T284" s="242"/>
    </row>
    <row r="285" spans="1:20" ht="11.15" customHeight="1">
      <c r="A285" s="520"/>
      <c r="B285" s="520"/>
      <c r="C285" s="520"/>
      <c r="D285" s="520"/>
      <c r="E285" s="520"/>
      <c r="F285" s="520"/>
      <c r="G285" s="520"/>
      <c r="H285" s="520"/>
      <c r="I285" s="148"/>
      <c r="J285" s="282"/>
      <c r="K285" s="282"/>
      <c r="M285" s="171"/>
      <c r="N285" s="247"/>
      <c r="O285" s="247"/>
      <c r="P285" s="247"/>
      <c r="Q285" s="247"/>
      <c r="R285" s="247"/>
      <c r="S285" s="247"/>
      <c r="T285" s="247"/>
    </row>
    <row r="286" spans="1:20" ht="11.15" customHeight="1">
      <c r="A286" s="520"/>
      <c r="B286" s="520"/>
      <c r="C286" s="520"/>
      <c r="D286" s="520"/>
      <c r="E286" s="520"/>
      <c r="F286" s="520"/>
      <c r="G286" s="520"/>
      <c r="H286" s="520"/>
      <c r="I286" s="148"/>
      <c r="J286" s="282"/>
      <c r="K286" s="282"/>
      <c r="M286" s="171"/>
      <c r="N286" s="247"/>
      <c r="O286" s="247"/>
      <c r="P286" s="247"/>
      <c r="Q286" s="247"/>
      <c r="R286" s="247"/>
      <c r="S286" s="247"/>
      <c r="T286" s="247"/>
    </row>
    <row r="287" spans="1:20" ht="11.15" customHeight="1">
      <c r="A287" s="520"/>
      <c r="B287" s="520"/>
      <c r="C287" s="520"/>
      <c r="D287" s="520"/>
      <c r="E287" s="520"/>
      <c r="F287" s="520"/>
      <c r="G287" s="520"/>
      <c r="H287" s="520"/>
      <c r="I287" s="148"/>
      <c r="J287" s="282"/>
      <c r="K287" s="282"/>
      <c r="M287" s="171"/>
      <c r="N287" s="247"/>
      <c r="O287" s="247"/>
      <c r="P287" s="247"/>
      <c r="Q287" s="247"/>
      <c r="R287" s="247"/>
      <c r="S287" s="247"/>
      <c r="T287" s="247"/>
    </row>
    <row r="288" spans="1:20" ht="11.15" customHeight="1">
      <c r="A288" s="520"/>
      <c r="B288" s="520"/>
      <c r="C288" s="520"/>
      <c r="D288" s="520"/>
      <c r="E288" s="520"/>
      <c r="F288" s="520"/>
      <c r="G288" s="520"/>
      <c r="H288" s="520"/>
      <c r="I288" s="148"/>
      <c r="J288" s="282"/>
      <c r="K288" s="282"/>
      <c r="M288" s="171"/>
      <c r="N288" s="247"/>
      <c r="O288" s="247"/>
      <c r="P288" s="247"/>
      <c r="Q288" s="247"/>
      <c r="R288" s="247"/>
      <c r="S288" s="247"/>
      <c r="T288" s="247"/>
    </row>
    <row r="289" spans="1:20" ht="11.15" customHeight="1">
      <c r="A289" s="520"/>
      <c r="B289" s="520"/>
      <c r="C289" s="520"/>
      <c r="D289" s="520"/>
      <c r="E289" s="520"/>
      <c r="F289" s="520"/>
      <c r="G289" s="520"/>
      <c r="H289" s="520"/>
      <c r="I289" s="148"/>
      <c r="J289" s="282"/>
      <c r="K289" s="282"/>
      <c r="M289" s="171"/>
      <c r="N289" s="247"/>
      <c r="O289" s="247"/>
      <c r="P289" s="247"/>
      <c r="Q289" s="247"/>
      <c r="R289" s="247"/>
      <c r="S289" s="247"/>
      <c r="T289" s="247"/>
    </row>
    <row r="290" spans="1:20" ht="11.15" customHeight="1">
      <c r="A290" s="171"/>
      <c r="I290" s="148"/>
      <c r="M290" s="171"/>
      <c r="N290" s="247"/>
      <c r="O290" s="247"/>
      <c r="P290" s="247"/>
      <c r="Q290" s="247"/>
      <c r="R290" s="247"/>
      <c r="S290" s="247"/>
      <c r="T290" s="247"/>
    </row>
    <row r="291" spans="1:20" ht="11.15" customHeight="1">
      <c r="A291" s="148"/>
      <c r="B291" s="148"/>
      <c r="C291" s="148"/>
      <c r="D291" s="148"/>
      <c r="E291" s="148"/>
      <c r="F291" s="148"/>
      <c r="G291" s="148"/>
      <c r="H291" s="148"/>
      <c r="I291" s="148"/>
    </row>
    <row r="292" spans="1:20" ht="11.15" customHeight="1">
      <c r="A292" s="143" t="s">
        <v>356</v>
      </c>
      <c r="B292" s="143"/>
      <c r="C292" s="143"/>
      <c r="D292" s="143"/>
      <c r="E292" s="143"/>
      <c r="F292" s="143"/>
      <c r="G292" s="143"/>
      <c r="H292" s="143"/>
    </row>
    <row r="293" spans="1:20" ht="11.15" customHeight="1">
      <c r="A293" s="143" t="s">
        <v>357</v>
      </c>
      <c r="B293" s="143"/>
      <c r="C293" s="143"/>
      <c r="D293" s="143"/>
      <c r="E293" s="143"/>
      <c r="F293" s="143"/>
      <c r="G293" s="143"/>
      <c r="H293" s="143"/>
    </row>
    <row r="294" spans="1:20" ht="11.15" customHeight="1">
      <c r="A294" s="148"/>
      <c r="B294" s="148"/>
      <c r="C294" s="148"/>
      <c r="D294" s="148"/>
      <c r="E294" s="148"/>
      <c r="F294" s="148"/>
      <c r="G294" s="148"/>
      <c r="H294" s="331" t="s">
        <v>260</v>
      </c>
      <c r="M294" s="146" t="s">
        <v>358</v>
      </c>
      <c r="N294" s="146"/>
      <c r="O294" s="146"/>
      <c r="P294" s="146"/>
      <c r="Q294" s="146"/>
      <c r="R294" s="146"/>
      <c r="S294" s="146"/>
      <c r="T294" s="146"/>
    </row>
    <row r="295" spans="1:20" ht="11.15" customHeight="1">
      <c r="A295" s="153" t="s">
        <v>6</v>
      </c>
      <c r="B295" s="153" t="s">
        <v>359</v>
      </c>
      <c r="C295" s="153" t="s">
        <v>179</v>
      </c>
      <c r="D295" s="153"/>
      <c r="E295" s="153"/>
      <c r="F295" s="153"/>
      <c r="G295" s="153"/>
      <c r="H295" s="153" t="s">
        <v>180</v>
      </c>
      <c r="M295" s="146" t="s">
        <v>360</v>
      </c>
      <c r="N295" s="146"/>
      <c r="O295" s="146"/>
      <c r="P295" s="146"/>
      <c r="Q295" s="146"/>
      <c r="R295" s="146"/>
      <c r="S295" s="146"/>
      <c r="T295" s="146"/>
    </row>
    <row r="296" spans="1:20" ht="11.15" customHeight="1" thickBot="1">
      <c r="A296" s="162"/>
      <c r="B296" s="162"/>
      <c r="C296" s="163">
        <v>2011</v>
      </c>
      <c r="D296" s="163">
        <v>2012</v>
      </c>
      <c r="E296" s="163">
        <v>2013</v>
      </c>
      <c r="F296" s="163">
        <v>2014</v>
      </c>
      <c r="G296" s="163">
        <v>2015</v>
      </c>
      <c r="H296" s="162"/>
      <c r="M296" s="171"/>
      <c r="N296" s="171"/>
      <c r="O296" s="171"/>
      <c r="P296" s="171"/>
      <c r="Q296" s="171"/>
      <c r="R296" s="171"/>
      <c r="S296" s="171"/>
      <c r="T296" s="390" t="s">
        <v>361</v>
      </c>
    </row>
    <row r="297" spans="1:20" ht="11.15" customHeight="1" thickTop="1">
      <c r="A297" s="174">
        <v>1</v>
      </c>
      <c r="B297" s="174" t="s">
        <v>362</v>
      </c>
      <c r="C297" s="567">
        <f>SUM(C298:C300)</f>
        <v>425</v>
      </c>
      <c r="D297" s="567">
        <f>SUM(D298:D300)</f>
        <v>349</v>
      </c>
      <c r="E297" s="567">
        <f>SUM(E298:E300)</f>
        <v>339</v>
      </c>
      <c r="F297" s="567">
        <f>SUM(F298:F300)</f>
        <v>317</v>
      </c>
      <c r="G297" s="567">
        <f>SUM(G298:G300)</f>
        <v>965</v>
      </c>
      <c r="H297" s="568">
        <v>2.6439758551762704</v>
      </c>
      <c r="M297" s="569" t="s">
        <v>6</v>
      </c>
      <c r="N297" s="570" t="s">
        <v>277</v>
      </c>
      <c r="O297" s="571" t="s">
        <v>179</v>
      </c>
      <c r="P297" s="572"/>
      <c r="Q297" s="572"/>
      <c r="R297" s="572"/>
      <c r="S297" s="573"/>
      <c r="T297" s="570" t="s">
        <v>180</v>
      </c>
    </row>
    <row r="298" spans="1:20" ht="11.15" customHeight="1" thickBot="1">
      <c r="A298" s="192"/>
      <c r="B298" s="192" t="s">
        <v>363</v>
      </c>
      <c r="C298" s="193">
        <v>0</v>
      </c>
      <c r="D298" s="193">
        <v>0</v>
      </c>
      <c r="E298" s="193">
        <v>0</v>
      </c>
      <c r="F298" s="193">
        <v>0</v>
      </c>
      <c r="G298" s="193">
        <v>0</v>
      </c>
      <c r="H298" s="574" t="e">
        <v>#DIV/0!</v>
      </c>
      <c r="M298" s="166"/>
      <c r="N298" s="203"/>
      <c r="O298" s="336">
        <v>2011</v>
      </c>
      <c r="P298" s="336">
        <v>2012</v>
      </c>
      <c r="Q298" s="336">
        <v>2013</v>
      </c>
      <c r="R298" s="336">
        <v>2014</v>
      </c>
      <c r="S298" s="336">
        <v>2015</v>
      </c>
      <c r="T298" s="203"/>
    </row>
    <row r="299" spans="1:20" ht="11.15" customHeight="1" thickTop="1">
      <c r="A299" s="192"/>
      <c r="B299" s="192" t="s">
        <v>364</v>
      </c>
      <c r="C299" s="193">
        <v>238</v>
      </c>
      <c r="D299" s="193">
        <v>205</v>
      </c>
      <c r="E299" s="575">
        <v>170</v>
      </c>
      <c r="F299" s="575">
        <v>148</v>
      </c>
      <c r="G299" s="575">
        <v>168</v>
      </c>
      <c r="H299" s="574">
        <v>-3.6384880038972112</v>
      </c>
      <c r="M299" s="576"/>
      <c r="N299" s="577" t="s">
        <v>365</v>
      </c>
      <c r="O299" s="578">
        <f>SUM(O300:O304)</f>
        <v>28548.26</v>
      </c>
      <c r="P299" s="578">
        <f>SUM(P300:P304)</f>
        <v>29378.376709999997</v>
      </c>
      <c r="Q299" s="578">
        <f>SUM(Q300:Q304)</f>
        <v>34264.910000000003</v>
      </c>
      <c r="R299" s="578">
        <f>SUM(R300:R304)</f>
        <v>39198.639999999999</v>
      </c>
      <c r="S299" s="578">
        <f>SUM(S300:S304)</f>
        <v>33236.269999999997</v>
      </c>
      <c r="T299" s="388">
        <f t="shared" ref="T299:T306" si="23">((P299-O299)/O299*100+(Q299-P299)/P299*100+(R299-Q299)/Q299*100+(S299-R299)/R299*100)/4</f>
        <v>4.6822472399806694</v>
      </c>
    </row>
    <row r="300" spans="1:20" ht="11.15" customHeight="1">
      <c r="A300" s="192"/>
      <c r="B300" s="192" t="s">
        <v>366</v>
      </c>
      <c r="C300" s="193">
        <v>187</v>
      </c>
      <c r="D300" s="193">
        <v>144</v>
      </c>
      <c r="E300" s="575">
        <v>169</v>
      </c>
      <c r="F300" s="575">
        <v>169</v>
      </c>
      <c r="G300" s="575">
        <v>797</v>
      </c>
      <c r="H300" s="574">
        <v>22.632556909483249</v>
      </c>
      <c r="M300" s="217">
        <v>1</v>
      </c>
      <c r="N300" s="579" t="s">
        <v>301</v>
      </c>
      <c r="O300" s="222">
        <v>0</v>
      </c>
      <c r="P300" s="222">
        <v>0</v>
      </c>
      <c r="Q300" s="222">
        <v>0</v>
      </c>
      <c r="R300" s="222">
        <v>0</v>
      </c>
      <c r="S300" s="222">
        <v>0</v>
      </c>
      <c r="T300" s="222" t="e">
        <f t="shared" si="23"/>
        <v>#DIV/0!</v>
      </c>
    </row>
    <row r="301" spans="1:20" ht="11.15" customHeight="1">
      <c r="A301" s="192">
        <v>2</v>
      </c>
      <c r="B301" s="192" t="s">
        <v>367</v>
      </c>
      <c r="C301" s="580">
        <f>SUM(C302:C305)</f>
        <v>11582</v>
      </c>
      <c r="D301" s="580">
        <f>SUM(D302:D305)</f>
        <v>10228</v>
      </c>
      <c r="E301" s="580">
        <f>SUM(E302:E305)</f>
        <v>10636</v>
      </c>
      <c r="F301" s="580">
        <f>SUM(F302:F305)</f>
        <v>10205</v>
      </c>
      <c r="G301" s="580">
        <f>SUM(G302:G305)</f>
        <v>11563</v>
      </c>
      <c r="H301" s="574">
        <v>3.1631395534965918</v>
      </c>
      <c r="M301" s="223">
        <v>2</v>
      </c>
      <c r="N301" s="581" t="s">
        <v>368</v>
      </c>
      <c r="O301" s="186">
        <v>16334.89</v>
      </c>
      <c r="P301" s="482">
        <v>14320.73</v>
      </c>
      <c r="Q301" s="582">
        <f>15195.96</f>
        <v>15195.96</v>
      </c>
      <c r="R301" s="582">
        <f>16112.25</f>
        <v>16112.25</v>
      </c>
      <c r="S301" s="582">
        <f>12187.89+1949.74</f>
        <v>14137.63</v>
      </c>
      <c r="T301" s="186">
        <f t="shared" si="23"/>
        <v>-3.1110890697455451</v>
      </c>
    </row>
    <row r="302" spans="1:20" ht="11.15" customHeight="1">
      <c r="A302" s="192"/>
      <c r="B302" s="192" t="s">
        <v>369</v>
      </c>
      <c r="C302" s="193">
        <v>7484</v>
      </c>
      <c r="D302" s="193">
        <v>7177</v>
      </c>
      <c r="E302" s="575">
        <v>7560</v>
      </c>
      <c r="F302" s="575">
        <v>7536</v>
      </c>
      <c r="G302" s="575">
        <f>9476+72</f>
        <v>9548</v>
      </c>
      <c r="H302" s="574">
        <v>0.89554336171679916</v>
      </c>
      <c r="M302" s="223">
        <v>3</v>
      </c>
      <c r="N302" s="581" t="s">
        <v>370</v>
      </c>
      <c r="O302" s="186">
        <v>12199.49</v>
      </c>
      <c r="P302" s="583">
        <v>14994.483709999999</v>
      </c>
      <c r="Q302" s="584">
        <v>19029.270000000004</v>
      </c>
      <c r="R302" s="584">
        <v>23049.4</v>
      </c>
      <c r="S302" s="584">
        <v>19097</v>
      </c>
      <c r="T302" s="186">
        <f t="shared" si="23"/>
        <v>13.449432244416592</v>
      </c>
    </row>
    <row r="303" spans="1:20" ht="11.15" customHeight="1">
      <c r="A303" s="192"/>
      <c r="B303" s="192" t="s">
        <v>371</v>
      </c>
      <c r="C303" s="193">
        <v>1803</v>
      </c>
      <c r="D303" s="193">
        <v>1590</v>
      </c>
      <c r="E303" s="575">
        <v>1589</v>
      </c>
      <c r="F303" s="575">
        <v>1613</v>
      </c>
      <c r="G303" s="575">
        <v>1354</v>
      </c>
      <c r="H303" s="574">
        <v>4.0086015664680126</v>
      </c>
      <c r="M303" s="223">
        <v>4</v>
      </c>
      <c r="N303" s="581" t="s">
        <v>295</v>
      </c>
      <c r="O303" s="186">
        <v>8.8000000000000007</v>
      </c>
      <c r="P303" s="482">
        <v>63.163000000000004</v>
      </c>
      <c r="Q303" s="582">
        <v>39.68</v>
      </c>
      <c r="R303" s="582">
        <v>36.99</v>
      </c>
      <c r="S303" s="582">
        <v>1.64</v>
      </c>
      <c r="T303" s="186">
        <f t="shared" si="23"/>
        <v>119.55933726616364</v>
      </c>
    </row>
    <row r="304" spans="1:20" ht="11.15" customHeight="1">
      <c r="A304" s="192"/>
      <c r="B304" s="192" t="s">
        <v>372</v>
      </c>
      <c r="C304" s="193">
        <v>2129</v>
      </c>
      <c r="D304" s="193">
        <v>1212</v>
      </c>
      <c r="E304" s="575">
        <v>1234</v>
      </c>
      <c r="F304" s="575">
        <v>946</v>
      </c>
      <c r="G304" s="575">
        <f>99+561</f>
        <v>660</v>
      </c>
      <c r="H304" s="574">
        <v>19.944854324725537</v>
      </c>
      <c r="M304" s="585">
        <v>5</v>
      </c>
      <c r="N304" s="586" t="s">
        <v>373</v>
      </c>
      <c r="O304" s="587">
        <v>5.08</v>
      </c>
      <c r="P304" s="587">
        <v>0</v>
      </c>
      <c r="Q304" s="222">
        <v>0</v>
      </c>
      <c r="R304" s="222">
        <v>0</v>
      </c>
      <c r="S304" s="222">
        <v>0</v>
      </c>
      <c r="T304" s="587" t="e">
        <f t="shared" si="23"/>
        <v>#DIV/0!</v>
      </c>
    </row>
    <row r="305" spans="1:20" ht="11.15" customHeight="1">
      <c r="A305" s="192"/>
      <c r="B305" s="192" t="s">
        <v>374</v>
      </c>
      <c r="C305" s="193">
        <v>166</v>
      </c>
      <c r="D305" s="193">
        <v>249</v>
      </c>
      <c r="E305" s="575">
        <v>253</v>
      </c>
      <c r="F305" s="575">
        <v>110</v>
      </c>
      <c r="G305" s="575">
        <v>1</v>
      </c>
      <c r="H305" s="574">
        <v>6.0720459629855608</v>
      </c>
      <c r="M305" s="588"/>
      <c r="N305" s="589"/>
      <c r="O305" s="590"/>
      <c r="P305" s="590"/>
      <c r="Q305" s="590"/>
      <c r="R305" s="590"/>
      <c r="S305" s="590"/>
      <c r="T305" s="591"/>
    </row>
    <row r="306" spans="1:20" ht="11.15" customHeight="1">
      <c r="A306" s="192">
        <v>3</v>
      </c>
      <c r="B306" s="192" t="s">
        <v>375</v>
      </c>
      <c r="C306" s="580">
        <f>SUM(C307:C310)</f>
        <v>143</v>
      </c>
      <c r="D306" s="580">
        <f>SUM(D307:D310)</f>
        <v>244</v>
      </c>
      <c r="E306" s="580">
        <f>SUM(E307:E310)</f>
        <v>204</v>
      </c>
      <c r="F306" s="580">
        <f>SUM(F307:F310)</f>
        <v>173</v>
      </c>
      <c r="G306" s="580">
        <f>SUM(G307:G310)</f>
        <v>145</v>
      </c>
      <c r="H306" s="574">
        <v>-0.7051125397899618</v>
      </c>
      <c r="M306" s="592"/>
      <c r="N306" s="593" t="s">
        <v>376</v>
      </c>
      <c r="O306" s="594">
        <f>SUM(O307:O311)</f>
        <v>124066567.31999999</v>
      </c>
      <c r="P306" s="594">
        <f>SUM(P307:P311)</f>
        <v>137174807.13999996</v>
      </c>
      <c r="Q306" s="594">
        <f>SUM(Q307:Q311)</f>
        <v>130660813.98</v>
      </c>
      <c r="R306" s="594">
        <f>SUM(R307:R311)</f>
        <v>135751556.18000001</v>
      </c>
      <c r="S306" s="594">
        <f>SUM(S307:S311)</f>
        <v>134833413.79000002</v>
      </c>
      <c r="T306" s="594">
        <f t="shared" si="23"/>
        <v>2.2591548270506068</v>
      </c>
    </row>
    <row r="307" spans="1:20" ht="11.15" customHeight="1">
      <c r="A307" s="192"/>
      <c r="B307" s="192" t="s">
        <v>377</v>
      </c>
      <c r="C307" s="193">
        <v>96</v>
      </c>
      <c r="D307" s="193">
        <v>73</v>
      </c>
      <c r="E307" s="193">
        <v>70</v>
      </c>
      <c r="F307" s="193">
        <v>70</v>
      </c>
      <c r="G307" s="193">
        <v>70</v>
      </c>
      <c r="H307" s="574">
        <v>-10.264416084933101</v>
      </c>
      <c r="M307" s="595">
        <v>1</v>
      </c>
      <c r="N307" s="579" t="s">
        <v>301</v>
      </c>
      <c r="O307" s="452">
        <v>0</v>
      </c>
      <c r="P307" s="452">
        <v>0</v>
      </c>
      <c r="Q307" s="452">
        <v>0</v>
      </c>
      <c r="R307" s="452">
        <v>0</v>
      </c>
      <c r="S307" s="452">
        <v>0</v>
      </c>
      <c r="T307" s="222" t="e">
        <f>((P307-O307)/O307*100+(Q307-P307)/P307*100+(R307-Q307)/Q307*100+(S307-R307)/R307*100)/4</f>
        <v>#DIV/0!</v>
      </c>
    </row>
    <row r="308" spans="1:20" ht="11.15" customHeight="1">
      <c r="A308" s="192"/>
      <c r="B308" s="192" t="s">
        <v>378</v>
      </c>
      <c r="C308" s="193">
        <v>0</v>
      </c>
      <c r="D308" s="193">
        <v>0</v>
      </c>
      <c r="E308" s="193">
        <v>0</v>
      </c>
      <c r="F308" s="193">
        <v>0</v>
      </c>
      <c r="G308" s="193">
        <v>0</v>
      </c>
      <c r="H308" s="574" t="e">
        <v>#DIV/0!</v>
      </c>
      <c r="M308" s="350">
        <v>2</v>
      </c>
      <c r="N308" s="581" t="s">
        <v>368</v>
      </c>
      <c r="O308" s="461">
        <v>83751200.390000001</v>
      </c>
      <c r="P308" s="461">
        <v>83701895.50999999</v>
      </c>
      <c r="Q308" s="461">
        <v>76183775.200000003</v>
      </c>
      <c r="R308" s="461">
        <v>76339932.269999996</v>
      </c>
      <c r="S308" s="461">
        <f>70299718.54+3612761.26</f>
        <v>73912479.800000012</v>
      </c>
      <c r="T308" s="186">
        <f>((P308-O308)/O308*100+(Q308-P308)/P308*100+(R308-Q308)/Q308*100+(S308-R308)/R308*100)/4</f>
        <v>-3.0039273756043761</v>
      </c>
    </row>
    <row r="309" spans="1:20" ht="11.15" customHeight="1">
      <c r="A309" s="192"/>
      <c r="B309" s="192" t="s">
        <v>379</v>
      </c>
      <c r="C309" s="193">
        <v>47</v>
      </c>
      <c r="D309" s="193">
        <v>171</v>
      </c>
      <c r="E309" s="193">
        <f>41+93</f>
        <v>134</v>
      </c>
      <c r="F309" s="193">
        <v>103</v>
      </c>
      <c r="G309" s="193">
        <f>62+13</f>
        <v>75</v>
      </c>
      <c r="H309" s="574">
        <v>43.168704118452155</v>
      </c>
      <c r="M309" s="350">
        <v>3</v>
      </c>
      <c r="N309" s="581" t="s">
        <v>370</v>
      </c>
      <c r="O309" s="461">
        <v>40290711.43</v>
      </c>
      <c r="P309" s="461">
        <v>53297400.709999979</v>
      </c>
      <c r="Q309" s="461">
        <f>130660813.98-76183775.2-101631</f>
        <v>54375407.780000001</v>
      </c>
      <c r="R309" s="461">
        <v>59317999.56000001</v>
      </c>
      <c r="S309" s="461">
        <v>60916839.740000002</v>
      </c>
      <c r="T309" s="186">
        <f>((P309-O309)/O309*100+(Q309-P309)/P309*100+(R309-Q309)/Q309*100+(S309-R309)/R309*100)/4</f>
        <v>11.522464148100511</v>
      </c>
    </row>
    <row r="310" spans="1:20" ht="11.15" customHeight="1" thickBot="1">
      <c r="A310" s="294"/>
      <c r="B310" s="294" t="s">
        <v>380</v>
      </c>
      <c r="C310" s="314">
        <v>0</v>
      </c>
      <c r="D310" s="314">
        <v>0</v>
      </c>
      <c r="E310" s="314">
        <v>0</v>
      </c>
      <c r="F310" s="314">
        <v>0</v>
      </c>
      <c r="G310" s="314">
        <v>0</v>
      </c>
      <c r="H310" s="596" t="e">
        <v>#DIV/0!</v>
      </c>
      <c r="M310" s="223">
        <v>4</v>
      </c>
      <c r="N310" s="581" t="s">
        <v>295</v>
      </c>
      <c r="O310" s="186">
        <v>23055.5</v>
      </c>
      <c r="P310" s="186">
        <v>175510.92</v>
      </c>
      <c r="Q310" s="186">
        <v>101631</v>
      </c>
      <c r="R310" s="186">
        <v>93624.35</v>
      </c>
      <c r="S310" s="186">
        <v>4094.25</v>
      </c>
      <c r="T310" s="186">
        <f>((P310-O310)/O310*100+(Q310-P310)/P310*100+(R310-Q310)/Q310*100+(S310-R310)/R310*100)/4</f>
        <v>128.91367999357524</v>
      </c>
    </row>
    <row r="311" spans="1:20" ht="11.15" customHeight="1" thickTop="1" thickBot="1">
      <c r="A311" s="148"/>
      <c r="B311" s="148"/>
      <c r="C311" s="148"/>
      <c r="D311" s="148"/>
      <c r="E311" s="148"/>
      <c r="F311" s="148"/>
      <c r="G311" s="148"/>
      <c r="H311" s="148"/>
      <c r="M311" s="597">
        <v>5</v>
      </c>
      <c r="N311" s="598" t="s">
        <v>373</v>
      </c>
      <c r="O311" s="599">
        <v>1600</v>
      </c>
      <c r="P311" s="599">
        <v>0</v>
      </c>
      <c r="Q311" s="599">
        <v>0</v>
      </c>
      <c r="R311" s="599">
        <v>0</v>
      </c>
      <c r="S311" s="599">
        <v>0</v>
      </c>
      <c r="T311" s="600" t="e">
        <f>((P311-O311)/O311*100+(Q311-P311)/P311*100+(R311-Q311)/Q311*100+(S311-R311)/R311*100)/4</f>
        <v>#DIV/0!</v>
      </c>
    </row>
    <row r="312" spans="1:20" ht="11.15" customHeight="1" thickTop="1">
      <c r="A312" s="148"/>
      <c r="B312" s="242" t="s">
        <v>381</v>
      </c>
      <c r="C312" s="242"/>
      <c r="D312" s="242"/>
      <c r="E312" s="242"/>
      <c r="F312" s="242"/>
      <c r="G312" s="242"/>
      <c r="H312" s="242"/>
      <c r="M312" s="171"/>
      <c r="N312" s="601"/>
      <c r="O312" s="601"/>
      <c r="P312" s="601"/>
      <c r="Q312" s="601"/>
      <c r="R312" s="601"/>
      <c r="S312" s="601"/>
      <c r="T312" s="601"/>
    </row>
    <row r="313" spans="1:20" ht="11.15" customHeight="1">
      <c r="A313" s="148"/>
      <c r="B313" s="148"/>
      <c r="C313" s="148"/>
      <c r="D313" s="148"/>
      <c r="E313" s="148"/>
      <c r="F313" s="148"/>
      <c r="G313" s="148"/>
      <c r="H313" s="148"/>
      <c r="M313" s="601"/>
      <c r="N313" s="242" t="s">
        <v>382</v>
      </c>
      <c r="O313" s="242"/>
      <c r="P313" s="242"/>
      <c r="Q313" s="242"/>
      <c r="R313" s="242"/>
      <c r="S313" s="242"/>
      <c r="T313" s="242"/>
    </row>
    <row r="314" spans="1:20" ht="11.15" customHeight="1">
      <c r="A314" s="148"/>
      <c r="B314" s="148"/>
      <c r="C314" s="148"/>
      <c r="D314" s="148"/>
      <c r="E314" s="148"/>
      <c r="F314" s="148"/>
      <c r="G314" s="148"/>
      <c r="H314" s="148"/>
    </row>
    <row r="315" spans="1:20" ht="11.15" customHeight="1">
      <c r="A315" s="148"/>
      <c r="B315" s="148"/>
      <c r="C315" s="148"/>
      <c r="D315" s="148"/>
      <c r="E315" s="148"/>
      <c r="F315" s="148"/>
      <c r="G315" s="148"/>
      <c r="H315" s="148"/>
    </row>
    <row r="316" spans="1:20" ht="11.15" customHeight="1">
      <c r="A316" s="148"/>
      <c r="B316" s="148"/>
      <c r="C316" s="148"/>
      <c r="D316" s="148"/>
      <c r="E316" s="148"/>
      <c r="F316" s="148"/>
      <c r="G316" s="148"/>
      <c r="H316" s="148"/>
    </row>
    <row r="317" spans="1:20" ht="11.15" customHeight="1">
      <c r="A317" s="148"/>
      <c r="B317" s="148"/>
      <c r="C317" s="148"/>
      <c r="D317" s="148"/>
      <c r="E317" s="148"/>
      <c r="F317" s="148"/>
      <c r="G317" s="148"/>
      <c r="H317" s="148"/>
    </row>
    <row r="318" spans="1:20" ht="11.15" customHeight="1">
      <c r="A318" s="148"/>
      <c r="B318" s="148"/>
      <c r="C318" s="148"/>
      <c r="D318" s="148"/>
      <c r="E318" s="148"/>
      <c r="F318" s="148"/>
      <c r="G318" s="148"/>
      <c r="H318" s="148"/>
    </row>
    <row r="319" spans="1:20" ht="11.15" customHeight="1">
      <c r="A319" s="148"/>
      <c r="B319" s="148"/>
      <c r="C319" s="148"/>
      <c r="D319" s="148"/>
      <c r="E319" s="148"/>
      <c r="F319" s="148"/>
      <c r="G319" s="148"/>
      <c r="H319" s="148"/>
    </row>
    <row r="320" spans="1:20" ht="11.15" customHeight="1">
      <c r="A320" s="148"/>
      <c r="M320" s="150"/>
      <c r="N320" s="150"/>
      <c r="O320" s="150"/>
      <c r="P320" s="150"/>
      <c r="Q320" s="150"/>
      <c r="R320" s="150"/>
      <c r="S320" s="150"/>
      <c r="T320" s="150"/>
    </row>
    <row r="321" spans="1:21" ht="11.15" customHeight="1">
      <c r="M321" s="602" t="s">
        <v>383</v>
      </c>
      <c r="N321" s="602"/>
      <c r="O321" s="602"/>
      <c r="P321" s="602"/>
      <c r="Q321" s="602"/>
      <c r="R321" s="602"/>
      <c r="S321" s="602"/>
      <c r="T321" s="603"/>
    </row>
    <row r="322" spans="1:21" ht="11.15" customHeight="1">
      <c r="A322" s="143" t="s">
        <v>384</v>
      </c>
      <c r="B322" s="143"/>
      <c r="C322" s="143"/>
      <c r="D322" s="143"/>
      <c r="E322" s="143"/>
      <c r="F322" s="143"/>
      <c r="G322" s="143"/>
      <c r="H322" s="143"/>
      <c r="M322" s="602" t="s">
        <v>385</v>
      </c>
      <c r="N322" s="602"/>
      <c r="O322" s="602"/>
      <c r="P322" s="602"/>
      <c r="Q322" s="602"/>
      <c r="R322" s="602"/>
      <c r="S322" s="602"/>
      <c r="T322" s="603"/>
    </row>
    <row r="323" spans="1:21" ht="11.15" customHeight="1">
      <c r="A323" s="143" t="s">
        <v>386</v>
      </c>
      <c r="B323" s="143"/>
      <c r="C323" s="143"/>
      <c r="D323" s="143"/>
      <c r="E323" s="143"/>
      <c r="F323" s="143"/>
      <c r="G323" s="143"/>
      <c r="H323" s="143"/>
      <c r="M323" s="604"/>
      <c r="N323" s="604"/>
      <c r="O323" s="604"/>
      <c r="P323" s="604"/>
      <c r="Q323" s="604"/>
      <c r="R323" s="605" t="s">
        <v>260</v>
      </c>
      <c r="S323" s="305"/>
      <c r="T323" s="605"/>
    </row>
    <row r="324" spans="1:21" ht="11.15" customHeight="1">
      <c r="A324" s="606"/>
      <c r="B324" s="606"/>
      <c r="C324" s="606"/>
      <c r="D324" s="606"/>
      <c r="E324" s="606"/>
      <c r="F324" s="606"/>
      <c r="G324" s="606"/>
      <c r="H324" s="607" t="s">
        <v>260</v>
      </c>
      <c r="M324" s="608" t="s">
        <v>6</v>
      </c>
      <c r="N324" s="609" t="s">
        <v>178</v>
      </c>
      <c r="O324" s="610" t="s">
        <v>179</v>
      </c>
      <c r="P324" s="611"/>
      <c r="Q324" s="611"/>
      <c r="R324" s="611"/>
      <c r="S324" s="612"/>
      <c r="T324" s="609" t="s">
        <v>180</v>
      </c>
    </row>
    <row r="325" spans="1:21" ht="11.15" customHeight="1" thickBot="1">
      <c r="A325" s="613" t="s">
        <v>6</v>
      </c>
      <c r="B325" s="614" t="s">
        <v>359</v>
      </c>
      <c r="C325" s="158" t="s">
        <v>179</v>
      </c>
      <c r="D325" s="159"/>
      <c r="E325" s="159"/>
      <c r="F325" s="159"/>
      <c r="G325" s="160"/>
      <c r="H325" s="614" t="s">
        <v>180</v>
      </c>
      <c r="M325" s="615"/>
      <c r="N325" s="616"/>
      <c r="O325" s="617">
        <v>2011</v>
      </c>
      <c r="P325" s="617">
        <v>2012</v>
      </c>
      <c r="Q325" s="617">
        <v>2013</v>
      </c>
      <c r="R325" s="617">
        <v>2014</v>
      </c>
      <c r="S325" s="617">
        <v>2015</v>
      </c>
      <c r="T325" s="616"/>
      <c r="U325" s="150"/>
    </row>
    <row r="326" spans="1:21" ht="11.15" customHeight="1" thickTop="1" thickBot="1">
      <c r="A326" s="618"/>
      <c r="B326" s="619"/>
      <c r="C326" s="620">
        <v>2011</v>
      </c>
      <c r="D326" s="620">
        <v>2012</v>
      </c>
      <c r="E326" s="620">
        <v>2013</v>
      </c>
      <c r="F326" s="620">
        <v>2014</v>
      </c>
      <c r="G326" s="620">
        <v>2015</v>
      </c>
      <c r="H326" s="619"/>
      <c r="M326" s="621">
        <v>1</v>
      </c>
      <c r="N326" s="621" t="s">
        <v>195</v>
      </c>
      <c r="O326" s="622">
        <v>14</v>
      </c>
      <c r="P326" s="622">
        <v>28</v>
      </c>
      <c r="Q326" s="622">
        <v>14</v>
      </c>
      <c r="R326" s="623">
        <v>14</v>
      </c>
      <c r="S326" s="623">
        <v>14</v>
      </c>
      <c r="T326" s="624">
        <f t="shared" ref="T326:T334" si="24">(((Q326-P326)/P326*100)+((S326-Q326)/Q326*100)+((P326-O326)/O326*100))/3</f>
        <v>16.666666666666668</v>
      </c>
      <c r="U326" s="150"/>
    </row>
    <row r="327" spans="1:21" ht="11.15" customHeight="1" thickTop="1">
      <c r="A327" s="625">
        <v>4</v>
      </c>
      <c r="B327" s="626" t="s">
        <v>387</v>
      </c>
      <c r="C327" s="627">
        <f>SUM(C328:C335)</f>
        <v>32803</v>
      </c>
      <c r="D327" s="627">
        <f>SUM(D328:D335)</f>
        <v>19092</v>
      </c>
      <c r="E327" s="627">
        <f>SUM(E328:E335)</f>
        <v>22669</v>
      </c>
      <c r="F327" s="627">
        <f>SUM(F328:F335)</f>
        <v>22972</v>
      </c>
      <c r="G327" s="627">
        <f>SUM(G328:G335)</f>
        <v>22515</v>
      </c>
      <c r="H327" s="628">
        <f>((D327-C327)/C327*100+(E327-D327)/D327*100+(F327-E327)/E327*100+(G327-F327)/F327*100)/4</f>
        <v>-5.9287903701233278</v>
      </c>
      <c r="M327" s="629">
        <v>2</v>
      </c>
      <c r="N327" s="629" t="s">
        <v>198</v>
      </c>
      <c r="O327" s="236">
        <v>3</v>
      </c>
      <c r="P327" s="236">
        <v>6</v>
      </c>
      <c r="Q327" s="236">
        <v>4</v>
      </c>
      <c r="R327" s="630">
        <v>4</v>
      </c>
      <c r="S327" s="630">
        <v>4</v>
      </c>
      <c r="T327" s="631">
        <f t="shared" si="24"/>
        <v>22.222222222222225</v>
      </c>
      <c r="U327" s="150"/>
    </row>
    <row r="328" spans="1:21" ht="11.15" customHeight="1">
      <c r="A328" s="632"/>
      <c r="B328" s="633" t="s">
        <v>388</v>
      </c>
      <c r="C328" s="634">
        <v>530</v>
      </c>
      <c r="D328" s="634">
        <v>706</v>
      </c>
      <c r="E328" s="635">
        <v>706</v>
      </c>
      <c r="F328" s="635">
        <v>706</v>
      </c>
      <c r="G328" s="635">
        <v>407</v>
      </c>
      <c r="H328" s="636" t="s">
        <v>389</v>
      </c>
      <c r="M328" s="629">
        <v>3</v>
      </c>
      <c r="N328" s="629" t="s">
        <v>202</v>
      </c>
      <c r="O328" s="236">
        <v>4</v>
      </c>
      <c r="P328" s="236">
        <v>8</v>
      </c>
      <c r="Q328" s="236">
        <v>5</v>
      </c>
      <c r="R328" s="630">
        <v>5</v>
      </c>
      <c r="S328" s="630">
        <v>5</v>
      </c>
      <c r="T328" s="631">
        <f t="shared" si="24"/>
        <v>20.833333333333332</v>
      </c>
      <c r="U328" s="150"/>
    </row>
    <row r="329" spans="1:21" ht="11.15" customHeight="1">
      <c r="A329" s="632"/>
      <c r="B329" s="633" t="s">
        <v>390</v>
      </c>
      <c r="C329" s="634">
        <v>352</v>
      </c>
      <c r="D329" s="634">
        <v>230</v>
      </c>
      <c r="E329" s="635">
        <v>200</v>
      </c>
      <c r="F329" s="635">
        <v>200</v>
      </c>
      <c r="G329" s="635">
        <v>82</v>
      </c>
      <c r="H329" s="186">
        <f>((D329-C329)/C329*100+(E329-D329)/D329*100+(F329-E329)/E329*100+(G329-F329)/F329*100)/4</f>
        <v>-26.675642292490117</v>
      </c>
      <c r="M329" s="629">
        <v>4</v>
      </c>
      <c r="N329" s="629" t="s">
        <v>204</v>
      </c>
      <c r="O329" s="236">
        <v>0</v>
      </c>
      <c r="P329" s="236">
        <v>0</v>
      </c>
      <c r="Q329" s="236">
        <v>0</v>
      </c>
      <c r="R329" s="630">
        <v>0</v>
      </c>
      <c r="S329" s="630">
        <v>0</v>
      </c>
      <c r="T329" s="637" t="e">
        <f t="shared" si="24"/>
        <v>#DIV/0!</v>
      </c>
      <c r="U329" s="150"/>
    </row>
    <row r="330" spans="1:21" ht="11.15" customHeight="1">
      <c r="A330" s="632"/>
      <c r="B330" s="633" t="s">
        <v>391</v>
      </c>
      <c r="C330" s="634">
        <v>180</v>
      </c>
      <c r="D330" s="634">
        <v>10</v>
      </c>
      <c r="E330" s="635">
        <v>0</v>
      </c>
      <c r="F330" s="635">
        <v>0</v>
      </c>
      <c r="G330" s="635">
        <v>0</v>
      </c>
      <c r="H330" s="186" t="e">
        <f t="shared" ref="H330:H341" si="25">((D330-C330)/C330*100+(E330-D330)/D330*100+(F330-E330)/E330*100+(G330-F330)/F330*100)/4</f>
        <v>#DIV/0!</v>
      </c>
      <c r="M330" s="629">
        <v>5</v>
      </c>
      <c r="N330" s="629" t="s">
        <v>205</v>
      </c>
      <c r="O330" s="236">
        <v>3</v>
      </c>
      <c r="P330" s="236">
        <v>6</v>
      </c>
      <c r="Q330" s="236">
        <v>8</v>
      </c>
      <c r="R330" s="630">
        <v>8</v>
      </c>
      <c r="S330" s="630">
        <v>8</v>
      </c>
      <c r="T330" s="236">
        <f t="shared" si="24"/>
        <v>44.444444444444436</v>
      </c>
      <c r="U330" s="150"/>
    </row>
    <row r="331" spans="1:21" ht="11.15" customHeight="1">
      <c r="A331" s="632"/>
      <c r="B331" s="633" t="s">
        <v>392</v>
      </c>
      <c r="C331" s="634">
        <v>415</v>
      </c>
      <c r="D331" s="634">
        <v>392</v>
      </c>
      <c r="E331" s="635">
        <v>248</v>
      </c>
      <c r="F331" s="635">
        <v>304</v>
      </c>
      <c r="G331" s="635">
        <v>292</v>
      </c>
      <c r="H331" s="186">
        <f>((D331-C331)/C331*100+(E331-D331)/D331*100+(F331-E331)/E331*100+(G331-F331)/F331*100)/4</f>
        <v>-5.9108964530030317</v>
      </c>
      <c r="M331" s="629">
        <v>6</v>
      </c>
      <c r="N331" s="629" t="s">
        <v>208</v>
      </c>
      <c r="O331" s="236">
        <v>0</v>
      </c>
      <c r="P331" s="236">
        <v>0</v>
      </c>
      <c r="Q331" s="236">
        <v>0</v>
      </c>
      <c r="R331" s="630">
        <v>0</v>
      </c>
      <c r="S331" s="630">
        <v>0</v>
      </c>
      <c r="T331" s="637" t="e">
        <f t="shared" si="24"/>
        <v>#DIV/0!</v>
      </c>
      <c r="U331" s="150"/>
    </row>
    <row r="332" spans="1:21" ht="11.15" customHeight="1">
      <c r="A332" s="632"/>
      <c r="B332" s="633" t="s">
        <v>393</v>
      </c>
      <c r="C332" s="634">
        <v>8551</v>
      </c>
      <c r="D332" s="634">
        <v>8415</v>
      </c>
      <c r="E332" s="635">
        <v>9177</v>
      </c>
      <c r="F332" s="635">
        <v>9175</v>
      </c>
      <c r="G332" s="635">
        <v>9509</v>
      </c>
      <c r="H332" s="186">
        <f t="shared" si="25"/>
        <v>2.7708336428919549</v>
      </c>
      <c r="M332" s="629">
        <v>7</v>
      </c>
      <c r="N332" s="629" t="s">
        <v>213</v>
      </c>
      <c r="O332" s="236">
        <v>1</v>
      </c>
      <c r="P332" s="236">
        <v>2</v>
      </c>
      <c r="Q332" s="236">
        <v>1</v>
      </c>
      <c r="R332" s="630">
        <v>1</v>
      </c>
      <c r="S332" s="630">
        <v>1</v>
      </c>
      <c r="T332" s="638">
        <f t="shared" si="24"/>
        <v>16.666666666666668</v>
      </c>
      <c r="U332" s="150"/>
    </row>
    <row r="333" spans="1:21" ht="11.15" customHeight="1">
      <c r="A333" s="632"/>
      <c r="B333" s="633" t="s">
        <v>394</v>
      </c>
      <c r="C333" s="634">
        <v>8885</v>
      </c>
      <c r="D333" s="634">
        <v>5870</v>
      </c>
      <c r="E333" s="635">
        <v>8217</v>
      </c>
      <c r="F333" s="635">
        <v>8192</v>
      </c>
      <c r="G333" s="635">
        <v>9740</v>
      </c>
      <c r="H333" s="186">
        <f t="shared" si="25"/>
        <v>6.1604013398614459</v>
      </c>
      <c r="M333" s="629">
        <v>8</v>
      </c>
      <c r="N333" s="629" t="s">
        <v>215</v>
      </c>
      <c r="O333" s="236">
        <v>7</v>
      </c>
      <c r="P333" s="236">
        <v>14</v>
      </c>
      <c r="Q333" s="236">
        <v>5</v>
      </c>
      <c r="R333" s="630">
        <v>5</v>
      </c>
      <c r="S333" s="630">
        <v>5</v>
      </c>
      <c r="T333" s="638">
        <f t="shared" si="24"/>
        <v>11.904761904761903</v>
      </c>
      <c r="U333" s="150"/>
    </row>
    <row r="334" spans="1:21" ht="11.15" customHeight="1" thickBot="1">
      <c r="A334" s="632"/>
      <c r="B334" s="633" t="s">
        <v>395</v>
      </c>
      <c r="C334" s="634">
        <v>9599</v>
      </c>
      <c r="D334" s="634">
        <v>706</v>
      </c>
      <c r="E334" s="635">
        <v>0</v>
      </c>
      <c r="F334" s="635">
        <v>92</v>
      </c>
      <c r="G334" s="635">
        <v>91</v>
      </c>
      <c r="H334" s="186" t="e">
        <f t="shared" si="25"/>
        <v>#DIV/0!</v>
      </c>
      <c r="M334" s="639">
        <v>9</v>
      </c>
      <c r="N334" s="639" t="s">
        <v>217</v>
      </c>
      <c r="O334" s="631">
        <v>3</v>
      </c>
      <c r="P334" s="631">
        <v>6</v>
      </c>
      <c r="Q334" s="631">
        <v>4</v>
      </c>
      <c r="R334" s="630">
        <v>4</v>
      </c>
      <c r="S334" s="630">
        <v>4</v>
      </c>
      <c r="T334" s="638">
        <f t="shared" si="24"/>
        <v>22.222222222222225</v>
      </c>
      <c r="U334" s="150"/>
    </row>
    <row r="335" spans="1:21" ht="11.15" customHeight="1" thickTop="1" thickBot="1">
      <c r="A335" s="632"/>
      <c r="B335" s="633" t="s">
        <v>396</v>
      </c>
      <c r="C335" s="634">
        <v>4291</v>
      </c>
      <c r="D335" s="634">
        <v>2763</v>
      </c>
      <c r="E335" s="635">
        <f>371+3750</f>
        <v>4121</v>
      </c>
      <c r="F335" s="635">
        <v>4303</v>
      </c>
      <c r="G335" s="635">
        <f>406+1988</f>
        <v>2394</v>
      </c>
      <c r="H335" s="186">
        <f t="shared" si="25"/>
        <v>-6.6019832483856149</v>
      </c>
      <c r="M335" s="640" t="s">
        <v>184</v>
      </c>
      <c r="N335" s="641"/>
      <c r="O335" s="642">
        <f>SUM(O326:O334)</f>
        <v>35</v>
      </c>
      <c r="P335" s="642">
        <f>SUM(P326:P334)</f>
        <v>70</v>
      </c>
      <c r="Q335" s="642">
        <f>SUM(Q326:Q334)</f>
        <v>41</v>
      </c>
      <c r="R335" s="642">
        <f>SUM(R326:R334)</f>
        <v>41</v>
      </c>
      <c r="S335" s="642">
        <f>SUM(S326:S334)</f>
        <v>41</v>
      </c>
      <c r="T335" s="642">
        <f>((Q335-P335)/P335*100+(S335-Q335)/Q335*100+(P326-O326)/O326*100)/3</f>
        <v>19.523809523809522</v>
      </c>
      <c r="U335" s="150"/>
    </row>
    <row r="336" spans="1:21" ht="11.15" customHeight="1" thickTop="1">
      <c r="A336" s="632">
        <v>5</v>
      </c>
      <c r="B336" s="633" t="s">
        <v>397</v>
      </c>
      <c r="C336" s="643">
        <f>SUM(C337:C341)</f>
        <v>2844</v>
      </c>
      <c r="D336" s="643">
        <f>SUM(D337:D341)</f>
        <v>3217</v>
      </c>
      <c r="E336" s="643">
        <f>SUM(E337:E341)</f>
        <v>7847</v>
      </c>
      <c r="F336" s="643">
        <f>SUM(F337:F341)</f>
        <v>7001</v>
      </c>
      <c r="G336" s="643">
        <f>SUM(G337:G341)</f>
        <v>4324</v>
      </c>
      <c r="H336" s="644">
        <f t="shared" si="25"/>
        <v>27.004913785436308</v>
      </c>
      <c r="M336" s="645"/>
      <c r="N336" s="645"/>
      <c r="O336" s="645"/>
      <c r="P336" s="645"/>
      <c r="Q336" s="645"/>
      <c r="R336" s="645"/>
      <c r="S336" s="645"/>
      <c r="T336" s="645"/>
    </row>
    <row r="337" spans="1:20" ht="11.15" customHeight="1">
      <c r="A337" s="646"/>
      <c r="B337" s="647" t="s">
        <v>398</v>
      </c>
      <c r="C337" s="648">
        <v>1057</v>
      </c>
      <c r="D337" s="648">
        <v>1010</v>
      </c>
      <c r="E337" s="649">
        <v>5864</v>
      </c>
      <c r="F337" s="649">
        <f>3026+2137</f>
        <v>5163</v>
      </c>
      <c r="G337" s="649">
        <f>2989+149</f>
        <v>3138</v>
      </c>
      <c r="H337" s="186">
        <f t="shared" si="25"/>
        <v>106.24295806261658</v>
      </c>
      <c r="M337" s="645"/>
      <c r="O337" s="650" t="s">
        <v>399</v>
      </c>
      <c r="P337" s="650"/>
      <c r="Q337" s="650"/>
      <c r="R337" s="650"/>
      <c r="S337" s="650"/>
      <c r="T337" s="650"/>
    </row>
    <row r="338" spans="1:20" ht="11.15" customHeight="1">
      <c r="A338" s="646"/>
      <c r="B338" s="647" t="s">
        <v>400</v>
      </c>
      <c r="C338" s="648">
        <v>215</v>
      </c>
      <c r="D338" s="648">
        <v>44</v>
      </c>
      <c r="E338" s="649">
        <v>41</v>
      </c>
      <c r="F338" s="649">
        <v>37</v>
      </c>
      <c r="G338" s="649">
        <f>37+20</f>
        <v>57</v>
      </c>
      <c r="H338" s="186">
        <f>((D338-C338)/C338*100+(E338-D338)/D338*100+(F338-E338)/E338*100+(G338-F338)/F338*100)/4</f>
        <v>-10.513777261508396</v>
      </c>
      <c r="M338" s="150"/>
      <c r="N338" s="150"/>
      <c r="O338" s="150"/>
      <c r="P338" s="150"/>
      <c r="Q338" s="150"/>
      <c r="R338" s="150"/>
      <c r="S338" s="150"/>
      <c r="T338" s="150"/>
    </row>
    <row r="339" spans="1:20" ht="11.15" customHeight="1">
      <c r="A339" s="646"/>
      <c r="B339" s="647" t="s">
        <v>401</v>
      </c>
      <c r="C339" s="648">
        <v>177</v>
      </c>
      <c r="D339" s="648">
        <v>135</v>
      </c>
      <c r="E339" s="648">
        <v>145</v>
      </c>
      <c r="F339" s="648">
        <v>145</v>
      </c>
      <c r="G339" s="648">
        <v>145</v>
      </c>
      <c r="H339" s="186">
        <f t="shared" si="25"/>
        <v>-4.0803515379786575</v>
      </c>
      <c r="M339" s="150"/>
      <c r="N339" s="150"/>
      <c r="O339" s="150"/>
      <c r="P339" s="150"/>
      <c r="Q339" s="150"/>
      <c r="R339" s="150"/>
      <c r="S339" s="150"/>
      <c r="T339" s="150"/>
    </row>
    <row r="340" spans="1:20" ht="11.15" customHeight="1">
      <c r="A340" s="632"/>
      <c r="B340" s="633" t="s">
        <v>402</v>
      </c>
      <c r="C340" s="634">
        <v>1225</v>
      </c>
      <c r="D340" s="634">
        <v>1874</v>
      </c>
      <c r="E340" s="634">
        <f>979+649</f>
        <v>1628</v>
      </c>
      <c r="F340" s="634">
        <f>887+628</f>
        <v>1515</v>
      </c>
      <c r="G340" s="634">
        <f>520+324</f>
        <v>844</v>
      </c>
      <c r="H340" s="186">
        <f t="shared" si="25"/>
        <v>-2.8447175536093479</v>
      </c>
      <c r="M340" s="150"/>
      <c r="N340" s="150"/>
      <c r="O340" s="150"/>
      <c r="P340" s="150"/>
      <c r="Q340" s="150"/>
      <c r="R340" s="150"/>
      <c r="S340" s="150"/>
      <c r="T340" s="150"/>
    </row>
    <row r="341" spans="1:20" ht="11.15" customHeight="1" thickBot="1">
      <c r="A341" s="651"/>
      <c r="B341" s="652" t="s">
        <v>403</v>
      </c>
      <c r="C341" s="653">
        <v>170</v>
      </c>
      <c r="D341" s="653">
        <v>154</v>
      </c>
      <c r="E341" s="653">
        <v>169</v>
      </c>
      <c r="F341" s="653">
        <v>141</v>
      </c>
      <c r="G341" s="653">
        <v>140</v>
      </c>
      <c r="H341" s="222">
        <f t="shared" si="25"/>
        <v>-4.2371930402641871</v>
      </c>
      <c r="M341" s="150"/>
      <c r="N341" s="150"/>
      <c r="O341" s="150"/>
      <c r="P341" s="150"/>
      <c r="Q341" s="150"/>
      <c r="R341" s="150"/>
      <c r="S341" s="150"/>
      <c r="T341" s="150"/>
    </row>
    <row r="342" spans="1:20" ht="11.15" customHeight="1" thickTop="1" thickBot="1">
      <c r="A342" s="654" t="s">
        <v>184</v>
      </c>
      <c r="B342" s="655"/>
      <c r="C342" s="656">
        <f>C297+C301+C306+C327+C336</f>
        <v>47797</v>
      </c>
      <c r="D342" s="656">
        <f>D297+D301+D306+D327+D336</f>
        <v>33130</v>
      </c>
      <c r="E342" s="656">
        <f>E297+E301+E306+E327+E336</f>
        <v>41695</v>
      </c>
      <c r="F342" s="656">
        <f>F297+F301+F306+F327+F336</f>
        <v>40668</v>
      </c>
      <c r="G342" s="656">
        <f>G297+G301+G306+G327+G336</f>
        <v>39512</v>
      </c>
      <c r="H342" s="311">
        <v>5.9075040598729203</v>
      </c>
      <c r="M342" s="150"/>
      <c r="N342" s="150"/>
      <c r="O342" s="150"/>
      <c r="P342" s="150"/>
      <c r="Q342" s="150"/>
      <c r="R342" s="150"/>
      <c r="S342" s="150"/>
      <c r="T342" s="150"/>
    </row>
    <row r="343" spans="1:20" ht="11.15" customHeight="1" thickTop="1">
      <c r="A343" s="606"/>
      <c r="B343" s="606"/>
      <c r="C343" s="606"/>
      <c r="D343" s="606"/>
      <c r="E343" s="606"/>
      <c r="F343" s="606"/>
      <c r="G343" s="606"/>
      <c r="H343" s="606"/>
      <c r="M343" s="150"/>
      <c r="N343" s="150"/>
      <c r="O343" s="150"/>
      <c r="P343" s="150"/>
      <c r="Q343" s="150"/>
      <c r="R343" s="150"/>
      <c r="S343" s="150"/>
      <c r="T343" s="150"/>
    </row>
    <row r="344" spans="1:20" ht="11.15" customHeight="1">
      <c r="A344" s="606"/>
      <c r="B344" s="242" t="s">
        <v>404</v>
      </c>
      <c r="C344" s="242"/>
      <c r="D344" s="242"/>
      <c r="E344" s="242"/>
      <c r="F344" s="242"/>
      <c r="G344" s="242"/>
      <c r="H344" s="242"/>
      <c r="M344" s="150"/>
      <c r="N344" s="150"/>
      <c r="O344" s="150"/>
      <c r="P344" s="150"/>
      <c r="Q344" s="150"/>
      <c r="R344" s="150"/>
      <c r="S344" s="150"/>
      <c r="T344" s="150"/>
    </row>
    <row r="345" spans="1:20" ht="11.15" customHeight="1">
      <c r="A345" s="606"/>
      <c r="B345" s="247"/>
      <c r="C345" s="247"/>
      <c r="D345" s="247"/>
      <c r="E345" s="247"/>
      <c r="F345" s="247"/>
      <c r="G345" s="247"/>
      <c r="H345" s="247"/>
      <c r="M345" s="150"/>
      <c r="N345" s="150"/>
      <c r="O345" s="150"/>
      <c r="P345" s="150"/>
      <c r="Q345" s="150"/>
      <c r="R345" s="150"/>
      <c r="S345" s="150"/>
      <c r="T345" s="150"/>
    </row>
    <row r="346" spans="1:20" ht="11.15" customHeight="1">
      <c r="A346" s="606"/>
      <c r="B346" s="247"/>
      <c r="C346" s="247"/>
      <c r="D346" s="247"/>
      <c r="E346" s="247"/>
      <c r="F346" s="247"/>
      <c r="G346" s="247"/>
      <c r="H346" s="247"/>
      <c r="M346" s="150"/>
      <c r="N346" s="150"/>
      <c r="O346" s="150"/>
      <c r="P346" s="150"/>
      <c r="Q346" s="150"/>
      <c r="R346" s="150"/>
      <c r="S346" s="150"/>
      <c r="T346" s="150"/>
    </row>
    <row r="347" spans="1:20" ht="11.15" customHeight="1">
      <c r="A347" s="606"/>
      <c r="B347" s="247"/>
      <c r="C347" s="247"/>
      <c r="D347" s="247"/>
      <c r="E347" s="247"/>
      <c r="F347" s="247"/>
      <c r="G347" s="247"/>
      <c r="H347" s="247"/>
      <c r="M347" s="150"/>
      <c r="N347" s="150"/>
      <c r="O347" s="150"/>
      <c r="P347" s="150"/>
      <c r="Q347" s="150"/>
      <c r="R347" s="150"/>
      <c r="S347" s="150"/>
      <c r="T347" s="150"/>
    </row>
    <row r="348" spans="1:20" ht="11.15" customHeight="1">
      <c r="A348" s="606"/>
      <c r="B348" s="247"/>
      <c r="C348" s="247"/>
      <c r="D348" s="247"/>
      <c r="E348" s="247"/>
      <c r="F348" s="247"/>
      <c r="G348" s="247"/>
      <c r="H348" s="247"/>
      <c r="M348" s="150"/>
      <c r="N348" s="150"/>
      <c r="O348" s="150"/>
      <c r="P348" s="150"/>
      <c r="Q348" s="150"/>
      <c r="R348" s="150"/>
      <c r="S348" s="150"/>
      <c r="T348" s="150"/>
    </row>
    <row r="349" spans="1:20" ht="11.15" customHeight="1">
      <c r="A349" s="606"/>
      <c r="B349" s="247"/>
      <c r="C349" s="247"/>
      <c r="D349" s="247"/>
      <c r="E349" s="247"/>
      <c r="F349" s="247"/>
      <c r="G349" s="247"/>
      <c r="H349" s="247"/>
      <c r="M349" s="150"/>
      <c r="N349" s="150"/>
      <c r="O349" s="150"/>
      <c r="P349" s="150"/>
      <c r="Q349" s="150"/>
      <c r="R349" s="150"/>
      <c r="S349" s="150"/>
      <c r="T349" s="150"/>
    </row>
    <row r="350" spans="1:20" ht="11.15" customHeight="1">
      <c r="A350" s="606"/>
      <c r="B350" s="247"/>
      <c r="C350" s="247"/>
      <c r="D350" s="247"/>
      <c r="E350" s="247"/>
      <c r="F350" s="247"/>
      <c r="G350" s="247"/>
      <c r="H350" s="247"/>
    </row>
    <row r="351" spans="1:20" ht="11.15" customHeight="1">
      <c r="A351" s="606"/>
      <c r="B351" s="247"/>
      <c r="C351" s="247"/>
      <c r="D351" s="247"/>
      <c r="E351" s="247"/>
      <c r="F351" s="247"/>
      <c r="G351" s="247"/>
      <c r="H351" s="247"/>
    </row>
    <row r="352" spans="1:20" ht="11.15" customHeight="1"/>
    <row r="353" spans="1:23" ht="11.15" customHeight="1">
      <c r="M353" s="145" t="s">
        <v>405</v>
      </c>
      <c r="N353" s="145"/>
      <c r="O353" s="145"/>
      <c r="P353" s="145"/>
      <c r="Q353" s="145"/>
      <c r="R353" s="145"/>
      <c r="S353" s="145"/>
      <c r="T353" s="145"/>
    </row>
    <row r="354" spans="1:23" ht="11.15" customHeight="1">
      <c r="A354" s="164" t="s">
        <v>406</v>
      </c>
      <c r="B354" s="164"/>
      <c r="C354" s="164"/>
      <c r="D354" s="164"/>
      <c r="E354" s="164"/>
      <c r="F354" s="164"/>
      <c r="G354" s="164"/>
      <c r="H354" s="164"/>
      <c r="M354" s="146" t="s">
        <v>407</v>
      </c>
      <c r="N354" s="146"/>
      <c r="O354" s="146"/>
      <c r="P354" s="146"/>
      <c r="Q354" s="146"/>
      <c r="R354" s="146"/>
      <c r="S354" s="146"/>
      <c r="T354" s="146"/>
    </row>
    <row r="355" spans="1:23" ht="11.15" customHeight="1">
      <c r="A355" s="164" t="s">
        <v>408</v>
      </c>
      <c r="B355" s="164"/>
      <c r="C355" s="164"/>
      <c r="D355" s="164"/>
      <c r="E355" s="164"/>
      <c r="F355" s="164"/>
      <c r="G355" s="164"/>
      <c r="H355" s="164"/>
      <c r="M355" s="151"/>
      <c r="N355" s="151"/>
      <c r="O355" s="151"/>
      <c r="P355" s="151"/>
      <c r="Q355" s="151"/>
      <c r="R355" s="151"/>
      <c r="S355" s="151"/>
      <c r="T355" s="152" t="s">
        <v>409</v>
      </c>
    </row>
    <row r="356" spans="1:23" ht="11.15" customHeight="1">
      <c r="A356" s="657"/>
      <c r="B356" s="657"/>
      <c r="C356" s="657"/>
      <c r="D356" s="657"/>
      <c r="E356" s="657"/>
      <c r="F356" s="657"/>
      <c r="G356" s="657"/>
      <c r="H356" s="658" t="s">
        <v>240</v>
      </c>
      <c r="M356" s="156" t="s">
        <v>6</v>
      </c>
      <c r="N356" s="187" t="s">
        <v>277</v>
      </c>
      <c r="O356" s="158" t="s">
        <v>179</v>
      </c>
      <c r="P356" s="159"/>
      <c r="Q356" s="159"/>
      <c r="R356" s="159"/>
      <c r="S356" s="160"/>
      <c r="T356" s="187" t="s">
        <v>180</v>
      </c>
      <c r="W356" s="659"/>
    </row>
    <row r="357" spans="1:23" ht="11.15" customHeight="1" thickBot="1">
      <c r="A357" s="660" t="s">
        <v>6</v>
      </c>
      <c r="B357" s="661" t="s">
        <v>178</v>
      </c>
      <c r="C357" s="158" t="s">
        <v>179</v>
      </c>
      <c r="D357" s="159"/>
      <c r="E357" s="159"/>
      <c r="F357" s="159"/>
      <c r="G357" s="160"/>
      <c r="H357" s="661" t="s">
        <v>180</v>
      </c>
      <c r="M357" s="166"/>
      <c r="N357" s="203"/>
      <c r="O357" s="336">
        <v>2011</v>
      </c>
      <c r="P357" s="336">
        <v>2012</v>
      </c>
      <c r="Q357" s="336">
        <v>2013</v>
      </c>
      <c r="R357" s="336">
        <v>2014</v>
      </c>
      <c r="S357" s="336">
        <v>2015</v>
      </c>
      <c r="T357" s="203"/>
      <c r="W357" s="659"/>
    </row>
    <row r="358" spans="1:23" ht="11.15" customHeight="1" thickTop="1" thickBot="1">
      <c r="A358" s="662"/>
      <c r="B358" s="663"/>
      <c r="C358" s="336">
        <v>2011</v>
      </c>
      <c r="D358" s="336">
        <v>2012</v>
      </c>
      <c r="E358" s="336">
        <v>2013</v>
      </c>
      <c r="F358" s="336">
        <v>2014</v>
      </c>
      <c r="G358" s="336">
        <v>2015</v>
      </c>
      <c r="H358" s="663"/>
      <c r="M358" s="181">
        <v>1</v>
      </c>
      <c r="N358" s="182" t="s">
        <v>410</v>
      </c>
      <c r="O358" s="341">
        <v>5403.6</v>
      </c>
      <c r="P358" s="664">
        <v>6723.8</v>
      </c>
      <c r="Q358" s="341">
        <v>15062.5</v>
      </c>
      <c r="R358" s="665">
        <v>7769.5999999999995</v>
      </c>
      <c r="S358" s="665">
        <v>5186.5</v>
      </c>
      <c r="T358" s="186">
        <f>((P358-O358)/O358*100+(Q358-P358)/P358*100+(R358-Q358)/Q358*100+(S358-R358)/R358*100)/4</f>
        <v>16.696423424456043</v>
      </c>
      <c r="W358" s="659"/>
    </row>
    <row r="359" spans="1:23" ht="11.15" customHeight="1" thickTop="1">
      <c r="A359" s="666"/>
      <c r="B359" s="667"/>
      <c r="C359" s="668"/>
      <c r="D359" s="668"/>
      <c r="E359" s="668"/>
      <c r="F359" s="668"/>
      <c r="G359" s="668"/>
      <c r="H359" s="668"/>
      <c r="M359" s="200">
        <v>2</v>
      </c>
      <c r="N359" s="201" t="s">
        <v>411</v>
      </c>
      <c r="O359" s="226">
        <v>2131.3000000000002</v>
      </c>
      <c r="P359" s="669">
        <v>0</v>
      </c>
      <c r="Q359" s="226">
        <v>180</v>
      </c>
      <c r="R359" s="483">
        <v>140</v>
      </c>
      <c r="S359" s="483">
        <v>5</v>
      </c>
      <c r="T359" s="484" t="e">
        <f>((P359-O359)/O359*100+(Q359-P359)/P359*100+(R359-Q359)/Q359*100+(S359-R359)/R359*100)/4</f>
        <v>#DIV/0!</v>
      </c>
      <c r="W359" s="659"/>
    </row>
    <row r="360" spans="1:23" ht="11.15" customHeight="1">
      <c r="A360" s="670">
        <v>1</v>
      </c>
      <c r="B360" s="671" t="s">
        <v>280</v>
      </c>
      <c r="C360" s="672">
        <v>339.5</v>
      </c>
      <c r="D360" s="672">
        <v>308.89999999999998</v>
      </c>
      <c r="E360" s="672">
        <v>336.3</v>
      </c>
      <c r="F360" s="672">
        <v>265.3</v>
      </c>
      <c r="G360" s="672">
        <v>326.7</v>
      </c>
      <c r="H360" s="186">
        <f t="shared" ref="H360:H366" si="26">((D360-C360)/C360*100+(E360-D360)/D360*100+(F360-E360)/E360*100+(G360-F360)/F360*100)/4</f>
        <v>0.4721096140178247</v>
      </c>
      <c r="M360" s="200">
        <v>3</v>
      </c>
      <c r="N360" s="201" t="s">
        <v>412</v>
      </c>
      <c r="O360" s="226">
        <v>24908</v>
      </c>
      <c r="P360" s="669">
        <v>37131</v>
      </c>
      <c r="Q360" s="226">
        <v>32490</v>
      </c>
      <c r="R360" s="226">
        <v>61268.15</v>
      </c>
      <c r="S360" s="226">
        <v>39217.599999999999</v>
      </c>
      <c r="T360" s="186">
        <f>((P360-O360)/O360*100+(Q360-P360)/P360*100+(R360-Q360)/Q360*100+(S360-R360)/R360*100)/4</f>
        <v>22.289692944477004</v>
      </c>
      <c r="W360" s="659"/>
    </row>
    <row r="361" spans="1:23" ht="11.15" customHeight="1">
      <c r="A361" s="670">
        <v>2</v>
      </c>
      <c r="B361" s="671" t="s">
        <v>282</v>
      </c>
      <c r="C361" s="672">
        <v>335.2</v>
      </c>
      <c r="D361" s="672">
        <v>1599.8</v>
      </c>
      <c r="E361" s="672">
        <v>1320.6</v>
      </c>
      <c r="F361" s="672">
        <v>1613.3</v>
      </c>
      <c r="G361" s="672">
        <v>1597.4</v>
      </c>
      <c r="H361" s="186">
        <f t="shared" si="26"/>
        <v>95.248432957401747</v>
      </c>
      <c r="M361" s="200">
        <v>4</v>
      </c>
      <c r="N361" s="201" t="s">
        <v>413</v>
      </c>
      <c r="O361" s="226">
        <v>1041.0999999999999</v>
      </c>
      <c r="P361" s="669">
        <v>895.7</v>
      </c>
      <c r="Q361" s="226">
        <v>3337.6</v>
      </c>
      <c r="R361" s="226">
        <v>2203</v>
      </c>
      <c r="S361" s="226">
        <v>1136.5999999999999</v>
      </c>
      <c r="T361" s="186">
        <f>((P361-O361)/O361*100+(Q361-P361)/P361*100+(R361-Q361)/Q361*100+(S361-R361)/R361*100)/4</f>
        <v>44.064390021127956</v>
      </c>
      <c r="W361" s="659"/>
    </row>
    <row r="362" spans="1:23" ht="11.15" customHeight="1">
      <c r="A362" s="670">
        <v>3</v>
      </c>
      <c r="B362" s="671" t="s">
        <v>284</v>
      </c>
      <c r="C362" s="672">
        <v>13894.3</v>
      </c>
      <c r="D362" s="672">
        <v>14164.4</v>
      </c>
      <c r="E362" s="672">
        <v>11101.6</v>
      </c>
      <c r="F362" s="672">
        <v>12296.1</v>
      </c>
      <c r="G362" s="672">
        <v>12631.7</v>
      </c>
      <c r="H362" s="186">
        <f t="shared" si="26"/>
        <v>-1.5475576996724432</v>
      </c>
      <c r="M362" s="200">
        <v>5</v>
      </c>
      <c r="N362" s="201" t="s">
        <v>414</v>
      </c>
      <c r="O362" s="226">
        <v>7988.8</v>
      </c>
      <c r="P362" s="669">
        <v>17200.2</v>
      </c>
      <c r="Q362" s="226">
        <v>17404.7</v>
      </c>
      <c r="R362" s="226">
        <v>16271.7</v>
      </c>
      <c r="S362" s="226">
        <v>21569.200000000001</v>
      </c>
      <c r="T362" s="186">
        <f t="shared" ref="T362:T367" si="27">((P362-O362)/O362*100+(Q362-P362)/P362*100+(R362-Q362)/Q362*100+(S362-R362)/R362*100)/4</f>
        <v>35.634913450318237</v>
      </c>
      <c r="W362" s="659"/>
    </row>
    <row r="363" spans="1:23" ht="11.15" customHeight="1">
      <c r="A363" s="670">
        <v>4</v>
      </c>
      <c r="B363" s="671" t="s">
        <v>286</v>
      </c>
      <c r="C363" s="672">
        <v>6986.3</v>
      </c>
      <c r="D363" s="672">
        <v>11041.7</v>
      </c>
      <c r="E363" s="672">
        <v>14612.6</v>
      </c>
      <c r="F363" s="672">
        <v>17818.3</v>
      </c>
      <c r="G363" s="672">
        <v>13914.6</v>
      </c>
      <c r="H363" s="186">
        <f t="shared" si="26"/>
        <v>22.604391003603904</v>
      </c>
      <c r="M363" s="200">
        <v>6</v>
      </c>
      <c r="N363" s="201" t="s">
        <v>289</v>
      </c>
      <c r="O363" s="226">
        <v>4914</v>
      </c>
      <c r="P363" s="669">
        <v>3416</v>
      </c>
      <c r="Q363" s="226">
        <v>3137.5</v>
      </c>
      <c r="R363" s="226">
        <v>2719.5</v>
      </c>
      <c r="S363" s="226">
        <v>1503.2</v>
      </c>
      <c r="T363" s="186">
        <f t="shared" si="27"/>
        <v>-24.171245812172153</v>
      </c>
      <c r="W363" s="659"/>
    </row>
    <row r="364" spans="1:23" ht="11.15" customHeight="1">
      <c r="A364" s="670">
        <v>5</v>
      </c>
      <c r="B364" s="673" t="s">
        <v>288</v>
      </c>
      <c r="C364" s="672">
        <v>1511.5</v>
      </c>
      <c r="D364" s="672">
        <v>2138.1</v>
      </c>
      <c r="E364" s="672">
        <v>6676.7</v>
      </c>
      <c r="F364" s="672">
        <v>6168.1</v>
      </c>
      <c r="G364" s="672">
        <v>5691</v>
      </c>
      <c r="H364" s="186">
        <f t="shared" si="26"/>
        <v>59.593897930222646</v>
      </c>
      <c r="M364" s="200">
        <v>7</v>
      </c>
      <c r="N364" s="201" t="s">
        <v>293</v>
      </c>
      <c r="O364" s="226">
        <v>0</v>
      </c>
      <c r="P364" s="669">
        <v>675</v>
      </c>
      <c r="Q364" s="226">
        <v>2121</v>
      </c>
      <c r="R364" s="226">
        <v>2019.4</v>
      </c>
      <c r="S364" s="226">
        <v>2092</v>
      </c>
      <c r="T364" s="484" t="e">
        <f t="shared" si="27"/>
        <v>#DIV/0!</v>
      </c>
      <c r="W364" s="659"/>
    </row>
    <row r="365" spans="1:23" ht="11.15" customHeight="1">
      <c r="A365" s="670">
        <v>6</v>
      </c>
      <c r="B365" s="673" t="s">
        <v>290</v>
      </c>
      <c r="C365" s="672">
        <v>477.9</v>
      </c>
      <c r="D365" s="672">
        <v>411.8</v>
      </c>
      <c r="E365" s="672">
        <v>454.2</v>
      </c>
      <c r="F365" s="672">
        <v>580</v>
      </c>
      <c r="G365" s="672">
        <v>567.29999999999995</v>
      </c>
      <c r="H365" s="186">
        <f t="shared" si="26"/>
        <v>5.4930773590456372</v>
      </c>
      <c r="M365" s="200">
        <v>8</v>
      </c>
      <c r="N365" s="201" t="s">
        <v>415</v>
      </c>
      <c r="O365" s="226">
        <v>2411972.2999999998</v>
      </c>
      <c r="P365" s="669">
        <v>2594475.2000000002</v>
      </c>
      <c r="Q365" s="226">
        <v>2727054.9</v>
      </c>
      <c r="R365" s="226">
        <v>3120798.8</v>
      </c>
      <c r="S365" s="226">
        <v>5603017</v>
      </c>
      <c r="T365" s="186">
        <f t="shared" si="27"/>
        <v>26.663240324916309</v>
      </c>
      <c r="W365" s="659"/>
    </row>
    <row r="366" spans="1:23" ht="11.15" customHeight="1">
      <c r="A366" s="670">
        <v>7</v>
      </c>
      <c r="B366" s="673" t="s">
        <v>292</v>
      </c>
      <c r="C366" s="672">
        <v>6.2</v>
      </c>
      <c r="D366" s="672">
        <v>50.2</v>
      </c>
      <c r="E366" s="672">
        <v>14.1</v>
      </c>
      <c r="F366" s="672">
        <v>82.2</v>
      </c>
      <c r="G366" s="672">
        <v>129</v>
      </c>
      <c r="H366" s="186">
        <f t="shared" si="26"/>
        <v>294.41952468270688</v>
      </c>
      <c r="M366" s="200">
        <v>9</v>
      </c>
      <c r="N366" s="201" t="s">
        <v>301</v>
      </c>
      <c r="O366" s="226">
        <f>6839+67.7</f>
        <v>6906.7</v>
      </c>
      <c r="P366" s="669">
        <f>76827+15.8+1064</f>
        <v>77906.8</v>
      </c>
      <c r="Q366" s="226">
        <f>1133+1.3+156210+4.2</f>
        <v>157348.5</v>
      </c>
      <c r="R366" s="226">
        <f>1220+270900.4</f>
        <v>272120.40000000002</v>
      </c>
      <c r="S366" s="226">
        <f>1161.9+340702+3</f>
        <v>341866.9</v>
      </c>
      <c r="T366" s="186">
        <f t="shared" si="27"/>
        <v>307.13272487008243</v>
      </c>
      <c r="W366" s="659"/>
    </row>
    <row r="367" spans="1:23" ht="11.15" customHeight="1" thickBot="1">
      <c r="A367" s="674"/>
      <c r="B367" s="675"/>
      <c r="C367" s="676"/>
      <c r="D367" s="676" t="s">
        <v>294</v>
      </c>
      <c r="E367" s="676" t="s">
        <v>294</v>
      </c>
      <c r="F367" s="676" t="s">
        <v>294</v>
      </c>
      <c r="G367" s="676" t="s">
        <v>294</v>
      </c>
      <c r="H367" s="677"/>
      <c r="M367" s="450">
        <v>10</v>
      </c>
      <c r="N367" s="451" t="s">
        <v>193</v>
      </c>
      <c r="O367" s="466">
        <f>107.2+256.5</f>
        <v>363.7</v>
      </c>
      <c r="P367" s="678">
        <f>50+24.6+1033.8</f>
        <v>1108.3999999999999</v>
      </c>
      <c r="Q367" s="466">
        <f>111.8+124.5</f>
        <v>236.3</v>
      </c>
      <c r="R367" s="466">
        <f>629+43.2+42.2</f>
        <v>714.40000000000009</v>
      </c>
      <c r="S367" s="466">
        <f>95.1+875+48.5</f>
        <v>1018.6</v>
      </c>
      <c r="T367" s="186">
        <f t="shared" si="27"/>
        <v>92.746105680771308</v>
      </c>
      <c r="W367" s="659"/>
    </row>
    <row r="368" spans="1:23" ht="11.15" customHeight="1" thickTop="1" thickBot="1">
      <c r="A368" s="679" t="s">
        <v>184</v>
      </c>
      <c r="B368" s="680"/>
      <c r="C368" s="681">
        <f>SUM(C360:C366)</f>
        <v>23550.9</v>
      </c>
      <c r="D368" s="681">
        <f>SUM(D360:D366)</f>
        <v>29714.899999999998</v>
      </c>
      <c r="E368" s="681">
        <f>SUM(E360:E366)</f>
        <v>34516.099999999991</v>
      </c>
      <c r="F368" s="681">
        <f>SUM(F360:F366)</f>
        <v>38823.299999999996</v>
      </c>
      <c r="G368" s="681">
        <f>SUM(G360:G366)</f>
        <v>34857.700000000004</v>
      </c>
      <c r="H368" s="319">
        <f>((D368-C368)/C368*100+(E368-D368)/D368*100+(F368-E368)/E368*100+(G368-F368)/F368*100)/4</f>
        <v>11.14874441041375</v>
      </c>
      <c r="M368" s="682" t="s">
        <v>211</v>
      </c>
      <c r="N368" s="229"/>
      <c r="O368" s="683">
        <f>SUM(O358:O367)</f>
        <v>2465629.5</v>
      </c>
      <c r="P368" s="683">
        <f>SUM(P358:P367)</f>
        <v>2739532.1</v>
      </c>
      <c r="Q368" s="683">
        <f>SUM(Q358:Q367)</f>
        <v>2958372.9999999995</v>
      </c>
      <c r="R368" s="683">
        <f>SUM(R358:R367)</f>
        <v>3486024.9499999997</v>
      </c>
      <c r="S368" s="683">
        <f>SUM(S358:S367)</f>
        <v>6016612.5999999996</v>
      </c>
      <c r="T368" s="684">
        <f>((P368-O368)/O368*100+(Q368-P368)/P368*100+(R368-Q368)/Q368*100+(S368-R368)/R368*100)/4</f>
        <v>27.381332010524186</v>
      </c>
      <c r="W368" s="659"/>
    </row>
    <row r="369" spans="1:23" ht="11.15" customHeight="1" thickTop="1">
      <c r="A369" s="657"/>
      <c r="B369" s="657"/>
      <c r="C369" s="657"/>
      <c r="D369" s="657"/>
      <c r="E369" s="657"/>
      <c r="F369" s="657"/>
      <c r="G369" s="657"/>
      <c r="H369" s="657"/>
      <c r="M369" s="151"/>
      <c r="N369" s="151"/>
      <c r="O369" s="151"/>
      <c r="P369" s="151"/>
      <c r="Q369" s="151"/>
      <c r="R369" s="233"/>
      <c r="S369" s="151"/>
      <c r="T369" s="234"/>
      <c r="W369" s="659"/>
    </row>
    <row r="370" spans="1:23" ht="11.15" customHeight="1">
      <c r="A370" s="685"/>
      <c r="B370" s="242" t="s">
        <v>416</v>
      </c>
      <c r="C370" s="242"/>
      <c r="D370" s="242"/>
      <c r="E370" s="242"/>
      <c r="F370" s="242"/>
      <c r="G370" s="242"/>
      <c r="H370" s="242"/>
      <c r="M370" s="171"/>
      <c r="N370" s="242" t="s">
        <v>417</v>
      </c>
      <c r="O370" s="242"/>
      <c r="P370" s="242"/>
      <c r="Q370" s="242"/>
      <c r="R370" s="242"/>
      <c r="S370" s="242"/>
      <c r="T370" s="242"/>
      <c r="W370" s="659"/>
    </row>
    <row r="371" spans="1:23" ht="11.15" customHeight="1">
      <c r="A371" s="685"/>
      <c r="B371" s="247"/>
      <c r="C371" s="247"/>
      <c r="D371" s="247"/>
      <c r="E371" s="247"/>
      <c r="F371" s="247"/>
      <c r="G371" s="247"/>
      <c r="H371" s="247"/>
      <c r="W371" s="659"/>
    </row>
    <row r="372" spans="1:23" ht="11.15" customHeight="1">
      <c r="A372" s="685"/>
      <c r="B372" s="247"/>
      <c r="C372" s="247"/>
      <c r="D372" s="247"/>
      <c r="E372" s="247"/>
      <c r="F372" s="247"/>
      <c r="G372" s="247"/>
      <c r="H372" s="247"/>
      <c r="W372" s="659"/>
    </row>
    <row r="373" spans="1:23" ht="11.15" customHeight="1">
      <c r="A373" s="685"/>
      <c r="B373" s="247"/>
      <c r="C373" s="247"/>
      <c r="D373" s="247"/>
      <c r="E373" s="247"/>
      <c r="F373" s="247"/>
      <c r="G373" s="247"/>
      <c r="H373" s="247"/>
      <c r="R373" s="509"/>
      <c r="W373" s="659"/>
    </row>
    <row r="374" spans="1:23" ht="11.15" customHeight="1">
      <c r="A374" s="685"/>
      <c r="B374" s="247"/>
      <c r="C374" s="247"/>
      <c r="D374" s="247"/>
      <c r="E374" s="247"/>
      <c r="F374" s="247"/>
      <c r="G374" s="247"/>
      <c r="H374" s="247"/>
      <c r="R374" s="509"/>
    </row>
    <row r="375" spans="1:23" ht="11.15" customHeight="1">
      <c r="A375" s="685"/>
      <c r="B375" s="247"/>
      <c r="C375" s="247"/>
      <c r="D375" s="247"/>
      <c r="E375" s="247"/>
      <c r="F375" s="247"/>
      <c r="G375" s="247"/>
      <c r="H375" s="247"/>
    </row>
    <row r="376" spans="1:23" ht="11.15" customHeight="1">
      <c r="A376" s="685"/>
      <c r="B376" s="247"/>
      <c r="C376" s="247"/>
      <c r="D376" s="247"/>
      <c r="E376" s="247"/>
      <c r="F376" s="247"/>
      <c r="G376" s="247"/>
      <c r="H376" s="247"/>
    </row>
    <row r="377" spans="1:23" ht="11.15" customHeight="1">
      <c r="A377" s="685"/>
      <c r="B377" s="247"/>
      <c r="C377" s="247"/>
      <c r="D377" s="247"/>
      <c r="E377" s="247"/>
      <c r="F377" s="247"/>
      <c r="G377" s="247"/>
      <c r="H377" s="247"/>
    </row>
    <row r="378" spans="1:23" ht="11.15" customHeight="1">
      <c r="A378" s="685"/>
      <c r="B378" s="247"/>
      <c r="C378" s="247"/>
      <c r="D378" s="247"/>
      <c r="E378" s="247"/>
      <c r="F378" s="247"/>
      <c r="G378" s="247"/>
      <c r="H378" s="247"/>
    </row>
    <row r="379" spans="1:23" ht="11.15" customHeight="1">
      <c r="A379" s="685"/>
      <c r="B379" s="247"/>
      <c r="C379" s="247"/>
      <c r="D379" s="247"/>
      <c r="E379" s="247"/>
      <c r="F379" s="247"/>
      <c r="G379" s="247"/>
      <c r="H379" s="247"/>
      <c r="M379" s="145" t="s">
        <v>418</v>
      </c>
      <c r="N379" s="145"/>
      <c r="O379" s="145"/>
      <c r="P379" s="145"/>
      <c r="Q379" s="145"/>
      <c r="R379" s="145"/>
    </row>
    <row r="380" spans="1:23" ht="11.15" customHeight="1">
      <c r="A380" s="685"/>
      <c r="B380" s="247"/>
      <c r="C380" s="247"/>
      <c r="D380" s="247"/>
      <c r="E380" s="247"/>
      <c r="F380" s="247"/>
      <c r="G380" s="247"/>
      <c r="H380" s="247"/>
      <c r="M380" s="146" t="s">
        <v>419</v>
      </c>
      <c r="N380" s="146"/>
      <c r="O380" s="146"/>
      <c r="P380" s="146"/>
      <c r="Q380" s="146"/>
      <c r="R380" s="146"/>
    </row>
    <row r="381" spans="1:23" ht="11.15" customHeight="1">
      <c r="M381" s="151"/>
      <c r="N381" s="151"/>
      <c r="O381" s="151"/>
      <c r="P381" s="151"/>
      <c r="Q381" s="152" t="s">
        <v>240</v>
      </c>
    </row>
    <row r="382" spans="1:23" ht="11.15" customHeight="1">
      <c r="M382" s="156" t="s">
        <v>6</v>
      </c>
      <c r="N382" s="187" t="s">
        <v>277</v>
      </c>
      <c r="O382" s="158" t="s">
        <v>179</v>
      </c>
      <c r="P382" s="159"/>
      <c r="Q382" s="160"/>
      <c r="R382" s="161" t="s">
        <v>180</v>
      </c>
    </row>
    <row r="383" spans="1:23" ht="11.15" customHeight="1" thickBot="1">
      <c r="A383" s="686" t="s">
        <v>420</v>
      </c>
      <c r="B383" s="686"/>
      <c r="C383" s="686"/>
      <c r="D383" s="686"/>
      <c r="E383" s="686"/>
      <c r="F383" s="686"/>
      <c r="G383" s="686"/>
      <c r="H383" s="686"/>
      <c r="M383" s="166"/>
      <c r="N383" s="203"/>
      <c r="O383" s="336">
        <v>2013</v>
      </c>
      <c r="P383" s="336">
        <v>2014</v>
      </c>
      <c r="Q383" s="336">
        <v>2015</v>
      </c>
      <c r="R383" s="170"/>
    </row>
    <row r="384" spans="1:23" ht="11.15" customHeight="1" thickTop="1">
      <c r="A384" s="686" t="s">
        <v>173</v>
      </c>
      <c r="B384" s="686"/>
      <c r="C384" s="686"/>
      <c r="D384" s="686"/>
      <c r="E384" s="686"/>
      <c r="F384" s="686"/>
      <c r="G384" s="686"/>
      <c r="H384" s="686"/>
      <c r="M384" s="181">
        <v>1</v>
      </c>
      <c r="N384" s="182" t="s">
        <v>421</v>
      </c>
      <c r="O384" s="278">
        <v>4963.29</v>
      </c>
      <c r="P384" s="278">
        <v>4214.97</v>
      </c>
      <c r="Q384" s="278">
        <v>2252.91</v>
      </c>
      <c r="R384" s="186">
        <f t="shared" ref="R384:R393" si="28">((Q384-O384)/O384*100)</f>
        <v>-54.608535870360186</v>
      </c>
    </row>
    <row r="385" spans="1:18" ht="11.15" customHeight="1">
      <c r="A385" s="687"/>
      <c r="B385" s="687"/>
      <c r="C385" s="687"/>
      <c r="D385" s="687"/>
      <c r="E385" s="687"/>
      <c r="F385" s="687"/>
      <c r="G385" s="687"/>
      <c r="H385" s="688" t="s">
        <v>240</v>
      </c>
      <c r="M385" s="200">
        <v>2</v>
      </c>
      <c r="N385" s="201" t="s">
        <v>422</v>
      </c>
      <c r="O385" s="186">
        <v>80.08</v>
      </c>
      <c r="P385" s="186">
        <v>90.2</v>
      </c>
      <c r="Q385" s="186">
        <v>146.26</v>
      </c>
      <c r="R385" s="186">
        <f t="shared" si="28"/>
        <v>82.642357642357638</v>
      </c>
    </row>
    <row r="386" spans="1:18" ht="11.15" customHeight="1">
      <c r="A386" s="156" t="s">
        <v>6</v>
      </c>
      <c r="B386" s="187" t="s">
        <v>178</v>
      </c>
      <c r="C386" s="158" t="s">
        <v>179</v>
      </c>
      <c r="D386" s="159"/>
      <c r="E386" s="159"/>
      <c r="F386" s="159"/>
      <c r="G386" s="160"/>
      <c r="H386" s="187" t="s">
        <v>180</v>
      </c>
      <c r="M386" s="200">
        <v>3</v>
      </c>
      <c r="N386" s="201" t="s">
        <v>423</v>
      </c>
      <c r="O386" s="186">
        <v>86.67</v>
      </c>
      <c r="P386" s="186">
        <v>265.27</v>
      </c>
      <c r="Q386" s="186">
        <v>695.87</v>
      </c>
      <c r="R386" s="186">
        <f t="shared" si="28"/>
        <v>702.8960424599054</v>
      </c>
    </row>
    <row r="387" spans="1:18" ht="11.15" customHeight="1" thickBot="1">
      <c r="A387" s="166"/>
      <c r="B387" s="203"/>
      <c r="C387" s="204">
        <v>2011</v>
      </c>
      <c r="D387" s="204">
        <v>2012</v>
      </c>
      <c r="E387" s="204">
        <v>2013</v>
      </c>
      <c r="F387" s="204">
        <v>2014</v>
      </c>
      <c r="G387" s="204">
        <v>2015</v>
      </c>
      <c r="H387" s="203"/>
      <c r="M387" s="200">
        <v>4</v>
      </c>
      <c r="N387" s="201" t="s">
        <v>424</v>
      </c>
      <c r="O387" s="186">
        <v>169.46</v>
      </c>
      <c r="P387" s="186">
        <v>659.68</v>
      </c>
      <c r="Q387" s="186">
        <v>481.29</v>
      </c>
      <c r="R387" s="186">
        <f t="shared" si="28"/>
        <v>184.01392659034582</v>
      </c>
    </row>
    <row r="388" spans="1:18" ht="11.15" customHeight="1" thickTop="1">
      <c r="A388" s="340">
        <v>1</v>
      </c>
      <c r="B388" s="340" t="s">
        <v>195</v>
      </c>
      <c r="C388" s="341">
        <v>43668.9</v>
      </c>
      <c r="D388" s="341">
        <v>30573.5</v>
      </c>
      <c r="E388" s="535">
        <f>45034.4+49</f>
        <v>45083.4</v>
      </c>
      <c r="F388" s="535">
        <f>45651.8+66.7</f>
        <v>45718.5</v>
      </c>
      <c r="G388" s="689">
        <v>34104.9</v>
      </c>
      <c r="H388" s="278">
        <f>(((D388-C388)/C388*100)+((E388-D388)/D388*100)+((F388-E388)/E388*100)+((G388-F388)/F388*100))/4</f>
        <v>-1.6306358986892739</v>
      </c>
      <c r="J388" s="292"/>
      <c r="K388" s="690"/>
      <c r="M388" s="200">
        <v>5</v>
      </c>
      <c r="N388" s="201" t="s">
        <v>425</v>
      </c>
      <c r="O388" s="186">
        <v>0</v>
      </c>
      <c r="P388" s="186">
        <v>0.02</v>
      </c>
      <c r="Q388" s="186">
        <v>0</v>
      </c>
      <c r="R388" s="484" t="e">
        <f t="shared" si="28"/>
        <v>#DIV/0!</v>
      </c>
    </row>
    <row r="389" spans="1:18" ht="11.15" customHeight="1">
      <c r="A389" s="224">
        <v>2</v>
      </c>
      <c r="B389" s="224" t="s">
        <v>198</v>
      </c>
      <c r="C389" s="226">
        <v>4553.2999999999993</v>
      </c>
      <c r="D389" s="226">
        <v>4632.4000000000005</v>
      </c>
      <c r="E389" s="545">
        <f>4744.4+16.7</f>
        <v>4761.0999999999995</v>
      </c>
      <c r="F389" s="545">
        <f>6095.3+17.8</f>
        <v>6113.1</v>
      </c>
      <c r="G389" s="691">
        <v>6474.0999999999995</v>
      </c>
      <c r="H389" s="186">
        <f>((D389-C389)/C389*100+(E389-D389)/D389*100+(F389-E389)/E389*100+(G389-F389)/F389*100)/4</f>
        <v>9.7044022359562927</v>
      </c>
      <c r="J389" s="292"/>
      <c r="K389" s="690"/>
      <c r="M389" s="200">
        <v>6</v>
      </c>
      <c r="N389" s="201" t="s">
        <v>426</v>
      </c>
      <c r="O389" s="186">
        <v>0</v>
      </c>
      <c r="P389" s="186">
        <v>0.03</v>
      </c>
      <c r="Q389" s="186">
        <v>0</v>
      </c>
      <c r="R389" s="484" t="e">
        <f t="shared" si="28"/>
        <v>#DIV/0!</v>
      </c>
    </row>
    <row r="390" spans="1:18" ht="11.15" customHeight="1">
      <c r="A390" s="224">
        <v>3</v>
      </c>
      <c r="B390" s="224" t="s">
        <v>202</v>
      </c>
      <c r="C390" s="226">
        <v>810.40000000000009</v>
      </c>
      <c r="D390" s="226">
        <v>815.3</v>
      </c>
      <c r="E390" s="545">
        <f>707.4+119.5</f>
        <v>826.9</v>
      </c>
      <c r="F390" s="545">
        <f>762.3+121.7</f>
        <v>884</v>
      </c>
      <c r="G390" s="691">
        <v>828.2</v>
      </c>
      <c r="H390" s="186">
        <f t="shared" ref="H390:H396" si="29">((D390-C390)/C390*100+(E390-D390)/D390*100+(F390-E390)/E390*100+(G390-F390)/F390*100)/4</f>
        <v>0.6551301580672233</v>
      </c>
      <c r="J390" s="292"/>
      <c r="K390" s="690"/>
      <c r="M390" s="200">
        <v>7</v>
      </c>
      <c r="N390" s="201" t="s">
        <v>427</v>
      </c>
      <c r="O390" s="186">
        <v>0</v>
      </c>
      <c r="P390" s="186">
        <v>0</v>
      </c>
      <c r="Q390" s="186">
        <v>0</v>
      </c>
      <c r="R390" s="484" t="e">
        <f t="shared" si="28"/>
        <v>#DIV/0!</v>
      </c>
    </row>
    <row r="391" spans="1:18" ht="11.15" customHeight="1">
      <c r="A391" s="224">
        <v>4</v>
      </c>
      <c r="B391" s="224" t="s">
        <v>204</v>
      </c>
      <c r="C391" s="226">
        <v>18074.2</v>
      </c>
      <c r="D391" s="226">
        <v>10482</v>
      </c>
      <c r="E391" s="545">
        <f>14101.94+1.68</f>
        <v>14103.62</v>
      </c>
      <c r="F391" s="545">
        <f>22429+7.1</f>
        <v>22436.1</v>
      </c>
      <c r="G391" s="691">
        <v>20379.23</v>
      </c>
      <c r="H391" s="186">
        <f t="shared" si="29"/>
        <v>10.614467789590206</v>
      </c>
      <c r="J391" s="292"/>
      <c r="K391" s="690"/>
      <c r="M391" s="200">
        <v>8</v>
      </c>
      <c r="N391" s="201" t="s">
        <v>428</v>
      </c>
      <c r="O391" s="186">
        <v>606.54</v>
      </c>
      <c r="P391" s="186">
        <v>0</v>
      </c>
      <c r="Q391" s="186">
        <v>0</v>
      </c>
      <c r="R391" s="186">
        <f t="shared" si="28"/>
        <v>-100</v>
      </c>
    </row>
    <row r="392" spans="1:18" ht="11.15" customHeight="1" thickBot="1">
      <c r="A392" s="224">
        <v>5</v>
      </c>
      <c r="B392" s="224" t="s">
        <v>205</v>
      </c>
      <c r="C392" s="226">
        <v>12784.4</v>
      </c>
      <c r="D392" s="226">
        <v>13374.5</v>
      </c>
      <c r="E392" s="545">
        <f>14243.5+98.6</f>
        <v>14342.1</v>
      </c>
      <c r="F392" s="545">
        <f>17711.8+97.4</f>
        <v>17809.2</v>
      </c>
      <c r="G392" s="691">
        <v>16307.9</v>
      </c>
      <c r="H392" s="186">
        <f t="shared" si="29"/>
        <v>6.8987040458176949</v>
      </c>
      <c r="J392" s="292"/>
      <c r="K392" s="690"/>
      <c r="M392" s="200">
        <v>9</v>
      </c>
      <c r="N392" s="201" t="s">
        <v>429</v>
      </c>
      <c r="O392" s="186">
        <v>376.84</v>
      </c>
      <c r="P392" s="186">
        <v>0</v>
      </c>
      <c r="Q392" s="186">
        <v>0</v>
      </c>
      <c r="R392" s="461">
        <f t="shared" si="28"/>
        <v>-100</v>
      </c>
    </row>
    <row r="393" spans="1:18" ht="11.15" customHeight="1" thickTop="1" thickBot="1">
      <c r="A393" s="224">
        <v>6</v>
      </c>
      <c r="B393" s="224" t="s">
        <v>208</v>
      </c>
      <c r="C393" s="226">
        <v>18564.8</v>
      </c>
      <c r="D393" s="226">
        <v>18083.5</v>
      </c>
      <c r="E393" s="545">
        <f>20594.32+3.51</f>
        <v>20597.829999999998</v>
      </c>
      <c r="F393" s="545">
        <f>21532.8+1.65</f>
        <v>21534.45</v>
      </c>
      <c r="G393" s="691">
        <v>24910.34</v>
      </c>
      <c r="H393" s="186">
        <f t="shared" si="29"/>
        <v>7.8838332437344487</v>
      </c>
      <c r="J393" s="292"/>
      <c r="K393" s="690"/>
      <c r="M393" s="682" t="s">
        <v>211</v>
      </c>
      <c r="N393" s="229"/>
      <c r="O393" s="230">
        <f>SUM(O384:O392)</f>
        <v>6282.88</v>
      </c>
      <c r="P393" s="230">
        <f>SUM(P384:P392)</f>
        <v>5230.170000000001</v>
      </c>
      <c r="Q393" s="230">
        <f>SUM(Q384:Q392)</f>
        <v>3576.33</v>
      </c>
      <c r="R393" s="230">
        <f t="shared" si="28"/>
        <v>-43.078174340429868</v>
      </c>
    </row>
    <row r="394" spans="1:18" ht="11.15" customHeight="1" thickTop="1">
      <c r="A394" s="224">
        <v>7</v>
      </c>
      <c r="B394" s="224" t="s">
        <v>213</v>
      </c>
      <c r="C394" s="226">
        <v>1744.3</v>
      </c>
      <c r="D394" s="226">
        <v>2065.9</v>
      </c>
      <c r="E394" s="545">
        <f>2100.4</f>
        <v>2100.4</v>
      </c>
      <c r="F394" s="545">
        <v>2000.9</v>
      </c>
      <c r="G394" s="691">
        <v>1889.6</v>
      </c>
      <c r="H394" s="186">
        <f t="shared" si="29"/>
        <v>2.4518699974614315</v>
      </c>
      <c r="J394" s="292"/>
      <c r="K394" s="690"/>
      <c r="M394" s="151"/>
      <c r="N394" s="151"/>
      <c r="O394" s="151"/>
      <c r="P394" s="151"/>
      <c r="Q394" s="151"/>
    </row>
    <row r="395" spans="1:18" ht="11.15" customHeight="1">
      <c r="A395" s="224">
        <v>8</v>
      </c>
      <c r="B395" s="224" t="s">
        <v>215</v>
      </c>
      <c r="C395" s="226">
        <v>716.7</v>
      </c>
      <c r="D395" s="226">
        <v>864.1</v>
      </c>
      <c r="E395" s="545">
        <f>724.7+141.3</f>
        <v>866</v>
      </c>
      <c r="F395" s="545">
        <f>725.3+89.6</f>
        <v>814.9</v>
      </c>
      <c r="G395" s="691">
        <v>505.53000000000003</v>
      </c>
      <c r="H395" s="186">
        <f t="shared" si="29"/>
        <v>-5.7696232463216095</v>
      </c>
      <c r="J395" s="292"/>
      <c r="K395" s="690"/>
      <c r="M395" s="242" t="s">
        <v>430</v>
      </c>
      <c r="N395" s="242"/>
      <c r="O395" s="242"/>
      <c r="P395" s="242"/>
      <c r="Q395" s="242"/>
    </row>
    <row r="396" spans="1:18" ht="11.15" customHeight="1" thickBot="1">
      <c r="A396" s="351">
        <v>9</v>
      </c>
      <c r="B396" s="351" t="s">
        <v>217</v>
      </c>
      <c r="C396" s="465">
        <v>454.6</v>
      </c>
      <c r="D396" s="465">
        <v>843.5</v>
      </c>
      <c r="E396" s="554">
        <v>910.5</v>
      </c>
      <c r="F396" s="554">
        <v>929.9</v>
      </c>
      <c r="G396" s="692">
        <v>851.9</v>
      </c>
      <c r="H396" s="186">
        <f t="shared" si="29"/>
        <v>21.808381807874358</v>
      </c>
      <c r="J396" s="292"/>
    </row>
    <row r="397" spans="1:18" ht="11.15" customHeight="1" thickTop="1" thickBot="1">
      <c r="A397" s="468" t="s">
        <v>184</v>
      </c>
      <c r="B397" s="469"/>
      <c r="C397" s="470">
        <f>SUM(C388:C396)</f>
        <v>101371.6</v>
      </c>
      <c r="D397" s="470">
        <f>SUM(D388:D396)</f>
        <v>81734.700000000012</v>
      </c>
      <c r="E397" s="470">
        <f>SUM(E388:E396)</f>
        <v>103591.85</v>
      </c>
      <c r="F397" s="470">
        <f>SUM(F388:F396)</f>
        <v>118241.04999999997</v>
      </c>
      <c r="G397" s="470">
        <f>SUM(G388:G396)</f>
        <v>106251.69999999998</v>
      </c>
      <c r="H397" s="319">
        <f>((D397-C397)/C397*100+(E397-D397)/D397*100+(F397-E397)/E397*100+(G397-F397)/F397*100)/4</f>
        <v>2.8429723666800006</v>
      </c>
      <c r="J397" s="693"/>
      <c r="K397" s="693"/>
    </row>
    <row r="398" spans="1:18" ht="11.15" customHeight="1" thickTop="1">
      <c r="A398" s="171"/>
      <c r="B398" s="171"/>
      <c r="C398" s="171"/>
      <c r="D398" s="171"/>
      <c r="E398" s="171"/>
      <c r="F398" s="171"/>
      <c r="G398" s="171"/>
      <c r="H398" s="171"/>
      <c r="J398" s="693"/>
      <c r="K398" s="693"/>
    </row>
    <row r="399" spans="1:18" ht="11.15" customHeight="1">
      <c r="A399" s="171"/>
      <c r="B399" s="242" t="s">
        <v>431</v>
      </c>
      <c r="C399" s="242"/>
      <c r="D399" s="242"/>
      <c r="E399" s="242"/>
      <c r="F399" s="242"/>
      <c r="G399" s="242"/>
      <c r="H399" s="242"/>
      <c r="J399" s="693"/>
      <c r="K399" s="693"/>
    </row>
    <row r="400" spans="1:18" ht="11.15" customHeight="1">
      <c r="A400" s="171"/>
      <c r="B400" s="247"/>
      <c r="C400" s="247"/>
      <c r="D400" s="247"/>
      <c r="E400" s="247"/>
      <c r="F400" s="247"/>
      <c r="G400" s="247"/>
      <c r="H400" s="247"/>
      <c r="J400" s="693"/>
      <c r="K400" s="693"/>
    </row>
    <row r="401" spans="1:20" ht="11.15" customHeight="1">
      <c r="A401" s="171"/>
      <c r="B401" s="247"/>
      <c r="C401" s="247"/>
      <c r="D401" s="247"/>
      <c r="E401" s="247"/>
      <c r="F401" s="247"/>
      <c r="G401" s="247"/>
      <c r="H401" s="247"/>
      <c r="J401" s="693"/>
      <c r="K401" s="693"/>
    </row>
    <row r="402" spans="1:20" ht="11.15" customHeight="1">
      <c r="A402" s="171"/>
      <c r="B402" s="247"/>
      <c r="C402" s="247"/>
      <c r="D402" s="247"/>
      <c r="E402" s="247"/>
      <c r="F402" s="247"/>
      <c r="G402" s="247"/>
      <c r="H402" s="247"/>
      <c r="J402" s="693"/>
      <c r="K402" s="693"/>
      <c r="R402" s="694"/>
      <c r="S402" s="694"/>
      <c r="T402" s="694"/>
    </row>
    <row r="403" spans="1:20" ht="11.15" customHeight="1">
      <c r="A403" s="171"/>
      <c r="B403" s="247"/>
      <c r="C403" s="247"/>
      <c r="D403" s="247"/>
      <c r="E403" s="247"/>
      <c r="F403" s="247"/>
      <c r="G403" s="247"/>
      <c r="H403" s="247"/>
      <c r="J403" s="693"/>
      <c r="K403" s="693"/>
      <c r="R403" s="695"/>
      <c r="S403" s="695"/>
      <c r="T403" s="695"/>
    </row>
    <row r="404" spans="1:20" ht="11.15" customHeight="1">
      <c r="A404" s="171"/>
      <c r="B404" s="247"/>
      <c r="C404" s="247"/>
      <c r="D404" s="247"/>
      <c r="E404" s="247"/>
      <c r="F404" s="247"/>
      <c r="G404" s="247"/>
      <c r="H404" s="247"/>
      <c r="J404" s="693"/>
      <c r="K404" s="693"/>
      <c r="R404" s="151"/>
    </row>
    <row r="405" spans="1:20" ht="10.5" customHeight="1">
      <c r="A405" s="171"/>
      <c r="B405" s="247"/>
      <c r="C405" s="247"/>
      <c r="D405" s="247"/>
      <c r="E405" s="247"/>
      <c r="F405" s="247"/>
      <c r="G405" s="247"/>
      <c r="H405" s="247"/>
      <c r="J405" s="693"/>
      <c r="K405" s="693"/>
    </row>
    <row r="406" spans="1:20" ht="11.15" customHeight="1">
      <c r="A406" s="171"/>
      <c r="B406" s="247"/>
      <c r="C406" s="247"/>
      <c r="D406" s="247"/>
      <c r="E406" s="247"/>
      <c r="F406" s="247"/>
      <c r="G406" s="247"/>
      <c r="H406" s="247"/>
    </row>
    <row r="407" spans="1:20" ht="11.15" customHeight="1">
      <c r="A407" s="171"/>
      <c r="B407" s="247"/>
      <c r="C407" s="247"/>
      <c r="D407" s="247"/>
      <c r="E407" s="247"/>
      <c r="F407" s="247"/>
      <c r="G407" s="247"/>
      <c r="H407" s="247"/>
    </row>
    <row r="408" spans="1:20" ht="11.15" customHeight="1">
      <c r="A408" s="171"/>
      <c r="B408" s="247"/>
      <c r="C408" s="247"/>
      <c r="D408" s="247"/>
      <c r="E408" s="247"/>
      <c r="F408" s="247"/>
      <c r="G408" s="247"/>
      <c r="H408" s="247"/>
    </row>
    <row r="409" spans="1:20" ht="11.15" customHeight="1"/>
    <row r="410" spans="1:20" ht="11.15" customHeight="1"/>
    <row r="411" spans="1:20" ht="11.15" customHeight="1">
      <c r="A411" s="696" t="s">
        <v>432</v>
      </c>
      <c r="B411" s="696"/>
      <c r="C411" s="696"/>
      <c r="D411" s="696"/>
      <c r="E411" s="696"/>
      <c r="F411" s="696"/>
      <c r="G411" s="696"/>
      <c r="H411" s="696"/>
    </row>
    <row r="412" spans="1:20" ht="11.15" customHeight="1">
      <c r="A412" s="696" t="s">
        <v>357</v>
      </c>
      <c r="B412" s="696"/>
      <c r="C412" s="696"/>
      <c r="D412" s="696"/>
      <c r="E412" s="696"/>
      <c r="F412" s="696"/>
      <c r="G412" s="696"/>
      <c r="H412" s="696"/>
    </row>
    <row r="413" spans="1:20" ht="11.15" customHeight="1">
      <c r="A413" s="697"/>
      <c r="B413" s="697"/>
      <c r="C413" s="697"/>
      <c r="D413" s="697"/>
      <c r="E413" s="697"/>
      <c r="F413" s="697"/>
      <c r="G413" s="697"/>
      <c r="H413" s="698" t="s">
        <v>240</v>
      </c>
    </row>
    <row r="414" spans="1:20" ht="11.15" customHeight="1">
      <c r="A414" s="699" t="s">
        <v>6</v>
      </c>
      <c r="B414" s="700" t="s">
        <v>359</v>
      </c>
      <c r="C414" s="158" t="s">
        <v>179</v>
      </c>
      <c r="D414" s="159"/>
      <c r="E414" s="159"/>
      <c r="F414" s="159"/>
      <c r="G414" s="160"/>
      <c r="H414" s="700" t="s">
        <v>180</v>
      </c>
    </row>
    <row r="415" spans="1:20" ht="11.15" customHeight="1" thickBot="1">
      <c r="A415" s="701"/>
      <c r="B415" s="702"/>
      <c r="C415" s="336">
        <v>2011</v>
      </c>
      <c r="D415" s="336">
        <v>2012</v>
      </c>
      <c r="E415" s="336">
        <v>2013</v>
      </c>
      <c r="F415" s="336">
        <v>2014</v>
      </c>
      <c r="G415" s="336">
        <v>2015</v>
      </c>
      <c r="H415" s="702"/>
    </row>
    <row r="416" spans="1:20" ht="11.15" customHeight="1" thickTop="1">
      <c r="A416" s="703">
        <v>1</v>
      </c>
      <c r="B416" s="704" t="s">
        <v>433</v>
      </c>
      <c r="C416" s="705">
        <v>0</v>
      </c>
      <c r="D416" s="705">
        <v>0</v>
      </c>
      <c r="E416" s="705">
        <v>0</v>
      </c>
      <c r="F416" s="705">
        <v>0</v>
      </c>
      <c r="G416" s="705">
        <v>0</v>
      </c>
      <c r="H416" s="628" t="e">
        <f>((D416-C416)/C416*100+(E416-D416)/D416*100+(F416-E416)/E416*100+(G416-F416)/F416*100)/4</f>
        <v>#DIV/0!</v>
      </c>
    </row>
    <row r="417" spans="1:20" ht="11.15" customHeight="1">
      <c r="A417" s="706">
        <v>2</v>
      </c>
      <c r="B417" s="707" t="s">
        <v>362</v>
      </c>
      <c r="C417" s="708">
        <f>SUM(C418:C420)</f>
        <v>22262.1</v>
      </c>
      <c r="D417" s="708">
        <f>SUM(D418:D420)</f>
        <v>15169.9</v>
      </c>
      <c r="E417" s="708">
        <f>SUM(E418:E420)</f>
        <v>18365.600000000002</v>
      </c>
      <c r="F417" s="708">
        <f>SUM(F418:F420)</f>
        <v>32195.399999999998</v>
      </c>
      <c r="G417" s="708">
        <f>SUM(G418:G420)</f>
        <v>23813.65</v>
      </c>
      <c r="H417" s="644">
        <f>((D417-C417)/C417*100+(E417-D417)/D417*100+(F417-E417)/E417*100+(G417-F417)/F417*100)/4</f>
        <v>9.6192671006934454</v>
      </c>
      <c r="R417" s="233"/>
      <c r="S417" s="151"/>
      <c r="T417" s="234"/>
    </row>
    <row r="418" spans="1:20" ht="11.15" customHeight="1">
      <c r="A418" s="709"/>
      <c r="B418" s="710" t="s">
        <v>363</v>
      </c>
      <c r="C418" s="711">
        <v>0</v>
      </c>
      <c r="D418" s="711">
        <v>0</v>
      </c>
      <c r="E418" s="711">
        <v>0</v>
      </c>
      <c r="F418" s="711">
        <v>0</v>
      </c>
      <c r="G418" s="711">
        <v>0</v>
      </c>
      <c r="H418" s="186" t="e">
        <f>((D418-C418)/C418*100+(E418-D418)/D418*100+(F418-E418)/E418*100+(G418-F418)/F418*100)/4</f>
        <v>#DIV/0!</v>
      </c>
      <c r="R418" s="712"/>
      <c r="S418" s="712"/>
      <c r="T418" s="712"/>
    </row>
    <row r="419" spans="1:20" ht="11.15" customHeight="1">
      <c r="A419" s="709"/>
      <c r="B419" s="710" t="s">
        <v>364</v>
      </c>
      <c r="C419" s="711">
        <v>1080.5</v>
      </c>
      <c r="D419" s="711">
        <v>717.3</v>
      </c>
      <c r="E419" s="713">
        <v>562.69999999999993</v>
      </c>
      <c r="F419" s="713">
        <v>506.3</v>
      </c>
      <c r="G419" s="713">
        <v>578</v>
      </c>
      <c r="H419" s="186">
        <f>((D419-C419)/C419*100+(E419-D419)/D419*100+(F419-E419)/E419*100+(G419-F419)/F419*100)/4</f>
        <v>-12.757163078345581</v>
      </c>
    </row>
    <row r="420" spans="1:20" ht="11.15" customHeight="1">
      <c r="A420" s="709"/>
      <c r="B420" s="710" t="s">
        <v>366</v>
      </c>
      <c r="C420" s="711">
        <v>21181.599999999999</v>
      </c>
      <c r="D420" s="711">
        <v>14452.6</v>
      </c>
      <c r="E420" s="713">
        <v>17802.900000000001</v>
      </c>
      <c r="F420" s="713">
        <v>31689.1</v>
      </c>
      <c r="G420" s="713">
        <v>23235.65</v>
      </c>
      <c r="H420" s="186">
        <f t="shared" ref="H420:H430" si="30">((D420-C420)/C420*100+(E420-D420)/D420*100+(F420-E420)/E420*100+(G420-F420)/F420*100)/4</f>
        <v>10.684150545131672</v>
      </c>
    </row>
    <row r="421" spans="1:20" ht="11.15" customHeight="1">
      <c r="A421" s="709">
        <v>3</v>
      </c>
      <c r="B421" s="710" t="s">
        <v>367</v>
      </c>
      <c r="C421" s="714">
        <f>SUM(C422:C425)</f>
        <v>17729.2</v>
      </c>
      <c r="D421" s="714">
        <f>SUM(D422:D425)</f>
        <v>16519.5</v>
      </c>
      <c r="E421" s="714">
        <f>SUM(E422:E425)</f>
        <v>22925.899999999998</v>
      </c>
      <c r="F421" s="714">
        <f>SUM(F422:F425)</f>
        <v>17971.400000000001</v>
      </c>
      <c r="G421" s="714">
        <f>SUM(G422:G425)</f>
        <v>23678.97</v>
      </c>
      <c r="H421" s="644">
        <f t="shared" si="30"/>
        <v>10.526470692791971</v>
      </c>
    </row>
    <row r="422" spans="1:20" ht="11.15" customHeight="1">
      <c r="A422" s="709"/>
      <c r="B422" s="710" t="s">
        <v>369</v>
      </c>
      <c r="C422" s="711">
        <v>15883.5</v>
      </c>
      <c r="D422" s="711">
        <v>13541.3</v>
      </c>
      <c r="E422" s="713">
        <v>16260.999999999998</v>
      </c>
      <c r="F422" s="713">
        <v>12559.6</v>
      </c>
      <c r="G422" s="713">
        <v>19327.37</v>
      </c>
      <c r="H422" s="186">
        <f t="shared" si="30"/>
        <v>9.115289891005208</v>
      </c>
    </row>
    <row r="423" spans="1:20" ht="11.15" customHeight="1">
      <c r="A423" s="709"/>
      <c r="B423" s="710" t="s">
        <v>371</v>
      </c>
      <c r="C423" s="711">
        <v>1177.4000000000001</v>
      </c>
      <c r="D423" s="711">
        <v>1097.9000000000001</v>
      </c>
      <c r="E423" s="713">
        <v>1079.0999999999999</v>
      </c>
      <c r="F423" s="713">
        <v>1145.4000000000001</v>
      </c>
      <c r="G423" s="713">
        <v>621.29999999999995</v>
      </c>
      <c r="H423" s="186">
        <f t="shared" si="30"/>
        <v>-12.019364414838194</v>
      </c>
    </row>
    <row r="424" spans="1:20" ht="11.15" customHeight="1">
      <c r="A424" s="709"/>
      <c r="B424" s="710" t="s">
        <v>372</v>
      </c>
      <c r="C424" s="711">
        <v>586</v>
      </c>
      <c r="D424" s="711">
        <v>1755.9</v>
      </c>
      <c r="E424" s="713">
        <f>5037.9+474.2</f>
        <v>5512.0999999999995</v>
      </c>
      <c r="F424" s="713">
        <f>3743.9+479.8</f>
        <v>4223.7</v>
      </c>
      <c r="G424" s="713">
        <f>3313.6+405.8</f>
        <v>3719.4</v>
      </c>
      <c r="H424" s="186">
        <f t="shared" si="30"/>
        <v>94.561656546476556</v>
      </c>
    </row>
    <row r="425" spans="1:20" ht="11.15" customHeight="1">
      <c r="A425" s="715"/>
      <c r="B425" s="710" t="s">
        <v>374</v>
      </c>
      <c r="C425" s="716">
        <v>82.3</v>
      </c>
      <c r="D425" s="716">
        <v>124.4</v>
      </c>
      <c r="E425" s="717">
        <v>73.7</v>
      </c>
      <c r="F425" s="717">
        <v>42.7</v>
      </c>
      <c r="G425" s="717">
        <v>10.9</v>
      </c>
      <c r="H425" s="186">
        <f t="shared" si="30"/>
        <v>-26.534199158709733</v>
      </c>
    </row>
    <row r="426" spans="1:20" ht="11.15" customHeight="1">
      <c r="A426" s="715">
        <v>4</v>
      </c>
      <c r="B426" s="718" t="s">
        <v>375</v>
      </c>
      <c r="C426" s="719">
        <f>SUM(C427:C430)</f>
        <v>415.29999999999995</v>
      </c>
      <c r="D426" s="719">
        <f>SUM(D427:D430)</f>
        <v>575.5</v>
      </c>
      <c r="E426" s="719">
        <f>SUM(E427:E430)</f>
        <v>535.4</v>
      </c>
      <c r="F426" s="719">
        <f>SUM(F427:F430)</f>
        <v>528.70000000000005</v>
      </c>
      <c r="G426" s="719">
        <f>SUM(G427:G430)</f>
        <v>422.2</v>
      </c>
      <c r="H426" s="644">
        <f t="shared" si="30"/>
        <v>2.5528801901319813</v>
      </c>
    </row>
    <row r="427" spans="1:20" ht="11.15" customHeight="1">
      <c r="A427" s="715"/>
      <c r="B427" s="718" t="s">
        <v>434</v>
      </c>
      <c r="C427" s="716">
        <v>384.9</v>
      </c>
      <c r="D427" s="716">
        <v>471.5</v>
      </c>
      <c r="E427" s="711">
        <v>465.2</v>
      </c>
      <c r="F427" s="711">
        <v>465.2</v>
      </c>
      <c r="G427" s="711">
        <v>317.7</v>
      </c>
      <c r="H427" s="186">
        <f t="shared" si="30"/>
        <v>-2.6359008710886478</v>
      </c>
    </row>
    <row r="428" spans="1:20" ht="11.15" customHeight="1">
      <c r="A428" s="715"/>
      <c r="B428" s="718" t="s">
        <v>378</v>
      </c>
      <c r="C428" s="716">
        <v>0</v>
      </c>
      <c r="D428" s="716">
        <v>0</v>
      </c>
      <c r="E428" s="711">
        <v>0</v>
      </c>
      <c r="F428" s="711">
        <v>0</v>
      </c>
      <c r="G428" s="711">
        <v>0</v>
      </c>
      <c r="H428" s="186" t="e">
        <f t="shared" si="30"/>
        <v>#DIV/0!</v>
      </c>
    </row>
    <row r="429" spans="1:20" ht="11.15" customHeight="1">
      <c r="A429" s="709"/>
      <c r="B429" s="710" t="s">
        <v>379</v>
      </c>
      <c r="C429" s="711">
        <v>30.400000000000002</v>
      </c>
      <c r="D429" s="711">
        <v>104</v>
      </c>
      <c r="E429" s="711">
        <f>25.7+44.5</f>
        <v>70.2</v>
      </c>
      <c r="F429" s="711">
        <f>41+22.5</f>
        <v>63.5</v>
      </c>
      <c r="G429" s="711">
        <f>100.2+4.3</f>
        <v>104.5</v>
      </c>
      <c r="H429" s="186">
        <f t="shared" si="30"/>
        <v>66.157008186898352</v>
      </c>
    </row>
    <row r="430" spans="1:20" ht="11.15" customHeight="1" thickBot="1">
      <c r="A430" s="720"/>
      <c r="B430" s="721" t="s">
        <v>380</v>
      </c>
      <c r="C430" s="722">
        <v>0</v>
      </c>
      <c r="D430" s="722">
        <v>0</v>
      </c>
      <c r="E430" s="722">
        <v>0</v>
      </c>
      <c r="F430" s="722">
        <v>0</v>
      </c>
      <c r="G430" s="722">
        <v>0</v>
      </c>
      <c r="H430" s="600" t="e">
        <f t="shared" si="30"/>
        <v>#DIV/0!</v>
      </c>
    </row>
    <row r="431" spans="1:20" ht="11.15" customHeight="1" thickTop="1">
      <c r="A431" s="697"/>
      <c r="B431" s="723"/>
      <c r="C431" s="723"/>
      <c r="D431" s="723"/>
      <c r="E431" s="723"/>
      <c r="F431" s="723"/>
      <c r="G431" s="724"/>
      <c r="H431" s="698"/>
    </row>
    <row r="432" spans="1:20" ht="11.15" customHeight="1">
      <c r="A432" s="725"/>
      <c r="B432" s="242" t="s">
        <v>435</v>
      </c>
      <c r="C432" s="242"/>
      <c r="D432" s="242"/>
      <c r="E432" s="242"/>
      <c r="F432" s="242"/>
      <c r="G432" s="242"/>
      <c r="H432" s="242"/>
    </row>
    <row r="433" spans="1:8" ht="11.15" customHeight="1">
      <c r="A433" s="725"/>
      <c r="B433" s="247"/>
      <c r="C433" s="247"/>
      <c r="D433" s="247"/>
      <c r="E433" s="247"/>
      <c r="F433" s="247"/>
      <c r="G433" s="247"/>
      <c r="H433" s="247"/>
    </row>
    <row r="434" spans="1:8" ht="11.15" customHeight="1">
      <c r="A434" s="725"/>
      <c r="B434" s="247"/>
      <c r="C434" s="247"/>
      <c r="D434" s="247"/>
      <c r="E434" s="247"/>
      <c r="F434" s="247"/>
      <c r="G434" s="247"/>
      <c r="H434" s="247"/>
    </row>
    <row r="435" spans="1:8" ht="11.15" customHeight="1">
      <c r="A435" s="725"/>
      <c r="B435" s="247"/>
      <c r="C435" s="247"/>
      <c r="D435" s="247"/>
      <c r="E435" s="247"/>
      <c r="F435" s="247"/>
      <c r="G435" s="247"/>
      <c r="H435" s="247"/>
    </row>
    <row r="436" spans="1:8" ht="11.15" customHeight="1">
      <c r="A436" s="725"/>
      <c r="B436" s="247"/>
      <c r="C436" s="247"/>
      <c r="D436" s="247"/>
      <c r="E436" s="247"/>
      <c r="F436" s="247"/>
      <c r="G436" s="247"/>
      <c r="H436" s="247"/>
    </row>
    <row r="437" spans="1:8" ht="11.15" customHeight="1">
      <c r="A437" s="725"/>
      <c r="B437" s="247"/>
      <c r="C437" s="247"/>
      <c r="D437" s="247"/>
      <c r="E437" s="247"/>
      <c r="F437" s="247"/>
      <c r="G437" s="247"/>
      <c r="H437" s="247"/>
    </row>
    <row r="438" spans="1:8" ht="11.15" customHeight="1">
      <c r="A438" s="725"/>
      <c r="B438" s="247"/>
      <c r="C438" s="247"/>
      <c r="D438" s="247"/>
      <c r="E438" s="247"/>
      <c r="F438" s="247"/>
      <c r="G438" s="247"/>
      <c r="H438" s="247"/>
    </row>
    <row r="439" spans="1:8" ht="11.15" customHeight="1">
      <c r="A439" s="725"/>
      <c r="B439" s="247"/>
      <c r="C439" s="247"/>
      <c r="D439" s="247"/>
      <c r="E439" s="247"/>
      <c r="F439" s="247"/>
      <c r="G439" s="247"/>
      <c r="H439" s="247"/>
    </row>
    <row r="440" spans="1:8" ht="11.15" customHeight="1">
      <c r="A440" s="725"/>
      <c r="B440" s="247"/>
      <c r="C440" s="247"/>
      <c r="D440" s="247"/>
      <c r="E440" s="247"/>
      <c r="F440" s="247"/>
      <c r="G440" s="247"/>
      <c r="H440" s="247"/>
    </row>
    <row r="441" spans="1:8" ht="11.15" customHeight="1"/>
    <row r="442" spans="1:8" ht="11.15" customHeight="1">
      <c r="A442" s="146" t="s">
        <v>436</v>
      </c>
      <c r="B442" s="146"/>
      <c r="C442" s="146"/>
      <c r="D442" s="146"/>
      <c r="E442" s="146"/>
      <c r="F442" s="146"/>
      <c r="G442" s="146"/>
      <c r="H442" s="146"/>
    </row>
    <row r="443" spans="1:8" ht="11.15" customHeight="1">
      <c r="A443" s="146" t="s">
        <v>437</v>
      </c>
      <c r="B443" s="146"/>
      <c r="C443" s="146"/>
      <c r="D443" s="146"/>
      <c r="E443" s="146"/>
      <c r="F443" s="146"/>
      <c r="G443" s="146"/>
      <c r="H443" s="146"/>
    </row>
    <row r="444" spans="1:8" ht="11.15" customHeight="1">
      <c r="A444" s="171"/>
      <c r="B444" s="171"/>
      <c r="C444" s="171"/>
      <c r="D444" s="171"/>
      <c r="E444" s="171"/>
      <c r="F444" s="171"/>
      <c r="G444" s="171"/>
      <c r="H444" s="390" t="s">
        <v>240</v>
      </c>
    </row>
    <row r="445" spans="1:8" ht="11.15" customHeight="1">
      <c r="A445" s="156" t="s">
        <v>6</v>
      </c>
      <c r="B445" s="187" t="s">
        <v>359</v>
      </c>
      <c r="C445" s="158" t="s">
        <v>179</v>
      </c>
      <c r="D445" s="159"/>
      <c r="E445" s="159"/>
      <c r="F445" s="159"/>
      <c r="G445" s="160"/>
      <c r="H445" s="494" t="s">
        <v>180</v>
      </c>
    </row>
    <row r="446" spans="1:8" ht="11.15" customHeight="1" thickBot="1">
      <c r="A446" s="166"/>
      <c r="B446" s="203"/>
      <c r="C446" s="204">
        <v>2011</v>
      </c>
      <c r="D446" s="204">
        <v>2012</v>
      </c>
      <c r="E446" s="204">
        <v>2013</v>
      </c>
      <c r="F446" s="204">
        <v>2014</v>
      </c>
      <c r="G446" s="204">
        <v>2015</v>
      </c>
      <c r="H446" s="497"/>
    </row>
    <row r="447" spans="1:8" ht="11.15" customHeight="1" thickTop="1">
      <c r="A447" s="339">
        <v>5</v>
      </c>
      <c r="B447" s="726" t="s">
        <v>387</v>
      </c>
      <c r="C447" s="727">
        <f>SUM(C448:C455)</f>
        <v>59983.499999999993</v>
      </c>
      <c r="D447" s="727">
        <f>SUM(D448:D455)</f>
        <v>48418.8</v>
      </c>
      <c r="E447" s="727">
        <f>SUM(E448:E455)</f>
        <v>60752.55</v>
      </c>
      <c r="F447" s="727">
        <f>SUM(F448:F455)</f>
        <v>66582.14</v>
      </c>
      <c r="G447" s="727">
        <f>SUM(G448:G455)</f>
        <v>57587.640000000007</v>
      </c>
      <c r="H447" s="728">
        <f>((D447-C447)/C447*100+(E447-D447)/D447*100+(F447-E447)/E447*100+(G447-F447)/F447*100)/4</f>
        <v>0.57000258537400228</v>
      </c>
    </row>
    <row r="448" spans="1:8" ht="11.15" customHeight="1">
      <c r="A448" s="223"/>
      <c r="B448" s="224" t="s">
        <v>388</v>
      </c>
      <c r="C448" s="226">
        <v>17694.599999999999</v>
      </c>
      <c r="D448" s="226">
        <v>23309</v>
      </c>
      <c r="E448" s="729">
        <v>32611.4</v>
      </c>
      <c r="F448" s="729">
        <v>35161.800000000003</v>
      </c>
      <c r="G448" s="729">
        <v>21682.52</v>
      </c>
      <c r="H448" s="186">
        <f>((D448-C448)/C448*100+(E448-D448)/D448*100+(F448-E448)/E448*100+(G448-F448)/F448*100)/4</f>
        <v>10.281017245091421</v>
      </c>
    </row>
    <row r="449" spans="1:8" ht="11.15" customHeight="1">
      <c r="A449" s="223"/>
      <c r="B449" s="224" t="s">
        <v>390</v>
      </c>
      <c r="C449" s="226">
        <v>84.7</v>
      </c>
      <c r="D449" s="226">
        <v>96.2</v>
      </c>
      <c r="E449" s="729">
        <v>78.819999999999993</v>
      </c>
      <c r="F449" s="729">
        <v>39.6</v>
      </c>
      <c r="G449" s="729">
        <v>59.6</v>
      </c>
      <c r="H449" s="186">
        <f t="shared" ref="H449:H461" si="31">((D449-C449)/C449*100+(E449-D449)/D449*100+(F449-E449)/E449*100+(G449-F449)/F449*100)/4</f>
        <v>-0.93577255816881433</v>
      </c>
    </row>
    <row r="450" spans="1:8" ht="11.15" customHeight="1">
      <c r="A450" s="223"/>
      <c r="B450" s="224" t="s">
        <v>391</v>
      </c>
      <c r="C450" s="226">
        <v>30.6</v>
      </c>
      <c r="D450" s="226">
        <v>1.7</v>
      </c>
      <c r="E450" s="729">
        <v>0</v>
      </c>
      <c r="F450" s="729">
        <v>0</v>
      </c>
      <c r="G450" s="729">
        <v>0</v>
      </c>
      <c r="H450" s="186" t="e">
        <f t="shared" si="31"/>
        <v>#DIV/0!</v>
      </c>
    </row>
    <row r="451" spans="1:8" ht="11.15" customHeight="1">
      <c r="A451" s="223"/>
      <c r="B451" s="224" t="s">
        <v>392</v>
      </c>
      <c r="C451" s="226">
        <v>406.9</v>
      </c>
      <c r="D451" s="226">
        <v>352.5</v>
      </c>
      <c r="E451" s="729">
        <v>397.49999999999994</v>
      </c>
      <c r="F451" s="729">
        <v>238.9</v>
      </c>
      <c r="G451" s="729">
        <v>477.1</v>
      </c>
      <c r="H451" s="186">
        <f t="shared" si="31"/>
        <v>14.801049631139669</v>
      </c>
    </row>
    <row r="452" spans="1:8" ht="11.15" customHeight="1">
      <c r="A452" s="223"/>
      <c r="B452" s="224" t="s">
        <v>393</v>
      </c>
      <c r="C452" s="226">
        <v>13929.8</v>
      </c>
      <c r="D452" s="226">
        <v>15486.5</v>
      </c>
      <c r="E452" s="729">
        <v>17009.300000000003</v>
      </c>
      <c r="F452" s="729">
        <v>18273.400000000001</v>
      </c>
      <c r="G452" s="729">
        <v>14223.5</v>
      </c>
      <c r="H452" s="186">
        <f t="shared" si="31"/>
        <v>1.5693508030476186</v>
      </c>
    </row>
    <row r="453" spans="1:8" ht="11.15" customHeight="1">
      <c r="A453" s="223"/>
      <c r="B453" s="224" t="s">
        <v>394</v>
      </c>
      <c r="C453" s="226">
        <v>10107.1</v>
      </c>
      <c r="D453" s="226">
        <v>7444.5</v>
      </c>
      <c r="E453" s="729">
        <v>10212.43</v>
      </c>
      <c r="F453" s="729">
        <v>9646.6</v>
      </c>
      <c r="G453" s="729">
        <v>15282.52</v>
      </c>
      <c r="H453" s="186">
        <f t="shared" si="31"/>
        <v>15.93007853308599</v>
      </c>
    </row>
    <row r="454" spans="1:8" ht="11.15" customHeight="1">
      <c r="A454" s="223"/>
      <c r="B454" s="224" t="s">
        <v>395</v>
      </c>
      <c r="C454" s="226">
        <v>17060.599999999999</v>
      </c>
      <c r="D454" s="226">
        <v>1262.9000000000001</v>
      </c>
      <c r="E454" s="729">
        <v>0</v>
      </c>
      <c r="F454" s="729">
        <v>2746.4</v>
      </c>
      <c r="G454" s="729">
        <v>5404.6</v>
      </c>
      <c r="H454" s="226" t="e">
        <f t="shared" si="31"/>
        <v>#DIV/0!</v>
      </c>
    </row>
    <row r="455" spans="1:8" ht="11.15" customHeight="1">
      <c r="A455" s="223"/>
      <c r="B455" s="224" t="s">
        <v>396</v>
      </c>
      <c r="C455" s="226">
        <v>669.2</v>
      </c>
      <c r="D455" s="226">
        <v>465.5</v>
      </c>
      <c r="E455" s="729">
        <f>1.7+441.4</f>
        <v>443.09999999999997</v>
      </c>
      <c r="F455" s="729">
        <f>44.1+431.34</f>
        <v>475.44</v>
      </c>
      <c r="G455" s="729">
        <f>34+423.8</f>
        <v>457.8</v>
      </c>
      <c r="H455" s="186">
        <f t="shared" si="31"/>
        <v>-7.9157574424730521</v>
      </c>
    </row>
    <row r="456" spans="1:8" ht="11.15" customHeight="1">
      <c r="A456" s="223">
        <v>6</v>
      </c>
      <c r="B456" s="730" t="s">
        <v>397</v>
      </c>
      <c r="C456" s="210">
        <f>SUM(C457:C461)</f>
        <v>981.49999999999989</v>
      </c>
      <c r="D456" s="210">
        <f>SUM(D457:D461)</f>
        <v>1051</v>
      </c>
      <c r="E456" s="210">
        <f>SUM(E457:E461)</f>
        <v>1012.3999999999999</v>
      </c>
      <c r="F456" s="210">
        <f>SUM(F457:F461)</f>
        <v>963.41</v>
      </c>
      <c r="G456" s="210">
        <f>SUM(G457:G461)</f>
        <v>749.19999999999993</v>
      </c>
      <c r="H456" s="644">
        <f t="shared" si="31"/>
        <v>-5.9163133233184517</v>
      </c>
    </row>
    <row r="457" spans="1:8" ht="11.15" customHeight="1">
      <c r="A457" s="350"/>
      <c r="B457" s="351" t="s">
        <v>398</v>
      </c>
      <c r="C457" s="465">
        <v>250.9</v>
      </c>
      <c r="D457" s="465">
        <f>204.5+32.5</f>
        <v>237</v>
      </c>
      <c r="E457" s="731">
        <f>200+38.3</f>
        <v>238.3</v>
      </c>
      <c r="F457" s="731">
        <f>187.4+36.8</f>
        <v>224.2</v>
      </c>
      <c r="G457" s="731">
        <f>132.2+49.4</f>
        <v>181.6</v>
      </c>
      <c r="H457" s="186">
        <f t="shared" si="31"/>
        <v>-7.4773340272949866</v>
      </c>
    </row>
    <row r="458" spans="1:8" ht="11.15" customHeight="1">
      <c r="A458" s="350"/>
      <c r="B458" s="351" t="s">
        <v>438</v>
      </c>
      <c r="C458" s="465">
        <v>13</v>
      </c>
      <c r="D458" s="465">
        <v>11.4</v>
      </c>
      <c r="E458" s="465">
        <v>11.1</v>
      </c>
      <c r="F458" s="465">
        <v>10.9</v>
      </c>
      <c r="G458" s="465">
        <v>1.1000000000000001</v>
      </c>
      <c r="H458" s="186">
        <f t="shared" si="31"/>
        <v>-26.662332484399116</v>
      </c>
    </row>
    <row r="459" spans="1:8" ht="11.15" customHeight="1">
      <c r="A459" s="351"/>
      <c r="B459" s="351" t="s">
        <v>439</v>
      </c>
      <c r="C459" s="465">
        <v>30.9</v>
      </c>
      <c r="D459" s="465">
        <v>29.4</v>
      </c>
      <c r="E459" s="731">
        <v>53.400000000000006</v>
      </c>
      <c r="F459" s="731">
        <v>179</v>
      </c>
      <c r="G459" s="731">
        <v>72.7</v>
      </c>
      <c r="H459" s="186">
        <f t="shared" si="31"/>
        <v>63.149700444553432</v>
      </c>
    </row>
    <row r="460" spans="1:8" ht="11.15" customHeight="1">
      <c r="A460" s="224"/>
      <c r="B460" s="224" t="s">
        <v>440</v>
      </c>
      <c r="C460" s="226">
        <v>612.9</v>
      </c>
      <c r="D460" s="226">
        <f>433.9+204.4</f>
        <v>638.29999999999995</v>
      </c>
      <c r="E460" s="226">
        <f>378+198.8</f>
        <v>576.79999999999995</v>
      </c>
      <c r="F460" s="226">
        <f>198.8+206.6</f>
        <v>405.4</v>
      </c>
      <c r="G460" s="226">
        <f>94+265.7</f>
        <v>359.7</v>
      </c>
      <c r="H460" s="186">
        <f t="shared" si="31"/>
        <v>-11.619806298276529</v>
      </c>
    </row>
    <row r="461" spans="1:8" ht="11.15" customHeight="1" thickBot="1">
      <c r="A461" s="732"/>
      <c r="B461" s="732" t="s">
        <v>441</v>
      </c>
      <c r="C461" s="466">
        <v>73.8</v>
      </c>
      <c r="D461" s="466">
        <f>0.2+134.7</f>
        <v>134.89999999999998</v>
      </c>
      <c r="E461" s="466">
        <f>0.3+132.5</f>
        <v>132.80000000000001</v>
      </c>
      <c r="F461" s="466">
        <v>143.91</v>
      </c>
      <c r="G461" s="466">
        <v>134.1</v>
      </c>
      <c r="H461" s="186">
        <f t="shared" si="31"/>
        <v>20.695955655078144</v>
      </c>
    </row>
    <row r="462" spans="1:8" ht="11.15" customHeight="1" thickTop="1" thickBot="1">
      <c r="A462" s="468" t="s">
        <v>184</v>
      </c>
      <c r="B462" s="469"/>
      <c r="C462" s="470">
        <f>C456+C447+C426+C421+C417</f>
        <v>101371.6</v>
      </c>
      <c r="D462" s="470">
        <f>D456+D447+D426+D421+D417</f>
        <v>81734.7</v>
      </c>
      <c r="E462" s="470">
        <f>E456+E447+E426+E421+E417</f>
        <v>103591.85</v>
      </c>
      <c r="F462" s="470">
        <f>F456+F447+F426+F421+F417</f>
        <v>118241.04999999999</v>
      </c>
      <c r="G462" s="470">
        <f>G456+G447+G426+G421+G417</f>
        <v>106251.66</v>
      </c>
      <c r="H462" s="311">
        <f>((D462-C462)/C462*100+(E462-D462)/D462*100+(F462-E462)/E462*100+(G462-F462)/F462*100)/4</f>
        <v>2.8429639093802797</v>
      </c>
    </row>
    <row r="463" spans="1:8" ht="11.15" customHeight="1" thickTop="1">
      <c r="A463" s="171"/>
      <c r="B463" s="171"/>
      <c r="C463" s="171"/>
      <c r="D463" s="171"/>
      <c r="E463" s="171"/>
      <c r="F463" s="356"/>
      <c r="G463" s="356"/>
      <c r="H463" s="171"/>
    </row>
    <row r="464" spans="1:8" ht="11.15" customHeight="1">
      <c r="A464" s="171"/>
      <c r="B464" s="242" t="s">
        <v>442</v>
      </c>
      <c r="C464" s="242"/>
      <c r="D464" s="242"/>
      <c r="E464" s="242"/>
      <c r="F464" s="242"/>
      <c r="G464" s="242"/>
      <c r="H464" s="242"/>
    </row>
    <row r="465" spans="1:8" ht="11.15" customHeight="1">
      <c r="A465" s="171"/>
      <c r="B465" s="247"/>
      <c r="C465" s="247"/>
      <c r="D465" s="247"/>
      <c r="E465" s="247"/>
      <c r="F465" s="247"/>
      <c r="G465" s="247"/>
      <c r="H465" s="247"/>
    </row>
    <row r="466" spans="1:8" ht="11.15" customHeight="1">
      <c r="A466" s="171"/>
      <c r="B466" s="247"/>
      <c r="C466" s="247"/>
      <c r="D466" s="247"/>
      <c r="E466" s="247"/>
      <c r="F466" s="247"/>
      <c r="G466" s="247"/>
      <c r="H466" s="247"/>
    </row>
    <row r="467" spans="1:8" ht="11.15" customHeight="1">
      <c r="A467" s="171"/>
      <c r="B467" s="247"/>
      <c r="C467" s="247"/>
      <c r="D467" s="247"/>
      <c r="E467" s="247"/>
      <c r="F467" s="247"/>
      <c r="G467" s="247"/>
      <c r="H467" s="247"/>
    </row>
    <row r="468" spans="1:8" ht="11.15" customHeight="1">
      <c r="A468" s="171"/>
      <c r="B468" s="247"/>
      <c r="C468" s="247"/>
      <c r="D468" s="247"/>
      <c r="E468" s="247"/>
      <c r="F468" s="247"/>
      <c r="G468" s="247"/>
      <c r="H468" s="247"/>
    </row>
    <row r="469" spans="1:8" ht="11.15" customHeight="1">
      <c r="A469" s="171"/>
      <c r="B469" s="247"/>
      <c r="C469" s="247"/>
      <c r="D469" s="247"/>
      <c r="E469" s="247"/>
      <c r="F469" s="247"/>
      <c r="G469" s="247"/>
      <c r="H469" s="247"/>
    </row>
    <row r="470" spans="1:8" ht="11.15" customHeight="1">
      <c r="A470" s="171"/>
      <c r="B470" s="247"/>
      <c r="C470" s="247"/>
      <c r="D470" s="247"/>
      <c r="E470" s="247"/>
      <c r="F470" s="247"/>
      <c r="G470" s="247"/>
      <c r="H470" s="247"/>
    </row>
    <row r="471" spans="1:8" ht="11.15" customHeight="1"/>
    <row r="472" spans="1:8" ht="11.15" customHeight="1">
      <c r="A472" s="146" t="s">
        <v>443</v>
      </c>
      <c r="B472" s="146"/>
      <c r="C472" s="146"/>
      <c r="D472" s="146"/>
      <c r="E472" s="146"/>
      <c r="F472" s="146"/>
      <c r="G472" s="146"/>
      <c r="H472" s="146"/>
    </row>
    <row r="473" spans="1:8" ht="11.15" customHeight="1">
      <c r="A473" s="146" t="s">
        <v>444</v>
      </c>
      <c r="B473" s="146"/>
      <c r="C473" s="146"/>
      <c r="D473" s="146"/>
      <c r="E473" s="146"/>
      <c r="F473" s="146"/>
      <c r="G473" s="146"/>
      <c r="H473" s="146"/>
    </row>
    <row r="474" spans="1:8" ht="11.15" customHeight="1">
      <c r="A474" s="171"/>
      <c r="B474" s="171"/>
      <c r="C474" s="171"/>
      <c r="D474" s="171"/>
      <c r="E474" s="171"/>
      <c r="F474" s="171"/>
      <c r="G474" s="171"/>
      <c r="H474" s="390" t="s">
        <v>240</v>
      </c>
    </row>
    <row r="475" spans="1:8" ht="11.15" customHeight="1">
      <c r="A475" s="156" t="s">
        <v>6</v>
      </c>
      <c r="B475" s="187" t="s">
        <v>445</v>
      </c>
      <c r="C475" s="158" t="s">
        <v>179</v>
      </c>
      <c r="D475" s="159"/>
      <c r="E475" s="159"/>
      <c r="F475" s="159"/>
      <c r="G475" s="160"/>
      <c r="H475" s="187" t="s">
        <v>180</v>
      </c>
    </row>
    <row r="476" spans="1:8" ht="11.15" customHeight="1" thickBot="1">
      <c r="A476" s="166"/>
      <c r="B476" s="203"/>
      <c r="C476" s="336">
        <v>2011</v>
      </c>
      <c r="D476" s="336">
        <v>2012</v>
      </c>
      <c r="E476" s="336">
        <v>2013</v>
      </c>
      <c r="F476" s="336">
        <v>2014</v>
      </c>
      <c r="G476" s="336">
        <v>2015</v>
      </c>
      <c r="H476" s="203"/>
    </row>
    <row r="477" spans="1:8" ht="11.15" customHeight="1" thickTop="1">
      <c r="A477" s="339">
        <v>1</v>
      </c>
      <c r="B477" s="340" t="s">
        <v>446</v>
      </c>
      <c r="C477" s="341">
        <v>12325.1</v>
      </c>
      <c r="D477" s="341">
        <v>15479</v>
      </c>
      <c r="E477" s="341">
        <v>23319</v>
      </c>
      <c r="F477" s="341">
        <f>11872.4+9789.4+918.4+2681.5</f>
        <v>25261.7</v>
      </c>
      <c r="G477" s="341">
        <v>13780.4</v>
      </c>
      <c r="H477" s="278">
        <f>((D477-C477)/C477*100+(E477-D477)/D477*100+(F477-E477)/E477*100+(G477-F477)/F477*100)/4</f>
        <v>9.7800127227431641</v>
      </c>
    </row>
    <row r="478" spans="1:8" ht="11.15" customHeight="1">
      <c r="A478" s="223">
        <v>2</v>
      </c>
      <c r="B478" s="224" t="s">
        <v>421</v>
      </c>
      <c r="C478" s="226">
        <v>5566.5</v>
      </c>
      <c r="D478" s="226">
        <v>5664.1</v>
      </c>
      <c r="E478" s="226">
        <v>9990.7000000000007</v>
      </c>
      <c r="F478" s="226">
        <v>18411.900000000001</v>
      </c>
      <c r="G478" s="226">
        <v>18316.900000000001</v>
      </c>
      <c r="H478" s="186">
        <f>((D478-C478)/C478*100+(E478-D478)/D478*100+(F478-E478)/E478*100+(G478-F478)/F478*100)/4</f>
        <v>40.478532139253488</v>
      </c>
    </row>
    <row r="479" spans="1:8" ht="11.15" customHeight="1">
      <c r="A479" s="223">
        <v>3</v>
      </c>
      <c r="B479" s="224" t="s">
        <v>447</v>
      </c>
      <c r="C479" s="226">
        <v>28024.400000000001</v>
      </c>
      <c r="D479" s="226">
        <v>24370.7</v>
      </c>
      <c r="E479" s="226">
        <v>23109.7</v>
      </c>
      <c r="F479" s="226">
        <f>4148.2+9191.3+3988.5</f>
        <v>17328</v>
      </c>
      <c r="G479" s="226">
        <v>28262.799999999999</v>
      </c>
      <c r="H479" s="186">
        <f>((D479-C479)/C479*100+(E479-D479)/D479*100+(F479-E479)/E479*100+(G479-F479)/F479*100)/4</f>
        <v>4.9686223413754433</v>
      </c>
    </row>
    <row r="480" spans="1:8" ht="11.15" customHeight="1">
      <c r="A480" s="223">
        <v>4</v>
      </c>
      <c r="B480" s="224" t="s">
        <v>448</v>
      </c>
      <c r="C480" s="226">
        <v>9906.9</v>
      </c>
      <c r="D480" s="226">
        <v>11134.6</v>
      </c>
      <c r="E480" s="226">
        <v>11971.5</v>
      </c>
      <c r="F480" s="226">
        <v>17072.099999999999</v>
      </c>
      <c r="G480" s="226">
        <v>6550.1</v>
      </c>
      <c r="H480" s="186">
        <f>((D480-C480)/C480*100+(E480-D480)/D480*100+(F480-E480)/E480*100+(G480-F480)/F480*100)/4</f>
        <v>0.22051275714910723</v>
      </c>
    </row>
    <row r="481" spans="1:8" ht="11.15" customHeight="1">
      <c r="A481" s="223">
        <v>5</v>
      </c>
      <c r="B481" s="224" t="s">
        <v>449</v>
      </c>
      <c r="C481" s="226">
        <v>628.9</v>
      </c>
      <c r="D481" s="226">
        <v>624.70000000000005</v>
      </c>
      <c r="E481" s="226">
        <v>577.20000000000005</v>
      </c>
      <c r="F481" s="226">
        <v>533</v>
      </c>
      <c r="G481" s="226">
        <v>298.7</v>
      </c>
      <c r="H481" s="186">
        <f t="shared" ref="H481:H487" si="32">((D481-C481)/C481*100+(E481-D481)/D481*100+(F481-E481)/E481*100+(G481-F481)/F481*100)/4</f>
        <v>-14.971966083992166</v>
      </c>
    </row>
    <row r="482" spans="1:8" ht="11.15" customHeight="1">
      <c r="A482" s="223">
        <v>6</v>
      </c>
      <c r="B482" s="224" t="s">
        <v>450</v>
      </c>
      <c r="C482" s="226">
        <v>7080.3</v>
      </c>
      <c r="D482" s="226">
        <v>4642.2</v>
      </c>
      <c r="E482" s="226">
        <v>7442.9</v>
      </c>
      <c r="F482" s="226">
        <v>6578.8</v>
      </c>
      <c r="G482" s="226">
        <v>5023.5</v>
      </c>
      <c r="H482" s="186">
        <f t="shared" si="32"/>
        <v>-2.3386211786480748</v>
      </c>
    </row>
    <row r="483" spans="1:8" ht="11.15" customHeight="1">
      <c r="A483" s="223">
        <v>7</v>
      </c>
      <c r="B483" s="224" t="s">
        <v>451</v>
      </c>
      <c r="C483" s="226">
        <v>95.3</v>
      </c>
      <c r="D483" s="226">
        <v>259.39999999999998</v>
      </c>
      <c r="E483" s="226">
        <v>154.69999999999999</v>
      </c>
      <c r="F483" s="226">
        <v>381.5</v>
      </c>
      <c r="G483" s="226">
        <v>655.20000000000005</v>
      </c>
      <c r="H483" s="186">
        <f t="shared" si="32"/>
        <v>87.54503847459668</v>
      </c>
    </row>
    <row r="484" spans="1:8" ht="11.15" customHeight="1">
      <c r="A484" s="223">
        <v>8</v>
      </c>
      <c r="B484" s="224" t="s">
        <v>452</v>
      </c>
      <c r="C484" s="226">
        <v>689.2</v>
      </c>
      <c r="D484" s="226">
        <v>556.20000000000005</v>
      </c>
      <c r="E484" s="226">
        <v>581.79999999999995</v>
      </c>
      <c r="F484" s="226">
        <v>492.6</v>
      </c>
      <c r="G484" s="226">
        <v>414.2</v>
      </c>
      <c r="H484" s="186">
        <f t="shared" si="32"/>
        <v>-11.485588712847882</v>
      </c>
    </row>
    <row r="485" spans="1:8" ht="11.15" customHeight="1">
      <c r="A485" s="223">
        <v>9</v>
      </c>
      <c r="B485" s="224" t="s">
        <v>453</v>
      </c>
      <c r="C485" s="226">
        <v>540.9</v>
      </c>
      <c r="D485" s="226">
        <v>502.9</v>
      </c>
      <c r="E485" s="226">
        <v>575.9</v>
      </c>
      <c r="F485" s="226">
        <v>504.4</v>
      </c>
      <c r="G485" s="226">
        <v>558.79999999999995</v>
      </c>
      <c r="H485" s="186">
        <f t="shared" si="32"/>
        <v>1.4650553663362531</v>
      </c>
    </row>
    <row r="486" spans="1:8" ht="11.15" customHeight="1">
      <c r="A486" s="223">
        <v>10</v>
      </c>
      <c r="B486" s="224" t="s">
        <v>454</v>
      </c>
      <c r="C486" s="226">
        <v>341</v>
      </c>
      <c r="D486" s="226">
        <v>540.1</v>
      </c>
      <c r="E486" s="226">
        <v>436.7</v>
      </c>
      <c r="F486" s="226">
        <v>254.4</v>
      </c>
      <c r="G486" s="226">
        <v>441.7</v>
      </c>
      <c r="H486" s="186">
        <f t="shared" si="32"/>
        <v>17.780450697565342</v>
      </c>
    </row>
    <row r="487" spans="1:8" ht="11.15" customHeight="1" thickBot="1">
      <c r="A487" s="350"/>
      <c r="B487" s="351" t="s">
        <v>292</v>
      </c>
      <c r="C487" s="465">
        <v>35302.600000000006</v>
      </c>
      <c r="D487" s="465">
        <v>16637.8</v>
      </c>
      <c r="E487" s="465">
        <v>24091</v>
      </c>
      <c r="F487" s="465">
        <v>30090.799999999999</v>
      </c>
      <c r="G487" s="465">
        <v>31949.4</v>
      </c>
      <c r="H487" s="186">
        <f t="shared" si="32"/>
        <v>5.7518173975769358</v>
      </c>
    </row>
    <row r="488" spans="1:8" ht="11.15" customHeight="1" thickTop="1" thickBot="1">
      <c r="A488" s="468" t="s">
        <v>184</v>
      </c>
      <c r="B488" s="469"/>
      <c r="C488" s="470">
        <f>SUM(C477:C487)</f>
        <v>100501.1</v>
      </c>
      <c r="D488" s="470">
        <f>SUM(D477:D487)</f>
        <v>80411.7</v>
      </c>
      <c r="E488" s="470">
        <f>SUM(E477:E487)</f>
        <v>102251.09999999998</v>
      </c>
      <c r="F488" s="470">
        <f>SUM(F477:F487)</f>
        <v>116909.20000000001</v>
      </c>
      <c r="G488" s="470">
        <f>SUM(G477:G487)</f>
        <v>106251.70000000001</v>
      </c>
      <c r="H488" s="319">
        <f>((D488-C488)/C488*100+(E488-D488)/D488*100+(F488-E488)/E488*100+(G488-F488)/F488*100)/4</f>
        <v>3.0973983602896844</v>
      </c>
    </row>
    <row r="489" spans="1:8" ht="11.15" customHeight="1" thickTop="1">
      <c r="A489" s="171"/>
      <c r="B489" s="171"/>
      <c r="C489" s="171"/>
      <c r="D489" s="171"/>
      <c r="E489" s="171"/>
      <c r="F489" s="356"/>
      <c r="G489" s="356"/>
      <c r="H489" s="171"/>
    </row>
    <row r="490" spans="1:8" ht="11.15" customHeight="1">
      <c r="A490" s="171"/>
      <c r="B490" s="242" t="s">
        <v>455</v>
      </c>
      <c r="C490" s="242"/>
      <c r="D490" s="242"/>
      <c r="E490" s="242"/>
      <c r="F490" s="242"/>
      <c r="G490" s="242"/>
      <c r="H490" s="242"/>
    </row>
    <row r="491" spans="1:8" ht="11.15" customHeight="1">
      <c r="A491" s="171"/>
      <c r="B491" s="247"/>
      <c r="C491" s="247"/>
      <c r="D491" s="247"/>
      <c r="E491" s="247"/>
      <c r="F491" s="247"/>
      <c r="G491" s="247"/>
      <c r="H491" s="247"/>
    </row>
    <row r="492" spans="1:8" ht="11.15" customHeight="1">
      <c r="A492" s="171"/>
      <c r="B492" s="247"/>
      <c r="C492" s="247"/>
      <c r="D492" s="247"/>
      <c r="E492" s="247"/>
      <c r="F492" s="247"/>
      <c r="G492" s="247"/>
      <c r="H492" s="247"/>
    </row>
    <row r="493" spans="1:8" ht="11.15" customHeight="1">
      <c r="A493" s="171"/>
      <c r="B493" s="247"/>
      <c r="C493" s="247"/>
      <c r="D493" s="247"/>
      <c r="E493" s="247"/>
      <c r="F493" s="247"/>
      <c r="G493" s="247"/>
      <c r="H493" s="247"/>
    </row>
    <row r="494" spans="1:8" ht="11.15" customHeight="1">
      <c r="A494" s="171"/>
      <c r="B494" s="247"/>
      <c r="C494" s="247"/>
      <c r="D494" s="247"/>
      <c r="E494" s="247"/>
      <c r="F494" s="247"/>
      <c r="G494" s="247"/>
      <c r="H494" s="247"/>
    </row>
    <row r="495" spans="1:8" ht="11.15" customHeight="1">
      <c r="A495" s="171"/>
      <c r="B495" s="247"/>
      <c r="C495" s="247"/>
      <c r="D495" s="247"/>
      <c r="E495" s="247"/>
      <c r="F495" s="247"/>
      <c r="G495" s="247"/>
      <c r="H495" s="247"/>
    </row>
    <row r="496" spans="1:8" ht="11.15" customHeight="1">
      <c r="A496" s="171"/>
      <c r="B496" s="247"/>
      <c r="C496" s="247"/>
      <c r="D496" s="247"/>
      <c r="E496" s="247"/>
      <c r="F496" s="247"/>
      <c r="G496" s="247"/>
      <c r="H496" s="247"/>
    </row>
    <row r="497" spans="1:11" ht="11.15" customHeight="1"/>
    <row r="498" spans="1:11" ht="11.15" customHeight="1"/>
    <row r="499" spans="1:11" ht="11.15" customHeight="1">
      <c r="A499" s="142" t="s">
        <v>456</v>
      </c>
      <c r="B499" s="142"/>
      <c r="C499" s="142"/>
      <c r="D499" s="142"/>
      <c r="E499" s="142"/>
      <c r="F499" s="142"/>
      <c r="G499" s="142"/>
      <c r="H499" s="142"/>
    </row>
    <row r="500" spans="1:11" ht="11.15" customHeight="1">
      <c r="A500" s="142"/>
      <c r="B500" s="142"/>
      <c r="C500" s="142"/>
      <c r="D500" s="142"/>
      <c r="E500" s="142"/>
      <c r="F500" s="142"/>
      <c r="G500" s="142"/>
      <c r="H500" s="142"/>
    </row>
    <row r="501" spans="1:11" ht="11.15" customHeight="1"/>
    <row r="502" spans="1:11" ht="11.15" customHeight="1">
      <c r="A502" s="146" t="s">
        <v>457</v>
      </c>
      <c r="B502" s="146"/>
      <c r="C502" s="146"/>
      <c r="D502" s="146"/>
      <c r="E502" s="146"/>
      <c r="F502" s="146"/>
      <c r="G502" s="146"/>
      <c r="H502" s="146"/>
    </row>
    <row r="503" spans="1:11" ht="11.15" customHeight="1">
      <c r="A503" s="146" t="s">
        <v>458</v>
      </c>
      <c r="B503" s="146"/>
      <c r="C503" s="146"/>
      <c r="D503" s="146"/>
      <c r="E503" s="146"/>
      <c r="F503" s="146"/>
      <c r="G503" s="146"/>
      <c r="H503" s="146"/>
    </row>
    <row r="504" spans="1:11" ht="11.15" customHeight="1">
      <c r="A504" s="171"/>
      <c r="B504" s="171"/>
      <c r="C504" s="171"/>
      <c r="D504" s="171"/>
      <c r="E504" s="171"/>
      <c r="F504" s="172" t="s">
        <v>235</v>
      </c>
      <c r="G504" s="172"/>
      <c r="H504" s="172"/>
    </row>
    <row r="505" spans="1:11" ht="11.15" customHeight="1">
      <c r="A505" s="156" t="s">
        <v>6</v>
      </c>
      <c r="B505" s="187" t="s">
        <v>178</v>
      </c>
      <c r="C505" s="158" t="s">
        <v>179</v>
      </c>
      <c r="D505" s="159"/>
      <c r="E505" s="159"/>
      <c r="F505" s="159"/>
      <c r="G505" s="160"/>
      <c r="H505" s="187" t="s">
        <v>180</v>
      </c>
    </row>
    <row r="506" spans="1:11" ht="11.15" customHeight="1" thickBot="1">
      <c r="A506" s="166"/>
      <c r="B506" s="203"/>
      <c r="C506" s="204">
        <v>2011</v>
      </c>
      <c r="D506" s="204">
        <v>2012</v>
      </c>
      <c r="E506" s="204">
        <v>2013</v>
      </c>
      <c r="F506" s="204">
        <v>2014</v>
      </c>
      <c r="G506" s="204">
        <v>2015</v>
      </c>
      <c r="H506" s="203"/>
    </row>
    <row r="507" spans="1:11" ht="11.15" customHeight="1" thickTop="1">
      <c r="A507" s="340">
        <v>1</v>
      </c>
      <c r="B507" s="340" t="s">
        <v>195</v>
      </c>
      <c r="C507" s="341">
        <v>294</v>
      </c>
      <c r="D507" s="341">
        <v>151</v>
      </c>
      <c r="E507" s="341">
        <v>149</v>
      </c>
      <c r="F507" s="342">
        <v>146</v>
      </c>
      <c r="G507" s="342">
        <v>149</v>
      </c>
      <c r="H507" s="278">
        <f>((D507-C507)/C507*100+(E507-D507)/D507*100+(F507-E507)/E507*100+(G507-F507)/F507*100)/4</f>
        <v>-12.4806468479538</v>
      </c>
      <c r="J507" s="282"/>
      <c r="K507" s="282"/>
    </row>
    <row r="508" spans="1:11" ht="11.15" customHeight="1">
      <c r="A508" s="224">
        <v>2</v>
      </c>
      <c r="B508" s="224" t="s">
        <v>198</v>
      </c>
      <c r="C508" s="226">
        <v>1993</v>
      </c>
      <c r="D508" s="226">
        <v>1999</v>
      </c>
      <c r="E508" s="226">
        <v>1972</v>
      </c>
      <c r="F508" s="346">
        <v>208</v>
      </c>
      <c r="G508" s="346">
        <v>208</v>
      </c>
      <c r="H508" s="186">
        <f>((D508-C508)/C508*100+(E508-D508)/D508*100+(F508-E508)/E508*100+(G508-F508)/F508*100)/4</f>
        <v>-22.625488576740491</v>
      </c>
      <c r="J508" s="282"/>
      <c r="K508" s="282"/>
    </row>
    <row r="509" spans="1:11" ht="11.15" customHeight="1">
      <c r="A509" s="224">
        <v>3</v>
      </c>
      <c r="B509" s="224" t="s">
        <v>202</v>
      </c>
      <c r="C509" s="226">
        <v>3072</v>
      </c>
      <c r="D509" s="226">
        <v>3072</v>
      </c>
      <c r="E509" s="226">
        <v>1502</v>
      </c>
      <c r="F509" s="346">
        <v>1502</v>
      </c>
      <c r="G509" s="346">
        <v>1473</v>
      </c>
      <c r="H509" s="186">
        <f t="shared" ref="H509:H515" si="33">((D509-C509)/C509*100+(E509-D509)/D509*100+(F509-E509)/E509*100+(G509-F509)/F509*100)/4</f>
        <v>-13.259382455337329</v>
      </c>
      <c r="J509" s="282"/>
      <c r="K509" s="282"/>
    </row>
    <row r="510" spans="1:11" ht="11.15" customHeight="1">
      <c r="A510" s="224">
        <v>4</v>
      </c>
      <c r="B510" s="224" t="s">
        <v>204</v>
      </c>
      <c r="C510" s="226">
        <v>809</v>
      </c>
      <c r="D510" s="226">
        <v>928</v>
      </c>
      <c r="E510" s="226">
        <v>1045</v>
      </c>
      <c r="F510" s="346">
        <v>1490</v>
      </c>
      <c r="G510" s="346">
        <v>1585</v>
      </c>
      <c r="H510" s="186">
        <f t="shared" si="33"/>
        <v>19.06921188191065</v>
      </c>
      <c r="J510" s="282"/>
      <c r="K510" s="282"/>
    </row>
    <row r="511" spans="1:11" ht="11.15" customHeight="1">
      <c r="A511" s="224">
        <v>5</v>
      </c>
      <c r="B511" s="224" t="s">
        <v>205</v>
      </c>
      <c r="C511" s="226">
        <v>777</v>
      </c>
      <c r="D511" s="226">
        <v>602</v>
      </c>
      <c r="E511" s="226">
        <v>585</v>
      </c>
      <c r="F511" s="346">
        <v>552</v>
      </c>
      <c r="G511" s="346">
        <v>532</v>
      </c>
      <c r="H511" s="186">
        <f t="shared" si="33"/>
        <v>-8.6526642087814984</v>
      </c>
      <c r="J511" s="282"/>
      <c r="K511" s="282"/>
    </row>
    <row r="512" spans="1:11" ht="11.15" customHeight="1">
      <c r="A512" s="224">
        <v>6</v>
      </c>
      <c r="B512" s="224" t="s">
        <v>208</v>
      </c>
      <c r="C512" s="226">
        <v>330</v>
      </c>
      <c r="D512" s="226">
        <v>330</v>
      </c>
      <c r="E512" s="226">
        <v>557</v>
      </c>
      <c r="F512" s="346">
        <v>610</v>
      </c>
      <c r="G512" s="346">
        <v>610</v>
      </c>
      <c r="H512" s="186">
        <f t="shared" si="33"/>
        <v>19.57578477775964</v>
      </c>
      <c r="J512" s="282"/>
      <c r="K512" s="282"/>
    </row>
    <row r="513" spans="1:11" ht="11.15" customHeight="1">
      <c r="A513" s="224">
        <v>7</v>
      </c>
      <c r="B513" s="224" t="s">
        <v>213</v>
      </c>
      <c r="C513" s="226">
        <v>3068</v>
      </c>
      <c r="D513" s="226">
        <v>3087</v>
      </c>
      <c r="E513" s="226">
        <v>3087</v>
      </c>
      <c r="F513" s="346">
        <v>2674</v>
      </c>
      <c r="G513" s="346">
        <v>2659</v>
      </c>
      <c r="H513" s="186">
        <f t="shared" si="33"/>
        <v>-3.3300865540543287</v>
      </c>
      <c r="J513" s="282"/>
      <c r="K513" s="282"/>
    </row>
    <row r="514" spans="1:11" ht="11.15" customHeight="1">
      <c r="A514" s="224">
        <v>8</v>
      </c>
      <c r="B514" s="224" t="s">
        <v>215</v>
      </c>
      <c r="C514" s="226">
        <v>1930</v>
      </c>
      <c r="D514" s="226">
        <v>2261</v>
      </c>
      <c r="E514" s="226">
        <v>1927</v>
      </c>
      <c r="F514" s="346">
        <v>1927</v>
      </c>
      <c r="G514" s="346">
        <v>748</v>
      </c>
      <c r="H514" s="186">
        <f t="shared" si="33"/>
        <v>-14.701287977984006</v>
      </c>
      <c r="J514" s="282"/>
      <c r="K514" s="282"/>
    </row>
    <row r="515" spans="1:11" ht="11.15" customHeight="1" thickBot="1">
      <c r="A515" s="351">
        <v>9</v>
      </c>
      <c r="B515" s="351" t="s">
        <v>217</v>
      </c>
      <c r="C515" s="465">
        <v>1607</v>
      </c>
      <c r="D515" s="465">
        <v>1677</v>
      </c>
      <c r="E515" s="465">
        <v>1703</v>
      </c>
      <c r="F515" s="733">
        <v>1770</v>
      </c>
      <c r="G515" s="733">
        <v>1780</v>
      </c>
      <c r="H515" s="186">
        <f t="shared" si="33"/>
        <v>2.6013839510011083</v>
      </c>
      <c r="J515" s="282"/>
      <c r="K515" s="282"/>
    </row>
    <row r="516" spans="1:11" ht="11.15" customHeight="1" thickTop="1" thickBot="1">
      <c r="A516" s="468" t="s">
        <v>184</v>
      </c>
      <c r="B516" s="469"/>
      <c r="C516" s="470">
        <f>SUM(C507:C515)</f>
        <v>13880</v>
      </c>
      <c r="D516" s="470">
        <f>SUM(D507:D515)</f>
        <v>14107</v>
      </c>
      <c r="E516" s="470">
        <f>SUM(E507:E515)</f>
        <v>12527</v>
      </c>
      <c r="F516" s="470">
        <f>SUM(F507:F515)</f>
        <v>10879</v>
      </c>
      <c r="G516" s="470">
        <f>SUM(G507:G515)</f>
        <v>9744</v>
      </c>
      <c r="H516" s="319">
        <f>((D516-C516)/C516*100+(E516-D516)/D516*100+(F516-E516)/E516*100+(G516-F516)/F516*100)/4</f>
        <v>-8.2882987190285196</v>
      </c>
    </row>
    <row r="517" spans="1:11" ht="11.15" customHeight="1" thickTop="1">
      <c r="A517" s="171"/>
      <c r="B517" s="171"/>
      <c r="C517" s="171"/>
      <c r="D517" s="171"/>
      <c r="E517" s="171"/>
      <c r="F517" s="171"/>
      <c r="G517" s="171"/>
      <c r="H517" s="171"/>
    </row>
    <row r="518" spans="1:11" ht="11.15" customHeight="1">
      <c r="A518" s="171"/>
      <c r="B518" s="242" t="s">
        <v>459</v>
      </c>
      <c r="C518" s="242"/>
      <c r="D518" s="242"/>
      <c r="E518" s="242"/>
      <c r="F518" s="242"/>
      <c r="G518" s="242"/>
      <c r="H518" s="242"/>
    </row>
    <row r="519" spans="1:11" ht="11.15" customHeight="1">
      <c r="A519" s="171"/>
      <c r="B519" s="247"/>
      <c r="C519" s="247"/>
      <c r="D519" s="247"/>
      <c r="E519" s="247"/>
      <c r="F519" s="247"/>
      <c r="G519" s="247"/>
      <c r="H519" s="247"/>
    </row>
    <row r="520" spans="1:11" ht="11.15" customHeight="1">
      <c r="A520" s="171"/>
      <c r="B520" s="247"/>
      <c r="C520" s="247"/>
      <c r="D520" s="247"/>
      <c r="E520" s="247"/>
      <c r="F520" s="247"/>
      <c r="G520" s="247"/>
      <c r="H520" s="247"/>
    </row>
    <row r="521" spans="1:11" ht="11.15" customHeight="1">
      <c r="A521" s="171"/>
      <c r="B521" s="247"/>
      <c r="C521" s="247"/>
      <c r="D521" s="247"/>
      <c r="E521" s="247"/>
      <c r="F521" s="247"/>
      <c r="G521" s="247"/>
      <c r="H521" s="247"/>
    </row>
    <row r="522" spans="1:11" ht="11.15" customHeight="1">
      <c r="A522" s="171"/>
      <c r="B522" s="247"/>
      <c r="C522" s="247"/>
      <c r="D522" s="247"/>
      <c r="E522" s="247"/>
      <c r="F522" s="247"/>
      <c r="G522" s="247"/>
      <c r="H522" s="247"/>
    </row>
    <row r="523" spans="1:11" ht="11.15" customHeight="1">
      <c r="A523" s="171"/>
      <c r="B523" s="247"/>
      <c r="C523" s="247"/>
      <c r="D523" s="247"/>
      <c r="E523" s="247"/>
      <c r="F523" s="247"/>
      <c r="G523" s="247"/>
      <c r="H523" s="247"/>
    </row>
    <row r="524" spans="1:11" ht="11.15" customHeight="1">
      <c r="A524" s="171"/>
      <c r="B524" s="247"/>
      <c r="C524" s="247"/>
      <c r="D524" s="247"/>
      <c r="E524" s="247"/>
      <c r="F524" s="247"/>
      <c r="G524" s="247"/>
      <c r="H524" s="247"/>
    </row>
    <row r="525" spans="1:11" ht="11.15" customHeight="1">
      <c r="A525" s="171"/>
      <c r="B525" s="247"/>
      <c r="C525" s="247"/>
      <c r="D525" s="247"/>
      <c r="E525" s="247"/>
      <c r="F525" s="247"/>
      <c r="G525" s="247"/>
      <c r="H525" s="247"/>
    </row>
    <row r="526" spans="1:11" ht="11.15" customHeight="1">
      <c r="A526" s="171"/>
      <c r="B526" s="247"/>
      <c r="C526" s="247"/>
      <c r="D526" s="247"/>
      <c r="E526" s="247"/>
      <c r="F526" s="247"/>
      <c r="G526" s="247"/>
      <c r="H526" s="247"/>
    </row>
    <row r="527" spans="1:11" ht="11.15" customHeight="1">
      <c r="A527" s="171"/>
      <c r="B527" s="247"/>
      <c r="C527" s="247"/>
      <c r="D527" s="247"/>
      <c r="E527" s="247"/>
      <c r="F527" s="247"/>
      <c r="G527" s="247"/>
      <c r="H527" s="247"/>
    </row>
    <row r="528" spans="1:11" ht="11.15" customHeight="1">
      <c r="A528" s="171"/>
      <c r="B528" s="247"/>
      <c r="C528" s="247"/>
      <c r="D528" s="247"/>
      <c r="E528" s="247"/>
      <c r="F528" s="247"/>
      <c r="G528" s="247"/>
      <c r="H528" s="247"/>
    </row>
    <row r="529" spans="1:11" ht="11.15" customHeight="1">
      <c r="A529" s="171"/>
      <c r="B529" s="247"/>
      <c r="C529" s="247"/>
      <c r="D529" s="247"/>
      <c r="E529" s="247"/>
      <c r="F529" s="247"/>
      <c r="G529" s="247"/>
      <c r="H529" s="247"/>
    </row>
    <row r="530" spans="1:11" ht="11.15" customHeight="1">
      <c r="A530" s="146" t="s">
        <v>460</v>
      </c>
      <c r="B530" s="146"/>
      <c r="C530" s="146"/>
      <c r="D530" s="146"/>
      <c r="E530" s="146"/>
      <c r="F530" s="146"/>
      <c r="G530" s="146"/>
      <c r="H530" s="146"/>
    </row>
    <row r="531" spans="1:11" ht="11.15" customHeight="1">
      <c r="A531" s="146" t="s">
        <v>173</v>
      </c>
      <c r="B531" s="146"/>
      <c r="C531" s="146"/>
      <c r="D531" s="146"/>
      <c r="E531" s="146"/>
      <c r="F531" s="146"/>
      <c r="G531" s="146"/>
      <c r="H531" s="146"/>
    </row>
    <row r="532" spans="1:11" ht="11.15" customHeight="1">
      <c r="A532" s="171"/>
      <c r="B532" s="171"/>
      <c r="C532" s="171"/>
      <c r="D532" s="171"/>
      <c r="E532" s="171"/>
      <c r="F532" s="171"/>
      <c r="G532" s="171"/>
      <c r="H532" s="390" t="s">
        <v>247</v>
      </c>
    </row>
    <row r="533" spans="1:11" ht="11.15" customHeight="1">
      <c r="A533" s="156" t="s">
        <v>6</v>
      </c>
      <c r="B533" s="187" t="s">
        <v>178</v>
      </c>
      <c r="C533" s="158" t="s">
        <v>179</v>
      </c>
      <c r="D533" s="159"/>
      <c r="E533" s="159"/>
      <c r="F533" s="159"/>
      <c r="G533" s="160"/>
      <c r="H533" s="187" t="s">
        <v>180</v>
      </c>
    </row>
    <row r="534" spans="1:11" ht="11.15" customHeight="1" thickBot="1">
      <c r="A534" s="166"/>
      <c r="B534" s="203"/>
      <c r="C534" s="204">
        <v>2011</v>
      </c>
      <c r="D534" s="204">
        <v>2012</v>
      </c>
      <c r="E534" s="204">
        <v>2013</v>
      </c>
      <c r="F534" s="204">
        <v>2014</v>
      </c>
      <c r="G534" s="204">
        <v>2015</v>
      </c>
      <c r="H534" s="203"/>
    </row>
    <row r="535" spans="1:11" ht="11.15" customHeight="1" thickTop="1">
      <c r="A535" s="340">
        <v>1</v>
      </c>
      <c r="B535" s="340" t="s">
        <v>195</v>
      </c>
      <c r="C535" s="341">
        <v>491</v>
      </c>
      <c r="D535" s="341">
        <v>454</v>
      </c>
      <c r="E535" s="342">
        <v>267</v>
      </c>
      <c r="F535" s="342">
        <v>382</v>
      </c>
      <c r="G535" s="342">
        <v>566</v>
      </c>
      <c r="H535" s="278">
        <f>((D535-C535)/C535*100+(E535-D535)/D535*100+(F535-E535)/E535*100+(G535-F535)/F535*100)/4</f>
        <v>10.628407863767002</v>
      </c>
      <c r="J535" s="282"/>
      <c r="K535" s="282"/>
    </row>
    <row r="536" spans="1:11" ht="11.15" customHeight="1">
      <c r="A536" s="224">
        <v>2</v>
      </c>
      <c r="B536" s="224" t="s">
        <v>198</v>
      </c>
      <c r="C536" s="226">
        <v>1993</v>
      </c>
      <c r="D536" s="226">
        <v>1999</v>
      </c>
      <c r="E536" s="346">
        <v>1972</v>
      </c>
      <c r="F536" s="346">
        <v>520</v>
      </c>
      <c r="G536" s="346">
        <v>520</v>
      </c>
      <c r="H536" s="186">
        <f>((D536-C536)/C536*100+(E536-D536)/D536*100+(F536-E536)/E536*100+(G536-F536)/F536*100)/4</f>
        <v>-18.670113323190797</v>
      </c>
      <c r="J536" s="282"/>
      <c r="K536" s="282"/>
    </row>
    <row r="537" spans="1:11" ht="11.15" customHeight="1">
      <c r="A537" s="224">
        <v>3</v>
      </c>
      <c r="B537" s="224" t="s">
        <v>202</v>
      </c>
      <c r="C537" s="226">
        <v>3072</v>
      </c>
      <c r="D537" s="226">
        <v>3247</v>
      </c>
      <c r="E537" s="346">
        <v>6147</v>
      </c>
      <c r="F537" s="346">
        <v>7936</v>
      </c>
      <c r="G537" s="346">
        <v>7009</v>
      </c>
      <c r="H537" s="186">
        <f>((D537-C537)/C537*100+(E537-D537)/D537*100+(F537-E537)/E537*100+(G537-F537)/F537*100)/4</f>
        <v>28.10812674611828</v>
      </c>
      <c r="J537" s="282"/>
      <c r="K537" s="282"/>
    </row>
    <row r="538" spans="1:11" ht="11.15" customHeight="1">
      <c r="A538" s="224">
        <v>4</v>
      </c>
      <c r="B538" s="224" t="s">
        <v>204</v>
      </c>
      <c r="C538" s="226">
        <v>1284</v>
      </c>
      <c r="D538" s="226">
        <v>1341</v>
      </c>
      <c r="E538" s="346">
        <v>1274</v>
      </c>
      <c r="F538" s="346">
        <v>1636</v>
      </c>
      <c r="G538" s="346">
        <v>1738</v>
      </c>
      <c r="H538" s="186">
        <f t="shared" ref="H538:H543" si="34">((D538-C538)/C538*100+(E538-D538)/D538*100+(F538-E538)/E538*100+(G538-F538)/F538*100)/4</f>
        <v>8.5230356059467471</v>
      </c>
      <c r="J538" s="282"/>
      <c r="K538" s="282"/>
    </row>
    <row r="539" spans="1:11" ht="11.15" customHeight="1">
      <c r="A539" s="224">
        <v>5</v>
      </c>
      <c r="B539" s="224" t="s">
        <v>205</v>
      </c>
      <c r="C539" s="226">
        <v>1062</v>
      </c>
      <c r="D539" s="226">
        <v>625</v>
      </c>
      <c r="E539" s="346">
        <v>3121</v>
      </c>
      <c r="F539" s="346">
        <v>2791</v>
      </c>
      <c r="G539" s="346">
        <v>2791</v>
      </c>
      <c r="H539" s="186">
        <f t="shared" si="34"/>
        <v>86.909422495445753</v>
      </c>
      <c r="J539" s="282"/>
      <c r="K539" s="282"/>
    </row>
    <row r="540" spans="1:11" ht="11.15" customHeight="1">
      <c r="A540" s="224">
        <v>6</v>
      </c>
      <c r="B540" s="224" t="s">
        <v>208</v>
      </c>
      <c r="C540" s="226">
        <v>695</v>
      </c>
      <c r="D540" s="226">
        <v>448</v>
      </c>
      <c r="E540" s="346">
        <v>679</v>
      </c>
      <c r="F540" s="346">
        <v>697</v>
      </c>
      <c r="G540" s="346">
        <v>697</v>
      </c>
      <c r="H540" s="186">
        <f t="shared" si="34"/>
        <v>4.6684722362022013</v>
      </c>
      <c r="J540" s="282"/>
      <c r="K540" s="282"/>
    </row>
    <row r="541" spans="1:11" ht="11.15" customHeight="1">
      <c r="A541" s="224">
        <v>7</v>
      </c>
      <c r="B541" s="224" t="s">
        <v>213</v>
      </c>
      <c r="C541" s="226">
        <v>3068</v>
      </c>
      <c r="D541" s="226">
        <v>3087</v>
      </c>
      <c r="E541" s="346">
        <v>3088</v>
      </c>
      <c r="F541" s="346">
        <v>2674</v>
      </c>
      <c r="G541" s="346">
        <v>2661</v>
      </c>
      <c r="H541" s="186">
        <f t="shared" si="34"/>
        <v>-3.3103022336698684</v>
      </c>
      <c r="J541" s="282"/>
      <c r="K541" s="282"/>
    </row>
    <row r="542" spans="1:11" ht="11.15" customHeight="1">
      <c r="A542" s="224">
        <v>8</v>
      </c>
      <c r="B542" s="224" t="s">
        <v>215</v>
      </c>
      <c r="C542" s="226">
        <v>1930</v>
      </c>
      <c r="D542" s="226">
        <v>2290</v>
      </c>
      <c r="E542" s="346">
        <v>2005</v>
      </c>
      <c r="F542" s="346">
        <v>1932</v>
      </c>
      <c r="G542" s="346">
        <v>748</v>
      </c>
      <c r="H542" s="186">
        <f t="shared" si="34"/>
        <v>-14.679276688544864</v>
      </c>
      <c r="J542" s="282"/>
      <c r="K542" s="282"/>
    </row>
    <row r="543" spans="1:11" ht="11.15" customHeight="1" thickBot="1">
      <c r="A543" s="351">
        <v>9</v>
      </c>
      <c r="B543" s="351" t="s">
        <v>217</v>
      </c>
      <c r="C543" s="465">
        <v>1607</v>
      </c>
      <c r="D543" s="465">
        <v>1677</v>
      </c>
      <c r="E543" s="733">
        <v>1703</v>
      </c>
      <c r="F543" s="733">
        <v>1770</v>
      </c>
      <c r="G543" s="733">
        <v>1789</v>
      </c>
      <c r="H543" s="186">
        <f t="shared" si="34"/>
        <v>2.728502595068905</v>
      </c>
      <c r="J543" s="282"/>
      <c r="K543" s="282"/>
    </row>
    <row r="544" spans="1:11" ht="11.15" customHeight="1" thickTop="1" thickBot="1">
      <c r="A544" s="468" t="s">
        <v>184</v>
      </c>
      <c r="B544" s="469"/>
      <c r="C544" s="470">
        <f>SUM(C535:C543)</f>
        <v>15202</v>
      </c>
      <c r="D544" s="470">
        <f>SUM(D535:D543)</f>
        <v>15168</v>
      </c>
      <c r="E544" s="470">
        <f>SUM(E535:E543)</f>
        <v>20256</v>
      </c>
      <c r="F544" s="470">
        <f>SUM(F535:F543)</f>
        <v>20338</v>
      </c>
      <c r="G544" s="470">
        <f>SUM(G535:G543)</f>
        <v>18519</v>
      </c>
      <c r="H544" s="319">
        <f>((D544-C544)/C544*100+(E544-D544)/D544*100+(F544-E544)/E544*100+(G544-F544)/F544*100)/4</f>
        <v>6.1954045969844822</v>
      </c>
    </row>
    <row r="545" spans="1:8" ht="11.15" customHeight="1" thickTop="1">
      <c r="A545" s="171"/>
      <c r="B545" s="171"/>
      <c r="C545" s="171"/>
      <c r="D545" s="171"/>
      <c r="E545" s="171"/>
      <c r="F545" s="171"/>
      <c r="G545" s="171"/>
      <c r="H545" s="171"/>
    </row>
    <row r="546" spans="1:8" ht="11.15" customHeight="1">
      <c r="A546" s="171"/>
      <c r="B546" s="242" t="s">
        <v>461</v>
      </c>
      <c r="C546" s="242"/>
      <c r="D546" s="242"/>
      <c r="E546" s="242"/>
      <c r="F546" s="242"/>
      <c r="G546" s="242"/>
      <c r="H546" s="242"/>
    </row>
    <row r="547" spans="1:8" ht="11.15" customHeight="1">
      <c r="A547" s="171"/>
      <c r="B547" s="247"/>
      <c r="C547" s="247"/>
      <c r="D547" s="247"/>
      <c r="E547" s="247"/>
      <c r="F547" s="247"/>
      <c r="G547" s="247"/>
      <c r="H547" s="247"/>
    </row>
    <row r="548" spans="1:8" ht="11.15" customHeight="1">
      <c r="A548" s="171"/>
      <c r="B548" s="247"/>
      <c r="C548" s="247"/>
      <c r="D548" s="247"/>
      <c r="E548" s="247"/>
      <c r="F548" s="247"/>
      <c r="G548" s="247"/>
      <c r="H548" s="247"/>
    </row>
    <row r="549" spans="1:8" ht="11.15" customHeight="1">
      <c r="A549" s="171"/>
      <c r="B549" s="247"/>
      <c r="C549" s="247"/>
      <c r="D549" s="247"/>
      <c r="E549" s="247"/>
      <c r="F549" s="247"/>
      <c r="G549" s="247"/>
      <c r="H549" s="247"/>
    </row>
    <row r="550" spans="1:8" ht="11.15" customHeight="1">
      <c r="A550" s="171"/>
      <c r="B550" s="247"/>
      <c r="C550" s="247"/>
      <c r="D550" s="247"/>
      <c r="E550" s="247"/>
      <c r="F550" s="247"/>
      <c r="G550" s="247"/>
      <c r="H550" s="247"/>
    </row>
    <row r="551" spans="1:8" ht="11.15" customHeight="1">
      <c r="A551" s="171"/>
      <c r="B551" s="247"/>
      <c r="C551" s="247"/>
      <c r="D551" s="247"/>
      <c r="E551" s="247"/>
      <c r="F551" s="247"/>
      <c r="G551" s="247"/>
      <c r="H551" s="247"/>
    </row>
    <row r="552" spans="1:8" ht="11.15" customHeight="1">
      <c r="A552" s="171"/>
      <c r="B552" s="247"/>
      <c r="C552" s="247"/>
      <c r="D552" s="247"/>
      <c r="E552" s="247"/>
      <c r="F552" s="247"/>
      <c r="G552" s="247"/>
      <c r="H552" s="247"/>
    </row>
    <row r="553" spans="1:8" ht="11.15" customHeight="1">
      <c r="A553" s="171"/>
      <c r="B553" s="247"/>
      <c r="C553" s="247"/>
      <c r="D553" s="247"/>
      <c r="E553" s="247"/>
      <c r="F553" s="247"/>
      <c r="G553" s="247"/>
      <c r="H553" s="247"/>
    </row>
    <row r="554" spans="1:8" ht="11.15" customHeight="1">
      <c r="A554" s="171"/>
      <c r="B554" s="247"/>
      <c r="C554" s="247"/>
      <c r="D554" s="247"/>
      <c r="E554" s="247"/>
      <c r="F554" s="247"/>
      <c r="G554" s="247"/>
      <c r="H554" s="247"/>
    </row>
    <row r="555" spans="1:8" ht="11.15" customHeight="1">
      <c r="A555" s="171"/>
      <c r="B555" s="247"/>
      <c r="C555" s="247"/>
      <c r="D555" s="247"/>
      <c r="E555" s="247"/>
      <c r="F555" s="247"/>
      <c r="G555" s="247"/>
      <c r="H555" s="247"/>
    </row>
    <row r="556" spans="1:8" ht="11.15" customHeight="1"/>
    <row r="557" spans="1:8" ht="11.15" customHeight="1"/>
    <row r="558" spans="1:8" ht="11.15" customHeight="1"/>
    <row r="559" spans="1:8" ht="11.15" customHeight="1">
      <c r="A559" s="734" t="s">
        <v>462</v>
      </c>
      <c r="B559" s="734"/>
      <c r="C559" s="734"/>
      <c r="D559" s="734"/>
      <c r="E559" s="734"/>
      <c r="F559" s="734"/>
      <c r="G559" s="734"/>
      <c r="H559" s="734"/>
    </row>
    <row r="560" spans="1:8" ht="11.15" customHeight="1">
      <c r="A560" s="734" t="s">
        <v>463</v>
      </c>
      <c r="B560" s="734"/>
      <c r="C560" s="734"/>
      <c r="D560" s="734"/>
      <c r="E560" s="734"/>
      <c r="F560" s="734"/>
      <c r="G560" s="734"/>
      <c r="H560" s="734"/>
    </row>
    <row r="561" spans="1:8" ht="11.15" customHeight="1">
      <c r="A561" s="735"/>
      <c r="B561" s="735"/>
      <c r="C561" s="735"/>
      <c r="D561" s="735"/>
      <c r="E561" s="735"/>
      <c r="F561" s="735"/>
      <c r="G561" s="735"/>
      <c r="H561" s="736" t="s">
        <v>464</v>
      </c>
    </row>
    <row r="562" spans="1:8" ht="11.15" customHeight="1">
      <c r="A562" s="737" t="s">
        <v>6</v>
      </c>
      <c r="B562" s="738" t="s">
        <v>248</v>
      </c>
      <c r="C562" s="158" t="s">
        <v>179</v>
      </c>
      <c r="D562" s="159"/>
      <c r="E562" s="159"/>
      <c r="F562" s="159"/>
      <c r="G562" s="160"/>
      <c r="H562" s="738" t="s">
        <v>180</v>
      </c>
    </row>
    <row r="563" spans="1:8" ht="11.15" customHeight="1" thickBot="1">
      <c r="A563" s="739"/>
      <c r="B563" s="740"/>
      <c r="C563" s="204">
        <v>2011</v>
      </c>
      <c r="D563" s="204">
        <v>2012</v>
      </c>
      <c r="E563" s="204">
        <v>2013</v>
      </c>
      <c r="F563" s="204">
        <v>2014</v>
      </c>
      <c r="G563" s="204">
        <v>2015</v>
      </c>
      <c r="H563" s="740"/>
    </row>
    <row r="564" spans="1:8" ht="11.15" customHeight="1" thickTop="1">
      <c r="A564" s="741">
        <v>1</v>
      </c>
      <c r="B564" s="742" t="s">
        <v>465</v>
      </c>
      <c r="C564" s="743">
        <v>779.6</v>
      </c>
      <c r="D564" s="743">
        <v>800.8</v>
      </c>
      <c r="E564" s="744">
        <v>996.9</v>
      </c>
      <c r="F564" s="744">
        <v>457.43</v>
      </c>
      <c r="G564" s="744">
        <v>533.20000000000005</v>
      </c>
      <c r="H564" s="628">
        <f>((D564-C564)/C564*100+(E564-D564)/D564*100+(F564-E564)/E564*100+(G564-F564)/F564*100)/4</f>
        <v>-2.5857793605343344</v>
      </c>
    </row>
    <row r="565" spans="1:8" ht="11.15" customHeight="1">
      <c r="A565" s="745">
        <v>2</v>
      </c>
      <c r="B565" s="746" t="s">
        <v>466</v>
      </c>
      <c r="C565" s="747">
        <v>532.20000000000005</v>
      </c>
      <c r="D565" s="747">
        <v>263</v>
      </c>
      <c r="E565" s="748">
        <v>202.2</v>
      </c>
      <c r="F565" s="748">
        <v>209</v>
      </c>
      <c r="G565" s="748">
        <v>199</v>
      </c>
      <c r="H565" s="211">
        <f t="shared" ref="H565:H570" si="35">((D565-C565)/C565*100+(E565-D565)/D565*100+(F565-E565)/E565*100+(G565-F565)/F565*100)/4</f>
        <v>-18.780510145089352</v>
      </c>
    </row>
    <row r="566" spans="1:8" ht="11.15" customHeight="1">
      <c r="A566" s="745">
        <v>3</v>
      </c>
      <c r="B566" s="746" t="s">
        <v>467</v>
      </c>
      <c r="C566" s="747">
        <f>SUM(C567:C570)</f>
        <v>1502.1000000000001</v>
      </c>
      <c r="D566" s="747">
        <f>SUM(D567:D570)</f>
        <v>1339</v>
      </c>
      <c r="E566" s="747">
        <f>SUM(E567:E570)</f>
        <v>1482.4</v>
      </c>
      <c r="F566" s="748">
        <f>SUM(F567:F570)</f>
        <v>1417.26</v>
      </c>
      <c r="G566" s="748">
        <f>SUM(G567:G570)</f>
        <v>1254</v>
      </c>
      <c r="H566" s="211">
        <f t="shared" si="35"/>
        <v>-4.015570883138122</v>
      </c>
    </row>
    <row r="567" spans="1:8" ht="11.15" customHeight="1">
      <c r="A567" s="745"/>
      <c r="B567" s="746" t="s">
        <v>468</v>
      </c>
      <c r="C567" s="749">
        <v>941.2</v>
      </c>
      <c r="D567" s="749">
        <v>901.2</v>
      </c>
      <c r="E567" s="750">
        <v>1202.5999999999999</v>
      </c>
      <c r="F567" s="750">
        <v>1154</v>
      </c>
      <c r="G567" s="750">
        <v>997</v>
      </c>
      <c r="H567" s="186">
        <f t="shared" si="35"/>
        <v>2.8870765208010343</v>
      </c>
    </row>
    <row r="568" spans="1:8" ht="11.15" customHeight="1">
      <c r="A568" s="751"/>
      <c r="B568" s="752" t="s">
        <v>469</v>
      </c>
      <c r="C568" s="753">
        <v>536.6</v>
      </c>
      <c r="D568" s="753">
        <v>424</v>
      </c>
      <c r="E568" s="754">
        <v>269.89999999999998</v>
      </c>
      <c r="F568" s="754">
        <v>253.54</v>
      </c>
      <c r="G568" s="754">
        <v>246.9</v>
      </c>
      <c r="H568" s="186">
        <f t="shared" si="35"/>
        <v>-16.502183298800144</v>
      </c>
    </row>
    <row r="569" spans="1:8" ht="11.15" customHeight="1">
      <c r="A569" s="751"/>
      <c r="B569" s="752" t="s">
        <v>470</v>
      </c>
      <c r="C569" s="753">
        <v>24.3</v>
      </c>
      <c r="D569" s="753">
        <v>13.8</v>
      </c>
      <c r="E569" s="754">
        <v>9.9</v>
      </c>
      <c r="F569" s="754">
        <v>9.7200000000000006</v>
      </c>
      <c r="G569" s="754">
        <v>10.1</v>
      </c>
      <c r="H569" s="186">
        <f t="shared" si="35"/>
        <v>-17.344865726508239</v>
      </c>
    </row>
    <row r="570" spans="1:8" ht="11.15" customHeight="1" thickBot="1">
      <c r="A570" s="751"/>
      <c r="B570" s="752" t="s">
        <v>471</v>
      </c>
      <c r="C570" s="753">
        <v>0</v>
      </c>
      <c r="D570" s="753">
        <v>0</v>
      </c>
      <c r="E570" s="754">
        <v>0</v>
      </c>
      <c r="F570" s="754">
        <v>0</v>
      </c>
      <c r="G570" s="754">
        <v>0</v>
      </c>
      <c r="H570" s="186" t="e">
        <f t="shared" si="35"/>
        <v>#DIV/0!</v>
      </c>
    </row>
    <row r="571" spans="1:8" ht="11.15" customHeight="1" thickTop="1" thickBot="1">
      <c r="A571" s="755" t="s">
        <v>184</v>
      </c>
      <c r="B571" s="756"/>
      <c r="C571" s="757">
        <f>C564+C565+C566</f>
        <v>2813.9000000000005</v>
      </c>
      <c r="D571" s="757">
        <f>D564+D565+D566</f>
        <v>2402.8000000000002</v>
      </c>
      <c r="E571" s="757">
        <f>E564+E565+E566</f>
        <v>2681.5</v>
      </c>
      <c r="F571" s="757">
        <f>F564+F565+F566</f>
        <v>2083.69</v>
      </c>
      <c r="G571" s="757">
        <f>G564+G565+G566</f>
        <v>1986.2</v>
      </c>
      <c r="H571" s="319">
        <f>((D571-C571)/C571*100+(E571-D571)/D571*100+(F571-E571)/E571*100+(G571-F571)/F571*100)/4</f>
        <v>-7.4958082631943519</v>
      </c>
    </row>
    <row r="572" spans="1:8" ht="10.5" customHeight="1" thickTop="1">
      <c r="A572" s="735"/>
      <c r="B572" s="735"/>
      <c r="C572" s="735"/>
      <c r="D572" s="735"/>
      <c r="E572" s="735"/>
      <c r="F572" s="735"/>
      <c r="G572" s="735"/>
      <c r="H572" s="735"/>
    </row>
    <row r="573" spans="1:8" ht="11.15" customHeight="1">
      <c r="A573" s="735"/>
      <c r="B573" s="242" t="s">
        <v>472</v>
      </c>
      <c r="C573" s="242"/>
      <c r="D573" s="242"/>
      <c r="E573" s="242"/>
      <c r="F573" s="242"/>
      <c r="G573" s="242"/>
      <c r="H573" s="242"/>
    </row>
    <row r="574" spans="1:8" ht="11.15" customHeight="1">
      <c r="A574" s="171"/>
      <c r="B574" s="389"/>
      <c r="C574" s="389"/>
      <c r="D574" s="389"/>
      <c r="E574" s="389"/>
      <c r="F574" s="389"/>
      <c r="G574" s="389"/>
      <c r="H574" s="390"/>
    </row>
    <row r="575" spans="1:8" ht="11.15" customHeight="1">
      <c r="A575" s="171"/>
      <c r="B575" s="384" t="s">
        <v>256</v>
      </c>
      <c r="C575" s="384"/>
      <c r="D575" s="384"/>
      <c r="E575" s="384"/>
      <c r="F575" s="389"/>
      <c r="G575" s="389"/>
      <c r="H575" s="390"/>
    </row>
    <row r="576" spans="1:8" ht="11.15" customHeight="1">
      <c r="A576" s="171"/>
      <c r="B576" s="384"/>
      <c r="C576" s="384"/>
      <c r="D576" s="384"/>
      <c r="E576" s="384"/>
      <c r="F576" s="389"/>
      <c r="G576" s="389"/>
      <c r="H576" s="390"/>
    </row>
    <row r="577" spans="1:8" ht="11.15" customHeight="1">
      <c r="A577" s="171"/>
      <c r="B577" s="384"/>
      <c r="C577" s="384"/>
      <c r="D577" s="384"/>
      <c r="E577" s="384"/>
      <c r="F577" s="389"/>
      <c r="G577" s="389"/>
      <c r="H577" s="390"/>
    </row>
    <row r="578" spans="1:8" ht="11.15" customHeight="1">
      <c r="A578" s="171"/>
      <c r="B578" s="392"/>
      <c r="C578" s="392"/>
      <c r="D578" s="392"/>
      <c r="E578" s="392"/>
      <c r="F578" s="389"/>
      <c r="G578" s="389"/>
      <c r="H578" s="390"/>
    </row>
    <row r="579" spans="1:8" ht="11.15" customHeight="1">
      <c r="A579" s="171"/>
      <c r="B579" s="392"/>
      <c r="C579" s="392"/>
      <c r="D579" s="392"/>
      <c r="E579" s="392"/>
      <c r="F579" s="389"/>
      <c r="G579" s="389"/>
      <c r="H579" s="390"/>
    </row>
    <row r="580" spans="1:8" ht="11.15" customHeight="1">
      <c r="A580" s="171"/>
      <c r="B580" s="392"/>
      <c r="C580" s="392"/>
      <c r="D580" s="392"/>
      <c r="E580" s="392"/>
      <c r="F580" s="389"/>
      <c r="G580" s="389"/>
      <c r="H580" s="390"/>
    </row>
    <row r="581" spans="1:8" ht="11.15" customHeight="1">
      <c r="A581" s="171"/>
      <c r="B581" s="392"/>
      <c r="C581" s="392"/>
      <c r="D581" s="392"/>
      <c r="E581" s="392"/>
      <c r="F581" s="389"/>
      <c r="G581" s="389"/>
      <c r="H581" s="390"/>
    </row>
    <row r="582" spans="1:8" ht="11.15" customHeight="1">
      <c r="A582" s="171"/>
      <c r="B582" s="392"/>
      <c r="C582" s="392"/>
      <c r="D582" s="392"/>
      <c r="E582" s="392"/>
      <c r="F582" s="389"/>
      <c r="G582" s="389"/>
      <c r="H582" s="390"/>
    </row>
    <row r="583" spans="1:8" ht="11.15" customHeight="1">
      <c r="A583" s="171"/>
      <c r="B583" s="392"/>
      <c r="C583" s="392"/>
      <c r="D583" s="392"/>
      <c r="E583" s="392"/>
      <c r="F583" s="389"/>
      <c r="G583" s="389"/>
      <c r="H583" s="390"/>
    </row>
    <row r="584" spans="1:8" ht="11.15" customHeight="1">
      <c r="A584" s="171"/>
      <c r="B584" s="392"/>
      <c r="C584" s="392"/>
      <c r="D584" s="392"/>
      <c r="E584" s="392"/>
      <c r="F584" s="389"/>
      <c r="G584" s="389"/>
      <c r="H584" s="390"/>
    </row>
    <row r="585" spans="1:8" ht="11.15" customHeight="1">
      <c r="A585" s="171"/>
      <c r="B585" s="392"/>
      <c r="C585" s="392"/>
      <c r="D585" s="392"/>
      <c r="E585" s="392"/>
      <c r="F585" s="389"/>
      <c r="G585" s="389"/>
      <c r="H585" s="390"/>
    </row>
    <row r="586" spans="1:8" ht="11.15" customHeight="1"/>
    <row r="587" spans="1:8" ht="11.15" customHeight="1"/>
    <row r="588" spans="1:8" ht="11.15" customHeight="1">
      <c r="A588" s="758" t="s">
        <v>473</v>
      </c>
      <c r="B588" s="758"/>
      <c r="C588" s="758"/>
      <c r="D588" s="758"/>
      <c r="E588" s="758"/>
      <c r="F588" s="758"/>
      <c r="G588" s="758"/>
      <c r="H588" s="758"/>
    </row>
    <row r="589" spans="1:8" ht="11.15" customHeight="1">
      <c r="A589" s="146" t="s">
        <v>173</v>
      </c>
      <c r="B589" s="146"/>
      <c r="C589" s="146"/>
      <c r="D589" s="146"/>
      <c r="E589" s="146"/>
      <c r="F589" s="146"/>
      <c r="G589" s="146"/>
      <c r="H589" s="146"/>
    </row>
    <row r="590" spans="1:8" ht="11.15" customHeight="1">
      <c r="A590" s="759"/>
      <c r="B590" s="759"/>
      <c r="C590" s="759"/>
      <c r="D590" s="759"/>
      <c r="E590" s="759"/>
      <c r="F590" s="759"/>
      <c r="G590" s="759"/>
      <c r="H590" s="760" t="s">
        <v>240</v>
      </c>
    </row>
    <row r="591" spans="1:8" ht="11.15" customHeight="1">
      <c r="A591" s="761" t="s">
        <v>6</v>
      </c>
      <c r="B591" s="762" t="s">
        <v>178</v>
      </c>
      <c r="C591" s="158" t="s">
        <v>179</v>
      </c>
      <c r="D591" s="159"/>
      <c r="E591" s="159"/>
      <c r="F591" s="159"/>
      <c r="G591" s="160"/>
      <c r="H591" s="762" t="s">
        <v>180</v>
      </c>
    </row>
    <row r="592" spans="1:8" ht="11.15" customHeight="1" thickBot="1">
      <c r="A592" s="763"/>
      <c r="B592" s="764"/>
      <c r="C592" s="336">
        <v>2011</v>
      </c>
      <c r="D592" s="336">
        <v>2012</v>
      </c>
      <c r="E592" s="336">
        <v>2013</v>
      </c>
      <c r="F592" s="336">
        <v>2014</v>
      </c>
      <c r="G592" s="336">
        <v>2015</v>
      </c>
      <c r="H592" s="764"/>
    </row>
    <row r="593" spans="1:11" ht="11.15" customHeight="1" thickTop="1">
      <c r="A593" s="765">
        <v>1</v>
      </c>
      <c r="B593" s="765" t="s">
        <v>195</v>
      </c>
      <c r="C593" s="766">
        <v>976.6</v>
      </c>
      <c r="D593" s="766">
        <v>504.1</v>
      </c>
      <c r="E593" s="767">
        <v>859.6</v>
      </c>
      <c r="F593" s="768">
        <v>475.1</v>
      </c>
      <c r="G593" s="768">
        <v>510.3</v>
      </c>
      <c r="H593" s="278">
        <f t="shared" ref="H593:H602" si="36">((D593-C593)/C593*100+(E593-D593)/D593*100+(F593-E593)/E593*100+(G593-F593)/F593*100)/4</f>
        <v>-3.7953901845814211</v>
      </c>
      <c r="J593" s="693"/>
      <c r="K593" s="693"/>
    </row>
    <row r="594" spans="1:11" ht="11.15" customHeight="1">
      <c r="A594" s="769">
        <v>2</v>
      </c>
      <c r="B594" s="769" t="s">
        <v>198</v>
      </c>
      <c r="C594" s="770">
        <v>33835.199999999997</v>
      </c>
      <c r="D594" s="770">
        <v>43932.3</v>
      </c>
      <c r="E594" s="771">
        <v>44333.8</v>
      </c>
      <c r="F594" s="772">
        <v>507.4</v>
      </c>
      <c r="G594" s="772">
        <v>585.42999999999995</v>
      </c>
      <c r="H594" s="186">
        <f t="shared" si="36"/>
        <v>-13.180299012536414</v>
      </c>
      <c r="J594" s="693"/>
      <c r="K594" s="693"/>
    </row>
    <row r="595" spans="1:11" ht="11.15" customHeight="1">
      <c r="A595" s="769">
        <v>3</v>
      </c>
      <c r="B595" s="769" t="s">
        <v>202</v>
      </c>
      <c r="C595" s="770">
        <v>2131.5</v>
      </c>
      <c r="D595" s="770">
        <v>2618.8000000000002</v>
      </c>
      <c r="E595" s="771">
        <v>3356.6</v>
      </c>
      <c r="F595" s="772">
        <v>3900.1</v>
      </c>
      <c r="G595" s="772">
        <v>2931.8</v>
      </c>
      <c r="H595" s="186">
        <f t="shared" si="36"/>
        <v>10.599863737047883</v>
      </c>
      <c r="J595" s="693"/>
      <c r="K595" s="693"/>
    </row>
    <row r="596" spans="1:11" ht="11.15" customHeight="1">
      <c r="A596" s="769">
        <v>4</v>
      </c>
      <c r="B596" s="769" t="s">
        <v>204</v>
      </c>
      <c r="C596" s="770">
        <v>1264.3</v>
      </c>
      <c r="D596" s="770">
        <v>1391.8</v>
      </c>
      <c r="E596" s="771">
        <v>1189.3800000000001</v>
      </c>
      <c r="F596" s="772">
        <v>2929.5</v>
      </c>
      <c r="G596" s="772">
        <v>1672.72</v>
      </c>
      <c r="H596" s="186">
        <f t="shared" si="36"/>
        <v>24.736209165638698</v>
      </c>
      <c r="J596" s="693"/>
      <c r="K596" s="693"/>
    </row>
    <row r="597" spans="1:11" ht="11.15" customHeight="1">
      <c r="A597" s="769">
        <v>5</v>
      </c>
      <c r="B597" s="769" t="s">
        <v>205</v>
      </c>
      <c r="C597" s="770">
        <v>2221.1999999999998</v>
      </c>
      <c r="D597" s="770">
        <v>1081.9000000000001</v>
      </c>
      <c r="E597" s="771">
        <v>1962.3</v>
      </c>
      <c r="F597" s="772">
        <v>2054.1799999999998</v>
      </c>
      <c r="G597" s="772">
        <v>2840.6</v>
      </c>
      <c r="H597" s="186">
        <f t="shared" si="36"/>
        <v>18.262353462632213</v>
      </c>
      <c r="J597" s="693"/>
      <c r="K597" s="693"/>
    </row>
    <row r="598" spans="1:11" ht="11.15" customHeight="1">
      <c r="A598" s="769">
        <v>6</v>
      </c>
      <c r="B598" s="769" t="s">
        <v>208</v>
      </c>
      <c r="C598" s="770">
        <v>250.1</v>
      </c>
      <c r="D598" s="770">
        <v>362.6</v>
      </c>
      <c r="E598" s="771">
        <v>796.61</v>
      </c>
      <c r="F598" s="772">
        <v>587.61</v>
      </c>
      <c r="G598" s="772">
        <v>461</v>
      </c>
      <c r="H598" s="186">
        <f t="shared" si="36"/>
        <v>29.223276228278976</v>
      </c>
      <c r="J598" s="693"/>
      <c r="K598" s="693"/>
    </row>
    <row r="599" spans="1:11" ht="11.15" customHeight="1">
      <c r="A599" s="769">
        <v>7</v>
      </c>
      <c r="B599" s="769" t="s">
        <v>213</v>
      </c>
      <c r="C599" s="770">
        <v>106971.25</v>
      </c>
      <c r="D599" s="770">
        <v>100246.6</v>
      </c>
      <c r="E599" s="771">
        <v>100902.42</v>
      </c>
      <c r="F599" s="772">
        <v>83790.600000000006</v>
      </c>
      <c r="G599" s="772">
        <v>106327.17</v>
      </c>
      <c r="H599" s="186">
        <f t="shared" si="36"/>
        <v>1.0763290131732122</v>
      </c>
      <c r="J599" s="693"/>
      <c r="K599" s="693"/>
    </row>
    <row r="600" spans="1:11" ht="11.15" customHeight="1">
      <c r="A600" s="769">
        <v>8</v>
      </c>
      <c r="B600" s="769" t="s">
        <v>215</v>
      </c>
      <c r="C600" s="770">
        <v>1625.15</v>
      </c>
      <c r="D600" s="770">
        <v>1908.4</v>
      </c>
      <c r="E600" s="771">
        <v>1739.9</v>
      </c>
      <c r="F600" s="772">
        <v>1823.9</v>
      </c>
      <c r="G600" s="772">
        <v>877.76</v>
      </c>
      <c r="H600" s="186">
        <f t="shared" si="36"/>
        <v>-9.6117290858692979</v>
      </c>
      <c r="J600" s="693"/>
      <c r="K600" s="693"/>
    </row>
    <row r="601" spans="1:11" ht="11.15" customHeight="1" thickBot="1">
      <c r="A601" s="773">
        <v>9</v>
      </c>
      <c r="B601" s="773" t="s">
        <v>217</v>
      </c>
      <c r="C601" s="774">
        <v>2010.2</v>
      </c>
      <c r="D601" s="774">
        <v>3862</v>
      </c>
      <c r="E601" s="775">
        <v>5238</v>
      </c>
      <c r="F601" s="776">
        <v>6397</v>
      </c>
      <c r="G601" s="776">
        <v>6415</v>
      </c>
      <c r="H601" s="186">
        <f t="shared" si="36"/>
        <v>37.539385637362791</v>
      </c>
      <c r="J601" s="693"/>
      <c r="K601" s="693"/>
    </row>
    <row r="602" spans="1:11" ht="11.15" customHeight="1" thickTop="1" thickBot="1">
      <c r="A602" s="777" t="s">
        <v>184</v>
      </c>
      <c r="B602" s="778"/>
      <c r="C602" s="779">
        <f>SUM(C593:C601)</f>
        <v>151285.5</v>
      </c>
      <c r="D602" s="779">
        <f>SUM(D593:D601)</f>
        <v>155908.5</v>
      </c>
      <c r="E602" s="779">
        <f>SUM(E593:E601)</f>
        <v>160378.60999999999</v>
      </c>
      <c r="F602" s="779">
        <f>SUM(F593:F601)</f>
        <v>102465.39</v>
      </c>
      <c r="G602" s="779">
        <f>SUM(G593:G601)</f>
        <v>122621.78</v>
      </c>
      <c r="H602" s="319">
        <f t="shared" si="36"/>
        <v>-2.6289881879695551</v>
      </c>
    </row>
    <row r="603" spans="1:11" ht="11.15" customHeight="1" thickTop="1">
      <c r="A603" s="759"/>
      <c r="B603" s="759"/>
      <c r="C603" s="759"/>
      <c r="D603" s="759"/>
      <c r="E603" s="759"/>
      <c r="F603" s="759"/>
      <c r="G603" s="759"/>
      <c r="H603" s="759"/>
    </row>
    <row r="604" spans="1:11" ht="11.15" customHeight="1">
      <c r="A604" s="171"/>
      <c r="B604" s="242" t="s">
        <v>474</v>
      </c>
      <c r="C604" s="242"/>
      <c r="D604" s="242"/>
      <c r="E604" s="242"/>
      <c r="F604" s="242"/>
      <c r="G604" s="242"/>
      <c r="H604" s="242"/>
    </row>
    <row r="605" spans="1:11" ht="11.15" customHeight="1">
      <c r="A605" s="171"/>
      <c r="B605" s="247"/>
      <c r="C605" s="247"/>
      <c r="D605" s="247"/>
      <c r="E605" s="247"/>
      <c r="F605" s="247"/>
      <c r="G605" s="247"/>
      <c r="H605" s="247"/>
    </row>
    <row r="606" spans="1:11" ht="11.15" customHeight="1">
      <c r="A606" s="171"/>
      <c r="B606" s="247"/>
      <c r="C606" s="247"/>
      <c r="D606" s="247"/>
      <c r="E606" s="247"/>
      <c r="F606" s="247"/>
      <c r="G606" s="247"/>
      <c r="H606" s="247"/>
    </row>
    <row r="607" spans="1:11" ht="11.15" customHeight="1">
      <c r="A607" s="171"/>
      <c r="B607" s="247"/>
      <c r="C607" s="247"/>
      <c r="D607" s="247"/>
      <c r="E607" s="247"/>
      <c r="F607" s="247"/>
      <c r="G607" s="247"/>
      <c r="H607" s="247"/>
    </row>
    <row r="608" spans="1:11" ht="11.15" customHeight="1">
      <c r="A608" s="171"/>
      <c r="B608" s="247"/>
      <c r="C608" s="247"/>
      <c r="D608" s="247"/>
      <c r="E608" s="247"/>
      <c r="F608" s="247"/>
      <c r="G608" s="247"/>
      <c r="H608" s="247"/>
    </row>
    <row r="609" spans="1:10" ht="11.15" customHeight="1">
      <c r="A609" s="171"/>
      <c r="B609" s="247"/>
      <c r="C609" s="247"/>
      <c r="D609" s="247"/>
      <c r="E609" s="247"/>
      <c r="F609" s="247"/>
      <c r="G609" s="247"/>
      <c r="H609" s="247"/>
    </row>
    <row r="610" spans="1:10" ht="11.15" customHeight="1">
      <c r="A610" s="171"/>
      <c r="B610" s="247"/>
      <c r="C610" s="247"/>
      <c r="D610" s="247"/>
      <c r="E610" s="247"/>
      <c r="F610" s="247"/>
      <c r="G610" s="247"/>
      <c r="H610" s="247"/>
    </row>
    <row r="611" spans="1:10" ht="11.15" customHeight="1">
      <c r="A611" s="171"/>
      <c r="B611" s="247"/>
      <c r="C611" s="247"/>
      <c r="D611" s="247"/>
      <c r="E611" s="247"/>
      <c r="F611" s="247"/>
      <c r="G611" s="247"/>
      <c r="H611" s="247"/>
    </row>
    <row r="612" spans="1:10" ht="11.15" customHeight="1">
      <c r="A612" s="171"/>
      <c r="B612" s="247"/>
      <c r="C612" s="247"/>
      <c r="D612" s="247"/>
      <c r="E612" s="247"/>
      <c r="F612" s="247"/>
      <c r="G612" s="247"/>
      <c r="H612" s="247"/>
    </row>
    <row r="613" spans="1:10" ht="11.15" customHeight="1">
      <c r="A613" s="171"/>
      <c r="B613" s="247"/>
      <c r="C613" s="247"/>
      <c r="D613" s="247"/>
      <c r="E613" s="247"/>
      <c r="F613" s="247"/>
      <c r="G613" s="247"/>
      <c r="H613" s="247"/>
    </row>
    <row r="614" spans="1:10" ht="11.15" customHeight="1">
      <c r="A614" s="171"/>
      <c r="B614" s="247"/>
      <c r="C614" s="247"/>
      <c r="D614" s="247"/>
      <c r="E614" s="247"/>
      <c r="F614" s="247"/>
      <c r="G614" s="247"/>
      <c r="H614" s="247"/>
    </row>
    <row r="615" spans="1:10" ht="11.15" customHeight="1"/>
    <row r="616" spans="1:10" ht="11.15" customHeight="1"/>
    <row r="617" spans="1:10" ht="11.15" customHeight="1"/>
    <row r="618" spans="1:10" ht="11.15" customHeight="1">
      <c r="A618" s="146" t="s">
        <v>475</v>
      </c>
      <c r="B618" s="146"/>
      <c r="C618" s="146"/>
      <c r="D618" s="146"/>
      <c r="E618" s="146"/>
      <c r="F618" s="146"/>
      <c r="G618" s="146"/>
      <c r="H618" s="146"/>
    </row>
    <row r="619" spans="1:10" ht="11.15" customHeight="1">
      <c r="A619" s="146" t="s">
        <v>245</v>
      </c>
      <c r="B619" s="146"/>
      <c r="C619" s="146"/>
      <c r="D619" s="146"/>
      <c r="E619" s="146"/>
      <c r="F619" s="146"/>
      <c r="G619" s="146"/>
      <c r="H619" s="146"/>
    </row>
    <row r="620" spans="1:10" ht="11.15" customHeight="1">
      <c r="A620" s="171"/>
      <c r="B620" s="171"/>
      <c r="C620" s="171"/>
      <c r="D620" s="171"/>
      <c r="E620" s="171"/>
      <c r="F620" s="171"/>
      <c r="G620" s="171"/>
      <c r="H620" s="390" t="s">
        <v>240</v>
      </c>
    </row>
    <row r="621" spans="1:10" ht="11.15" customHeight="1">
      <c r="A621" s="156" t="s">
        <v>6</v>
      </c>
      <c r="B621" s="187" t="s">
        <v>248</v>
      </c>
      <c r="C621" s="158" t="s">
        <v>179</v>
      </c>
      <c r="D621" s="159"/>
      <c r="E621" s="159"/>
      <c r="F621" s="159"/>
      <c r="G621" s="160"/>
      <c r="H621" s="187" t="s">
        <v>180</v>
      </c>
    </row>
    <row r="622" spans="1:10" ht="11.15" customHeight="1" thickBot="1">
      <c r="A622" s="166"/>
      <c r="B622" s="203"/>
      <c r="C622" s="204">
        <v>2011</v>
      </c>
      <c r="D622" s="204">
        <v>2012</v>
      </c>
      <c r="E622" s="204">
        <v>2013</v>
      </c>
      <c r="F622" s="204">
        <v>2014</v>
      </c>
      <c r="G622" s="204">
        <v>2015</v>
      </c>
      <c r="H622" s="203"/>
    </row>
    <row r="623" spans="1:10" ht="11.15" customHeight="1" thickTop="1">
      <c r="A623" s="339">
        <v>1</v>
      </c>
      <c r="B623" s="340" t="s">
        <v>249</v>
      </c>
      <c r="C623" s="341">
        <v>142132.5</v>
      </c>
      <c r="D623" s="341">
        <v>144569.20000000001</v>
      </c>
      <c r="E623" s="342">
        <v>146192.12</v>
      </c>
      <c r="F623" s="780">
        <f>315.7+156+678.55+83780.8</f>
        <v>84931.05</v>
      </c>
      <c r="G623" s="780">
        <v>107921.49</v>
      </c>
      <c r="H623" s="278">
        <f t="shared" ref="H623:H628" si="37">((D623-C623)/C623*100+(E623-D623)/D623*100+(F623-E623)/E623*100+(G623-F623)/F623*100)/4</f>
        <v>-2.9994959928114326</v>
      </c>
      <c r="J623" s="693"/>
    </row>
    <row r="624" spans="1:10" ht="11.15" customHeight="1">
      <c r="A624" s="223">
        <v>2</v>
      </c>
      <c r="B624" s="224" t="s">
        <v>250</v>
      </c>
      <c r="C624" s="226">
        <v>2231.6999999999998</v>
      </c>
      <c r="D624" s="226">
        <v>1899.4</v>
      </c>
      <c r="E624" s="346">
        <v>2398.39</v>
      </c>
      <c r="F624" s="781">
        <v>3554</v>
      </c>
      <c r="G624" s="781">
        <v>3287.52</v>
      </c>
      <c r="H624" s="186">
        <f t="shared" si="37"/>
        <v>13.016410588119328</v>
      </c>
      <c r="J624" s="693"/>
    </row>
    <row r="625" spans="1:10" ht="11.15" customHeight="1">
      <c r="A625" s="223">
        <v>3</v>
      </c>
      <c r="B625" s="224" t="s">
        <v>251</v>
      </c>
      <c r="C625" s="226">
        <v>4798.3</v>
      </c>
      <c r="D625" s="226">
        <v>6179.1</v>
      </c>
      <c r="E625" s="346">
        <v>7409.57</v>
      </c>
      <c r="F625" s="781">
        <v>9297.1</v>
      </c>
      <c r="G625" s="781">
        <v>6480.74</v>
      </c>
      <c r="H625" s="186">
        <f t="shared" si="37"/>
        <v>10.967901763796938</v>
      </c>
      <c r="J625" s="693"/>
    </row>
    <row r="626" spans="1:10" ht="11.15" customHeight="1">
      <c r="A626" s="223">
        <v>4</v>
      </c>
      <c r="B626" s="224" t="s">
        <v>252</v>
      </c>
      <c r="C626" s="226">
        <v>337.6</v>
      </c>
      <c r="D626" s="226">
        <v>370.4</v>
      </c>
      <c r="E626" s="346">
        <v>280.2</v>
      </c>
      <c r="F626" s="781">
        <v>324.5</v>
      </c>
      <c r="G626" s="781">
        <v>245.03</v>
      </c>
      <c r="H626" s="186">
        <f t="shared" si="37"/>
        <v>-5.8290652499224933</v>
      </c>
      <c r="J626" s="693"/>
    </row>
    <row r="627" spans="1:10" ht="11.15" customHeight="1">
      <c r="A627" s="223">
        <v>5</v>
      </c>
      <c r="B627" s="224" t="s">
        <v>253</v>
      </c>
      <c r="C627" s="226">
        <v>1785.4</v>
      </c>
      <c r="D627" s="226">
        <v>2890.4</v>
      </c>
      <c r="E627" s="346">
        <v>4098.33</v>
      </c>
      <c r="F627" s="781">
        <f>71.4+19.35+4268</f>
        <v>4358.75</v>
      </c>
      <c r="G627" s="781">
        <v>4687</v>
      </c>
      <c r="H627" s="186">
        <f>((D627-C627)/C627*100+(E627-D627)/D627*100+(F627-E627)/E627*100+(G627-F627)/F627*100)/4</f>
        <v>29.391779674389404</v>
      </c>
      <c r="J627" s="693"/>
    </row>
    <row r="628" spans="1:10" ht="11.15" customHeight="1" thickBot="1">
      <c r="A628" s="223">
        <v>6</v>
      </c>
      <c r="B628" s="224" t="s">
        <v>476</v>
      </c>
      <c r="C628" s="226">
        <v>0</v>
      </c>
      <c r="D628" s="226">
        <v>0</v>
      </c>
      <c r="E628" s="346">
        <v>0</v>
      </c>
      <c r="F628" s="346">
        <v>0</v>
      </c>
      <c r="G628" s="346">
        <v>0</v>
      </c>
      <c r="H628" s="186" t="e">
        <f t="shared" si="37"/>
        <v>#DIV/0!</v>
      </c>
    </row>
    <row r="629" spans="1:10" ht="11.15" customHeight="1" thickTop="1" thickBot="1">
      <c r="A629" s="468" t="s">
        <v>184</v>
      </c>
      <c r="B629" s="469"/>
      <c r="C629" s="470">
        <f>SUM(C623:C628)</f>
        <v>151285.5</v>
      </c>
      <c r="D629" s="470">
        <f>SUM(D623:D628)</f>
        <v>155908.5</v>
      </c>
      <c r="E629" s="470">
        <f>SUM(E623:E628)</f>
        <v>160378.61000000002</v>
      </c>
      <c r="F629" s="470">
        <f>SUM(F623:F628)</f>
        <v>102465.40000000001</v>
      </c>
      <c r="G629" s="470">
        <f>SUM(G623:G628)</f>
        <v>122621.78000000001</v>
      </c>
      <c r="H629" s="319">
        <f>((D629-C629)/C629*100+(E629-D629)/D629*100+(F629-E629)/E629*100+(G629-F629)/F629*100)/4</f>
        <v>-2.6289895489587467</v>
      </c>
    </row>
    <row r="630" spans="1:10" ht="11.15" customHeight="1" thickTop="1">
      <c r="A630" s="171"/>
      <c r="B630" s="171"/>
      <c r="C630" s="171"/>
      <c r="D630" s="171"/>
      <c r="E630" s="171"/>
      <c r="F630" s="171"/>
      <c r="G630" s="171"/>
      <c r="H630" s="782"/>
    </row>
    <row r="631" spans="1:10" ht="11.15" customHeight="1">
      <c r="A631" s="171"/>
      <c r="B631" s="242" t="s">
        <v>477</v>
      </c>
      <c r="C631" s="242"/>
      <c r="D631" s="242"/>
      <c r="E631" s="242"/>
      <c r="F631" s="242"/>
      <c r="G631" s="242"/>
      <c r="H631" s="242"/>
    </row>
    <row r="632" spans="1:10" ht="11.15" customHeight="1"/>
    <row r="633" spans="1:10" ht="11.15" customHeight="1"/>
    <row r="634" spans="1:10" ht="11.15" customHeight="1"/>
    <row r="635" spans="1:10" ht="11.15" customHeight="1"/>
    <row r="636" spans="1:10" ht="11.15" customHeight="1"/>
    <row r="637" spans="1:10" ht="11.15" customHeight="1"/>
    <row r="638" spans="1:10" ht="11.15" customHeight="1"/>
    <row r="639" spans="1:10" ht="11.15" customHeight="1"/>
    <row r="640" spans="1:10" ht="11.15" customHeight="1"/>
    <row r="641" spans="1:8" ht="11.15" customHeight="1"/>
    <row r="642" spans="1:8" ht="11.15" customHeight="1"/>
    <row r="643" spans="1:8" ht="11.15" customHeight="1"/>
    <row r="644" spans="1:8" ht="11.15" customHeight="1"/>
    <row r="645" spans="1:8" ht="11.15" customHeight="1">
      <c r="A645" s="783" t="s">
        <v>478</v>
      </c>
      <c r="B645" s="783"/>
      <c r="C645" s="783"/>
      <c r="D645" s="783"/>
      <c r="E645" s="783"/>
      <c r="F645" s="783"/>
      <c r="G645" s="783"/>
      <c r="H645" s="783"/>
    </row>
    <row r="646" spans="1:8" ht="11.15" customHeight="1">
      <c r="A646" s="783" t="s">
        <v>479</v>
      </c>
      <c r="B646" s="783"/>
      <c r="C646" s="783"/>
      <c r="D646" s="783"/>
      <c r="E646" s="783"/>
      <c r="F646" s="783"/>
      <c r="G646" s="783"/>
      <c r="H646" s="783"/>
    </row>
    <row r="647" spans="1:8" ht="11.15" customHeight="1">
      <c r="A647" s="784"/>
      <c r="B647" s="784"/>
      <c r="C647" s="784"/>
      <c r="D647" s="784"/>
      <c r="E647" s="784"/>
      <c r="F647" s="784"/>
      <c r="G647" s="784"/>
      <c r="H647" s="785" t="s">
        <v>240</v>
      </c>
    </row>
    <row r="648" spans="1:8" ht="11.15" customHeight="1">
      <c r="A648" s="786" t="s">
        <v>6</v>
      </c>
      <c r="B648" s="787" t="s">
        <v>445</v>
      </c>
      <c r="C648" s="158" t="s">
        <v>179</v>
      </c>
      <c r="D648" s="159"/>
      <c r="E648" s="159"/>
      <c r="F648" s="159"/>
      <c r="G648" s="160"/>
      <c r="H648" s="787" t="s">
        <v>180</v>
      </c>
    </row>
    <row r="649" spans="1:8" ht="11.15" customHeight="1" thickBot="1">
      <c r="A649" s="788"/>
      <c r="B649" s="789"/>
      <c r="C649" s="336">
        <v>2011</v>
      </c>
      <c r="D649" s="336">
        <v>2012</v>
      </c>
      <c r="E649" s="336">
        <v>2013</v>
      </c>
      <c r="F649" s="336">
        <v>2014</v>
      </c>
      <c r="G649" s="336">
        <v>2015</v>
      </c>
      <c r="H649" s="789"/>
    </row>
    <row r="650" spans="1:8" ht="11.15" customHeight="1" thickTop="1">
      <c r="A650" s="790">
        <v>1</v>
      </c>
      <c r="B650" s="790" t="s">
        <v>303</v>
      </c>
      <c r="C650" s="791">
        <v>141863.4</v>
      </c>
      <c r="D650" s="791">
        <v>144168.4</v>
      </c>
      <c r="E650" s="792">
        <v>145597.20000000001</v>
      </c>
      <c r="F650" s="792">
        <v>84336.3</v>
      </c>
      <c r="G650" s="792">
        <v>107209.1</v>
      </c>
      <c r="H650" s="278">
        <f>((D650-C650)/C650*100+(E650-D650)/D650*100+(F650-E650)/E650*100+(G650-F650)/F650*100)/4</f>
        <v>-3.0846985615766824</v>
      </c>
    </row>
    <row r="651" spans="1:8" ht="11.15" customHeight="1">
      <c r="A651" s="793">
        <v>2</v>
      </c>
      <c r="B651" s="793" t="s">
        <v>480</v>
      </c>
      <c r="C651" s="794">
        <v>2074.6</v>
      </c>
      <c r="D651" s="794">
        <v>1585</v>
      </c>
      <c r="E651" s="795">
        <f>2325.6</f>
        <v>2325.6</v>
      </c>
      <c r="F651" s="795">
        <v>3422.85</v>
      </c>
      <c r="G651" s="795">
        <v>3243.37</v>
      </c>
      <c r="H651" s="186">
        <f>((D651-C651)/C651*100+(E651-D651)/D651*100+(F651-E651)/E651*100+(G651-F651)/F651*100)/4</f>
        <v>16.265902741910274</v>
      </c>
    </row>
    <row r="652" spans="1:8" ht="11.15" customHeight="1">
      <c r="A652" s="793">
        <v>3</v>
      </c>
      <c r="B652" s="793" t="s">
        <v>481</v>
      </c>
      <c r="C652" s="794">
        <v>190.9</v>
      </c>
      <c r="D652" s="794">
        <v>228.2</v>
      </c>
      <c r="E652" s="795">
        <f>22.1+49.1</f>
        <v>71.2</v>
      </c>
      <c r="F652" s="795">
        <f>22.9+119.3</f>
        <v>142.19999999999999</v>
      </c>
      <c r="G652" s="795">
        <f>5+31.7</f>
        <v>36.700000000000003</v>
      </c>
      <c r="H652" s="186">
        <f>((D652-C652)/C652*100+(E652-D652)/D652*100+(F652-E652)/E652*100+(G652-F652)/F652*100)/4</f>
        <v>-5.9331129891616428</v>
      </c>
    </row>
    <row r="653" spans="1:8" ht="11.15" customHeight="1">
      <c r="A653" s="793">
        <v>4</v>
      </c>
      <c r="B653" s="793" t="s">
        <v>410</v>
      </c>
      <c r="C653" s="794">
        <v>771.90000000000009</v>
      </c>
      <c r="D653" s="794">
        <v>1777.1</v>
      </c>
      <c r="E653" s="795">
        <f>1011.1+249+658</f>
        <v>1918.1</v>
      </c>
      <c r="F653" s="795">
        <f>1283.6+280.5+583</f>
        <v>2147.1</v>
      </c>
      <c r="G653" s="795">
        <f>887.85+214.21+644.5</f>
        <v>1746.56</v>
      </c>
      <c r="H653" s="186">
        <f>((D653-C653)/C653*100+(E653-D653)/D653*100+(F653-E653)/E653*100+(G653-F653)/F653*100)/4</f>
        <v>32.860591300045897</v>
      </c>
    </row>
    <row r="654" spans="1:8" ht="11.15" customHeight="1">
      <c r="A654" s="793">
        <v>5</v>
      </c>
      <c r="B654" s="793" t="s">
        <v>482</v>
      </c>
      <c r="C654" s="794">
        <v>790.8</v>
      </c>
      <c r="D654" s="794">
        <v>944.6</v>
      </c>
      <c r="E654" s="795">
        <v>448.3</v>
      </c>
      <c r="F654" s="795">
        <v>415.3</v>
      </c>
      <c r="G654" s="795">
        <v>240.42</v>
      </c>
      <c r="H654" s="186">
        <f t="shared" ref="H654:H659" si="38">((D654-C654)/C654*100+(E654-D654)/D654*100+(F654-E654)/E654*100+(G654-F654)/F654*100)/4</f>
        <v>-20.640639766203186</v>
      </c>
    </row>
    <row r="655" spans="1:8" ht="11.15" customHeight="1">
      <c r="A655" s="793">
        <v>6</v>
      </c>
      <c r="B655" s="793" t="s">
        <v>412</v>
      </c>
      <c r="C655" s="794">
        <v>2762.3</v>
      </c>
      <c r="D655" s="794">
        <v>3935.3</v>
      </c>
      <c r="E655" s="795">
        <f>4.2+2093.4+31.2+3440.3</f>
        <v>5569.1</v>
      </c>
      <c r="F655" s="795">
        <f>3+3134.8+44+3775.8</f>
        <v>6957.6</v>
      </c>
      <c r="G655" s="795">
        <f>8+2388.12+30.82+4042.5</f>
        <v>6469.4400000000005</v>
      </c>
      <c r="H655" s="186">
        <f t="shared" si="38"/>
        <v>25.474286366359813</v>
      </c>
    </row>
    <row r="656" spans="1:8" ht="11.15" customHeight="1">
      <c r="A656" s="793">
        <v>7</v>
      </c>
      <c r="B656" s="793" t="s">
        <v>413</v>
      </c>
      <c r="C656" s="794">
        <v>253.9</v>
      </c>
      <c r="D656" s="794">
        <v>533.4</v>
      </c>
      <c r="E656" s="795">
        <v>709.3</v>
      </c>
      <c r="F656" s="795">
        <v>1138.8</v>
      </c>
      <c r="G656" s="795">
        <v>481.31</v>
      </c>
      <c r="H656" s="186">
        <f t="shared" si="38"/>
        <v>36.469289924034769</v>
      </c>
    </row>
    <row r="657" spans="1:10" ht="11.15" customHeight="1">
      <c r="A657" s="793">
        <v>8</v>
      </c>
      <c r="B657" s="793" t="s">
        <v>414</v>
      </c>
      <c r="C657" s="794">
        <v>1690</v>
      </c>
      <c r="D657" s="794">
        <v>1664.9</v>
      </c>
      <c r="E657" s="795">
        <f>2564.5</f>
        <v>2564.5</v>
      </c>
      <c r="F657" s="795">
        <v>2717.9</v>
      </c>
      <c r="G657" s="795">
        <f>2182.29</f>
        <v>2182.29</v>
      </c>
      <c r="H657" s="186">
        <f t="shared" si="38"/>
        <v>9.7057455292927894</v>
      </c>
    </row>
    <row r="658" spans="1:10" ht="11.15" customHeight="1">
      <c r="A658" s="793">
        <v>9</v>
      </c>
      <c r="B658" s="793" t="s">
        <v>289</v>
      </c>
      <c r="C658" s="794">
        <v>135.88</v>
      </c>
      <c r="D658" s="794">
        <v>262.2</v>
      </c>
      <c r="E658" s="795">
        <f>278+17.9</f>
        <v>295.89999999999998</v>
      </c>
      <c r="F658" s="795">
        <v>280.7</v>
      </c>
      <c r="G658" s="795">
        <f>290.3+2.75</f>
        <v>293.05</v>
      </c>
      <c r="H658" s="186">
        <f t="shared" si="38"/>
        <v>26.270002225919445</v>
      </c>
    </row>
    <row r="659" spans="1:10" ht="11.15" customHeight="1" thickBot="1">
      <c r="A659" s="796">
        <v>10</v>
      </c>
      <c r="B659" s="796" t="s">
        <v>292</v>
      </c>
      <c r="C659" s="797">
        <v>751.85</v>
      </c>
      <c r="D659" s="797">
        <v>809.40000000000396</v>
      </c>
      <c r="E659" s="798">
        <f>160378.61-159499.2</f>
        <v>879.40999999997439</v>
      </c>
      <c r="F659" s="798">
        <v>906.6</v>
      </c>
      <c r="G659" s="798">
        <f>405.03+0.4+11.66+0.5+1.2+38.06+257.79+2+1.1+1.8</f>
        <v>719.54</v>
      </c>
      <c r="H659" s="186">
        <f t="shared" si="38"/>
        <v>-0.30930494223810889</v>
      </c>
      <c r="J659" s="509"/>
    </row>
    <row r="660" spans="1:10" ht="11.15" customHeight="1" thickTop="1" thickBot="1">
      <c r="A660" s="799" t="s">
        <v>184</v>
      </c>
      <c r="B660" s="800"/>
      <c r="C660" s="801">
        <f>SUM(C650:C659)</f>
        <v>151285.52999999997</v>
      </c>
      <c r="D660" s="801">
        <f>SUM(D650:D659)</f>
        <v>155908.5</v>
      </c>
      <c r="E660" s="801">
        <f>SUM(E650:E659)</f>
        <v>160378.60999999999</v>
      </c>
      <c r="F660" s="801">
        <f>SUM(F650:F659)</f>
        <v>102465.35000000002</v>
      </c>
      <c r="G660" s="801">
        <f>SUM(G650:G659)</f>
        <v>122621.77999999998</v>
      </c>
      <c r="H660" s="319">
        <f>((D660-C660)/C660*100+(E660-D660)/D660*100+(F660-E660)/E660*100+(G660-F660)/F660*100)/4</f>
        <v>-2.628987853012462</v>
      </c>
      <c r="J660" s="509"/>
    </row>
    <row r="661" spans="1:10" ht="11.15" customHeight="1" thickTop="1">
      <c r="A661" s="802"/>
      <c r="B661" s="802"/>
      <c r="C661" s="803"/>
      <c r="D661" s="803"/>
      <c r="E661" s="803"/>
      <c r="F661" s="803"/>
      <c r="G661" s="803"/>
      <c r="H661" s="803"/>
    </row>
    <row r="662" spans="1:10" ht="11.15" customHeight="1">
      <c r="A662" s="784"/>
      <c r="B662" s="242" t="s">
        <v>483</v>
      </c>
      <c r="C662" s="242"/>
      <c r="D662" s="242"/>
      <c r="E662" s="242"/>
      <c r="F662" s="242"/>
      <c r="G662" s="242"/>
      <c r="H662" s="242"/>
    </row>
    <row r="663" spans="1:10" ht="11.15" customHeight="1">
      <c r="A663" s="784"/>
      <c r="B663" s="247"/>
      <c r="C663" s="247"/>
      <c r="D663" s="247"/>
      <c r="E663" s="247"/>
      <c r="F663" s="247"/>
      <c r="G663" s="247"/>
      <c r="H663" s="247"/>
    </row>
    <row r="664" spans="1:10" ht="11.15" customHeight="1">
      <c r="A664" s="784"/>
      <c r="B664" s="247"/>
      <c r="C664" s="247"/>
      <c r="D664" s="247"/>
      <c r="E664" s="247"/>
      <c r="F664" s="247"/>
      <c r="G664" s="247"/>
      <c r="H664" s="247"/>
    </row>
    <row r="665" spans="1:10" ht="11.15" customHeight="1">
      <c r="A665" s="784"/>
      <c r="B665" s="247"/>
      <c r="C665" s="247"/>
      <c r="D665" s="247"/>
      <c r="E665" s="247"/>
      <c r="F665" s="247"/>
      <c r="G665" s="247"/>
      <c r="H665" s="247"/>
    </row>
    <row r="666" spans="1:10" ht="11.15" customHeight="1">
      <c r="A666" s="784"/>
      <c r="B666" s="247"/>
      <c r="C666" s="247"/>
      <c r="D666" s="247"/>
      <c r="E666" s="247"/>
      <c r="F666" s="247"/>
      <c r="G666" s="247"/>
      <c r="H666" s="247"/>
    </row>
    <row r="667" spans="1:10" ht="11.15" customHeight="1">
      <c r="A667" s="784"/>
      <c r="B667" s="247"/>
      <c r="C667" s="247"/>
      <c r="D667" s="247"/>
      <c r="E667" s="247"/>
      <c r="F667" s="247"/>
      <c r="G667" s="247"/>
      <c r="H667" s="247"/>
    </row>
    <row r="668" spans="1:10" ht="11.15" customHeight="1">
      <c r="A668" s="784"/>
      <c r="B668" s="247"/>
      <c r="C668" s="247"/>
      <c r="D668" s="247"/>
      <c r="E668" s="247"/>
      <c r="F668" s="247"/>
      <c r="G668" s="247"/>
      <c r="H668" s="247"/>
    </row>
    <row r="669" spans="1:10" ht="11.15" customHeight="1">
      <c r="A669" s="784"/>
      <c r="B669" s="247"/>
      <c r="C669" s="247"/>
      <c r="D669" s="247"/>
      <c r="E669" s="247"/>
      <c r="F669" s="247"/>
      <c r="G669" s="247"/>
      <c r="H669" s="247"/>
    </row>
    <row r="670" spans="1:10" ht="11.15" customHeight="1">
      <c r="A670" s="784"/>
      <c r="B670" s="247"/>
      <c r="C670" s="247"/>
      <c r="D670" s="247"/>
      <c r="E670" s="247"/>
      <c r="F670" s="247"/>
      <c r="G670" s="247"/>
      <c r="H670" s="247"/>
    </row>
    <row r="671" spans="1:10" ht="11.15" customHeight="1">
      <c r="A671" s="784"/>
      <c r="B671" s="247"/>
      <c r="C671" s="247"/>
      <c r="D671" s="247"/>
      <c r="E671" s="247"/>
      <c r="F671" s="247"/>
      <c r="G671" s="247"/>
      <c r="H671" s="247"/>
    </row>
    <row r="672" spans="1:10" ht="11.15" customHeight="1">
      <c r="A672" s="784"/>
      <c r="B672" s="247"/>
      <c r="C672" s="247"/>
      <c r="D672" s="247"/>
      <c r="E672" s="247"/>
      <c r="F672" s="247"/>
      <c r="G672" s="247"/>
      <c r="H672" s="247"/>
    </row>
    <row r="673" spans="1:10" ht="11.15" customHeight="1">
      <c r="A673" s="784"/>
      <c r="B673" s="247"/>
      <c r="C673" s="247"/>
      <c r="D673" s="247"/>
      <c r="E673" s="247"/>
      <c r="F673" s="247"/>
      <c r="G673" s="247"/>
      <c r="H673" s="247"/>
    </row>
    <row r="674" spans="1:10" ht="11.15" customHeight="1">
      <c r="A674" s="784"/>
      <c r="B674" s="247"/>
      <c r="C674" s="247"/>
      <c r="D674" s="247"/>
      <c r="E674" s="247"/>
      <c r="F674" s="247"/>
      <c r="G674" s="247"/>
      <c r="H674" s="247"/>
    </row>
    <row r="675" spans="1:10" ht="11.15" customHeight="1"/>
    <row r="676" spans="1:10" ht="11.15" customHeight="1">
      <c r="A676" s="142" t="s">
        <v>484</v>
      </c>
      <c r="B676" s="142"/>
      <c r="C676" s="142"/>
      <c r="D676" s="142"/>
      <c r="E676" s="142"/>
      <c r="F676" s="142"/>
      <c r="G676" s="142"/>
      <c r="H676" s="142"/>
    </row>
    <row r="677" spans="1:10" ht="11.15" customHeight="1">
      <c r="A677" s="142"/>
      <c r="B677" s="142"/>
      <c r="C677" s="142"/>
      <c r="D677" s="142"/>
      <c r="E677" s="142"/>
      <c r="F677" s="142"/>
      <c r="G677" s="142"/>
      <c r="H677" s="142"/>
    </row>
    <row r="678" spans="1:10" ht="11.15" customHeight="1"/>
    <row r="679" spans="1:10" ht="11.15" customHeight="1">
      <c r="A679" s="146" t="s">
        <v>485</v>
      </c>
      <c r="B679" s="146"/>
      <c r="C679" s="146"/>
      <c r="D679" s="146"/>
      <c r="E679" s="146"/>
      <c r="F679" s="146"/>
      <c r="G679" s="146"/>
      <c r="H679" s="146"/>
    </row>
    <row r="680" spans="1:10" ht="11.15" customHeight="1">
      <c r="A680" s="146" t="s">
        <v>275</v>
      </c>
      <c r="B680" s="146"/>
      <c r="C680" s="146"/>
      <c r="D680" s="146"/>
      <c r="E680" s="146"/>
      <c r="F680" s="146"/>
      <c r="G680" s="146"/>
      <c r="H680" s="146"/>
    </row>
    <row r="681" spans="1:10" ht="11.15" customHeight="1">
      <c r="A681" s="171"/>
      <c r="B681" s="171"/>
      <c r="C681" s="171"/>
      <c r="D681" s="171"/>
      <c r="E681" s="171"/>
      <c r="F681" s="171"/>
      <c r="G681" s="171"/>
      <c r="H681" s="390" t="s">
        <v>240</v>
      </c>
    </row>
    <row r="682" spans="1:10" ht="11.15" customHeight="1">
      <c r="A682" s="156" t="s">
        <v>6</v>
      </c>
      <c r="B682" s="187" t="s">
        <v>277</v>
      </c>
      <c r="C682" s="158" t="s">
        <v>179</v>
      </c>
      <c r="D682" s="159"/>
      <c r="E682" s="159"/>
      <c r="F682" s="159"/>
      <c r="G682" s="160"/>
      <c r="H682" s="187" t="s">
        <v>180</v>
      </c>
    </row>
    <row r="683" spans="1:10" ht="11.15" customHeight="1" thickBot="1">
      <c r="A683" s="166"/>
      <c r="B683" s="203"/>
      <c r="C683" s="204">
        <v>2011</v>
      </c>
      <c r="D683" s="204">
        <v>2012</v>
      </c>
      <c r="E683" s="204">
        <v>2013</v>
      </c>
      <c r="F683" s="204">
        <v>2014</v>
      </c>
      <c r="G683" s="204">
        <v>2015</v>
      </c>
      <c r="H683" s="203"/>
    </row>
    <row r="684" spans="1:10" ht="11.15" customHeight="1" thickTop="1">
      <c r="A684" s="181">
        <v>1</v>
      </c>
      <c r="B684" s="278" t="s">
        <v>279</v>
      </c>
      <c r="C684" s="278">
        <v>7878.68</v>
      </c>
      <c r="D684" s="278">
        <v>5078.05</v>
      </c>
      <c r="E684" s="278">
        <v>5404.8</v>
      </c>
      <c r="F684" s="278">
        <v>5165.53</v>
      </c>
      <c r="G684" s="278">
        <v>3502.81</v>
      </c>
      <c r="H684" s="278">
        <f>((D684-C684)/C684*100+(E684-D684)/D684*100+(F684-E684)/E684*100+(G684-F684)/F684*100)/4</f>
        <v>-16.432034402347718</v>
      </c>
    </row>
    <row r="685" spans="1:10" ht="11.15" customHeight="1">
      <c r="A685" s="200">
        <v>2</v>
      </c>
      <c r="B685" s="186" t="s">
        <v>281</v>
      </c>
      <c r="C685" s="186">
        <v>1515.51</v>
      </c>
      <c r="D685" s="186">
        <v>3682.78</v>
      </c>
      <c r="E685" s="186">
        <v>408.35</v>
      </c>
      <c r="F685" s="186">
        <v>610.36</v>
      </c>
      <c r="G685" s="186">
        <v>355.88</v>
      </c>
      <c r="H685" s="186">
        <f>((D685-C685)/C685*100+(E685-D685)/D685*100+(F685-E685)/E685*100+(G685-F685)/F685*100)/4</f>
        <v>15.467616643510821</v>
      </c>
    </row>
    <row r="686" spans="1:10" ht="11.15" customHeight="1">
      <c r="A686" s="200">
        <v>3</v>
      </c>
      <c r="B686" s="186" t="s">
        <v>283</v>
      </c>
      <c r="C686" s="186">
        <v>6940.69</v>
      </c>
      <c r="D686" s="186">
        <f>479.04+4430.74+474.02+176.1</f>
        <v>5559.9</v>
      </c>
      <c r="E686" s="186">
        <f>516.75+4934.68+431.17+215.19+3276.06+8.96</f>
        <v>9382.81</v>
      </c>
      <c r="F686" s="186">
        <v>10346.36</v>
      </c>
      <c r="G686" s="186">
        <v>8329.2000000000007</v>
      </c>
      <c r="H686" s="186">
        <f t="shared" ref="H686:H693" si="39">((D686-C686)/C686*100+(E686-D686)/D686*100+(F686-E686)/E686*100+(G686-F686)/F686*100)/4</f>
        <v>9.9093663927138369</v>
      </c>
      <c r="J686" s="804"/>
    </row>
    <row r="687" spans="1:10" ht="11.15" customHeight="1">
      <c r="A687" s="200">
        <v>4</v>
      </c>
      <c r="B687" s="186" t="s">
        <v>285</v>
      </c>
      <c r="C687" s="186">
        <v>264.96000000000004</v>
      </c>
      <c r="D687" s="186">
        <f>61.36+83.04+59.47+1.61</f>
        <v>205.48000000000002</v>
      </c>
      <c r="E687" s="186">
        <f>0.09+248.16+62.28+43.78+139.6</f>
        <v>493.90999999999997</v>
      </c>
      <c r="F687" s="186">
        <f>535.6+37.75+17.9+63.42</f>
        <v>654.66999999999996</v>
      </c>
      <c r="G687" s="186">
        <v>522.46</v>
      </c>
      <c r="H687" s="186">
        <f t="shared" si="39"/>
        <v>32.56843837333011</v>
      </c>
    </row>
    <row r="688" spans="1:10" ht="11.15" customHeight="1">
      <c r="A688" s="200">
        <v>5</v>
      </c>
      <c r="B688" s="186" t="s">
        <v>287</v>
      </c>
      <c r="C688" s="186">
        <v>863.39</v>
      </c>
      <c r="D688" s="186">
        <f>0.49+345.95+36.78+183.51+603.31</f>
        <v>1170.04</v>
      </c>
      <c r="E688" s="186">
        <f>0.17+143.82+68.64+143.09+1115.02</f>
        <v>1470.74</v>
      </c>
      <c r="F688" s="186">
        <f>0.08+25.76+215.39+137.63+1157.96</f>
        <v>1536.8200000000002</v>
      </c>
      <c r="G688" s="186">
        <v>1728.97</v>
      </c>
      <c r="H688" s="186">
        <f t="shared" si="39"/>
        <v>19.553254245321</v>
      </c>
    </row>
    <row r="689" spans="1:8" ht="11.15" customHeight="1">
      <c r="A689" s="200">
        <v>6</v>
      </c>
      <c r="B689" s="186" t="s">
        <v>289</v>
      </c>
      <c r="C689" s="186">
        <v>2009.08</v>
      </c>
      <c r="D689" s="186">
        <f>1116.3+444.43+18.2</f>
        <v>1578.93</v>
      </c>
      <c r="E689" s="186">
        <f>668.82+471.23</f>
        <v>1140.0500000000002</v>
      </c>
      <c r="F689" s="186">
        <f>848.54+462.9</f>
        <v>1311.44</v>
      </c>
      <c r="G689" s="186">
        <v>1689.1</v>
      </c>
      <c r="H689" s="186">
        <f t="shared" si="39"/>
        <v>-1.3438581629227579</v>
      </c>
    </row>
    <row r="690" spans="1:8" ht="11.15" customHeight="1">
      <c r="A690" s="200">
        <v>7</v>
      </c>
      <c r="B690" s="186" t="s">
        <v>291</v>
      </c>
      <c r="C690" s="186">
        <v>0</v>
      </c>
      <c r="D690" s="186">
        <v>0</v>
      </c>
      <c r="E690" s="186">
        <v>0</v>
      </c>
      <c r="F690" s="186">
        <v>0</v>
      </c>
      <c r="G690" s="186">
        <v>0</v>
      </c>
      <c r="H690" s="186" t="e">
        <f t="shared" si="39"/>
        <v>#DIV/0!</v>
      </c>
    </row>
    <row r="691" spans="1:8" ht="11.15" customHeight="1">
      <c r="A691" s="200">
        <v>8</v>
      </c>
      <c r="B691" s="186" t="s">
        <v>293</v>
      </c>
      <c r="C691" s="186">
        <v>441.95</v>
      </c>
      <c r="D691" s="186">
        <f>107.63+647.76</f>
        <v>755.39</v>
      </c>
      <c r="E691" s="186">
        <f>723.46+34.37</f>
        <v>757.83</v>
      </c>
      <c r="F691" s="186">
        <f>552.44</f>
        <v>552.44000000000005</v>
      </c>
      <c r="G691" s="186">
        <v>813.81</v>
      </c>
      <c r="H691" s="186">
        <f>((D691-C691)/C691*100+(E691-D691)/D691*100+(F691-E691)/E691*100+(G691-F691)/F691*100)/4</f>
        <v>22.863650699229453</v>
      </c>
    </row>
    <row r="692" spans="1:8" ht="11.15" customHeight="1">
      <c r="A692" s="200">
        <v>9</v>
      </c>
      <c r="B692" s="186" t="s">
        <v>295</v>
      </c>
      <c r="C692" s="186">
        <v>8.8000000000000007</v>
      </c>
      <c r="D692" s="186">
        <v>63.16</v>
      </c>
      <c r="E692" s="186">
        <v>39.68</v>
      </c>
      <c r="F692" s="186">
        <v>36.99</v>
      </c>
      <c r="G692" s="186">
        <v>1.64</v>
      </c>
      <c r="H692" s="186">
        <f t="shared" si="39"/>
        <v>119.55156052038937</v>
      </c>
    </row>
    <row r="693" spans="1:8" ht="11.15" customHeight="1" thickBot="1">
      <c r="A693" s="450">
        <v>10</v>
      </c>
      <c r="B693" s="452" t="s">
        <v>191</v>
      </c>
      <c r="C693" s="452">
        <v>58.39</v>
      </c>
      <c r="D693" s="452">
        <v>57.42</v>
      </c>
      <c r="E693" s="452">
        <v>72.02</v>
      </c>
      <c r="F693" s="452">
        <v>105.84</v>
      </c>
      <c r="G693" s="452">
        <f>78.57+13.02</f>
        <v>91.589999999999989</v>
      </c>
      <c r="H693" s="186">
        <f t="shared" si="39"/>
        <v>14.315224105188113</v>
      </c>
    </row>
    <row r="694" spans="1:8" ht="11.15" customHeight="1" thickTop="1" thickBot="1">
      <c r="A694" s="453" t="s">
        <v>211</v>
      </c>
      <c r="B694" s="454"/>
      <c r="C694" s="319">
        <f>SUM(C684:C693)</f>
        <v>19981.449999999997</v>
      </c>
      <c r="D694" s="319">
        <f>SUM(D684:D693)</f>
        <v>18151.149999999998</v>
      </c>
      <c r="E694" s="319">
        <f>SUM(E684:E693)</f>
        <v>19170.190000000002</v>
      </c>
      <c r="F694" s="319">
        <f>SUM(F684:F693)</f>
        <v>20320.449999999997</v>
      </c>
      <c r="G694" s="319">
        <f>SUM(G684:G693)</f>
        <v>17035.460000000003</v>
      </c>
      <c r="H694" s="319">
        <f>((D694-C694)/C694*100+(E694-D694)/D694*100+(F694-E694)/E694*100+(G694-F694)/F694*100)/4</f>
        <v>-3.4278710019384651</v>
      </c>
    </row>
    <row r="695" spans="1:8" ht="11.15" customHeight="1" thickTop="1">
      <c r="A695" s="151"/>
      <c r="B695" s="151"/>
      <c r="C695" s="151"/>
      <c r="D695" s="151"/>
      <c r="E695" s="151"/>
      <c r="F695" s="151"/>
      <c r="G695" s="151"/>
      <c r="H695" s="151"/>
    </row>
    <row r="696" spans="1:8" ht="11.15" customHeight="1">
      <c r="A696" s="171"/>
      <c r="B696" s="242" t="s">
        <v>486</v>
      </c>
      <c r="C696" s="242"/>
      <c r="D696" s="242"/>
      <c r="E696" s="242"/>
      <c r="F696" s="242"/>
      <c r="G696" s="242"/>
      <c r="H696" s="242"/>
    </row>
    <row r="697" spans="1:8" ht="11.15" customHeight="1">
      <c r="A697" s="171"/>
      <c r="B697" s="247"/>
      <c r="C697" s="247"/>
      <c r="D697" s="247"/>
      <c r="E697" s="247"/>
      <c r="F697" s="247"/>
      <c r="G697" s="247"/>
      <c r="H697" s="247"/>
    </row>
    <row r="698" spans="1:8" ht="11.15" customHeight="1">
      <c r="A698" s="171"/>
      <c r="B698" s="247"/>
      <c r="C698" s="247"/>
      <c r="D698" s="247"/>
      <c r="E698" s="247"/>
      <c r="F698" s="247"/>
      <c r="G698" s="247"/>
      <c r="H698" s="247"/>
    </row>
    <row r="699" spans="1:8" ht="11.15" customHeight="1">
      <c r="A699" s="171"/>
      <c r="B699" s="247"/>
      <c r="C699" s="247"/>
      <c r="D699" s="247"/>
      <c r="E699" s="247"/>
      <c r="F699" s="247"/>
      <c r="G699" s="247"/>
      <c r="H699" s="247"/>
    </row>
    <row r="700" spans="1:8" ht="11.15" customHeight="1">
      <c r="A700" s="171"/>
      <c r="B700" s="247"/>
      <c r="C700" s="247"/>
      <c r="D700" s="247"/>
      <c r="E700" s="247"/>
      <c r="F700" s="247"/>
      <c r="G700" s="247"/>
      <c r="H700" s="247"/>
    </row>
    <row r="701" spans="1:8" ht="11.15" customHeight="1">
      <c r="A701" s="171"/>
      <c r="B701" s="247"/>
      <c r="C701" s="247"/>
      <c r="D701" s="247"/>
      <c r="E701" s="247"/>
      <c r="F701" s="247"/>
      <c r="G701" s="247"/>
      <c r="H701" s="247"/>
    </row>
    <row r="702" spans="1:8" ht="11.15" customHeight="1">
      <c r="A702" s="171"/>
      <c r="B702" s="247"/>
      <c r="C702" s="247"/>
      <c r="D702" s="247"/>
      <c r="E702" s="247"/>
      <c r="F702" s="247"/>
      <c r="G702" s="247"/>
      <c r="H702" s="247"/>
    </row>
    <row r="703" spans="1:8" ht="11.15" customHeight="1">
      <c r="A703" s="171"/>
      <c r="B703" s="247"/>
      <c r="C703" s="247"/>
      <c r="D703" s="247"/>
      <c r="E703" s="247"/>
      <c r="F703" s="247"/>
      <c r="G703" s="247"/>
      <c r="H703" s="247"/>
    </row>
    <row r="704" spans="1:8" ht="11.15" customHeight="1">
      <c r="A704" s="171"/>
      <c r="B704" s="247"/>
      <c r="C704" s="247"/>
      <c r="D704" s="247"/>
      <c r="E704" s="247"/>
      <c r="F704" s="247"/>
      <c r="G704" s="247"/>
      <c r="H704" s="247"/>
    </row>
    <row r="705" spans="1:10" ht="11.15" customHeight="1">
      <c r="A705" s="171"/>
      <c r="B705" s="247"/>
      <c r="C705" s="247"/>
      <c r="D705" s="247"/>
      <c r="E705" s="247"/>
      <c r="F705" s="247"/>
      <c r="G705" s="247"/>
      <c r="H705" s="247"/>
    </row>
    <row r="706" spans="1:10" ht="11.15" customHeight="1">
      <c r="A706" s="145" t="s">
        <v>487</v>
      </c>
      <c r="B706" s="145"/>
      <c r="C706" s="145"/>
      <c r="D706" s="145"/>
      <c r="E706" s="145"/>
      <c r="F706" s="145"/>
      <c r="G706" s="145"/>
      <c r="H706" s="145"/>
    </row>
    <row r="707" spans="1:10" ht="11.15" customHeight="1">
      <c r="A707" s="145" t="s">
        <v>299</v>
      </c>
      <c r="B707" s="145"/>
      <c r="C707" s="145"/>
      <c r="D707" s="145"/>
      <c r="E707" s="145"/>
      <c r="F707" s="145"/>
      <c r="G707" s="145"/>
      <c r="H707" s="145"/>
    </row>
    <row r="708" spans="1:10" ht="11.15" customHeight="1">
      <c r="A708" s="151"/>
      <c r="B708" s="151"/>
      <c r="C708" s="151"/>
      <c r="D708" s="151"/>
      <c r="E708" s="151"/>
      <c r="F708" s="151"/>
      <c r="G708" s="151"/>
      <c r="H708" s="152" t="s">
        <v>240</v>
      </c>
    </row>
    <row r="709" spans="1:10" ht="11.15" customHeight="1">
      <c r="A709" s="455" t="s">
        <v>6</v>
      </c>
      <c r="B709" s="456" t="s">
        <v>277</v>
      </c>
      <c r="C709" s="158" t="s">
        <v>179</v>
      </c>
      <c r="D709" s="159"/>
      <c r="E709" s="159"/>
      <c r="F709" s="159"/>
      <c r="G709" s="160"/>
      <c r="H709" s="187" t="s">
        <v>180</v>
      </c>
    </row>
    <row r="710" spans="1:10" ht="11.15" customHeight="1" thickBot="1">
      <c r="A710" s="457"/>
      <c r="B710" s="458"/>
      <c r="C710" s="805">
        <v>2011</v>
      </c>
      <c r="D710" s="170">
        <v>2012</v>
      </c>
      <c r="E710" s="170">
        <v>2013</v>
      </c>
      <c r="F710" s="170">
        <v>2014</v>
      </c>
      <c r="G710" s="170">
        <v>2015</v>
      </c>
      <c r="H710" s="203"/>
    </row>
    <row r="711" spans="1:10" ht="11.15" customHeight="1" thickTop="1">
      <c r="A711" s="200">
        <v>11</v>
      </c>
      <c r="B711" s="222" t="s">
        <v>301</v>
      </c>
      <c r="C711" s="186">
        <v>0</v>
      </c>
      <c r="D711" s="186">
        <v>0</v>
      </c>
      <c r="E711" s="186">
        <v>0</v>
      </c>
      <c r="F711" s="186">
        <v>65.94</v>
      </c>
      <c r="G711" s="186">
        <v>5.47</v>
      </c>
      <c r="H711" s="278" t="e">
        <f>((D711-C711)/C711*100+(E711-D711)/D711*100+(F711-E711)/E711*100+(G711-F711)/F711*100)/4</f>
        <v>#DIV/0!</v>
      </c>
    </row>
    <row r="712" spans="1:10" ht="11.15" customHeight="1">
      <c r="A712" s="200">
        <f t="shared" ref="A712:A718" si="40">A711+1</f>
        <v>12</v>
      </c>
      <c r="B712" s="186" t="s">
        <v>302</v>
      </c>
      <c r="C712" s="186">
        <v>29.88</v>
      </c>
      <c r="D712" s="186">
        <f>142.26+22.68</f>
        <v>164.94</v>
      </c>
      <c r="E712" s="186">
        <f>29.74+42.64+7.15</f>
        <v>79.53</v>
      </c>
      <c r="F712" s="186">
        <f>31.64+27.67</f>
        <v>59.31</v>
      </c>
      <c r="G712" s="186">
        <v>545.44000000000005</v>
      </c>
      <c r="H712" s="186">
        <f>((D712-C712)/C712*100+(E712-D712)/D712*100+(F712-E712)/E712*100+(G712-F712)/F712*100)/4</f>
        <v>298.6109384188822</v>
      </c>
    </row>
    <row r="713" spans="1:10" ht="11.15" customHeight="1">
      <c r="A713" s="200">
        <f t="shared" si="40"/>
        <v>13</v>
      </c>
      <c r="B713" s="186" t="s">
        <v>303</v>
      </c>
      <c r="C713" s="186">
        <v>5.08</v>
      </c>
      <c r="D713" s="186">
        <v>0</v>
      </c>
      <c r="E713" s="186">
        <v>0</v>
      </c>
      <c r="F713" s="186">
        <v>0</v>
      </c>
      <c r="G713" s="186">
        <v>0</v>
      </c>
      <c r="H713" s="186" t="e">
        <f t="shared" ref="H713:H718" si="41">((D713-C713)/C713*100+(E713-D713)/D713*100+(F713-E713)/E713*100+(G713-F713)/F713*100)/4</f>
        <v>#DIV/0!</v>
      </c>
    </row>
    <row r="714" spans="1:10" ht="11.15" customHeight="1">
      <c r="A714" s="200">
        <v>14</v>
      </c>
      <c r="B714" s="186" t="s">
        <v>304</v>
      </c>
      <c r="C714" s="186">
        <v>6994.13</v>
      </c>
      <c r="D714" s="186">
        <v>8646.5</v>
      </c>
      <c r="E714" s="186">
        <v>6592.34</v>
      </c>
      <c r="F714" s="186">
        <v>7130.78</v>
      </c>
      <c r="G714" s="186">
        <v>5984.87</v>
      </c>
      <c r="H714" s="186">
        <f t="shared" si="41"/>
        <v>-2.0085699664515269</v>
      </c>
    </row>
    <row r="715" spans="1:10" ht="11.15" customHeight="1">
      <c r="A715" s="200">
        <f t="shared" si="40"/>
        <v>15</v>
      </c>
      <c r="B715" s="186" t="s">
        <v>292</v>
      </c>
      <c r="C715" s="186">
        <v>1537.73</v>
      </c>
      <c r="D715" s="186">
        <f>2415.62+0.17</f>
        <v>2415.79</v>
      </c>
      <c r="E715" s="186">
        <v>8422.8500000000022</v>
      </c>
      <c r="F715" s="186">
        <v>11622.16</v>
      </c>
      <c r="G715" s="186">
        <v>9665.0300000000007</v>
      </c>
      <c r="H715" s="186">
        <f t="shared" si="41"/>
        <v>81.725828184215814</v>
      </c>
      <c r="J715" s="462"/>
    </row>
    <row r="716" spans="1:10" ht="11.15" customHeight="1">
      <c r="A716" s="200">
        <f t="shared" si="40"/>
        <v>16</v>
      </c>
      <c r="B716" s="186" t="s">
        <v>305</v>
      </c>
      <c r="C716" s="186">
        <v>2507000</v>
      </c>
      <c r="D716" s="186">
        <v>1634858</v>
      </c>
      <c r="E716" s="186">
        <v>1407676</v>
      </c>
      <c r="F716" s="186">
        <v>1848746</v>
      </c>
      <c r="G716" s="186">
        <v>127800</v>
      </c>
      <c r="H716" s="186">
        <f t="shared" si="41"/>
        <v>-27.60960122183694</v>
      </c>
    </row>
    <row r="717" spans="1:10" ht="11.15" customHeight="1">
      <c r="A717" s="200">
        <f t="shared" si="40"/>
        <v>17</v>
      </c>
      <c r="B717" s="186" t="s">
        <v>306</v>
      </c>
      <c r="C717" s="461">
        <v>0</v>
      </c>
      <c r="D717" s="186">
        <v>0</v>
      </c>
      <c r="E717" s="186">
        <v>0</v>
      </c>
      <c r="F717" s="186"/>
      <c r="G717" s="186"/>
      <c r="H717" s="186" t="e">
        <f t="shared" si="41"/>
        <v>#DIV/0!</v>
      </c>
    </row>
    <row r="718" spans="1:10" ht="11.15" customHeight="1" thickBot="1">
      <c r="A718" s="200">
        <f t="shared" si="40"/>
        <v>18</v>
      </c>
      <c r="B718" s="186" t="s">
        <v>307</v>
      </c>
      <c r="C718" s="461">
        <v>0</v>
      </c>
      <c r="D718" s="186">
        <v>0</v>
      </c>
      <c r="E718" s="186">
        <v>0</v>
      </c>
      <c r="F718" s="186"/>
      <c r="G718" s="186"/>
      <c r="H718" s="186" t="e">
        <f t="shared" si="41"/>
        <v>#DIV/0!</v>
      </c>
    </row>
    <row r="719" spans="1:10" ht="11.15" customHeight="1" thickTop="1" thickBot="1">
      <c r="A719" s="453" t="s">
        <v>308</v>
      </c>
      <c r="B719" s="454"/>
      <c r="C719" s="806">
        <f>SUM(C711:C715)+C694</f>
        <v>28548.269999999997</v>
      </c>
      <c r="D719" s="806">
        <f>SUM(D711:D715)+D694</f>
        <v>29378.379999999997</v>
      </c>
      <c r="E719" s="806">
        <f>SUM(E711:E715)+E694</f>
        <v>34264.910000000003</v>
      </c>
      <c r="F719" s="806">
        <f>SUM(F711:F715)+F694</f>
        <v>39198.639999999999</v>
      </c>
      <c r="G719" s="806">
        <f>SUM(G711:G715)+G694</f>
        <v>33236.270000000004</v>
      </c>
      <c r="H719" s="319">
        <f>((D719-C719)/C719*100+(E719-D719)/D719*100+(F719-E719)/E719*100+(G719-F719)/F719*100)/4</f>
        <v>4.6822378439809853</v>
      </c>
    </row>
    <row r="720" spans="1:10" ht="11.15" customHeight="1" thickTop="1" thickBot="1">
      <c r="A720" s="453" t="s">
        <v>310</v>
      </c>
      <c r="B720" s="454"/>
      <c r="C720" s="806">
        <f>SUM(C716:C718)</f>
        <v>2507000</v>
      </c>
      <c r="D720" s="806">
        <f>SUM(D716:D718)</f>
        <v>1634858</v>
      </c>
      <c r="E720" s="806">
        <f>SUM(E716:E718)</f>
        <v>1407676</v>
      </c>
      <c r="F720" s="806">
        <f>SUM(F716:F718)</f>
        <v>1848746</v>
      </c>
      <c r="G720" s="806">
        <f>SUM(G716:G718)</f>
        <v>127800</v>
      </c>
      <c r="H720" s="319">
        <f>((D720-C720)/C720*100+(E720-D720)/D720*100+(F720-E720)/E720*100+(G720-F720)/F720*100)/4</f>
        <v>-27.60960122183694</v>
      </c>
    </row>
    <row r="721" spans="1:8" ht="11.15" customHeight="1" thickTop="1">
      <c r="A721" s="807"/>
      <c r="B721" s="807"/>
      <c r="C721" s="782"/>
      <c r="D721" s="782"/>
      <c r="E721" s="782"/>
      <c r="F721" s="782"/>
      <c r="G721" s="782"/>
      <c r="H721" s="782"/>
    </row>
    <row r="722" spans="1:8" ht="11.15" customHeight="1">
      <c r="A722" s="488"/>
      <c r="B722" s="488"/>
      <c r="C722" s="488"/>
      <c r="D722" s="808"/>
      <c r="E722" s="808"/>
      <c r="F722" s="808"/>
      <c r="G722" s="808"/>
      <c r="H722" s="808"/>
    </row>
    <row r="723" spans="1:8" ht="11.15" customHeight="1">
      <c r="A723" s="171"/>
      <c r="B723" s="242" t="s">
        <v>488</v>
      </c>
      <c r="C723" s="242"/>
      <c r="D723" s="242"/>
      <c r="E723" s="242"/>
      <c r="F723" s="242"/>
      <c r="G723" s="242"/>
      <c r="H723" s="242"/>
    </row>
    <row r="724" spans="1:8" ht="11.15" customHeight="1"/>
    <row r="727" spans="1:8">
      <c r="A727" s="154" t="s">
        <v>489</v>
      </c>
      <c r="B727" s="154"/>
      <c r="C727" s="154"/>
      <c r="D727" s="154"/>
      <c r="E727" s="154"/>
      <c r="F727" s="154"/>
      <c r="G727" s="154"/>
      <c r="H727" s="154"/>
    </row>
    <row r="728" spans="1:8" ht="11.15" customHeight="1">
      <c r="A728" s="164" t="s">
        <v>490</v>
      </c>
      <c r="B728" s="164"/>
      <c r="C728" s="164"/>
      <c r="D728" s="164"/>
      <c r="E728" s="164"/>
      <c r="F728" s="164"/>
      <c r="G728" s="164"/>
      <c r="H728" s="164"/>
    </row>
    <row r="729" spans="1:8" ht="11.15" customHeight="1">
      <c r="A729" s="178"/>
      <c r="B729" s="178"/>
      <c r="C729" s="178"/>
      <c r="D729" s="178"/>
      <c r="E729" s="258"/>
      <c r="G729" s="390" t="s">
        <v>240</v>
      </c>
    </row>
    <row r="730" spans="1:8" ht="11.15" customHeight="1">
      <c r="A730" s="196" t="s">
        <v>6</v>
      </c>
      <c r="B730" s="197" t="s">
        <v>178</v>
      </c>
      <c r="C730" s="809" t="s">
        <v>491</v>
      </c>
      <c r="D730" s="810" t="s">
        <v>179</v>
      </c>
      <c r="E730" s="811"/>
      <c r="F730" s="811"/>
      <c r="G730" s="812"/>
      <c r="H730" s="187" t="s">
        <v>180</v>
      </c>
    </row>
    <row r="731" spans="1:8" ht="11.15" customHeight="1" thickBot="1">
      <c r="A731" s="205"/>
      <c r="B731" s="206"/>
      <c r="C731" s="813" t="s">
        <v>492</v>
      </c>
      <c r="D731" s="204">
        <v>2012</v>
      </c>
      <c r="E731" s="204">
        <v>2013</v>
      </c>
      <c r="F731" s="204">
        <v>2014</v>
      </c>
      <c r="G731" s="204">
        <v>2015</v>
      </c>
      <c r="H731" s="203"/>
    </row>
    <row r="732" spans="1:8" ht="11.15" customHeight="1" thickTop="1">
      <c r="A732" s="173">
        <v>1</v>
      </c>
      <c r="B732" s="174" t="s">
        <v>195</v>
      </c>
      <c r="C732" s="177">
        <v>1.2</v>
      </c>
      <c r="D732" s="814">
        <v>0</v>
      </c>
      <c r="E732" s="814">
        <v>2.4</v>
      </c>
      <c r="F732" s="814">
        <v>38.4</v>
      </c>
      <c r="G732" s="814">
        <v>83.7</v>
      </c>
      <c r="H732" s="278" t="e">
        <f t="shared" ref="H732:H741" si="42">((E732-D732)/D732*100+(G732-E732)/E732*100)/2</f>
        <v>#DIV/0!</v>
      </c>
    </row>
    <row r="733" spans="1:8" ht="11.15" customHeight="1">
      <c r="A733" s="191">
        <v>2</v>
      </c>
      <c r="B733" s="192" t="s">
        <v>198</v>
      </c>
      <c r="C733" s="195">
        <v>0.5</v>
      </c>
      <c r="D733" s="815">
        <v>0</v>
      </c>
      <c r="E733" s="815">
        <v>0</v>
      </c>
      <c r="F733" s="815">
        <v>0</v>
      </c>
      <c r="G733" s="815">
        <v>11.8</v>
      </c>
      <c r="H733" s="186" t="e">
        <f t="shared" si="42"/>
        <v>#DIV/0!</v>
      </c>
    </row>
    <row r="734" spans="1:8" ht="11.15" customHeight="1">
      <c r="A734" s="191">
        <v>3</v>
      </c>
      <c r="B734" s="192" t="s">
        <v>202</v>
      </c>
      <c r="C734" s="195">
        <v>1</v>
      </c>
      <c r="D734" s="815">
        <v>9.15</v>
      </c>
      <c r="E734" s="815">
        <v>8.64</v>
      </c>
      <c r="F734" s="815">
        <v>8.6</v>
      </c>
      <c r="G734" s="815">
        <v>2.2000000000000002</v>
      </c>
      <c r="H734" s="186">
        <f t="shared" si="42"/>
        <v>-40.055403764420156</v>
      </c>
    </row>
    <row r="735" spans="1:8" ht="11.15" customHeight="1">
      <c r="A735" s="191">
        <v>4</v>
      </c>
      <c r="B735" s="192" t="s">
        <v>204</v>
      </c>
      <c r="C735" s="195">
        <v>4</v>
      </c>
      <c r="D735" s="815">
        <v>0</v>
      </c>
      <c r="E735" s="815">
        <v>0</v>
      </c>
      <c r="F735" s="815">
        <v>8.8000000000000007</v>
      </c>
      <c r="G735" s="815">
        <v>14</v>
      </c>
      <c r="H735" s="186" t="e">
        <f t="shared" si="42"/>
        <v>#DIV/0!</v>
      </c>
    </row>
    <row r="736" spans="1:8" ht="11.15" customHeight="1">
      <c r="A736" s="191">
        <v>5</v>
      </c>
      <c r="B736" s="192" t="s">
        <v>205</v>
      </c>
      <c r="C736" s="195">
        <v>100</v>
      </c>
      <c r="D736" s="815">
        <v>5421.82</v>
      </c>
      <c r="E736" s="815">
        <v>3307.37</v>
      </c>
      <c r="F736" s="815">
        <f>1896.6+4347</f>
        <v>6243.6</v>
      </c>
      <c r="G736" s="815">
        <v>9827.5</v>
      </c>
      <c r="H736" s="186">
        <f t="shared" si="42"/>
        <v>79.070260942373608</v>
      </c>
    </row>
    <row r="737" spans="1:8" ht="11.15" customHeight="1">
      <c r="A737" s="191">
        <v>6</v>
      </c>
      <c r="B737" s="192" t="s">
        <v>208</v>
      </c>
      <c r="C737" s="195">
        <v>10.42</v>
      </c>
      <c r="D737" s="815">
        <v>481</v>
      </c>
      <c r="E737" s="815">
        <v>920.3</v>
      </c>
      <c r="F737" s="815">
        <v>1430.52</v>
      </c>
      <c r="G737" s="815">
        <v>1438.69</v>
      </c>
      <c r="H737" s="186">
        <f t="shared" si="42"/>
        <v>73.829466256935561</v>
      </c>
    </row>
    <row r="738" spans="1:8" ht="11.15" customHeight="1">
      <c r="A738" s="191">
        <v>7</v>
      </c>
      <c r="B738" s="192" t="s">
        <v>213</v>
      </c>
      <c r="C738" s="195">
        <v>2</v>
      </c>
      <c r="D738" s="815">
        <v>18.75</v>
      </c>
      <c r="E738" s="815">
        <v>144</v>
      </c>
      <c r="F738" s="815">
        <v>72</v>
      </c>
      <c r="G738" s="815">
        <v>91.7</v>
      </c>
      <c r="H738" s="186">
        <f t="shared" si="42"/>
        <v>315.84027777777777</v>
      </c>
    </row>
    <row r="739" spans="1:8" ht="11.15" customHeight="1">
      <c r="A739" s="191">
        <v>8</v>
      </c>
      <c r="B739" s="192" t="s">
        <v>215</v>
      </c>
      <c r="C739" s="195">
        <v>0.02</v>
      </c>
      <c r="D739" s="815">
        <v>584</v>
      </c>
      <c r="E739" s="815">
        <v>600</v>
      </c>
      <c r="F739" s="815">
        <v>87.6</v>
      </c>
      <c r="G739" s="815">
        <v>85</v>
      </c>
      <c r="H739" s="186">
        <f t="shared" si="42"/>
        <v>-41.546803652968038</v>
      </c>
    </row>
    <row r="740" spans="1:8" ht="11.15" customHeight="1" thickBot="1">
      <c r="A740" s="293">
        <v>9</v>
      </c>
      <c r="B740" s="294" t="s">
        <v>217</v>
      </c>
      <c r="C740" s="816"/>
      <c r="D740" s="815">
        <v>0</v>
      </c>
      <c r="E740" s="815">
        <v>0</v>
      </c>
      <c r="F740" s="815"/>
      <c r="G740" s="815"/>
      <c r="H740" s="461" t="e">
        <f t="shared" si="42"/>
        <v>#DIV/0!</v>
      </c>
    </row>
    <row r="741" spans="1:8" ht="11.15" customHeight="1" thickTop="1" thickBot="1">
      <c r="A741" s="248" t="s">
        <v>184</v>
      </c>
      <c r="B741" s="249"/>
      <c r="C741" s="817">
        <f>SUM(C732:C740)</f>
        <v>119.14</v>
      </c>
      <c r="D741" s="251">
        <f>SUM(D732:D740)</f>
        <v>6514.7199999999993</v>
      </c>
      <c r="E741" s="251">
        <f>SUM(E732:E740)</f>
        <v>4982.71</v>
      </c>
      <c r="F741" s="251">
        <f>SUM(F732:F740)</f>
        <v>7889.52</v>
      </c>
      <c r="G741" s="251">
        <f>SUM(G732:G740)</f>
        <v>11554.590000000002</v>
      </c>
      <c r="H741" s="684">
        <f t="shared" si="42"/>
        <v>54.188779373976374</v>
      </c>
    </row>
    <row r="742" spans="1:8" ht="11.15" customHeight="1" thickTop="1">
      <c r="A742" s="178"/>
      <c r="B742" s="178"/>
      <c r="C742" s="178"/>
      <c r="D742" s="178"/>
      <c r="E742" s="178"/>
    </row>
    <row r="743" spans="1:8" ht="11.15" customHeight="1">
      <c r="A743" s="178"/>
      <c r="B743" s="178"/>
      <c r="C743" s="178"/>
      <c r="D743" s="178"/>
      <c r="E743" s="178"/>
    </row>
    <row r="744" spans="1:8" ht="11.15" customHeight="1">
      <c r="A744" s="171"/>
      <c r="B744" s="242" t="s">
        <v>493</v>
      </c>
      <c r="C744" s="242"/>
      <c r="D744" s="242"/>
      <c r="E744" s="242"/>
      <c r="F744" s="242"/>
      <c r="G744" s="242"/>
    </row>
    <row r="745" spans="1:8" ht="11.15" customHeight="1"/>
    <row r="746" spans="1:8" ht="11.15" customHeight="1"/>
    <row r="747" spans="1:8" ht="11.15" customHeight="1"/>
    <row r="748" spans="1:8" ht="11.15" customHeight="1"/>
    <row r="749" spans="1:8" ht="11.15" customHeight="1"/>
    <row r="750" spans="1:8" ht="11.15" customHeight="1"/>
    <row r="751" spans="1:8" ht="11.15" customHeight="1"/>
    <row r="752" spans="1:8" ht="11.15" customHeight="1"/>
    <row r="753" spans="1:7" ht="11.15" customHeight="1"/>
    <row r="754" spans="1:7" ht="11.15" customHeight="1"/>
    <row r="755" spans="1:7" ht="11.15" customHeight="1"/>
    <row r="756" spans="1:7" ht="11.15" customHeight="1"/>
    <row r="757" spans="1:7" ht="11.15" customHeight="1"/>
    <row r="758" spans="1:7" ht="11.15" customHeight="1">
      <c r="A758" s="154" t="s">
        <v>494</v>
      </c>
      <c r="B758" s="154"/>
      <c r="C758" s="154"/>
      <c r="D758" s="154"/>
      <c r="E758" s="154"/>
      <c r="F758" s="154"/>
      <c r="G758" s="154"/>
    </row>
    <row r="759" spans="1:7" ht="11.15" customHeight="1">
      <c r="A759" s="164" t="s">
        <v>495</v>
      </c>
      <c r="B759" s="164"/>
      <c r="C759" s="164"/>
      <c r="D759" s="164"/>
      <c r="E759" s="164"/>
      <c r="F759" s="164"/>
      <c r="G759" s="164"/>
    </row>
    <row r="760" spans="1:7" ht="11.15" customHeight="1">
      <c r="A760" s="178"/>
      <c r="B760" s="178"/>
      <c r="C760" s="178"/>
      <c r="D760" s="178"/>
      <c r="E760" s="258"/>
      <c r="G760" s="390" t="s">
        <v>496</v>
      </c>
    </row>
    <row r="761" spans="1:7" ht="11.15" customHeight="1">
      <c r="A761" s="196" t="s">
        <v>6</v>
      </c>
      <c r="B761" s="197" t="s">
        <v>178</v>
      </c>
      <c r="C761" s="158" t="s">
        <v>179</v>
      </c>
      <c r="D761" s="159"/>
      <c r="E761" s="159"/>
      <c r="F761" s="160"/>
      <c r="G761" s="187" t="s">
        <v>180</v>
      </c>
    </row>
    <row r="762" spans="1:7" ht="11.15" customHeight="1" thickBot="1">
      <c r="A762" s="205"/>
      <c r="B762" s="206"/>
      <c r="C762" s="204">
        <v>2012</v>
      </c>
      <c r="D762" s="204">
        <v>2013</v>
      </c>
      <c r="E762" s="204">
        <v>2014</v>
      </c>
      <c r="F762" s="204">
        <v>2015</v>
      </c>
      <c r="G762" s="818"/>
    </row>
    <row r="763" spans="1:7" ht="11.15" customHeight="1" thickTop="1">
      <c r="A763" s="173">
        <v>1</v>
      </c>
      <c r="B763" s="174" t="s">
        <v>195</v>
      </c>
      <c r="C763" s="416">
        <v>0</v>
      </c>
      <c r="D763" s="416">
        <v>4800</v>
      </c>
      <c r="E763" s="416">
        <f>28.8*2000</f>
        <v>57600</v>
      </c>
      <c r="F763" s="416">
        <v>263900</v>
      </c>
      <c r="G763" s="222" t="e">
        <f t="shared" ref="G763:G772" si="43">((D763-C763)/C763*100+(F763-D763)/D763*100)/2</f>
        <v>#DIV/0!</v>
      </c>
    </row>
    <row r="764" spans="1:7" ht="11.15" customHeight="1">
      <c r="A764" s="191">
        <v>2</v>
      </c>
      <c r="B764" s="192" t="s">
        <v>198</v>
      </c>
      <c r="C764" s="418">
        <v>0</v>
      </c>
      <c r="D764" s="418">
        <v>0</v>
      </c>
      <c r="E764" s="418">
        <v>0</v>
      </c>
      <c r="F764" s="418">
        <v>25960</v>
      </c>
      <c r="G764" s="186" t="e">
        <f t="shared" si="43"/>
        <v>#DIV/0!</v>
      </c>
    </row>
    <row r="765" spans="1:7" ht="11.15" customHeight="1">
      <c r="A765" s="191">
        <v>3</v>
      </c>
      <c r="B765" s="192" t="s">
        <v>202</v>
      </c>
      <c r="C765" s="418">
        <v>22875</v>
      </c>
      <c r="D765" s="418">
        <v>43200</v>
      </c>
      <c r="E765" s="418">
        <v>43200</v>
      </c>
      <c r="F765" s="418">
        <v>15540</v>
      </c>
      <c r="G765" s="186">
        <f t="shared" si="43"/>
        <v>12.412340619307841</v>
      </c>
    </row>
    <row r="766" spans="1:7" ht="11.15" customHeight="1">
      <c r="A766" s="191">
        <v>4</v>
      </c>
      <c r="B766" s="192" t="s">
        <v>204</v>
      </c>
      <c r="C766" s="418">
        <v>0</v>
      </c>
      <c r="D766" s="418">
        <v>0</v>
      </c>
      <c r="E766" s="418">
        <v>35200</v>
      </c>
      <c r="F766" s="418">
        <v>7000</v>
      </c>
      <c r="G766" s="186" t="e">
        <f t="shared" si="43"/>
        <v>#DIV/0!</v>
      </c>
    </row>
    <row r="767" spans="1:7" ht="11.15" customHeight="1">
      <c r="A767" s="191">
        <v>5</v>
      </c>
      <c r="B767" s="192" t="s">
        <v>205</v>
      </c>
      <c r="C767" s="418">
        <v>13554550</v>
      </c>
      <c r="D767" s="418">
        <v>1843495</v>
      </c>
      <c r="E767" s="418">
        <f>1046850+2173500</f>
        <v>3220350</v>
      </c>
      <c r="F767" s="418">
        <v>14859200</v>
      </c>
      <c r="G767" s="186">
        <f t="shared" si="43"/>
        <v>309.81737633214016</v>
      </c>
    </row>
    <row r="768" spans="1:7" ht="11.15" customHeight="1">
      <c r="A768" s="191">
        <v>6</v>
      </c>
      <c r="B768" s="192" t="s">
        <v>208</v>
      </c>
      <c r="C768" s="418">
        <v>1201893</v>
      </c>
      <c r="D768" s="418">
        <v>2300750</v>
      </c>
      <c r="E768" s="418">
        <v>2549460</v>
      </c>
      <c r="F768" s="418">
        <v>2877382</v>
      </c>
      <c r="G768" s="186">
        <f t="shared" si="43"/>
        <v>58.244987074416422</v>
      </c>
    </row>
    <row r="769" spans="1:7" ht="11.15" customHeight="1">
      <c r="A769" s="191">
        <v>7</v>
      </c>
      <c r="B769" s="192" t="s">
        <v>213</v>
      </c>
      <c r="C769" s="418">
        <v>46875</v>
      </c>
      <c r="D769" s="418">
        <v>432000</v>
      </c>
      <c r="E769" s="418">
        <f>3500*F738</f>
        <v>252000</v>
      </c>
      <c r="F769" s="418">
        <v>318000</v>
      </c>
      <c r="G769" s="186">
        <f t="shared" si="43"/>
        <v>397.6055555555555</v>
      </c>
    </row>
    <row r="770" spans="1:7" ht="11.15" customHeight="1">
      <c r="A770" s="191">
        <v>8</v>
      </c>
      <c r="B770" s="192" t="s">
        <v>215</v>
      </c>
      <c r="C770" s="418">
        <v>1460000</v>
      </c>
      <c r="D770" s="418">
        <v>1500000</v>
      </c>
      <c r="E770" s="418">
        <v>328500</v>
      </c>
      <c r="F770" s="418">
        <v>438000</v>
      </c>
      <c r="G770" s="186">
        <f t="shared" si="43"/>
        <v>-34.030136986301372</v>
      </c>
    </row>
    <row r="771" spans="1:7" ht="11.15" customHeight="1" thickBot="1">
      <c r="A771" s="293">
        <v>9</v>
      </c>
      <c r="B771" s="294" t="s">
        <v>217</v>
      </c>
      <c r="C771" s="819"/>
      <c r="D771" s="819" t="s">
        <v>294</v>
      </c>
      <c r="E771" s="819"/>
      <c r="F771" s="819"/>
      <c r="G771" s="461" t="e">
        <f t="shared" si="43"/>
        <v>#VALUE!</v>
      </c>
    </row>
    <row r="772" spans="1:7" ht="11.15" customHeight="1" thickTop="1" thickBot="1">
      <c r="A772" s="248" t="s">
        <v>184</v>
      </c>
      <c r="B772" s="249"/>
      <c r="C772" s="820">
        <f>SUM(C763:C771)</f>
        <v>16286193</v>
      </c>
      <c r="D772" s="820">
        <f>SUM(D763:D771)</f>
        <v>6124245</v>
      </c>
      <c r="E772" s="820">
        <f>SUM(E763:E771)</f>
        <v>6486310</v>
      </c>
      <c r="F772" s="820">
        <f>SUM(F763:F771)</f>
        <v>18804982</v>
      </c>
      <c r="G772" s="684">
        <f t="shared" si="43"/>
        <v>72.330935840274961</v>
      </c>
    </row>
    <row r="773" spans="1:7" ht="11.15" customHeight="1" thickTop="1">
      <c r="A773" s="178"/>
      <c r="B773" s="178"/>
      <c r="C773" s="178"/>
      <c r="D773" s="178"/>
      <c r="E773" s="178"/>
    </row>
    <row r="774" spans="1:7" ht="11.15" customHeight="1">
      <c r="A774" s="178"/>
      <c r="B774" s="178"/>
      <c r="C774" s="178"/>
      <c r="D774" s="178"/>
      <c r="E774" s="178"/>
    </row>
    <row r="775" spans="1:7" ht="11.15" customHeight="1">
      <c r="A775" s="171"/>
      <c r="B775" s="242" t="s">
        <v>497</v>
      </c>
      <c r="C775" s="242"/>
      <c r="D775" s="242"/>
      <c r="E775" s="242"/>
      <c r="F775" s="242"/>
      <c r="G775" s="242"/>
    </row>
    <row r="776" spans="1:7" ht="11.15" customHeight="1"/>
  </sheetData>
  <mergeCells count="392">
    <mergeCell ref="A772:B772"/>
    <mergeCell ref="B775:G775"/>
    <mergeCell ref="A741:B741"/>
    <mergeCell ref="B744:G744"/>
    <mergeCell ref="A758:G758"/>
    <mergeCell ref="A759:G759"/>
    <mergeCell ref="A761:A762"/>
    <mergeCell ref="B761:B762"/>
    <mergeCell ref="C761:F761"/>
    <mergeCell ref="G761:G762"/>
    <mergeCell ref="A719:B719"/>
    <mergeCell ref="A720:B720"/>
    <mergeCell ref="B723:H723"/>
    <mergeCell ref="A727:H727"/>
    <mergeCell ref="A728:H728"/>
    <mergeCell ref="A730:A731"/>
    <mergeCell ref="B730:B731"/>
    <mergeCell ref="H730:H731"/>
    <mergeCell ref="A694:B694"/>
    <mergeCell ref="B696:H696"/>
    <mergeCell ref="A706:H706"/>
    <mergeCell ref="A707:H707"/>
    <mergeCell ref="A709:A710"/>
    <mergeCell ref="B709:B710"/>
    <mergeCell ref="C709:G709"/>
    <mergeCell ref="H709:H710"/>
    <mergeCell ref="A660:B660"/>
    <mergeCell ref="B662:H662"/>
    <mergeCell ref="A676:H677"/>
    <mergeCell ref="A679:H679"/>
    <mergeCell ref="A680:H680"/>
    <mergeCell ref="A682:A683"/>
    <mergeCell ref="B682:B683"/>
    <mergeCell ref="C682:G682"/>
    <mergeCell ref="H682:H683"/>
    <mergeCell ref="A629:B629"/>
    <mergeCell ref="B631:H631"/>
    <mergeCell ref="A645:H645"/>
    <mergeCell ref="A646:H646"/>
    <mergeCell ref="A648:A649"/>
    <mergeCell ref="B648:B649"/>
    <mergeCell ref="C648:G648"/>
    <mergeCell ref="H648:H649"/>
    <mergeCell ref="A602:B602"/>
    <mergeCell ref="B604:H604"/>
    <mergeCell ref="A618:H618"/>
    <mergeCell ref="A619:H619"/>
    <mergeCell ref="A621:A622"/>
    <mergeCell ref="B621:B622"/>
    <mergeCell ref="C621:G621"/>
    <mergeCell ref="H621:H622"/>
    <mergeCell ref="A571:B571"/>
    <mergeCell ref="B573:H573"/>
    <mergeCell ref="B575:E577"/>
    <mergeCell ref="A588:H588"/>
    <mergeCell ref="A589:H589"/>
    <mergeCell ref="A591:A592"/>
    <mergeCell ref="B591:B592"/>
    <mergeCell ref="C591:G591"/>
    <mergeCell ref="H591:H592"/>
    <mergeCell ref="A544:B544"/>
    <mergeCell ref="B546:H546"/>
    <mergeCell ref="A559:H559"/>
    <mergeCell ref="A560:H560"/>
    <mergeCell ref="A562:A563"/>
    <mergeCell ref="B562:B563"/>
    <mergeCell ref="C562:G562"/>
    <mergeCell ref="H562:H563"/>
    <mergeCell ref="A530:H530"/>
    <mergeCell ref="A531:H531"/>
    <mergeCell ref="A533:A534"/>
    <mergeCell ref="B533:B534"/>
    <mergeCell ref="C533:G533"/>
    <mergeCell ref="H533:H534"/>
    <mergeCell ref="A505:A506"/>
    <mergeCell ref="B505:B506"/>
    <mergeCell ref="C505:G505"/>
    <mergeCell ref="H505:H506"/>
    <mergeCell ref="A516:B516"/>
    <mergeCell ref="B518:H518"/>
    <mergeCell ref="A488:B488"/>
    <mergeCell ref="B490:H490"/>
    <mergeCell ref="A499:H500"/>
    <mergeCell ref="A502:H502"/>
    <mergeCell ref="A503:H503"/>
    <mergeCell ref="F504:H504"/>
    <mergeCell ref="A462:B462"/>
    <mergeCell ref="B464:H464"/>
    <mergeCell ref="A472:H472"/>
    <mergeCell ref="A473:H473"/>
    <mergeCell ref="A475:A476"/>
    <mergeCell ref="B475:B476"/>
    <mergeCell ref="C475:G475"/>
    <mergeCell ref="H475:H476"/>
    <mergeCell ref="A442:H442"/>
    <mergeCell ref="A443:H443"/>
    <mergeCell ref="A445:A446"/>
    <mergeCell ref="B445:B446"/>
    <mergeCell ref="C445:G445"/>
    <mergeCell ref="H445:H446"/>
    <mergeCell ref="A414:A415"/>
    <mergeCell ref="B414:B415"/>
    <mergeCell ref="C414:G414"/>
    <mergeCell ref="H414:H415"/>
    <mergeCell ref="B431:F431"/>
    <mergeCell ref="B432:H432"/>
    <mergeCell ref="M393:N393"/>
    <mergeCell ref="M395:Q395"/>
    <mergeCell ref="A397:B397"/>
    <mergeCell ref="B399:H399"/>
    <mergeCell ref="A411:H411"/>
    <mergeCell ref="A412:H412"/>
    <mergeCell ref="M382:M383"/>
    <mergeCell ref="N382:N383"/>
    <mergeCell ref="O382:Q382"/>
    <mergeCell ref="A383:H383"/>
    <mergeCell ref="A384:H384"/>
    <mergeCell ref="A386:A387"/>
    <mergeCell ref="B386:B387"/>
    <mergeCell ref="C386:G386"/>
    <mergeCell ref="H386:H387"/>
    <mergeCell ref="A368:B368"/>
    <mergeCell ref="M368:N368"/>
    <mergeCell ref="B370:H370"/>
    <mergeCell ref="N370:T370"/>
    <mergeCell ref="M379:R379"/>
    <mergeCell ref="M380:R380"/>
    <mergeCell ref="M356:M357"/>
    <mergeCell ref="N356:N357"/>
    <mergeCell ref="O356:S356"/>
    <mergeCell ref="T356:T357"/>
    <mergeCell ref="A357:A358"/>
    <mergeCell ref="B357:B358"/>
    <mergeCell ref="C357:G357"/>
    <mergeCell ref="H357:H358"/>
    <mergeCell ref="A342:B342"/>
    <mergeCell ref="B344:H344"/>
    <mergeCell ref="M353:T353"/>
    <mergeCell ref="A354:H354"/>
    <mergeCell ref="M354:T354"/>
    <mergeCell ref="A355:H355"/>
    <mergeCell ref="T324:T325"/>
    <mergeCell ref="A325:A326"/>
    <mergeCell ref="B325:B326"/>
    <mergeCell ref="C325:G325"/>
    <mergeCell ref="H325:H326"/>
    <mergeCell ref="M335:N335"/>
    <mergeCell ref="M321:S321"/>
    <mergeCell ref="A322:H322"/>
    <mergeCell ref="M322:S322"/>
    <mergeCell ref="A323:H323"/>
    <mergeCell ref="M324:M325"/>
    <mergeCell ref="N324:N325"/>
    <mergeCell ref="O324:S324"/>
    <mergeCell ref="M297:M298"/>
    <mergeCell ref="N297:N298"/>
    <mergeCell ref="O297:S297"/>
    <mergeCell ref="T297:T298"/>
    <mergeCell ref="B312:H312"/>
    <mergeCell ref="N313:T313"/>
    <mergeCell ref="N283:R283"/>
    <mergeCell ref="N284:T284"/>
    <mergeCell ref="A292:H292"/>
    <mergeCell ref="A293:H293"/>
    <mergeCell ref="M294:T294"/>
    <mergeCell ref="A295:A296"/>
    <mergeCell ref="B295:B296"/>
    <mergeCell ref="C295:G295"/>
    <mergeCell ref="H295:H296"/>
    <mergeCell ref="M295:T295"/>
    <mergeCell ref="B269:B270"/>
    <mergeCell ref="C269:G269"/>
    <mergeCell ref="H269:H270"/>
    <mergeCell ref="A280:B280"/>
    <mergeCell ref="B282:H282"/>
    <mergeCell ref="M282:N282"/>
    <mergeCell ref="N254:T254"/>
    <mergeCell ref="M265:T265"/>
    <mergeCell ref="A266:H266"/>
    <mergeCell ref="M266:T266"/>
    <mergeCell ref="A267:H267"/>
    <mergeCell ref="M268:M269"/>
    <mergeCell ref="N268:N269"/>
    <mergeCell ref="O268:S268"/>
    <mergeCell ref="T268:T269"/>
    <mergeCell ref="A269:A270"/>
    <mergeCell ref="N238:N239"/>
    <mergeCell ref="O238:S238"/>
    <mergeCell ref="T238:T239"/>
    <mergeCell ref="A251:B251"/>
    <mergeCell ref="M252:N252"/>
    <mergeCell ref="B253:H253"/>
    <mergeCell ref="A235:H235"/>
    <mergeCell ref="M235:T235"/>
    <mergeCell ref="A236:H236"/>
    <mergeCell ref="M236:T236"/>
    <mergeCell ref="F237:H237"/>
    <mergeCell ref="A238:A239"/>
    <mergeCell ref="B238:B239"/>
    <mergeCell ref="C238:G238"/>
    <mergeCell ref="H238:H239"/>
    <mergeCell ref="M238:M239"/>
    <mergeCell ref="C209:G209"/>
    <mergeCell ref="H209:H210"/>
    <mergeCell ref="A220:B220"/>
    <mergeCell ref="B222:H222"/>
    <mergeCell ref="M222:N222"/>
    <mergeCell ref="N224:T224"/>
    <mergeCell ref="M205:T205"/>
    <mergeCell ref="A206:H206"/>
    <mergeCell ref="M206:T206"/>
    <mergeCell ref="A207:H207"/>
    <mergeCell ref="M208:M209"/>
    <mergeCell ref="N208:N209"/>
    <mergeCell ref="O208:S208"/>
    <mergeCell ref="T208:T209"/>
    <mergeCell ref="A209:A210"/>
    <mergeCell ref="B209:B210"/>
    <mergeCell ref="M190:N190"/>
    <mergeCell ref="M191:N191"/>
    <mergeCell ref="A192:B192"/>
    <mergeCell ref="M192:N192"/>
    <mergeCell ref="B194:H194"/>
    <mergeCell ref="N194:T194"/>
    <mergeCell ref="A179:H179"/>
    <mergeCell ref="F180:H180"/>
    <mergeCell ref="M180:M181"/>
    <mergeCell ref="N180:N181"/>
    <mergeCell ref="O180:S180"/>
    <mergeCell ref="T180:T181"/>
    <mergeCell ref="A181:A182"/>
    <mergeCell ref="B181:B182"/>
    <mergeCell ref="C181:G181"/>
    <mergeCell ref="H181:H182"/>
    <mergeCell ref="A163:B163"/>
    <mergeCell ref="M164:N164"/>
    <mergeCell ref="B165:H165"/>
    <mergeCell ref="N166:T166"/>
    <mergeCell ref="M177:T177"/>
    <mergeCell ref="A178:H178"/>
    <mergeCell ref="M178:T178"/>
    <mergeCell ref="A150:H150"/>
    <mergeCell ref="M150:T150"/>
    <mergeCell ref="A152:A153"/>
    <mergeCell ref="B152:B153"/>
    <mergeCell ref="C152:G152"/>
    <mergeCell ref="H152:H153"/>
    <mergeCell ref="M152:M153"/>
    <mergeCell ref="N152:N153"/>
    <mergeCell ref="O152:S152"/>
    <mergeCell ref="T152:T153"/>
    <mergeCell ref="A131:B131"/>
    <mergeCell ref="M131:N131"/>
    <mergeCell ref="B133:H133"/>
    <mergeCell ref="N133:T133"/>
    <mergeCell ref="A146:H147"/>
    <mergeCell ref="A149:H149"/>
    <mergeCell ref="M149:T149"/>
    <mergeCell ref="M122:T122"/>
    <mergeCell ref="R123:T123"/>
    <mergeCell ref="M124:M125"/>
    <mergeCell ref="N124:N125"/>
    <mergeCell ref="O124:S124"/>
    <mergeCell ref="T124:T125"/>
    <mergeCell ref="B106:H106"/>
    <mergeCell ref="W106:Z106"/>
    <mergeCell ref="A117:H117"/>
    <mergeCell ref="A118:H118"/>
    <mergeCell ref="A120:A121"/>
    <mergeCell ref="B120:B121"/>
    <mergeCell ref="C120:G120"/>
    <mergeCell ref="H120:H121"/>
    <mergeCell ref="M121:T121"/>
    <mergeCell ref="X101:Y101"/>
    <mergeCell ref="N102:T102"/>
    <mergeCell ref="X102:Y102"/>
    <mergeCell ref="N103:R105"/>
    <mergeCell ref="X103:Y103"/>
    <mergeCell ref="A104:B104"/>
    <mergeCell ref="V104:W104"/>
    <mergeCell ref="X104:Y104"/>
    <mergeCell ref="X95:Y95"/>
    <mergeCell ref="X96:Y96"/>
    <mergeCell ref="X97:Y97"/>
    <mergeCell ref="X98:Y98"/>
    <mergeCell ref="X99:Y99"/>
    <mergeCell ref="M100:N100"/>
    <mergeCell ref="X100:Y100"/>
    <mergeCell ref="C93:G93"/>
    <mergeCell ref="H93:H94"/>
    <mergeCell ref="V93:V94"/>
    <mergeCell ref="W93:W94"/>
    <mergeCell ref="X93:Y93"/>
    <mergeCell ref="X94:Y94"/>
    <mergeCell ref="A91:H91"/>
    <mergeCell ref="R91:T91"/>
    <mergeCell ref="V91:Z91"/>
    <mergeCell ref="G92:H92"/>
    <mergeCell ref="M92:M93"/>
    <mergeCell ref="N92:N93"/>
    <mergeCell ref="O92:S92"/>
    <mergeCell ref="T92:T93"/>
    <mergeCell ref="A93:A94"/>
    <mergeCell ref="B93:B94"/>
    <mergeCell ref="B77:H77"/>
    <mergeCell ref="N77:T77"/>
    <mergeCell ref="M89:T89"/>
    <mergeCell ref="A90:H90"/>
    <mergeCell ref="M90:T90"/>
    <mergeCell ref="V90:Z90"/>
    <mergeCell ref="O64:S64"/>
    <mergeCell ref="T64:T65"/>
    <mergeCell ref="V73:W73"/>
    <mergeCell ref="A75:B75"/>
    <mergeCell ref="M75:N75"/>
    <mergeCell ref="W75:Z75"/>
    <mergeCell ref="A64:A65"/>
    <mergeCell ref="B64:B65"/>
    <mergeCell ref="C64:G64"/>
    <mergeCell ref="H64:H65"/>
    <mergeCell ref="M64:M65"/>
    <mergeCell ref="N64:N65"/>
    <mergeCell ref="V59:Z59"/>
    <mergeCell ref="V60:Z60"/>
    <mergeCell ref="A61:H61"/>
    <mergeCell ref="M61:T61"/>
    <mergeCell ref="A62:H62"/>
    <mergeCell ref="M62:T62"/>
    <mergeCell ref="V62:V63"/>
    <mergeCell ref="W62:W63"/>
    <mergeCell ref="X62:Z62"/>
    <mergeCell ref="R63:T63"/>
    <mergeCell ref="W44:Z44"/>
    <mergeCell ref="W45:Z45"/>
    <mergeCell ref="M46:N46"/>
    <mergeCell ref="N48:T48"/>
    <mergeCell ref="A49:B49"/>
    <mergeCell ref="B51:H51"/>
    <mergeCell ref="G37:H37"/>
    <mergeCell ref="A38:A39"/>
    <mergeCell ref="B38:B39"/>
    <mergeCell ref="C38:G38"/>
    <mergeCell ref="H38:H39"/>
    <mergeCell ref="V42:W42"/>
    <mergeCell ref="A35:H35"/>
    <mergeCell ref="M35:M36"/>
    <mergeCell ref="N35:N36"/>
    <mergeCell ref="O35:S35"/>
    <mergeCell ref="T35:T36"/>
    <mergeCell ref="A36:H36"/>
    <mergeCell ref="V31:V32"/>
    <mergeCell ref="W31:W32"/>
    <mergeCell ref="X31:Y31"/>
    <mergeCell ref="M32:T32"/>
    <mergeCell ref="M33:T33"/>
    <mergeCell ref="R34:T34"/>
    <mergeCell ref="M17:T17"/>
    <mergeCell ref="V18:W18"/>
    <mergeCell ref="B20:H20"/>
    <mergeCell ref="W20:Z20"/>
    <mergeCell ref="V28:Z28"/>
    <mergeCell ref="V29:Z29"/>
    <mergeCell ref="X7:X8"/>
    <mergeCell ref="Y7:Y8"/>
    <mergeCell ref="Z7:Z8"/>
    <mergeCell ref="AB11:AC11"/>
    <mergeCell ref="M15:N15"/>
    <mergeCell ref="AC16:AJ16"/>
    <mergeCell ref="A7:A8"/>
    <mergeCell ref="B7:B8"/>
    <mergeCell ref="C7:G7"/>
    <mergeCell ref="H7:H8"/>
    <mergeCell ref="V7:V8"/>
    <mergeCell ref="W7:W8"/>
    <mergeCell ref="V4:Z4"/>
    <mergeCell ref="AB4:AB5"/>
    <mergeCell ref="AD4:AI4"/>
    <mergeCell ref="A5:H5"/>
    <mergeCell ref="V5:Z5"/>
    <mergeCell ref="F6:H6"/>
    <mergeCell ref="S3:T3"/>
    <mergeCell ref="A4:H4"/>
    <mergeCell ref="M4:M5"/>
    <mergeCell ref="N4:N5"/>
    <mergeCell ref="O4:S4"/>
    <mergeCell ref="T4:T5"/>
    <mergeCell ref="A1:H2"/>
    <mergeCell ref="M1:T1"/>
    <mergeCell ref="V1:Z2"/>
    <mergeCell ref="AB1:AJ1"/>
    <mergeCell ref="M2:T2"/>
    <mergeCell ref="AB2:AJ2"/>
  </mergeCells>
  <pageMargins left="0.7" right="0.7" top="0.4" bottom="0.4" header="0.3" footer="0.3"/>
  <pageSetup paperSize="5" orientation="portrait" r:id="rId1"/>
  <colBreaks count="3" manualBreakCount="3">
    <brk id="11" max="775" man="1"/>
    <brk id="21" max="1048575" man="1"/>
    <brk id="27"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DKP Bali</vt:lpstr>
      <vt:lpstr>Tujuan Utama</vt:lpstr>
      <vt:lpstr>Penjelasan</vt:lpstr>
      <vt:lpstr>DataPendukung</vt:lpstr>
      <vt:lpstr>DataPendukung!Print_Area</vt:lpstr>
      <vt:lpstr>Penjelasan!Print_Titles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 Made Iwan Dewantama</dc:creator>
  <cp:lastModifiedBy>Asus</cp:lastModifiedBy>
  <cp:lastPrinted>2017-03-09T14:11:08Z</cp:lastPrinted>
  <dcterms:created xsi:type="dcterms:W3CDTF">2017-01-12T13:21:22Z</dcterms:created>
  <dcterms:modified xsi:type="dcterms:W3CDTF">2017-03-10T02:41:44Z</dcterms:modified>
</cp:coreProperties>
</file>