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omments4.xml" ContentType="application/vnd.openxmlformats-officedocument.spreadsheetml.comment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5" yWindow="270" windowWidth="15030" windowHeight="9780" activeTab="1"/>
  </bookViews>
  <sheets>
    <sheet name="B series" sheetId="18" r:id="rId1"/>
    <sheet name="Stock status clean" sheetId="17" r:id="rId2"/>
    <sheet name="summary" sheetId="16" r:id="rId3"/>
    <sheet name="Stock status" sheetId="8" r:id="rId4"/>
    <sheet name="trial" sheetId="15" r:id="rId5"/>
    <sheet name="by gear" sheetId="13" r:id="rId6"/>
    <sheet name="C for msy" sheetId="11" r:id="rId7"/>
    <sheet name="landings Sylvie" sheetId="10" r:id="rId8"/>
    <sheet name="msy" sheetId="14" r:id="rId9"/>
    <sheet name="survey" sheetId="12" r:id="rId10"/>
    <sheet name="4Xs &amp; 5Yb landings by year" sheetId="6" r:id="rId11"/>
    <sheet name="Species grouping details" sheetId="7" r:id="rId12"/>
    <sheet name="MRPA aquaculture stats" sheetId="4" r:id="rId13"/>
    <sheet name="2014 MRPA aquaculture sites" sheetId="1" r:id="rId14"/>
    <sheet name="Sites in use - 2011 map" sheetId="2" r:id="rId15"/>
    <sheet name="Sites in use - 2010 map" sheetId="3" r:id="rId16"/>
    <sheet name="Aquaculture methods" sheetId="5" r:id="rId17"/>
  </sheets>
  <externalReferences>
    <externalReference r:id="rId18"/>
    <externalReference r:id="rId19"/>
    <externalReference r:id="rId20"/>
    <externalReference r:id="rId21"/>
    <externalReference r:id="rId22"/>
  </externalReferences>
  <calcPr calcId="144525"/>
</workbook>
</file>

<file path=xl/calcChain.xml><?xml version="1.0" encoding="utf-8"?>
<calcChain xmlns="http://schemas.openxmlformats.org/spreadsheetml/2006/main">
  <c r="AY5" i="18" l="1"/>
  <c r="AY6" i="18"/>
  <c r="AY7" i="18"/>
  <c r="AY8" i="18"/>
  <c r="AY9" i="18"/>
  <c r="AY10" i="18"/>
  <c r="AY11" i="18"/>
  <c r="AY12" i="18"/>
  <c r="AY13" i="18"/>
  <c r="AY14" i="18"/>
  <c r="AY15" i="18"/>
  <c r="AY16" i="18"/>
  <c r="AY17" i="18"/>
  <c r="AY18" i="18"/>
  <c r="AY19" i="18"/>
  <c r="AQ5" i="18"/>
  <c r="AQ6" i="18"/>
  <c r="AQ7" i="18"/>
  <c r="AQ8" i="18"/>
  <c r="AQ9" i="18"/>
  <c r="AQ10" i="18"/>
  <c r="AQ11" i="18"/>
  <c r="AQ12" i="18"/>
  <c r="AQ13" i="18"/>
  <c r="AQ14" i="18"/>
  <c r="AQ15" i="18"/>
  <c r="AQ16" i="18"/>
  <c r="AQ17" i="18"/>
  <c r="AQ18" i="18"/>
  <c r="AQ19" i="18"/>
  <c r="AS5" i="18"/>
  <c r="AS6" i="18"/>
  <c r="AS7" i="18"/>
  <c r="AS8" i="18"/>
  <c r="AS9" i="18"/>
  <c r="AS10" i="18"/>
  <c r="AS11" i="18"/>
  <c r="AS12" i="18"/>
  <c r="AS13" i="18"/>
  <c r="AS14" i="18"/>
  <c r="AS15" i="18"/>
  <c r="AS16" i="18"/>
  <c r="AS17" i="18"/>
  <c r="AS18" i="18"/>
  <c r="AS19" i="18"/>
  <c r="AW5" i="18"/>
  <c r="AW6" i="18"/>
  <c r="AW7" i="18"/>
  <c r="AW8" i="18"/>
  <c r="AW9" i="18"/>
  <c r="AW10" i="18"/>
  <c r="AW11" i="18"/>
  <c r="AW12" i="18"/>
  <c r="AW13" i="18"/>
  <c r="AW14" i="18"/>
  <c r="AW15" i="18"/>
  <c r="AW16" i="18"/>
  <c r="AW17" i="18"/>
  <c r="AW18" i="18"/>
  <c r="AW19" i="18"/>
  <c r="AU5" i="18"/>
  <c r="AU6" i="18"/>
  <c r="AU7" i="18"/>
  <c r="AU8" i="18"/>
  <c r="AU9" i="18"/>
  <c r="AU10" i="18"/>
  <c r="AU11" i="18"/>
  <c r="AU12" i="18"/>
  <c r="AU13" i="18"/>
  <c r="AU14" i="18"/>
  <c r="AU15" i="18"/>
  <c r="AU16" i="18"/>
  <c r="AU17" i="18"/>
  <c r="AU18" i="18"/>
  <c r="AU19" i="18"/>
  <c r="AM5" i="18"/>
  <c r="AM6" i="18"/>
  <c r="AM7" i="18"/>
  <c r="AM8" i="18"/>
  <c r="AM9" i="18"/>
  <c r="AM10" i="18"/>
  <c r="AM11" i="18"/>
  <c r="AM12" i="18"/>
  <c r="AM13" i="18"/>
  <c r="AM14" i="18"/>
  <c r="AM15" i="18"/>
  <c r="AM16" i="18"/>
  <c r="AM17" i="18"/>
  <c r="AM18" i="18"/>
  <c r="AM19" i="18"/>
  <c r="AP18" i="18"/>
  <c r="AO5" i="18"/>
  <c r="AO6" i="18"/>
  <c r="AO7" i="18"/>
  <c r="AO8" i="18"/>
  <c r="AO9" i="18"/>
  <c r="AO10" i="18"/>
  <c r="AO11" i="18"/>
  <c r="AO12" i="18"/>
  <c r="AO13" i="18"/>
  <c r="AO14" i="18"/>
  <c r="AO15" i="18"/>
  <c r="AO16" i="18"/>
  <c r="AO17" i="18"/>
  <c r="AO18" i="18"/>
  <c r="AO19" i="18"/>
  <c r="AM3" i="18"/>
  <c r="AN15" i="18" s="1"/>
  <c r="AO3" i="18"/>
  <c r="AP16" i="18" s="1"/>
  <c r="AQ3" i="18"/>
  <c r="AR19" i="18" s="1"/>
  <c r="AS3" i="18"/>
  <c r="AT16" i="18" s="1"/>
  <c r="AU3" i="18"/>
  <c r="AV17" i="18" s="1"/>
  <c r="AW3" i="18"/>
  <c r="AX18" i="18" s="1"/>
  <c r="AY3" i="18"/>
  <c r="AZ15" i="18" s="1"/>
  <c r="AK5" i="18"/>
  <c r="AK6" i="18"/>
  <c r="AK7" i="18"/>
  <c r="AK8" i="18"/>
  <c r="AK9" i="18"/>
  <c r="AK10" i="18"/>
  <c r="AK11" i="18"/>
  <c r="AK12" i="18"/>
  <c r="AK13" i="18"/>
  <c r="AK14" i="18"/>
  <c r="AK15" i="18"/>
  <c r="AK16" i="18"/>
  <c r="AK17" i="18"/>
  <c r="AK18" i="18"/>
  <c r="AK19" i="18"/>
  <c r="AK3" i="18"/>
  <c r="AL16" i="18" s="1"/>
  <c r="AI3" i="18"/>
  <c r="AJ16" i="18" s="1"/>
  <c r="AI5" i="18"/>
  <c r="AI6" i="18"/>
  <c r="AI7" i="18"/>
  <c r="AI8" i="18"/>
  <c r="AI9" i="18"/>
  <c r="AI10" i="18"/>
  <c r="AI11" i="18"/>
  <c r="AI12" i="18"/>
  <c r="AI13" i="18"/>
  <c r="AI14" i="18"/>
  <c r="AI15" i="18"/>
  <c r="AI16" i="18"/>
  <c r="AI17" i="18"/>
  <c r="AI18" i="18"/>
  <c r="AI19" i="18"/>
  <c r="AG5" i="18"/>
  <c r="AG6" i="18"/>
  <c r="AG7" i="18"/>
  <c r="AG8" i="18"/>
  <c r="AG9" i="18"/>
  <c r="AG10" i="18"/>
  <c r="AG11" i="18"/>
  <c r="AG12" i="18"/>
  <c r="AG13" i="18"/>
  <c r="AG14" i="18"/>
  <c r="AG15" i="18"/>
  <c r="AG16" i="18"/>
  <c r="AG17" i="18"/>
  <c r="AG18" i="18"/>
  <c r="AG19" i="18"/>
  <c r="AG3" i="18"/>
  <c r="AH18" i="18" s="1"/>
  <c r="AE3" i="18"/>
  <c r="AF17" i="18" s="1"/>
  <c r="AE5" i="18"/>
  <c r="AE6" i="18"/>
  <c r="AE7" i="18"/>
  <c r="AE8" i="18"/>
  <c r="AE9" i="18"/>
  <c r="AE10" i="18"/>
  <c r="AE11" i="18"/>
  <c r="AE12" i="18"/>
  <c r="AE13" i="18"/>
  <c r="AE14" i="18"/>
  <c r="AE15" i="18"/>
  <c r="AE16" i="18"/>
  <c r="AE17" i="18"/>
  <c r="AE18" i="18"/>
  <c r="AE19" i="18"/>
  <c r="AC15" i="18"/>
  <c r="AC14" i="18"/>
  <c r="AC13" i="18"/>
  <c r="AC12" i="18"/>
  <c r="AC11" i="18"/>
  <c r="AC10" i="18"/>
  <c r="AC8" i="18"/>
  <c r="AC9" i="18"/>
  <c r="AC7" i="18"/>
  <c r="AC6" i="18"/>
  <c r="AC5" i="18"/>
  <c r="AC1" i="18"/>
  <c r="AC3" i="18"/>
  <c r="AD12" i="18" s="1"/>
  <c r="AA3" i="18"/>
  <c r="AB12" i="18" s="1"/>
  <c r="Y3" i="18"/>
  <c r="Z15" i="18" s="1"/>
  <c r="W12" i="18"/>
  <c r="V3" i="18"/>
  <c r="W13" i="18" s="1"/>
  <c r="R5" i="18"/>
  <c r="R6" i="18"/>
  <c r="R7" i="18"/>
  <c r="R8" i="18"/>
  <c r="R9" i="18"/>
  <c r="R10" i="18"/>
  <c r="R11" i="18"/>
  <c r="R12" i="18"/>
  <c r="R13" i="18"/>
  <c r="R14" i="18"/>
  <c r="R15" i="18"/>
  <c r="R16" i="18"/>
  <c r="R17" i="18"/>
  <c r="R18" i="18"/>
  <c r="R19" i="18"/>
  <c r="R3" i="18"/>
  <c r="S16" i="18" s="1"/>
  <c r="P6" i="18"/>
  <c r="P7" i="18"/>
  <c r="P8" i="18"/>
  <c r="P9" i="18"/>
  <c r="P10" i="18"/>
  <c r="P11" i="18"/>
  <c r="P12" i="18"/>
  <c r="P13" i="18"/>
  <c r="P14" i="18"/>
  <c r="P5" i="18"/>
  <c r="P3" i="18"/>
  <c r="Q10" i="18" s="1"/>
  <c r="N14" i="18"/>
  <c r="N13" i="18"/>
  <c r="N12" i="18"/>
  <c r="N11" i="18"/>
  <c r="N10" i="18"/>
  <c r="N9" i="18"/>
  <c r="N8" i="18"/>
  <c r="N7" i="18"/>
  <c r="N3" i="18"/>
  <c r="O10" i="18" s="1"/>
  <c r="N6" i="18"/>
  <c r="N5" i="18"/>
  <c r="N1" i="18"/>
  <c r="L3" i="18"/>
  <c r="M12" i="18" s="1"/>
  <c r="J5" i="18"/>
  <c r="J6" i="18"/>
  <c r="J7" i="18"/>
  <c r="J8" i="18"/>
  <c r="J9" i="18"/>
  <c r="J10" i="18"/>
  <c r="J11" i="18"/>
  <c r="J12" i="18"/>
  <c r="J13" i="18"/>
  <c r="J14" i="18"/>
  <c r="J15" i="18"/>
  <c r="J16" i="18"/>
  <c r="J17" i="18"/>
  <c r="J18" i="18"/>
  <c r="J19" i="18"/>
  <c r="AD15" i="18" l="1"/>
  <c r="M11" i="18"/>
  <c r="W14" i="18"/>
  <c r="AB11" i="18"/>
  <c r="AV18" i="18"/>
  <c r="Z14" i="18"/>
  <c r="AJ18" i="18"/>
  <c r="AX15" i="18"/>
  <c r="M13" i="18"/>
  <c r="AD11" i="18"/>
  <c r="AJ17" i="18"/>
  <c r="AP19" i="18"/>
  <c r="AX19" i="18"/>
  <c r="AH17" i="18"/>
  <c r="AJ15" i="18"/>
  <c r="O13" i="18"/>
  <c r="Z18" i="18"/>
  <c r="AJ19" i="18"/>
  <c r="AP15" i="18"/>
  <c r="AN18" i="18"/>
  <c r="AZ18" i="18"/>
  <c r="AR16" i="18"/>
  <c r="Q13" i="18"/>
  <c r="S15" i="18"/>
  <c r="AF16" i="18"/>
  <c r="AL19" i="18"/>
  <c r="M10" i="18"/>
  <c r="O12" i="18"/>
  <c r="Q12" i="18"/>
  <c r="S18" i="18"/>
  <c r="W11" i="18"/>
  <c r="Z17" i="18"/>
  <c r="AB10" i="18"/>
  <c r="AD14" i="18"/>
  <c r="AF19" i="18"/>
  <c r="AF15" i="18"/>
  <c r="AH16" i="18"/>
  <c r="AL18" i="18"/>
  <c r="AP17" i="18"/>
  <c r="AN17" i="18"/>
  <c r="AZ17" i="18"/>
  <c r="AX16" i="18"/>
  <c r="AV15" i="18"/>
  <c r="AV19" i="18"/>
  <c r="AT18" i="18"/>
  <c r="AR17" i="18"/>
  <c r="AL15" i="18"/>
  <c r="M9" i="18"/>
  <c r="O11" i="18"/>
  <c r="Q11" i="18"/>
  <c r="S17" i="18"/>
  <c r="W10" i="18"/>
  <c r="Z16" i="18"/>
  <c r="AB13" i="18"/>
  <c r="AB9" i="18"/>
  <c r="AD13" i="18"/>
  <c r="AF18" i="18"/>
  <c r="AH19" i="18"/>
  <c r="AH15" i="18"/>
  <c r="AL17" i="18"/>
  <c r="AN16" i="18"/>
  <c r="AZ16" i="18"/>
  <c r="AX17" i="18"/>
  <c r="AV16" i="18"/>
  <c r="AT15" i="18"/>
  <c r="AT19" i="18"/>
  <c r="AR18" i="18"/>
  <c r="S19" i="18"/>
  <c r="AT17" i="18"/>
  <c r="O14" i="18"/>
  <c r="Q14" i="18"/>
  <c r="AN19" i="18"/>
  <c r="AZ19" i="18"/>
  <c r="AR15" i="18"/>
  <c r="J3" i="18"/>
  <c r="H3" i="18"/>
  <c r="I12" i="18" s="1"/>
  <c r="H5" i="18"/>
  <c r="H7" i="18"/>
  <c r="H8" i="18"/>
  <c r="H12" i="18"/>
  <c r="H13" i="18"/>
  <c r="H1" i="18"/>
  <c r="H6" i="18" s="1"/>
  <c r="F3" i="18"/>
  <c r="G12" i="18" s="1"/>
  <c r="D5" i="18"/>
  <c r="D6" i="18"/>
  <c r="D7" i="18"/>
  <c r="D8" i="18"/>
  <c r="D9" i="18"/>
  <c r="D10" i="18"/>
  <c r="D11" i="18"/>
  <c r="D12" i="18"/>
  <c r="D13" i="18"/>
  <c r="D14" i="18"/>
  <c r="D15" i="18"/>
  <c r="D16" i="18"/>
  <c r="D17" i="18"/>
  <c r="D18" i="18"/>
  <c r="D19" i="18"/>
  <c r="D3" i="18"/>
  <c r="B5" i="18"/>
  <c r="B6" i="18"/>
  <c r="B7" i="18"/>
  <c r="B8" i="18"/>
  <c r="B9" i="18"/>
  <c r="B10" i="18"/>
  <c r="B11" i="18"/>
  <c r="B12" i="18"/>
  <c r="B13" i="18"/>
  <c r="B14" i="18"/>
  <c r="B15" i="18"/>
  <c r="B16" i="18"/>
  <c r="B17" i="18"/>
  <c r="B18" i="18"/>
  <c r="B19" i="18"/>
  <c r="I13" i="18" l="1"/>
  <c r="E16" i="18"/>
  <c r="G15" i="18"/>
  <c r="G14" i="18"/>
  <c r="E17" i="18"/>
  <c r="E18" i="18"/>
  <c r="H11" i="18"/>
  <c r="I11" i="18" s="1"/>
  <c r="H9" i="18"/>
  <c r="H14" i="18"/>
  <c r="I14" i="18" s="1"/>
  <c r="H10" i="18"/>
  <c r="I10" i="18" s="1"/>
  <c r="K18" i="18"/>
  <c r="K17" i="18"/>
  <c r="K15" i="18"/>
  <c r="K16" i="18"/>
  <c r="K19" i="18"/>
  <c r="E19" i="18"/>
  <c r="E15" i="18"/>
  <c r="G13" i="18"/>
  <c r="G16" i="18"/>
  <c r="AN36" i="8" l="1"/>
  <c r="AF24" i="16"/>
  <c r="AE24" i="16" s="1"/>
  <c r="AE9" i="16"/>
  <c r="AE10" i="16"/>
  <c r="AE11" i="16"/>
  <c r="AE12" i="16"/>
  <c r="AE13" i="16"/>
  <c r="AE14" i="16"/>
  <c r="AE15" i="16"/>
  <c r="AE16" i="16"/>
  <c r="AE28" i="16"/>
  <c r="AE17" i="16"/>
  <c r="AE18" i="16"/>
  <c r="AE19" i="16"/>
  <c r="AE20" i="16"/>
  <c r="AE21" i="16"/>
  <c r="AE22" i="16"/>
  <c r="AE8" i="16"/>
  <c r="D72" i="10"/>
  <c r="AJ112" i="17" l="1"/>
  <c r="AJ111" i="17"/>
  <c r="AJ110" i="17"/>
  <c r="AJ109" i="17"/>
  <c r="AJ108" i="17"/>
  <c r="AJ107" i="17"/>
  <c r="AJ106" i="17"/>
  <c r="AJ105" i="17"/>
  <c r="AJ104" i="17"/>
  <c r="AJ102" i="17"/>
  <c r="AJ99" i="17"/>
  <c r="AJ98" i="17"/>
  <c r="AJ95" i="17"/>
  <c r="AC95" i="17"/>
  <c r="AJ84" i="17"/>
  <c r="N83" i="17"/>
  <c r="F83" i="17"/>
  <c r="E83" i="17"/>
  <c r="N82" i="17"/>
  <c r="F82" i="17"/>
  <c r="E82" i="17"/>
  <c r="N81" i="17"/>
  <c r="F81" i="17"/>
  <c r="E81" i="17"/>
  <c r="N80" i="17"/>
  <c r="F80" i="17"/>
  <c r="E80" i="17"/>
  <c r="N79" i="17"/>
  <c r="F79" i="17"/>
  <c r="E79" i="17"/>
  <c r="AJ77" i="17"/>
  <c r="N77" i="17"/>
  <c r="E77" i="17"/>
  <c r="AJ75" i="17"/>
  <c r="N75" i="17"/>
  <c r="E75" i="17"/>
  <c r="AC73" i="17"/>
  <c r="AE73" i="17" s="1"/>
  <c r="AJ72" i="17"/>
  <c r="N72" i="17"/>
  <c r="E72" i="17"/>
  <c r="AJ69" i="17"/>
  <c r="N69" i="17"/>
  <c r="E69" i="17"/>
  <c r="AJ66" i="17"/>
  <c r="N66" i="17"/>
  <c r="E66" i="17"/>
  <c r="AJ64" i="17"/>
  <c r="N64" i="17"/>
  <c r="E64" i="17"/>
  <c r="AJ62" i="17"/>
  <c r="AJ90" i="17" s="1"/>
  <c r="AF62" i="17"/>
  <c r="AM62" i="17" s="1"/>
  <c r="AN62" i="17" s="1"/>
  <c r="O62" i="17"/>
  <c r="G62" i="17"/>
  <c r="F62" i="17"/>
  <c r="AJ60" i="17"/>
  <c r="AC60" i="17"/>
  <c r="AM59" i="17"/>
  <c r="AN59" i="17" s="1"/>
  <c r="AI59" i="17"/>
  <c r="AI57" i="17"/>
  <c r="AF57" i="17"/>
  <c r="AJ56" i="17"/>
  <c r="AI56" i="17"/>
  <c r="AL56" i="17" s="1"/>
  <c r="AF56" i="17"/>
  <c r="AM56" i="17" s="1"/>
  <c r="AM53" i="17"/>
  <c r="AN53" i="17" s="1"/>
  <c r="AJ53" i="17"/>
  <c r="AJ51" i="17"/>
  <c r="AI51" i="17"/>
  <c r="AF51" i="17"/>
  <c r="AM51" i="17" s="1"/>
  <c r="AN51" i="17" s="1"/>
  <c r="AJ49" i="17"/>
  <c r="AF49" i="17"/>
  <c r="AM49" i="17" s="1"/>
  <c r="AN49" i="17" s="1"/>
  <c r="AJ48" i="17"/>
  <c r="AF48" i="17"/>
  <c r="AM48" i="17" s="1"/>
  <c r="AN48" i="17" s="1"/>
  <c r="AJ47" i="17"/>
  <c r="AF47" i="17"/>
  <c r="AM47" i="17" s="1"/>
  <c r="AN47" i="17" s="1"/>
  <c r="AJ46" i="17"/>
  <c r="AF46" i="17"/>
  <c r="AM46" i="17" s="1"/>
  <c r="AN46" i="17" s="1"/>
  <c r="AJ44" i="17"/>
  <c r="AC44" i="17"/>
  <c r="AD44" i="17" s="1"/>
  <c r="E43" i="17"/>
  <c r="E42" i="17"/>
  <c r="N41" i="17"/>
  <c r="E41" i="17"/>
  <c r="AF42" i="17" s="1"/>
  <c r="E40" i="17"/>
  <c r="AC38" i="17"/>
  <c r="N37" i="17"/>
  <c r="E37" i="17"/>
  <c r="AF36" i="17"/>
  <c r="G36" i="17"/>
  <c r="F36" i="17"/>
  <c r="AI33" i="17"/>
  <c r="N33" i="17"/>
  <c r="E33" i="17"/>
  <c r="N32" i="17"/>
  <c r="F32" i="17"/>
  <c r="AJ30" i="17"/>
  <c r="AI30" i="17"/>
  <c r="E30" i="17"/>
  <c r="AF30" i="17" s="1"/>
  <c r="AM30" i="17" s="1"/>
  <c r="AN30" i="17" s="1"/>
  <c r="AC28" i="17"/>
  <c r="AE28" i="17" s="1"/>
  <c r="N27" i="17"/>
  <c r="E27" i="17"/>
  <c r="N26" i="17"/>
  <c r="AJ25" i="17"/>
  <c r="O25" i="17"/>
  <c r="AI25" i="17" s="1"/>
  <c r="N25" i="17"/>
  <c r="AF25" i="17" s="1"/>
  <c r="AM25" i="17" s="1"/>
  <c r="AN25" i="17" s="1"/>
  <c r="G25" i="17"/>
  <c r="F25" i="17"/>
  <c r="AC23" i="17"/>
  <c r="AH23" i="17" s="1"/>
  <c r="N22" i="17"/>
  <c r="AF22" i="17" s="1"/>
  <c r="AK21" i="17" s="1"/>
  <c r="AJ21" i="17"/>
  <c r="N21" i="17"/>
  <c r="AF21" i="17" s="1"/>
  <c r="AM21" i="17" s="1"/>
  <c r="AN21" i="17" s="1"/>
  <c r="AC19" i="17"/>
  <c r="AE19" i="17" s="1"/>
  <c r="AJ18" i="17"/>
  <c r="AI18" i="17"/>
  <c r="N18" i="17"/>
  <c r="E18" i="17"/>
  <c r="AC16" i="17"/>
  <c r="AH16" i="17" s="1"/>
  <c r="AJ15" i="17"/>
  <c r="E15" i="17"/>
  <c r="AF15" i="17" s="1"/>
  <c r="AM15" i="17" s="1"/>
  <c r="AN15" i="17" s="1"/>
  <c r="AC13" i="17"/>
  <c r="AD13" i="17" s="1"/>
  <c r="AH13" i="17" s="1"/>
  <c r="AJ12" i="17"/>
  <c r="N12" i="17"/>
  <c r="AF12" i="17" s="1"/>
  <c r="AM12" i="17" s="1"/>
  <c r="AN12" i="17" s="1"/>
  <c r="N10" i="17"/>
  <c r="N9" i="17"/>
  <c r="E9" i="17"/>
  <c r="B3" i="18" s="1"/>
  <c r="AC8" i="17"/>
  <c r="AE8" i="17" s="1"/>
  <c r="E8" i="17"/>
  <c r="AJ7" i="17"/>
  <c r="AI7" i="17"/>
  <c r="G7" i="17"/>
  <c r="E7" i="17" s="1"/>
  <c r="AF7" i="17" s="1"/>
  <c r="AM7" i="17" s="1"/>
  <c r="AN7" i="17" s="1"/>
  <c r="AI20" i="8"/>
  <c r="AI7" i="8"/>
  <c r="AH8" i="8"/>
  <c r="AJ120" i="8"/>
  <c r="C17" i="18" l="1"/>
  <c r="C18" i="18"/>
  <c r="C15" i="18"/>
  <c r="C19" i="18"/>
  <c r="C16" i="18"/>
  <c r="AK15" i="17"/>
  <c r="AK12" i="17"/>
  <c r="AG77" i="17"/>
  <c r="AM77" i="17" s="1"/>
  <c r="AN77" i="17" s="1"/>
  <c r="AO77" i="17" s="1"/>
  <c r="AG69" i="17"/>
  <c r="AM69" i="17" s="1"/>
  <c r="AN69" i="17" s="1"/>
  <c r="AG72" i="17"/>
  <c r="AM72" i="17" s="1"/>
  <c r="AN72" i="17" s="1"/>
  <c r="AO72" i="17" s="1"/>
  <c r="AG79" i="17"/>
  <c r="AL57" i="17"/>
  <c r="AH44" i="17"/>
  <c r="AM44" i="17" s="1"/>
  <c r="AN44" i="17" s="1"/>
  <c r="AO44" i="17" s="1"/>
  <c r="AO15" i="17"/>
  <c r="AO21" i="17"/>
  <c r="AG83" i="17"/>
  <c r="AE13" i="17"/>
  <c r="AM57" i="17"/>
  <c r="AG66" i="17"/>
  <c r="AM66" i="17" s="1"/>
  <c r="AN66" i="17" s="1"/>
  <c r="AO66" i="17" s="1"/>
  <c r="AF33" i="17"/>
  <c r="AM33" i="17" s="1"/>
  <c r="AN33" i="17" s="1"/>
  <c r="AO33" i="17" s="1"/>
  <c r="AE44" i="17"/>
  <c r="AG80" i="17"/>
  <c r="AF18" i="17"/>
  <c r="AM18" i="17" s="1"/>
  <c r="AN18" i="17" s="1"/>
  <c r="AJ86" i="17"/>
  <c r="AP48" i="17" s="1"/>
  <c r="AD23" i="17"/>
  <c r="AD28" i="17"/>
  <c r="AH28" i="17" s="1"/>
  <c r="AK25" i="17" s="1"/>
  <c r="AG64" i="17"/>
  <c r="AM64" i="17" s="1"/>
  <c r="AN64" i="17" s="1"/>
  <c r="AO64" i="17" s="1"/>
  <c r="AG9" i="17"/>
  <c r="AD16" i="17"/>
  <c r="AD19" i="17"/>
  <c r="AE23" i="17"/>
  <c r="AG26" i="17"/>
  <c r="AG37" i="17"/>
  <c r="AO69" i="17"/>
  <c r="AG82" i="17"/>
  <c r="AG10" i="17"/>
  <c r="AG75" i="17"/>
  <c r="AM75" i="17" s="1"/>
  <c r="AN75" i="17" s="1"/>
  <c r="AO75" i="17" s="1"/>
  <c r="AG81" i="17"/>
  <c r="AO18" i="17"/>
  <c r="AO30" i="17"/>
  <c r="AO12" i="17"/>
  <c r="AO46" i="17"/>
  <c r="AO7" i="17"/>
  <c r="AO53" i="17"/>
  <c r="AO59" i="17"/>
  <c r="AJ114" i="17"/>
  <c r="AD8" i="17"/>
  <c r="AH8" i="17" s="1"/>
  <c r="AO25" i="17"/>
  <c r="AG40" i="17"/>
  <c r="AF40" i="17"/>
  <c r="AO48" i="17"/>
  <c r="AO49" i="17"/>
  <c r="AO47" i="17"/>
  <c r="AN56" i="17"/>
  <c r="AO62" i="17"/>
  <c r="AG27" i="17"/>
  <c r="AE38" i="17"/>
  <c r="AD38" i="17"/>
  <c r="AH38" i="17" s="1"/>
  <c r="AG43" i="17"/>
  <c r="AM43" i="17" s="1"/>
  <c r="AF41" i="17"/>
  <c r="AO51" i="17"/>
  <c r="AE60" i="17"/>
  <c r="AD60" i="17"/>
  <c r="AH60" i="17" s="1"/>
  <c r="AE95" i="17"/>
  <c r="AD95" i="17"/>
  <c r="AH95" i="17" s="1"/>
  <c r="AD73" i="17"/>
  <c r="AH73" i="17" s="1"/>
  <c r="L33" i="16"/>
  <c r="AM37" i="17" l="1"/>
  <c r="AN37" i="17" s="1"/>
  <c r="AO37" i="17" s="1"/>
  <c r="AK36" i="17"/>
  <c r="R34" i="16"/>
  <c r="M7" i="16"/>
  <c r="M11" i="16"/>
  <c r="M15" i="16"/>
  <c r="M19" i="16"/>
  <c r="M23" i="16"/>
  <c r="M27" i="16"/>
  <c r="M5" i="16"/>
  <c r="M13" i="16"/>
  <c r="M21" i="16"/>
  <c r="M29" i="16"/>
  <c r="M6" i="16"/>
  <c r="M18" i="16"/>
  <c r="M26" i="16"/>
  <c r="M8" i="16"/>
  <c r="M12" i="16"/>
  <c r="M16" i="16"/>
  <c r="M20" i="16"/>
  <c r="M24" i="16"/>
  <c r="M28" i="16"/>
  <c r="M9" i="16"/>
  <c r="M17" i="16"/>
  <c r="M25" i="16"/>
  <c r="M10" i="16"/>
  <c r="M14" i="16"/>
  <c r="M22" i="16"/>
  <c r="M30" i="16"/>
  <c r="AK7" i="17"/>
  <c r="AN57" i="17"/>
  <c r="AO57" i="17" s="1"/>
  <c r="AG84" i="17"/>
  <c r="AM84" i="17" s="1"/>
  <c r="AN84" i="17" s="1"/>
  <c r="AO84" i="17" s="1"/>
  <c r="AP18" i="17"/>
  <c r="AP7" i="17"/>
  <c r="AP30" i="17"/>
  <c r="AP69" i="17"/>
  <c r="AP15" i="17"/>
  <c r="AP51" i="17"/>
  <c r="AP44" i="17"/>
  <c r="AP66" i="17"/>
  <c r="AP77" i="17"/>
  <c r="AP49" i="17"/>
  <c r="AP59" i="17"/>
  <c r="AP33" i="17"/>
  <c r="AP46" i="17"/>
  <c r="AP12" i="17"/>
  <c r="AP72" i="17"/>
  <c r="AJ87" i="17"/>
  <c r="AP64" i="17"/>
  <c r="AP47" i="17"/>
  <c r="AP21" i="17"/>
  <c r="AP62" i="17"/>
  <c r="AP53" i="17"/>
  <c r="AP25" i="17"/>
  <c r="AP75" i="17"/>
  <c r="AO43" i="17"/>
  <c r="AP43" i="17"/>
  <c r="AK118" i="17"/>
  <c r="AJ115" i="17"/>
  <c r="V33" i="16"/>
  <c r="U33" i="16"/>
  <c r="R33" i="16"/>
  <c r="AF25" i="16"/>
  <c r="AE25" i="16" s="1"/>
  <c r="AJ92" i="8"/>
  <c r="AJ91" i="8"/>
  <c r="D33" i="16"/>
  <c r="AP37" i="17" l="1"/>
  <c r="AK1" i="17"/>
  <c r="AK2" i="17"/>
  <c r="AP57" i="17"/>
  <c r="AP84" i="17"/>
  <c r="AM86" i="17"/>
  <c r="G6" i="16"/>
  <c r="G10" i="16"/>
  <c r="G14" i="16"/>
  <c r="G18" i="16"/>
  <c r="G22" i="16"/>
  <c r="G26" i="16"/>
  <c r="G30" i="16"/>
  <c r="G9" i="16"/>
  <c r="G13" i="16"/>
  <c r="G17" i="16"/>
  <c r="G21" i="16"/>
  <c r="G25" i="16"/>
  <c r="G29" i="16"/>
  <c r="G7" i="16"/>
  <c r="G11" i="16"/>
  <c r="G15" i="16"/>
  <c r="G19" i="16"/>
  <c r="G23" i="16"/>
  <c r="G27" i="16"/>
  <c r="G5" i="16"/>
  <c r="G8" i="16"/>
  <c r="G12" i="16"/>
  <c r="G16" i="16"/>
  <c r="G20" i="16"/>
  <c r="G24" i="16"/>
  <c r="G28" i="16"/>
  <c r="AS77" i="8"/>
  <c r="AT77" i="8" s="1"/>
  <c r="AH78" i="8"/>
  <c r="AS63" i="8"/>
  <c r="AT63" i="8" s="1"/>
  <c r="AS41" i="8"/>
  <c r="AT41" i="8" s="1"/>
  <c r="AS28" i="8"/>
  <c r="AT28" i="8" s="1"/>
  <c r="AS24" i="8"/>
  <c r="AT24" i="8" s="1"/>
  <c r="AS17" i="8"/>
  <c r="AT17" i="8" s="1"/>
  <c r="AS7" i="8"/>
  <c r="AT7" i="8" s="1"/>
  <c r="AM7" i="8"/>
  <c r="AP86" i="17" l="1"/>
  <c r="AM60" i="8"/>
  <c r="AN60" i="8" s="1"/>
  <c r="AM61" i="8"/>
  <c r="AN61" i="8" s="1"/>
  <c r="AL61" i="8"/>
  <c r="AL60" i="8"/>
  <c r="AM57" i="8"/>
  <c r="AN57" i="8" s="1"/>
  <c r="AJ48" i="8"/>
  <c r="AJ57" i="8" l="1"/>
  <c r="Y72" i="10"/>
  <c r="Y73" i="10"/>
  <c r="AF61" i="8"/>
  <c r="AI61" i="8"/>
  <c r="AF60" i="8"/>
  <c r="AI60" i="8"/>
  <c r="M73" i="10"/>
  <c r="M6" i="10"/>
  <c r="M7" i="10"/>
  <c r="M8" i="10"/>
  <c r="M9" i="10"/>
  <c r="M10" i="10"/>
  <c r="M11" i="10"/>
  <c r="M72" i="10" s="1"/>
  <c r="AJ107" i="8" s="1"/>
  <c r="M12" i="10"/>
  <c r="M13" i="10"/>
  <c r="M14" i="10"/>
  <c r="M15" i="10"/>
  <c r="M16" i="10"/>
  <c r="M17" i="10"/>
  <c r="M18" i="10"/>
  <c r="M19" i="10"/>
  <c r="M20" i="10"/>
  <c r="M21" i="10"/>
  <c r="M22" i="10"/>
  <c r="M23" i="10"/>
  <c r="M24" i="10"/>
  <c r="M25" i="10"/>
  <c r="M26" i="10"/>
  <c r="M27" i="10"/>
  <c r="M28" i="10"/>
  <c r="M29" i="10"/>
  <c r="M30" i="10"/>
  <c r="M31" i="10"/>
  <c r="M32" i="10"/>
  <c r="M33" i="10"/>
  <c r="M34" i="10"/>
  <c r="M35" i="10"/>
  <c r="M36" i="10"/>
  <c r="M37" i="10"/>
  <c r="M38" i="10"/>
  <c r="M39" i="10"/>
  <c r="M40" i="10"/>
  <c r="M41" i="10"/>
  <c r="M42" i="10"/>
  <c r="M43" i="10"/>
  <c r="M44" i="10"/>
  <c r="M45" i="10"/>
  <c r="M46" i="10"/>
  <c r="M47" i="10"/>
  <c r="M48" i="10"/>
  <c r="M49" i="10"/>
  <c r="M50" i="10"/>
  <c r="M51" i="10"/>
  <c r="M52" i="10"/>
  <c r="M53" i="10"/>
  <c r="M54" i="10"/>
  <c r="M55" i="10"/>
  <c r="M56" i="10"/>
  <c r="M57" i="10"/>
  <c r="M58" i="10"/>
  <c r="M59" i="10"/>
  <c r="M60" i="10"/>
  <c r="M61" i="10"/>
  <c r="M62" i="10"/>
  <c r="M63" i="10"/>
  <c r="M64" i="10"/>
  <c r="M65" i="10"/>
  <c r="M66" i="10"/>
  <c r="M67" i="10"/>
  <c r="M68" i="10"/>
  <c r="M69" i="10"/>
  <c r="M70" i="10"/>
  <c r="M5" i="10"/>
  <c r="AM63" i="8"/>
  <c r="AN63" i="8" s="1"/>
  <c r="AI55" i="8"/>
  <c r="AI63" i="8"/>
  <c r="X28" i="13"/>
  <c r="AO57" i="8" l="1"/>
  <c r="AI36" i="8"/>
  <c r="AI33" i="8"/>
  <c r="I2" i="12" l="1"/>
  <c r="O67" i="8" l="1"/>
  <c r="L62" i="10" l="1"/>
  <c r="L65" i="10"/>
  <c r="L64" i="10"/>
  <c r="L63" i="10"/>
  <c r="L61" i="10"/>
  <c r="L60" i="10"/>
  <c r="L59" i="10"/>
  <c r="L58" i="10"/>
  <c r="L57" i="10"/>
  <c r="L56" i="10"/>
  <c r="L72" i="10" s="1"/>
  <c r="AJ67" i="8" s="1"/>
  <c r="L73" i="10" l="1"/>
  <c r="E22" i="15"/>
  <c r="E21" i="15"/>
  <c r="E15" i="15"/>
  <c r="E16" i="15"/>
  <c r="E17" i="15"/>
  <c r="E18" i="15"/>
  <c r="E19" i="15"/>
  <c r="E20" i="15"/>
  <c r="E13" i="15"/>
  <c r="E14" i="15"/>
  <c r="F8" i="15"/>
  <c r="E8" i="15"/>
  <c r="F7" i="15"/>
  <c r="E7" i="15"/>
  <c r="F6" i="15"/>
  <c r="E6" i="15"/>
  <c r="F5" i="15"/>
  <c r="E5" i="15"/>
  <c r="F4" i="15"/>
  <c r="E4" i="15"/>
  <c r="F3" i="15"/>
  <c r="F10" i="15" s="1"/>
  <c r="E3" i="15"/>
  <c r="E10" i="15" s="1"/>
  <c r="AF67" i="8"/>
  <c r="AJ100" i="8"/>
  <c r="E72" i="10"/>
  <c r="F72" i="10"/>
  <c r="G72" i="10"/>
  <c r="H72" i="10"/>
  <c r="J72" i="10"/>
  <c r="AJ60" i="8" s="1"/>
  <c r="K72" i="10"/>
  <c r="R72" i="10"/>
  <c r="S72" i="10"/>
  <c r="T72" i="10"/>
  <c r="U72" i="10"/>
  <c r="V72" i="10"/>
  <c r="W72" i="10"/>
  <c r="X72" i="10"/>
  <c r="Z72" i="10"/>
  <c r="AA72" i="10"/>
  <c r="AB72" i="10"/>
  <c r="AC72" i="10"/>
  <c r="AD72" i="10"/>
  <c r="AE72" i="10"/>
  <c r="AF72" i="10"/>
  <c r="AG72" i="10"/>
  <c r="AH72" i="10"/>
  <c r="AJ72" i="10"/>
  <c r="AK72" i="10"/>
  <c r="AJ113" i="8" s="1"/>
  <c r="AL72" i="10"/>
  <c r="AJ112" i="8" s="1"/>
  <c r="AQ72" i="10"/>
  <c r="AJ116" i="8" s="1"/>
  <c r="AX72" i="10"/>
  <c r="AY72" i="10"/>
  <c r="AZ72" i="10"/>
  <c r="BA72" i="10"/>
  <c r="BB72" i="10"/>
  <c r="BC72" i="10"/>
  <c r="BD72" i="10"/>
  <c r="BE72" i="10"/>
  <c r="BF72" i="10"/>
  <c r="BG72" i="10"/>
  <c r="D73" i="10"/>
  <c r="E73" i="10"/>
  <c r="F73" i="10"/>
  <c r="G73" i="10"/>
  <c r="H73" i="10"/>
  <c r="J73" i="10"/>
  <c r="K73" i="10"/>
  <c r="R73" i="10"/>
  <c r="S73" i="10"/>
  <c r="T73" i="10"/>
  <c r="U73" i="10"/>
  <c r="V73" i="10"/>
  <c r="W73" i="10"/>
  <c r="X73" i="10"/>
  <c r="Z73" i="10"/>
  <c r="AA73" i="10"/>
  <c r="AB73" i="10"/>
  <c r="AC73" i="10"/>
  <c r="AD73" i="10"/>
  <c r="AE73" i="10"/>
  <c r="AF73" i="10"/>
  <c r="AG73" i="10"/>
  <c r="AH73" i="10"/>
  <c r="AJ73" i="10"/>
  <c r="AK73" i="10"/>
  <c r="AL73" i="10"/>
  <c r="AQ73" i="10"/>
  <c r="AX73" i="10"/>
  <c r="AY73" i="10"/>
  <c r="AZ73" i="10"/>
  <c r="BA73" i="10"/>
  <c r="BB73" i="10"/>
  <c r="BC73" i="10"/>
  <c r="BD73" i="10"/>
  <c r="BE73" i="10"/>
  <c r="BF73" i="10"/>
  <c r="BG73" i="10"/>
  <c r="BH73" i="10"/>
  <c r="BH72" i="10"/>
  <c r="AJ110" i="8"/>
  <c r="AS18" i="10"/>
  <c r="AS19" i="10"/>
  <c r="AS20" i="10"/>
  <c r="AS21" i="10"/>
  <c r="AS22" i="10"/>
  <c r="AS23" i="10"/>
  <c r="AS24" i="10"/>
  <c r="AS25" i="10"/>
  <c r="AS26" i="10"/>
  <c r="AS27" i="10"/>
  <c r="AS28" i="10"/>
  <c r="AS29" i="10"/>
  <c r="AS30" i="10"/>
  <c r="AS31" i="10"/>
  <c r="AS32" i="10"/>
  <c r="AS33" i="10"/>
  <c r="AS34" i="10"/>
  <c r="AS35" i="10"/>
  <c r="AS36" i="10"/>
  <c r="AS37" i="10"/>
  <c r="AS38" i="10"/>
  <c r="AS39" i="10"/>
  <c r="AS40" i="10"/>
  <c r="AS41" i="10"/>
  <c r="AS42" i="10"/>
  <c r="AS43" i="10"/>
  <c r="AS44" i="10"/>
  <c r="AS45" i="10"/>
  <c r="AS46" i="10"/>
  <c r="AS47" i="10"/>
  <c r="AS48" i="10"/>
  <c r="AS49" i="10"/>
  <c r="AS50" i="10"/>
  <c r="AS51" i="10"/>
  <c r="AS52" i="10"/>
  <c r="AS53" i="10"/>
  <c r="AS54" i="10"/>
  <c r="AS55" i="10"/>
  <c r="AS56" i="10"/>
  <c r="AS57" i="10"/>
  <c r="AS58" i="10"/>
  <c r="AS59" i="10"/>
  <c r="AS60" i="10"/>
  <c r="AS61" i="10"/>
  <c r="AS62" i="10"/>
  <c r="AS63" i="10"/>
  <c r="AS64" i="10"/>
  <c r="AS65" i="10"/>
  <c r="AS66" i="10"/>
  <c r="AR18" i="10"/>
  <c r="AR19" i="10"/>
  <c r="AR20" i="10"/>
  <c r="AR21" i="10"/>
  <c r="AR22" i="10"/>
  <c r="AR23" i="10"/>
  <c r="AR24" i="10"/>
  <c r="AR25" i="10"/>
  <c r="AR26" i="10"/>
  <c r="AR27" i="10"/>
  <c r="AR28" i="10"/>
  <c r="AR29" i="10"/>
  <c r="AR30" i="10"/>
  <c r="AR31" i="10"/>
  <c r="AR32" i="10"/>
  <c r="AR33" i="10"/>
  <c r="AR34" i="10"/>
  <c r="AR35" i="10"/>
  <c r="AR36" i="10"/>
  <c r="AR37" i="10"/>
  <c r="AR38" i="10"/>
  <c r="AR39" i="10"/>
  <c r="AR40" i="10"/>
  <c r="AR41" i="10"/>
  <c r="AR42" i="10"/>
  <c r="AR43" i="10"/>
  <c r="AR44" i="10"/>
  <c r="AR45" i="10"/>
  <c r="AR46" i="10"/>
  <c r="AR47" i="10"/>
  <c r="AR48" i="10"/>
  <c r="AR49" i="10"/>
  <c r="AR50" i="10"/>
  <c r="AR51" i="10"/>
  <c r="AR52" i="10"/>
  <c r="AR53" i="10"/>
  <c r="AR54" i="10"/>
  <c r="AR55" i="10"/>
  <c r="AR56" i="10"/>
  <c r="AR57" i="10"/>
  <c r="AR58" i="10"/>
  <c r="AR59" i="10"/>
  <c r="AR60" i="10"/>
  <c r="AR61" i="10"/>
  <c r="AR62" i="10"/>
  <c r="AR63" i="10"/>
  <c r="AR64" i="10"/>
  <c r="AR65" i="10"/>
  <c r="AR66" i="10"/>
  <c r="AP18" i="10"/>
  <c r="AP19" i="10"/>
  <c r="AP20" i="10"/>
  <c r="AP21" i="10"/>
  <c r="AP22" i="10"/>
  <c r="AP23" i="10"/>
  <c r="AP24" i="10"/>
  <c r="AP25" i="10"/>
  <c r="AP26" i="10"/>
  <c r="AP27" i="10"/>
  <c r="AP28" i="10"/>
  <c r="AP29" i="10"/>
  <c r="AP30" i="10"/>
  <c r="AP31" i="10"/>
  <c r="AP32" i="10"/>
  <c r="AP33" i="10"/>
  <c r="AP34" i="10"/>
  <c r="AP35" i="10"/>
  <c r="AP36" i="10"/>
  <c r="AP37" i="10"/>
  <c r="AP38" i="10"/>
  <c r="AP39" i="10"/>
  <c r="AP40" i="10"/>
  <c r="AP41" i="10"/>
  <c r="AP42" i="10"/>
  <c r="AP43" i="10"/>
  <c r="AP44" i="10"/>
  <c r="AP45" i="10"/>
  <c r="AP46" i="10"/>
  <c r="AP47" i="10"/>
  <c r="AP48" i="10"/>
  <c r="AP49" i="10"/>
  <c r="AP50" i="10"/>
  <c r="AP51" i="10"/>
  <c r="AP52" i="10"/>
  <c r="AP53" i="10"/>
  <c r="AP54" i="10"/>
  <c r="AP55" i="10"/>
  <c r="AP56" i="10"/>
  <c r="AP57" i="10"/>
  <c r="AP58" i="10"/>
  <c r="AP59" i="10"/>
  <c r="AP60" i="10"/>
  <c r="AP61" i="10"/>
  <c r="AP62" i="10"/>
  <c r="AP63" i="10"/>
  <c r="AP64" i="10"/>
  <c r="AP65" i="10"/>
  <c r="AP66" i="10"/>
  <c r="AO18" i="10"/>
  <c r="AO19" i="10"/>
  <c r="AO20" i="10"/>
  <c r="AO21" i="10"/>
  <c r="AO22" i="10"/>
  <c r="AO23" i="10"/>
  <c r="AO24" i="10"/>
  <c r="AO25" i="10"/>
  <c r="AO26" i="10"/>
  <c r="AO27" i="10"/>
  <c r="AO28" i="10"/>
  <c r="AO29" i="10"/>
  <c r="AO30" i="10"/>
  <c r="AO31" i="10"/>
  <c r="AO32" i="10"/>
  <c r="AO33" i="10"/>
  <c r="AO34" i="10"/>
  <c r="AO35" i="10"/>
  <c r="AO36" i="10"/>
  <c r="AO37" i="10"/>
  <c r="AO38" i="10"/>
  <c r="AO39" i="10"/>
  <c r="AO40" i="10"/>
  <c r="AO41" i="10"/>
  <c r="AO42" i="10"/>
  <c r="AO43" i="10"/>
  <c r="AO44" i="10"/>
  <c r="AO45" i="10"/>
  <c r="AO46" i="10"/>
  <c r="AO47" i="10"/>
  <c r="AO48" i="10"/>
  <c r="AO49" i="10"/>
  <c r="AO50" i="10"/>
  <c r="AO51" i="10"/>
  <c r="AO52" i="10"/>
  <c r="AO53" i="10"/>
  <c r="AO54" i="10"/>
  <c r="AO55" i="10"/>
  <c r="AO56" i="10"/>
  <c r="AO57" i="10"/>
  <c r="AO58" i="10"/>
  <c r="AO59" i="10"/>
  <c r="AO60" i="10"/>
  <c r="AO61" i="10"/>
  <c r="AO62" i="10"/>
  <c r="AO63" i="10"/>
  <c r="AO64" i="10"/>
  <c r="AO65" i="10"/>
  <c r="AO66" i="10"/>
  <c r="AN21" i="10"/>
  <c r="AN22" i="10"/>
  <c r="AN23" i="10"/>
  <c r="AN24" i="10"/>
  <c r="AN25" i="10"/>
  <c r="AN26" i="10"/>
  <c r="AN27" i="10"/>
  <c r="AN28" i="10"/>
  <c r="AN29" i="10"/>
  <c r="AN30" i="10"/>
  <c r="AN31" i="10"/>
  <c r="AN32" i="10"/>
  <c r="AN33" i="10"/>
  <c r="AN34" i="10"/>
  <c r="AN35" i="10"/>
  <c r="AN36" i="10"/>
  <c r="AN37" i="10"/>
  <c r="AN38" i="10"/>
  <c r="AN39" i="10"/>
  <c r="AN40" i="10"/>
  <c r="AN41" i="10"/>
  <c r="AN42" i="10"/>
  <c r="AN43" i="10"/>
  <c r="AN44" i="10"/>
  <c r="AN45" i="10"/>
  <c r="AN46" i="10"/>
  <c r="AN47" i="10"/>
  <c r="AN48" i="10"/>
  <c r="AN49" i="10"/>
  <c r="AN50" i="10"/>
  <c r="AN51" i="10"/>
  <c r="AN52" i="10"/>
  <c r="AN53" i="10"/>
  <c r="AN54" i="10"/>
  <c r="AN55" i="10"/>
  <c r="AN56" i="10"/>
  <c r="AN57" i="10"/>
  <c r="AN58" i="10"/>
  <c r="AN59" i="10"/>
  <c r="AN60" i="10"/>
  <c r="AN61" i="10"/>
  <c r="AN62" i="10"/>
  <c r="AN63" i="10"/>
  <c r="AN64" i="10"/>
  <c r="AN65" i="10"/>
  <c r="AN66" i="10"/>
  <c r="AM18" i="10"/>
  <c r="AM19" i="10"/>
  <c r="AM20" i="10"/>
  <c r="AM21" i="10"/>
  <c r="AM22" i="10"/>
  <c r="AM23" i="10"/>
  <c r="AM24" i="10"/>
  <c r="AM25" i="10"/>
  <c r="AM26" i="10"/>
  <c r="AM27" i="10"/>
  <c r="AM28" i="10"/>
  <c r="AM29" i="10"/>
  <c r="AM30" i="10"/>
  <c r="AM31" i="10"/>
  <c r="AM32" i="10"/>
  <c r="AM33" i="10"/>
  <c r="AM34" i="10"/>
  <c r="AM35" i="10"/>
  <c r="AM36" i="10"/>
  <c r="AM37" i="10"/>
  <c r="AM38" i="10"/>
  <c r="AM39" i="10"/>
  <c r="AM40" i="10"/>
  <c r="AM41" i="10"/>
  <c r="AM42" i="10"/>
  <c r="AM43" i="10"/>
  <c r="AM44" i="10"/>
  <c r="AM45" i="10"/>
  <c r="AM46" i="10"/>
  <c r="AM47" i="10"/>
  <c r="AM48" i="10"/>
  <c r="AM49" i="10"/>
  <c r="AM50" i="10"/>
  <c r="AM51" i="10"/>
  <c r="AM52" i="10"/>
  <c r="AM53" i="10"/>
  <c r="AM54" i="10"/>
  <c r="AM55" i="10"/>
  <c r="AM56" i="10"/>
  <c r="AM57" i="10"/>
  <c r="AM58" i="10"/>
  <c r="AM59" i="10"/>
  <c r="AM60" i="10"/>
  <c r="AM61" i="10"/>
  <c r="AM62" i="10"/>
  <c r="AM63" i="10"/>
  <c r="AM64" i="10"/>
  <c r="AM65" i="10"/>
  <c r="AM66" i="10"/>
  <c r="AJ77" i="8"/>
  <c r="X29" i="13"/>
  <c r="X72" i="13" s="1"/>
  <c r="X30" i="13"/>
  <c r="X31" i="13"/>
  <c r="C31" i="10" s="1"/>
  <c r="X32" i="13"/>
  <c r="X33" i="13"/>
  <c r="X34" i="13"/>
  <c r="X35" i="13"/>
  <c r="C35" i="10" s="1"/>
  <c r="X36" i="13"/>
  <c r="X37" i="13"/>
  <c r="X38" i="13"/>
  <c r="X73" i="13" s="1"/>
  <c r="X39" i="13"/>
  <c r="C39" i="10" s="1"/>
  <c r="X40" i="13"/>
  <c r="X41" i="13"/>
  <c r="X42" i="13"/>
  <c r="X43" i="13"/>
  <c r="C43" i="10" s="1"/>
  <c r="X44" i="13"/>
  <c r="X45" i="13"/>
  <c r="X46" i="13"/>
  <c r="X47" i="13"/>
  <c r="C47" i="10" s="1"/>
  <c r="X48" i="13"/>
  <c r="X49" i="13"/>
  <c r="X50" i="13"/>
  <c r="X51" i="13"/>
  <c r="C51" i="10" s="1"/>
  <c r="X52" i="13"/>
  <c r="X53" i="13"/>
  <c r="X54" i="13"/>
  <c r="X55" i="13"/>
  <c r="C55" i="10" s="1"/>
  <c r="X56" i="13"/>
  <c r="X57" i="13"/>
  <c r="X58" i="13"/>
  <c r="X59" i="13"/>
  <c r="C59" i="10" s="1"/>
  <c r="X60" i="13"/>
  <c r="X61" i="13"/>
  <c r="X62" i="13"/>
  <c r="X63" i="13"/>
  <c r="C63" i="10" s="1"/>
  <c r="X64" i="13"/>
  <c r="N72" i="13"/>
  <c r="N73" i="13"/>
  <c r="C30" i="10"/>
  <c r="C32" i="10"/>
  <c r="C33" i="10"/>
  <c r="C34" i="10"/>
  <c r="C36" i="10"/>
  <c r="C37" i="10"/>
  <c r="C38" i="10"/>
  <c r="C40" i="10"/>
  <c r="C41" i="10"/>
  <c r="C42" i="10"/>
  <c r="C44" i="10"/>
  <c r="C45" i="10"/>
  <c r="C46" i="10"/>
  <c r="C48" i="10"/>
  <c r="C49" i="10"/>
  <c r="C50" i="10"/>
  <c r="C52" i="10"/>
  <c r="C53" i="10"/>
  <c r="C54" i="10"/>
  <c r="C56" i="10"/>
  <c r="C57" i="10"/>
  <c r="C58" i="10"/>
  <c r="C60" i="10"/>
  <c r="C61" i="10"/>
  <c r="C62" i="10"/>
  <c r="C64" i="10"/>
  <c r="C29" i="10"/>
  <c r="C28"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11" i="10"/>
  <c r="AO61" i="8" l="1"/>
  <c r="AM67" i="8"/>
  <c r="AN67" i="8" s="1"/>
  <c r="B73" i="10"/>
  <c r="AM73" i="10"/>
  <c r="AN72" i="10"/>
  <c r="AJ103" i="8" s="1"/>
  <c r="AO72" i="10"/>
  <c r="AJ114" i="8" s="1"/>
  <c r="AP73" i="10"/>
  <c r="AS72" i="10"/>
  <c r="AJ109" i="8" s="1"/>
  <c r="C73" i="10"/>
  <c r="AM72" i="10"/>
  <c r="AJ95" i="8" s="1"/>
  <c r="AO73" i="10"/>
  <c r="AP72" i="10"/>
  <c r="AJ115" i="8" s="1"/>
  <c r="AS73" i="10"/>
  <c r="B72" i="10"/>
  <c r="AJ7" i="8" s="1"/>
  <c r="AN73" i="10"/>
  <c r="AR73" i="10"/>
  <c r="AR72" i="10"/>
  <c r="AJ117" i="8" s="1"/>
  <c r="C72" i="10"/>
  <c r="AJ17" i="8" s="1"/>
  <c r="E80" i="8"/>
  <c r="N77" i="8"/>
  <c r="N74" i="8"/>
  <c r="N71" i="8"/>
  <c r="N69" i="8"/>
  <c r="E77" i="8"/>
  <c r="E74" i="8"/>
  <c r="E71" i="8"/>
  <c r="E69" i="8"/>
  <c r="N21" i="8"/>
  <c r="E21" i="8"/>
  <c r="E85" i="8"/>
  <c r="E84" i="8"/>
  <c r="N12" i="8"/>
  <c r="AF12" i="8" s="1"/>
  <c r="AM12" i="8" s="1"/>
  <c r="AN12" i="8" s="1"/>
  <c r="N25" i="8"/>
  <c r="E47" i="8"/>
  <c r="E46" i="8"/>
  <c r="E45" i="8"/>
  <c r="N45" i="8"/>
  <c r="E14" i="8"/>
  <c r="E88" i="8"/>
  <c r="E87" i="8"/>
  <c r="E86" i="8"/>
  <c r="F84" i="8"/>
  <c r="F86" i="8"/>
  <c r="F85" i="8"/>
  <c r="F88" i="8"/>
  <c r="F87" i="8"/>
  <c r="E41" i="8"/>
  <c r="N41" i="8"/>
  <c r="N88" i="8"/>
  <c r="N87" i="8"/>
  <c r="N86" i="8"/>
  <c r="N85" i="8"/>
  <c r="N84" i="8"/>
  <c r="E30" i="8"/>
  <c r="E9" i="8"/>
  <c r="AO67" i="8" l="1"/>
  <c r="AF21" i="8"/>
  <c r="AG84" i="8"/>
  <c r="AG87" i="8"/>
  <c r="AG47" i="8"/>
  <c r="AM47" i="8" s="1"/>
  <c r="AG86" i="8"/>
  <c r="AG85" i="8"/>
  <c r="AG88" i="8"/>
  <c r="AO47" i="8" l="1"/>
  <c r="AG89" i="8"/>
  <c r="N36" i="8"/>
  <c r="E36" i="8"/>
  <c r="G2" i="12"/>
  <c r="G3" i="12"/>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AM89" i="8" l="1"/>
  <c r="AN89" i="8" s="1"/>
  <c r="AF36" i="8"/>
  <c r="AM36" i="8" s="1"/>
  <c r="AC78" i="8"/>
  <c r="AD78" i="8" s="1"/>
  <c r="AC100" i="8"/>
  <c r="AD100" i="8" s="1"/>
  <c r="AH100" i="8" s="1"/>
  <c r="AC42" i="8"/>
  <c r="AD42" i="8" s="1"/>
  <c r="AH42" i="8" s="1"/>
  <c r="AF39" i="8"/>
  <c r="AC26" i="8"/>
  <c r="AC48" i="8"/>
  <c r="AC15" i="8"/>
  <c r="AE15" i="8" s="1"/>
  <c r="AC31" i="8"/>
  <c r="AE31" i="8" s="1"/>
  <c r="AC22" i="8"/>
  <c r="AD22" i="8" s="1"/>
  <c r="AC18" i="8"/>
  <c r="AC65" i="8"/>
  <c r="AE65" i="8" s="1"/>
  <c r="N64" i="8"/>
  <c r="N63" i="8"/>
  <c r="AO36" i="8" l="1"/>
  <c r="AE26" i="8"/>
  <c r="AH26" i="8"/>
  <c r="AD18" i="8"/>
  <c r="AH18" i="8"/>
  <c r="AE48" i="8"/>
  <c r="AH48" i="8"/>
  <c r="AM48" i="8" s="1"/>
  <c r="AN48" i="8" s="1"/>
  <c r="AD65" i="8"/>
  <c r="AH65" i="8" s="1"/>
  <c r="AE22" i="8"/>
  <c r="AE100" i="8"/>
  <c r="AE42" i="8"/>
  <c r="AE78" i="8"/>
  <c r="AD26" i="8"/>
  <c r="AD48" i="8"/>
  <c r="AD15" i="8"/>
  <c r="AH15" i="8" s="1"/>
  <c r="AS12" i="8" s="1"/>
  <c r="AT12" i="8" s="1"/>
  <c r="AD31" i="8"/>
  <c r="AH31" i="8" s="1"/>
  <c r="AC8" i="8"/>
  <c r="N35" i="8"/>
  <c r="F35" i="8"/>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AS48" i="8" l="1"/>
  <c r="AO48" i="8"/>
  <c r="AD8" i="8"/>
  <c r="AE8" i="8"/>
  <c r="I72" i="10"/>
  <c r="I73" i="10"/>
  <c r="AJ33" i="8"/>
  <c r="E33" i="8"/>
  <c r="AF33" i="8" s="1"/>
  <c r="AM33" i="8" s="1"/>
  <c r="AN33" i="8" s="1"/>
  <c r="N14" i="8"/>
  <c r="AF14" i="8" s="1"/>
  <c r="N80" i="8"/>
  <c r="N82" i="8"/>
  <c r="E82" i="8"/>
  <c r="N10" i="8"/>
  <c r="N30" i="8"/>
  <c r="AO33" i="8" l="1"/>
  <c r="AG74" i="8"/>
  <c r="AM74" i="8" s="1"/>
  <c r="AN74" i="8" s="1"/>
  <c r="AG41" i="8"/>
  <c r="AM41" i="8" s="1"/>
  <c r="AN41" i="8" s="1"/>
  <c r="AG69" i="8"/>
  <c r="AM69" i="8" s="1"/>
  <c r="AN69" i="8" s="1"/>
  <c r="AG71" i="8"/>
  <c r="AM71" i="8" s="1"/>
  <c r="AN71" i="8" s="1"/>
  <c r="AG77" i="8"/>
  <c r="AM77" i="8" s="1"/>
  <c r="AN77" i="8" s="1"/>
  <c r="AG80" i="8"/>
  <c r="AM80" i="8" s="1"/>
  <c r="AN80" i="8" s="1"/>
  <c r="AG82" i="8"/>
  <c r="AM82" i="8" s="1"/>
  <c r="AN82" i="8" s="1"/>
  <c r="AO41" i="8" l="1"/>
  <c r="AO77" i="8"/>
  <c r="AJ12" i="8"/>
  <c r="AJ69" i="8"/>
  <c r="AO69" i="8" s="1"/>
  <c r="AJ89" i="8"/>
  <c r="AJ82" i="8"/>
  <c r="AO82" i="8" s="1"/>
  <c r="AJ65" i="8"/>
  <c r="AF25" i="8"/>
  <c r="AO12" i="8" l="1"/>
  <c r="AO63" i="8"/>
  <c r="AO89" i="8"/>
  <c r="N9" i="8"/>
  <c r="N29" i="8"/>
  <c r="AG10" i="8" l="1"/>
  <c r="AG29" i="8"/>
  <c r="AQ28" i="8" s="1"/>
  <c r="AG30" i="8"/>
  <c r="AG9" i="8"/>
  <c r="AQ7" i="8" s="1"/>
  <c r="AR7" i="8" s="1"/>
  <c r="AJ71" i="8"/>
  <c r="AJ74" i="8"/>
  <c r="AJ80" i="8"/>
  <c r="AO80" i="8" l="1"/>
  <c r="AO74" i="8"/>
  <c r="AO71" i="8"/>
  <c r="AF55" i="8"/>
  <c r="AM55" i="8" s="1"/>
  <c r="AN55" i="8" s="1"/>
  <c r="AJ55" i="8"/>
  <c r="AJ24" i="8"/>
  <c r="N24" i="8"/>
  <c r="AF24" i="8" s="1"/>
  <c r="AM24" i="8" s="1"/>
  <c r="AN24" i="8" s="1"/>
  <c r="AO24" i="8" l="1"/>
  <c r="AO55" i="8"/>
  <c r="AJ111" i="8"/>
  <c r="AJ119" i="8" s="1"/>
  <c r="E8" i="8" l="1"/>
  <c r="AF46" i="8" l="1"/>
  <c r="AF51" i="8" l="1"/>
  <c r="AM51" i="8" s="1"/>
  <c r="AN51" i="8" s="1"/>
  <c r="AF52" i="8"/>
  <c r="AM52" i="8" s="1"/>
  <c r="AN52" i="8" s="1"/>
  <c r="AF53" i="8"/>
  <c r="AM53" i="8" s="1"/>
  <c r="AN53" i="8" s="1"/>
  <c r="AF50" i="8"/>
  <c r="AM50" i="8" s="1"/>
  <c r="AN50" i="8" s="1"/>
  <c r="BF75" i="10"/>
  <c r="BG75" i="10"/>
  <c r="BH75" i="10"/>
  <c r="BE75" i="10"/>
  <c r="AJ50" i="8"/>
  <c r="AJ51" i="8"/>
  <c r="AJ52" i="8"/>
  <c r="AJ53" i="8"/>
  <c r="AO50" i="8" l="1"/>
  <c r="AO53" i="8"/>
  <c r="AO52" i="8"/>
  <c r="AO51" i="8"/>
  <c r="G67" i="8"/>
  <c r="F67" i="8"/>
  <c r="E17" i="8"/>
  <c r="AF17" i="8" s="1"/>
  <c r="AM17" i="8" s="1"/>
  <c r="AN17" i="8" s="1"/>
  <c r="AO17" i="8" s="1"/>
  <c r="AF45" i="8"/>
  <c r="E44" i="8" l="1"/>
  <c r="AG44" i="8" s="1"/>
  <c r="AF40" i="8"/>
  <c r="G39" i="8"/>
  <c r="F39" i="8"/>
  <c r="AJ104" i="8"/>
  <c r="O28" i="8"/>
  <c r="AI28" i="8" s="1"/>
  <c r="N28" i="8"/>
  <c r="AF28" i="8" s="1"/>
  <c r="AM28" i="8" s="1"/>
  <c r="AN28" i="8" s="1"/>
  <c r="AJ20" i="8"/>
  <c r="AJ28" i="8"/>
  <c r="AR28" i="8" l="1"/>
  <c r="AO28" i="8"/>
  <c r="AF44" i="8"/>
  <c r="E49" i="6"/>
  <c r="G28" i="8"/>
  <c r="F28" i="8"/>
  <c r="AP41" i="8" l="1"/>
  <c r="AR41" i="8" s="1"/>
  <c r="AP48" i="8"/>
  <c r="AP57" i="8"/>
  <c r="AR57" i="8" s="1"/>
  <c r="AP61" i="8"/>
  <c r="AR61" i="8" s="1"/>
  <c r="AP67" i="8"/>
  <c r="AR67" i="8" s="1"/>
  <c r="AP17" i="8"/>
  <c r="AR17" i="8" s="1"/>
  <c r="AP36" i="8"/>
  <c r="AR36" i="8" s="1"/>
  <c r="AP33" i="8"/>
  <c r="AR33" i="8" s="1"/>
  <c r="AP82" i="8"/>
  <c r="AR82" i="8" s="1"/>
  <c r="AP69" i="8"/>
  <c r="AR69" i="8" s="1"/>
  <c r="AP77" i="8"/>
  <c r="AR77" i="8" s="1"/>
  <c r="AP12" i="8"/>
  <c r="AP89" i="8"/>
  <c r="AR89" i="8" s="1"/>
  <c r="AP63" i="8"/>
  <c r="AR63" i="8" s="1"/>
  <c r="AP71" i="8"/>
  <c r="AR71" i="8" s="1"/>
  <c r="AP80" i="8"/>
  <c r="AR80" i="8" s="1"/>
  <c r="AP74" i="8"/>
  <c r="AR74" i="8" s="1"/>
  <c r="AP55" i="8"/>
  <c r="AR55" i="8" s="1"/>
  <c r="AP24" i="8"/>
  <c r="AR24" i="8" s="1"/>
  <c r="AP50" i="8"/>
  <c r="AR50" i="8" s="1"/>
  <c r="AP52" i="8"/>
  <c r="AR52" i="8" s="1"/>
  <c r="AP53" i="8"/>
  <c r="AR53" i="8" s="1"/>
  <c r="AP51" i="8"/>
  <c r="AR51" i="8" s="1"/>
  <c r="AP28" i="8"/>
  <c r="AK123" i="8"/>
  <c r="AP47" i="8"/>
  <c r="D49" i="6"/>
  <c r="F49" i="6"/>
  <c r="G49" i="6"/>
  <c r="H49" i="6"/>
  <c r="I49" i="6"/>
  <c r="J49" i="6"/>
  <c r="K49" i="6"/>
  <c r="L49" i="6"/>
  <c r="M49" i="6"/>
  <c r="N49" i="6"/>
  <c r="O49" i="6"/>
  <c r="C49" i="6"/>
  <c r="E20" i="8"/>
  <c r="N20" i="8"/>
  <c r="G7" i="8"/>
  <c r="E7" i="8" s="1"/>
  <c r="AF7" i="8" s="1"/>
  <c r="L6" i="4"/>
  <c r="L5" i="4"/>
  <c r="J6" i="4"/>
  <c r="J5" i="4"/>
  <c r="E11" i="4"/>
  <c r="E10" i="4"/>
  <c r="E9" i="4"/>
  <c r="E8" i="4"/>
  <c r="E7" i="4"/>
  <c r="H6" i="4"/>
  <c r="E6" i="4"/>
  <c r="H5" i="4"/>
  <c r="E5" i="4"/>
  <c r="E4" i="4"/>
  <c r="B107" i="3"/>
  <c r="F107" i="3"/>
  <c r="F105" i="2"/>
  <c r="E105" i="2"/>
  <c r="B105" i="2"/>
  <c r="A105" i="2"/>
  <c r="B103" i="1"/>
  <c r="AR48" i="8" l="1"/>
  <c r="AT48" i="8"/>
  <c r="AR12" i="8"/>
  <c r="AF20" i="8"/>
  <c r="AM20" i="8" s="1"/>
  <c r="AN20" i="8" s="1"/>
  <c r="AO20" i="8" l="1"/>
  <c r="AP20" i="8"/>
  <c r="AN7" i="8"/>
  <c r="AP7" i="8" s="1"/>
  <c r="AR20" i="8" l="1"/>
  <c r="AR91" i="8" s="1"/>
  <c r="AP91" i="8"/>
  <c r="AO7" i="8"/>
  <c r="AM91" i="8" s="1"/>
</calcChain>
</file>

<file path=xl/comments1.xml><?xml version="1.0" encoding="utf-8"?>
<comments xmlns="http://schemas.openxmlformats.org/spreadsheetml/2006/main">
  <authors>
    <author>Sylvie</author>
  </authors>
  <commentList>
    <comment ref="H4" authorId="0">
      <text>
        <r>
          <rPr>
            <b/>
            <sz val="9"/>
            <color indexed="81"/>
            <rFont val="Tahoma"/>
            <family val="2"/>
          </rPr>
          <t>Sylvie:</t>
        </r>
        <r>
          <rPr>
            <sz val="9"/>
            <color indexed="81"/>
            <rFont val="Tahoma"/>
            <family val="2"/>
          </rPr>
          <t xml:space="preserve">
from graph
</t>
        </r>
      </text>
    </comment>
  </commentList>
</comments>
</file>

<file path=xl/comments2.xml><?xml version="1.0" encoding="utf-8"?>
<comments xmlns="http://schemas.openxmlformats.org/spreadsheetml/2006/main">
  <authors>
    <author>Sylvie</author>
  </authors>
  <commentList>
    <comment ref="I7" authorId="0">
      <text>
        <r>
          <rPr>
            <b/>
            <sz val="9"/>
            <color indexed="81"/>
            <rFont val="Tahoma"/>
            <family val="2"/>
          </rPr>
          <t>Sylvie:</t>
        </r>
        <r>
          <rPr>
            <sz val="9"/>
            <color indexed="81"/>
            <rFont val="Tahoma"/>
            <family val="2"/>
          </rPr>
          <t xml:space="preserve">
F0.1 in the 1990s</t>
        </r>
      </text>
    </comment>
    <comment ref="D12" authorId="0">
      <text>
        <r>
          <rPr>
            <b/>
            <sz val="9"/>
            <color indexed="81"/>
            <rFont val="Tahoma"/>
            <family val="2"/>
          </rPr>
          <t>Sylvie:</t>
        </r>
        <r>
          <rPr>
            <sz val="9"/>
            <color indexed="81"/>
            <rFont val="Tahoma"/>
            <family val="2"/>
          </rPr>
          <t xml:space="preserve">
4Xmn are part of the eastern component</t>
        </r>
      </text>
    </comment>
    <comment ref="AJ12" authorId="0">
      <text>
        <r>
          <rPr>
            <b/>
            <sz val="9"/>
            <color indexed="81"/>
            <rFont val="Tahoma"/>
            <family val="2"/>
          </rPr>
          <t>Sylvie:</t>
        </r>
        <r>
          <rPr>
            <sz val="9"/>
            <color indexed="81"/>
            <rFont val="Tahoma"/>
            <family val="2"/>
          </rPr>
          <t xml:space="preserve">
starts 1982</t>
        </r>
      </text>
    </comment>
    <comment ref="E15" authorId="0">
      <text>
        <r>
          <rPr>
            <b/>
            <sz val="9"/>
            <color indexed="81"/>
            <rFont val="Tahoma"/>
            <family val="2"/>
          </rPr>
          <t>Sylvie:</t>
        </r>
        <r>
          <rPr>
            <sz val="9"/>
            <color indexed="81"/>
            <rFont val="Tahoma"/>
            <family val="2"/>
          </rPr>
          <t xml:space="preserve">
kg/100hooks
average of the commercial CPUE from the period of higher catch rates
(1986-1992) was used as a proxy for Maximum Sustainable Yield (MSY).</t>
        </r>
      </text>
    </comment>
    <comment ref="N15" authorId="0">
      <text>
        <r>
          <rPr>
            <b/>
            <sz val="9"/>
            <color indexed="81"/>
            <rFont val="Tahoma"/>
            <family val="2"/>
          </rPr>
          <t>Sylvie:</t>
        </r>
        <r>
          <rPr>
            <sz val="9"/>
            <color indexed="81"/>
            <rFont val="Tahoma"/>
            <family val="2"/>
          </rPr>
          <t xml:space="preserve">
kg/100hooks</t>
        </r>
      </text>
    </comment>
    <comment ref="AF15" authorId="0">
      <text>
        <r>
          <rPr>
            <b/>
            <sz val="9"/>
            <color indexed="81"/>
            <rFont val="Tahoma"/>
            <family val="2"/>
          </rPr>
          <t>Sylvie:</t>
        </r>
        <r>
          <rPr>
            <sz val="9"/>
            <color indexed="81"/>
            <rFont val="Tahoma"/>
            <family val="2"/>
          </rPr>
          <t xml:space="preserve">
based on cpue</t>
        </r>
      </text>
    </comment>
    <comment ref="AJ15" authorId="0">
      <text>
        <r>
          <rPr>
            <b/>
            <sz val="9"/>
            <color indexed="81"/>
            <rFont val="Tahoma"/>
            <family val="2"/>
          </rPr>
          <t>Sylvie:</t>
        </r>
        <r>
          <rPr>
            <sz val="9"/>
            <color indexed="81"/>
            <rFont val="Tahoma"/>
            <family val="2"/>
          </rPr>
          <t xml:space="preserve">
{Harris, 2010 #7431}</t>
        </r>
      </text>
    </comment>
    <comment ref="E18" authorId="0">
      <text>
        <r>
          <rPr>
            <b/>
            <sz val="9"/>
            <color indexed="81"/>
            <rFont val="Tahoma"/>
            <family val="2"/>
          </rPr>
          <t>Sylvie:</t>
        </r>
        <r>
          <rPr>
            <sz val="9"/>
            <color indexed="81"/>
            <rFont val="Tahoma"/>
            <family val="2"/>
          </rPr>
          <t xml:space="preserve">
Bmsy=5073
{Trzcinski, 2012 #7414}</t>
        </r>
      </text>
    </comment>
    <comment ref="G18" authorId="0">
      <text>
        <r>
          <rPr>
            <b/>
            <sz val="9"/>
            <color indexed="81"/>
            <rFont val="Tahoma"/>
            <family val="2"/>
          </rPr>
          <t>Sylvie:</t>
        </r>
        <r>
          <rPr>
            <sz val="9"/>
            <color indexed="81"/>
            <rFont val="Tahoma"/>
            <family val="2"/>
          </rPr>
          <t xml:space="preserve">
80% SSBmsy
</t>
        </r>
      </text>
    </comment>
    <comment ref="I18" authorId="0">
      <text>
        <r>
          <rPr>
            <b/>
            <sz val="9"/>
            <color indexed="81"/>
            <rFont val="Tahoma"/>
            <family val="2"/>
          </rPr>
          <t>Sylvie:</t>
        </r>
        <r>
          <rPr>
            <sz val="9"/>
            <color indexed="81"/>
            <rFont val="Tahoma"/>
            <family val="2"/>
          </rPr>
          <t xml:space="preserve">
base on M and scope for growth</t>
        </r>
      </text>
    </comment>
    <comment ref="N25" authorId="0">
      <text>
        <r>
          <rPr>
            <b/>
            <sz val="9"/>
            <color indexed="81"/>
            <rFont val="Tahoma"/>
            <family val="2"/>
          </rPr>
          <t>Sylvie:</t>
        </r>
        <r>
          <rPr>
            <sz val="9"/>
            <color indexed="81"/>
            <rFont val="Tahoma"/>
            <family val="2"/>
          </rPr>
          <t xml:space="preserve">
ages 4-10</t>
        </r>
      </text>
    </comment>
    <comment ref="P25" authorId="0">
      <text>
        <r>
          <rPr>
            <b/>
            <sz val="9"/>
            <color indexed="81"/>
            <rFont val="Tahoma"/>
            <family val="2"/>
          </rPr>
          <t>Sylvie:</t>
        </r>
        <r>
          <rPr>
            <sz val="9"/>
            <color indexed="81"/>
            <rFont val="Tahoma"/>
            <family val="2"/>
          </rPr>
          <t xml:space="preserve">
used 2008-2006 as the reference biomass to avoid the retrospective; the corrected numbers show decr in N in 2010, stable for 2006-2008</t>
        </r>
      </text>
    </comment>
    <comment ref="E30" authorId="0">
      <text>
        <r>
          <rPr>
            <b/>
            <sz val="9"/>
            <color indexed="81"/>
            <rFont val="Tahoma"/>
            <family val="2"/>
          </rPr>
          <t>Sylvie:</t>
        </r>
        <r>
          <rPr>
            <sz val="9"/>
            <color indexed="81"/>
            <rFont val="Tahoma"/>
            <family val="2"/>
          </rPr>
          <t xml:space="preserve">
numbers</t>
        </r>
      </text>
    </comment>
    <comment ref="N30" authorId="0">
      <text>
        <r>
          <rPr>
            <b/>
            <sz val="9"/>
            <color indexed="81"/>
            <rFont val="Tahoma"/>
            <family val="2"/>
          </rPr>
          <t>Sylvie:</t>
        </r>
        <r>
          <rPr>
            <sz val="9"/>
            <color indexed="81"/>
            <rFont val="Tahoma"/>
            <family val="2"/>
          </rPr>
          <t xml:space="preserve">
numbers of mature fem
range from 11,339 to 14,207</t>
        </r>
      </text>
    </comment>
    <comment ref="AJ30" authorId="0">
      <text>
        <r>
          <rPr>
            <b/>
            <sz val="9"/>
            <color indexed="81"/>
            <rFont val="Tahoma"/>
            <family val="2"/>
          </rPr>
          <t>Sylvie:</t>
        </r>
        <r>
          <rPr>
            <sz val="9"/>
            <color indexed="81"/>
            <rFont val="Tahoma"/>
            <family val="2"/>
          </rPr>
          <t xml:space="preserve">
&gt;1991</t>
        </r>
      </text>
    </comment>
    <comment ref="N32" authorId="0">
      <text>
        <r>
          <rPr>
            <b/>
            <sz val="9"/>
            <color indexed="81"/>
            <rFont val="Tahoma"/>
            <family val="2"/>
          </rPr>
          <t>Sylvie:</t>
        </r>
        <r>
          <rPr>
            <sz val="9"/>
            <color indexed="81"/>
            <rFont val="Tahoma"/>
            <family val="2"/>
          </rPr>
          <t xml:space="preserve">
3yr moving avg</t>
        </r>
      </text>
    </comment>
    <comment ref="A36" authorId="0">
      <text>
        <r>
          <rPr>
            <b/>
            <sz val="9"/>
            <color indexed="81"/>
            <rFont val="Tahoma"/>
            <family val="2"/>
          </rPr>
          <t>Sylvie:</t>
        </r>
        <r>
          <rPr>
            <sz val="9"/>
            <color indexed="81"/>
            <rFont val="Tahoma"/>
            <family val="2"/>
          </rPr>
          <t xml:space="preserve">
{Fowler, 2012 #7423}
The model regards all of 4VWX American plaice as one population, such that the reference
points are intended to sustain the population as a whole. However, American plaice in 4X/5
(Bay of Fundy) are marginal to the population distribution, such that the indicators of stock
status cater mostly to 4VW American plaice</t>
        </r>
      </text>
    </comment>
    <comment ref="D36" authorId="0">
      <text>
        <r>
          <rPr>
            <b/>
            <sz val="9"/>
            <color indexed="81"/>
            <rFont val="Tahoma"/>
            <family val="2"/>
          </rPr>
          <t>Sylvie:</t>
        </r>
        <r>
          <rPr>
            <sz val="9"/>
            <color indexed="81"/>
            <rFont val="Tahoma"/>
            <family val="2"/>
          </rPr>
          <t xml:space="preserve">
loss of 4X5 component of the stock</t>
        </r>
      </text>
    </comment>
    <comment ref="E36" authorId="0">
      <text>
        <r>
          <rPr>
            <b/>
            <sz val="9"/>
            <color indexed="81"/>
            <rFont val="Tahoma"/>
            <family val="2"/>
          </rPr>
          <t>Sylvie:</t>
        </r>
        <r>
          <rPr>
            <sz val="9"/>
            <color indexed="81"/>
            <rFont val="Tahoma"/>
            <family val="2"/>
          </rPr>
          <t xml:space="preserve">
assumes 60% of carrying capacity in the 1970s= pop abundance in the 1970s</t>
        </r>
      </text>
    </comment>
    <comment ref="N36" authorId="0">
      <text>
        <r>
          <rPr>
            <b/>
            <sz val="9"/>
            <color indexed="81"/>
            <rFont val="Tahoma"/>
            <family val="2"/>
          </rPr>
          <t>Sylvie:</t>
        </r>
        <r>
          <rPr>
            <sz val="9"/>
            <color indexed="81"/>
            <rFont val="Tahoma"/>
            <family val="2"/>
          </rPr>
          <t xml:space="preserve">
from graph
</t>
        </r>
      </text>
    </comment>
    <comment ref="A40" authorId="0">
      <text>
        <r>
          <rPr>
            <b/>
            <sz val="9"/>
            <color indexed="81"/>
            <rFont val="Tahoma"/>
            <family val="2"/>
          </rPr>
          <t>Sylvie:</t>
        </r>
        <r>
          <rPr>
            <sz val="9"/>
            <color indexed="81"/>
            <rFont val="Tahoma"/>
            <family val="2"/>
          </rPr>
          <t xml:space="preserve">
Acadian redfish: S. fasciatis</t>
        </r>
      </text>
    </comment>
    <comment ref="D40" authorId="0">
      <text>
        <r>
          <rPr>
            <b/>
            <sz val="9"/>
            <color indexed="81"/>
            <rFont val="Tahoma"/>
            <family val="2"/>
          </rPr>
          <t>Sylvie:</t>
        </r>
        <r>
          <rPr>
            <sz val="9"/>
            <color indexed="81"/>
            <rFont val="Tahoma"/>
            <family val="2"/>
          </rPr>
          <t xml:space="preserve">
BoF + SS
assessment is only for 4VW (ESS)</t>
        </r>
      </text>
    </comment>
    <comment ref="I40" authorId="0">
      <text>
        <r>
          <rPr>
            <b/>
            <sz val="9"/>
            <color indexed="81"/>
            <rFont val="Tahoma"/>
            <family val="2"/>
          </rPr>
          <t>Sylvie:</t>
        </r>
        <r>
          <rPr>
            <sz val="9"/>
            <color indexed="81"/>
            <rFont val="Tahoma"/>
            <family val="2"/>
          </rPr>
          <t xml:space="preserve">
level that would not result in reduction of pop biomass</t>
        </r>
      </text>
    </comment>
    <comment ref="AF40" authorId="0">
      <text>
        <r>
          <rPr>
            <b/>
            <sz val="9"/>
            <color indexed="81"/>
            <rFont val="Tahoma"/>
            <family val="2"/>
          </rPr>
          <t>Sylvie:</t>
        </r>
        <r>
          <rPr>
            <sz val="9"/>
            <color indexed="81"/>
            <rFont val="Tahoma"/>
            <family val="2"/>
          </rPr>
          <t xml:space="preserve">
99% &gt;1</t>
        </r>
      </text>
    </comment>
    <comment ref="A44" authorId="0">
      <text>
        <r>
          <rPr>
            <b/>
            <sz val="9"/>
            <color indexed="81"/>
            <rFont val="Tahoma"/>
            <family val="2"/>
          </rPr>
          <t>Sylvie:</t>
        </r>
        <r>
          <rPr>
            <sz val="9"/>
            <color indexed="81"/>
            <rFont val="Tahoma"/>
            <family val="2"/>
          </rPr>
          <t xml:space="preserve">
Acadian redfish: S. fasciatis</t>
        </r>
      </text>
    </comment>
    <comment ref="O51" authorId="0">
      <text>
        <r>
          <rPr>
            <b/>
            <sz val="9"/>
            <color indexed="81"/>
            <rFont val="Tahoma"/>
            <family val="2"/>
          </rPr>
          <t>Sylvie:</t>
        </r>
        <r>
          <rPr>
            <sz val="9"/>
            <color indexed="81"/>
            <rFont val="Tahoma"/>
            <family val="2"/>
          </rPr>
          <t xml:space="preserve">
2008</t>
        </r>
      </text>
    </comment>
    <comment ref="AI53" authorId="0">
      <text>
        <r>
          <rPr>
            <b/>
            <sz val="9"/>
            <color indexed="81"/>
            <rFont val="Tahoma"/>
            <family val="2"/>
          </rPr>
          <t>Sylvie:</t>
        </r>
        <r>
          <rPr>
            <sz val="9"/>
            <color indexed="81"/>
            <rFont val="Tahoma"/>
            <family val="2"/>
          </rPr>
          <t xml:space="preserve">
table 19</t>
        </r>
      </text>
    </comment>
    <comment ref="N56" authorId="0">
      <text>
        <r>
          <rPr>
            <b/>
            <sz val="9"/>
            <color indexed="81"/>
            <rFont val="Tahoma"/>
            <family val="2"/>
          </rPr>
          <t>Sylvie:</t>
        </r>
        <r>
          <rPr>
            <sz val="9"/>
            <color indexed="81"/>
            <rFont val="Tahoma"/>
            <family val="2"/>
          </rPr>
          <t xml:space="preserve">
2014 base model</t>
        </r>
      </text>
    </comment>
    <comment ref="AF56" authorId="0">
      <text>
        <r>
          <rPr>
            <b/>
            <sz val="9"/>
            <color indexed="81"/>
            <rFont val="Tahoma"/>
            <family val="2"/>
          </rPr>
          <t>Sylvie:</t>
        </r>
        <r>
          <rPr>
            <sz val="9"/>
            <color indexed="81"/>
            <rFont val="Tahoma"/>
            <family val="2"/>
          </rPr>
          <t xml:space="preserve">
from fig 40</t>
        </r>
      </text>
    </comment>
    <comment ref="AL56" authorId="0">
      <text>
        <r>
          <rPr>
            <b/>
            <sz val="9"/>
            <color indexed="81"/>
            <rFont val="Tahoma"/>
            <family val="2"/>
          </rPr>
          <t>Sylvie:</t>
        </r>
        <r>
          <rPr>
            <sz val="9"/>
            <color indexed="81"/>
            <rFont val="Tahoma"/>
            <family val="2"/>
          </rPr>
          <t xml:space="preserve">
see note
64-65</t>
        </r>
      </text>
    </comment>
    <comment ref="AM56" authorId="0">
      <text>
        <r>
          <rPr>
            <b/>
            <sz val="9"/>
            <color indexed="81"/>
            <rFont val="Tahoma"/>
            <family val="2"/>
          </rPr>
          <t>Sylvie:</t>
        </r>
        <r>
          <rPr>
            <sz val="9"/>
            <color indexed="81"/>
            <rFont val="Tahoma"/>
            <family val="2"/>
          </rPr>
          <t xml:space="preserve">
F' score calculated after rules in {Halpern, 2014 #7439}. </t>
        </r>
      </text>
    </comment>
    <comment ref="H59" authorId="0">
      <text>
        <r>
          <rPr>
            <b/>
            <sz val="9"/>
            <color indexed="81"/>
            <rFont val="Tahoma"/>
            <family val="2"/>
          </rPr>
          <t>Sylvie:</t>
        </r>
        <r>
          <rPr>
            <sz val="9"/>
            <color indexed="81"/>
            <rFont val="Tahoma"/>
            <family val="2"/>
          </rPr>
          <t xml:space="preserve">
F40%</t>
        </r>
      </text>
    </comment>
    <comment ref="N59" authorId="0">
      <text>
        <r>
          <rPr>
            <b/>
            <sz val="9"/>
            <color indexed="81"/>
            <rFont val="Tahoma"/>
            <family val="2"/>
          </rPr>
          <t>Sylvie:</t>
        </r>
        <r>
          <rPr>
            <sz val="9"/>
            <color indexed="81"/>
            <rFont val="Tahoma"/>
            <family val="2"/>
          </rPr>
          <t xml:space="preserve">
table 5</t>
        </r>
      </text>
    </comment>
    <comment ref="O59" authorId="0">
      <text>
        <r>
          <rPr>
            <b/>
            <sz val="9"/>
            <color indexed="81"/>
            <rFont val="Tahoma"/>
            <family val="2"/>
          </rPr>
          <t>Sylvie:</t>
        </r>
        <r>
          <rPr>
            <sz val="9"/>
            <color indexed="81"/>
            <rFont val="Tahoma"/>
            <family val="2"/>
          </rPr>
          <t xml:space="preserve">
2007:0.9</t>
        </r>
      </text>
    </comment>
    <comment ref="F62" authorId="0">
      <text>
        <r>
          <rPr>
            <b/>
            <sz val="9"/>
            <color indexed="81"/>
            <rFont val="Tahoma"/>
            <family val="2"/>
          </rPr>
          <t>Sylvie:</t>
        </r>
        <r>
          <rPr>
            <sz val="9"/>
            <color indexed="81"/>
            <rFont val="Tahoma"/>
            <family val="2"/>
          </rPr>
          <t xml:space="preserve">
the lowest B from which a secure recovery has been demonstrated 2730 in 1991</t>
        </r>
      </text>
    </comment>
    <comment ref="I62" authorId="0">
      <text>
        <r>
          <rPr>
            <b/>
            <sz val="9"/>
            <color indexed="81"/>
            <rFont val="Tahoma"/>
            <family val="2"/>
          </rPr>
          <t>Sylvie:</t>
        </r>
        <r>
          <rPr>
            <sz val="9"/>
            <color indexed="81"/>
            <rFont val="Tahoma"/>
            <family val="2"/>
          </rPr>
          <t xml:space="preserve">
level that causes no change in biomass
</t>
        </r>
      </text>
    </comment>
    <comment ref="O62" authorId="0">
      <text>
        <r>
          <rPr>
            <b/>
            <sz val="9"/>
            <color indexed="81"/>
            <rFont val="Tahoma"/>
            <family val="2"/>
          </rPr>
          <t>Sylvie:</t>
        </r>
        <r>
          <rPr>
            <sz val="9"/>
            <color indexed="81"/>
            <rFont val="Tahoma"/>
            <family val="2"/>
          </rPr>
          <t xml:space="preserve">
from graph</t>
        </r>
      </text>
    </comment>
    <comment ref="AJ99" authorId="0">
      <text>
        <r>
          <rPr>
            <b/>
            <sz val="9"/>
            <color indexed="81"/>
            <rFont val="Tahoma"/>
            <family val="2"/>
          </rPr>
          <t>Sylvie:</t>
        </r>
        <r>
          <rPr>
            <sz val="9"/>
            <color indexed="81"/>
            <rFont val="Tahoma"/>
            <family val="2"/>
          </rPr>
          <t xml:space="preserve">
starts in 1988-89</t>
        </r>
      </text>
    </comment>
    <comment ref="O102" authorId="0">
      <text>
        <r>
          <rPr>
            <b/>
            <sz val="9"/>
            <color indexed="81"/>
            <rFont val="Tahoma"/>
            <family val="2"/>
          </rPr>
          <t>Sylvie:</t>
        </r>
        <r>
          <rPr>
            <sz val="9"/>
            <color indexed="81"/>
            <rFont val="Tahoma"/>
            <family val="2"/>
          </rPr>
          <t xml:space="preserve">
SF</t>
        </r>
      </text>
    </comment>
    <comment ref="AJ102" authorId="0">
      <text>
        <r>
          <rPr>
            <b/>
            <sz val="9"/>
            <color indexed="81"/>
            <rFont val="Tahoma"/>
            <family val="2"/>
          </rPr>
          <t>Sylvie:</t>
        </r>
        <r>
          <rPr>
            <sz val="9"/>
            <color indexed="81"/>
            <rFont val="Tahoma"/>
            <family val="2"/>
          </rPr>
          <t xml:space="preserve">
assume BOF is half the catch</t>
        </r>
      </text>
    </comment>
  </commentList>
</comments>
</file>

<file path=xl/comments3.xml><?xml version="1.0" encoding="utf-8"?>
<comments xmlns="http://schemas.openxmlformats.org/spreadsheetml/2006/main">
  <authors>
    <author>Sylvie</author>
  </authors>
  <commentList>
    <comment ref="I7" authorId="0">
      <text>
        <r>
          <rPr>
            <b/>
            <sz val="9"/>
            <color indexed="81"/>
            <rFont val="Tahoma"/>
            <family val="2"/>
          </rPr>
          <t>Sylvie:</t>
        </r>
        <r>
          <rPr>
            <sz val="9"/>
            <color indexed="81"/>
            <rFont val="Tahoma"/>
            <family val="2"/>
          </rPr>
          <t xml:space="preserve">
F0.1 in the 1990s</t>
        </r>
      </text>
    </comment>
    <comment ref="D12" authorId="0">
      <text>
        <r>
          <rPr>
            <b/>
            <sz val="9"/>
            <color indexed="81"/>
            <rFont val="Tahoma"/>
            <family val="2"/>
          </rPr>
          <t>Sylvie:</t>
        </r>
        <r>
          <rPr>
            <sz val="9"/>
            <color indexed="81"/>
            <rFont val="Tahoma"/>
            <family val="2"/>
          </rPr>
          <t xml:space="preserve">
4Xmn are part of the eastern component</t>
        </r>
      </text>
    </comment>
    <comment ref="AJ12" authorId="0">
      <text>
        <r>
          <rPr>
            <b/>
            <sz val="9"/>
            <color indexed="81"/>
            <rFont val="Tahoma"/>
            <family val="2"/>
          </rPr>
          <t>Sylvie:</t>
        </r>
        <r>
          <rPr>
            <sz val="9"/>
            <color indexed="81"/>
            <rFont val="Tahoma"/>
            <family val="2"/>
          </rPr>
          <t xml:space="preserve">
starts 1982</t>
        </r>
      </text>
    </comment>
    <comment ref="E17" authorId="0">
      <text>
        <r>
          <rPr>
            <b/>
            <sz val="9"/>
            <color indexed="81"/>
            <rFont val="Tahoma"/>
            <family val="2"/>
          </rPr>
          <t>Sylvie:</t>
        </r>
        <r>
          <rPr>
            <sz val="9"/>
            <color indexed="81"/>
            <rFont val="Tahoma"/>
            <family val="2"/>
          </rPr>
          <t xml:space="preserve">
kg/100hooks
average of the commercial CPUE from the period of higher catch rates
(1986-1992) was used as a proxy for Maximum Sustainable Yield (MSY).</t>
        </r>
      </text>
    </comment>
    <comment ref="N17" authorId="0">
      <text>
        <r>
          <rPr>
            <b/>
            <sz val="9"/>
            <color indexed="81"/>
            <rFont val="Tahoma"/>
            <family val="2"/>
          </rPr>
          <t>Sylvie:</t>
        </r>
        <r>
          <rPr>
            <sz val="9"/>
            <color indexed="81"/>
            <rFont val="Tahoma"/>
            <family val="2"/>
          </rPr>
          <t xml:space="preserve">
kg/100hooks</t>
        </r>
      </text>
    </comment>
    <comment ref="AF17" authorId="0">
      <text>
        <r>
          <rPr>
            <b/>
            <sz val="9"/>
            <color indexed="81"/>
            <rFont val="Tahoma"/>
            <family val="2"/>
          </rPr>
          <t>Sylvie:</t>
        </r>
        <r>
          <rPr>
            <sz val="9"/>
            <color indexed="81"/>
            <rFont val="Tahoma"/>
            <family val="2"/>
          </rPr>
          <t xml:space="preserve">
based on cpue</t>
        </r>
      </text>
    </comment>
    <comment ref="E20" authorId="0">
      <text>
        <r>
          <rPr>
            <b/>
            <sz val="9"/>
            <color indexed="81"/>
            <rFont val="Tahoma"/>
            <family val="2"/>
          </rPr>
          <t>Sylvie:</t>
        </r>
        <r>
          <rPr>
            <sz val="9"/>
            <color indexed="81"/>
            <rFont val="Tahoma"/>
            <family val="2"/>
          </rPr>
          <t xml:space="preserve">
Bmsy=5073
{Trzcinski, 2012 #7414}</t>
        </r>
      </text>
    </comment>
    <comment ref="G20" authorId="0">
      <text>
        <r>
          <rPr>
            <b/>
            <sz val="9"/>
            <color indexed="81"/>
            <rFont val="Tahoma"/>
            <family val="2"/>
          </rPr>
          <t>Sylvie:</t>
        </r>
        <r>
          <rPr>
            <sz val="9"/>
            <color indexed="81"/>
            <rFont val="Tahoma"/>
            <family val="2"/>
          </rPr>
          <t xml:space="preserve">
80% SSBmsy
</t>
        </r>
      </text>
    </comment>
    <comment ref="I20" authorId="0">
      <text>
        <r>
          <rPr>
            <b/>
            <sz val="9"/>
            <color indexed="81"/>
            <rFont val="Tahoma"/>
            <family val="2"/>
          </rPr>
          <t>Sylvie:</t>
        </r>
        <r>
          <rPr>
            <sz val="9"/>
            <color indexed="81"/>
            <rFont val="Tahoma"/>
            <family val="2"/>
          </rPr>
          <t xml:space="preserve">
base on M and scope for growth</t>
        </r>
      </text>
    </comment>
    <comment ref="N28" authorId="0">
      <text>
        <r>
          <rPr>
            <b/>
            <sz val="9"/>
            <color indexed="81"/>
            <rFont val="Tahoma"/>
            <family val="2"/>
          </rPr>
          <t>Sylvie:</t>
        </r>
        <r>
          <rPr>
            <sz val="9"/>
            <color indexed="81"/>
            <rFont val="Tahoma"/>
            <family val="2"/>
          </rPr>
          <t xml:space="preserve">
ages 4-10</t>
        </r>
      </text>
    </comment>
    <comment ref="P28" authorId="0">
      <text>
        <r>
          <rPr>
            <b/>
            <sz val="9"/>
            <color indexed="81"/>
            <rFont val="Tahoma"/>
            <family val="2"/>
          </rPr>
          <t>Sylvie:</t>
        </r>
        <r>
          <rPr>
            <sz val="9"/>
            <color indexed="81"/>
            <rFont val="Tahoma"/>
            <family val="2"/>
          </rPr>
          <t xml:space="preserve">
used 2008-2006 as the reference biomass to avoid the retrospective; the corrected numbers show decr in N in 2010, stable for 2006-2008</t>
        </r>
      </text>
    </comment>
    <comment ref="E33" authorId="0">
      <text>
        <r>
          <rPr>
            <b/>
            <sz val="9"/>
            <color indexed="81"/>
            <rFont val="Tahoma"/>
            <family val="2"/>
          </rPr>
          <t>Sylvie:</t>
        </r>
        <r>
          <rPr>
            <sz val="9"/>
            <color indexed="81"/>
            <rFont val="Tahoma"/>
            <family val="2"/>
          </rPr>
          <t xml:space="preserve">
numbers</t>
        </r>
      </text>
    </comment>
    <comment ref="N33" authorId="0">
      <text>
        <r>
          <rPr>
            <b/>
            <sz val="9"/>
            <color indexed="81"/>
            <rFont val="Tahoma"/>
            <family val="2"/>
          </rPr>
          <t>Sylvie:</t>
        </r>
        <r>
          <rPr>
            <sz val="9"/>
            <color indexed="81"/>
            <rFont val="Tahoma"/>
            <family val="2"/>
          </rPr>
          <t xml:space="preserve">
numbers of mature fem
range from 11,339 to 14,207</t>
        </r>
      </text>
    </comment>
    <comment ref="AJ33" authorId="0">
      <text>
        <r>
          <rPr>
            <b/>
            <sz val="9"/>
            <color indexed="81"/>
            <rFont val="Tahoma"/>
            <family val="2"/>
          </rPr>
          <t>Sylvie:</t>
        </r>
        <r>
          <rPr>
            <sz val="9"/>
            <color indexed="81"/>
            <rFont val="Tahoma"/>
            <family val="2"/>
          </rPr>
          <t xml:space="preserve">
&gt;1991</t>
        </r>
      </text>
    </comment>
    <comment ref="N35" authorId="0">
      <text>
        <r>
          <rPr>
            <b/>
            <sz val="9"/>
            <color indexed="81"/>
            <rFont val="Tahoma"/>
            <family val="2"/>
          </rPr>
          <t>Sylvie:</t>
        </r>
        <r>
          <rPr>
            <sz val="9"/>
            <color indexed="81"/>
            <rFont val="Tahoma"/>
            <family val="2"/>
          </rPr>
          <t xml:space="preserve">
3yr moving avg</t>
        </r>
      </text>
    </comment>
    <comment ref="A39" authorId="0">
      <text>
        <r>
          <rPr>
            <b/>
            <sz val="9"/>
            <color indexed="81"/>
            <rFont val="Tahoma"/>
            <family val="2"/>
          </rPr>
          <t>Sylvie:</t>
        </r>
        <r>
          <rPr>
            <sz val="9"/>
            <color indexed="81"/>
            <rFont val="Tahoma"/>
            <family val="2"/>
          </rPr>
          <t xml:space="preserve">
{Fowler, 2012 #7423}
The model regards all of 4VWX American plaice as one population, such that the reference
points are intended to sustain the population as a whole. However, American plaice in 4X/5
(Bay of Fundy) are marginal to the population distribution, such that the indicators of stock
status cater mostly to 4VW American plaice</t>
        </r>
      </text>
    </comment>
    <comment ref="D39" authorId="0">
      <text>
        <r>
          <rPr>
            <b/>
            <sz val="9"/>
            <color indexed="81"/>
            <rFont val="Tahoma"/>
            <family val="2"/>
          </rPr>
          <t>Sylvie:</t>
        </r>
        <r>
          <rPr>
            <sz val="9"/>
            <color indexed="81"/>
            <rFont val="Tahoma"/>
            <family val="2"/>
          </rPr>
          <t xml:space="preserve">
loss of 4X5 component of the stock</t>
        </r>
      </text>
    </comment>
    <comment ref="E39" authorId="0">
      <text>
        <r>
          <rPr>
            <b/>
            <sz val="9"/>
            <color indexed="81"/>
            <rFont val="Tahoma"/>
            <family val="2"/>
          </rPr>
          <t>Sylvie:</t>
        </r>
        <r>
          <rPr>
            <sz val="9"/>
            <color indexed="81"/>
            <rFont val="Tahoma"/>
            <family val="2"/>
          </rPr>
          <t xml:space="preserve">
assumes 60% of carrying capacity in the 1970s= pop abundance in the 1970s</t>
        </r>
      </text>
    </comment>
    <comment ref="N39" authorId="0">
      <text>
        <r>
          <rPr>
            <b/>
            <sz val="9"/>
            <color indexed="81"/>
            <rFont val="Tahoma"/>
            <family val="2"/>
          </rPr>
          <t>Sylvie:</t>
        </r>
        <r>
          <rPr>
            <sz val="9"/>
            <color indexed="81"/>
            <rFont val="Tahoma"/>
            <family val="2"/>
          </rPr>
          <t xml:space="preserve">
from graph
</t>
        </r>
      </text>
    </comment>
    <comment ref="H40" authorId="0">
      <text>
        <r>
          <rPr>
            <b/>
            <sz val="9"/>
            <color indexed="81"/>
            <rFont val="Tahoma"/>
            <family val="2"/>
          </rPr>
          <t>Sylvie:</t>
        </r>
        <r>
          <rPr>
            <sz val="9"/>
            <color indexed="81"/>
            <rFont val="Tahoma"/>
            <family val="2"/>
          </rPr>
          <t xml:space="preserve">
{DFO, 2012 #7407}</t>
        </r>
      </text>
    </comment>
    <comment ref="N40" authorId="0">
      <text>
        <r>
          <rPr>
            <b/>
            <sz val="9"/>
            <color indexed="81"/>
            <rFont val="Tahoma"/>
            <family val="2"/>
          </rPr>
          <t>Sylvie:</t>
        </r>
        <r>
          <rPr>
            <sz val="9"/>
            <color indexed="81"/>
            <rFont val="Tahoma"/>
            <family val="2"/>
          </rPr>
          <t xml:space="preserve">
Nfish avg 2008-2010</t>
        </r>
      </text>
    </comment>
    <comment ref="A44" authorId="0">
      <text>
        <r>
          <rPr>
            <b/>
            <sz val="9"/>
            <color indexed="81"/>
            <rFont val="Tahoma"/>
            <family val="2"/>
          </rPr>
          <t>Sylvie:</t>
        </r>
        <r>
          <rPr>
            <sz val="9"/>
            <color indexed="81"/>
            <rFont val="Tahoma"/>
            <family val="2"/>
          </rPr>
          <t xml:space="preserve">
Acadian redfish: S. fasciatis</t>
        </r>
      </text>
    </comment>
    <comment ref="D44" authorId="0">
      <text>
        <r>
          <rPr>
            <b/>
            <sz val="9"/>
            <color indexed="81"/>
            <rFont val="Tahoma"/>
            <family val="2"/>
          </rPr>
          <t>Sylvie:</t>
        </r>
        <r>
          <rPr>
            <sz val="9"/>
            <color indexed="81"/>
            <rFont val="Tahoma"/>
            <family val="2"/>
          </rPr>
          <t xml:space="preserve">
BoF + SS
assessment is only for 4VW (ESS)</t>
        </r>
      </text>
    </comment>
    <comment ref="I44" authorId="0">
      <text>
        <r>
          <rPr>
            <b/>
            <sz val="9"/>
            <color indexed="81"/>
            <rFont val="Tahoma"/>
            <family val="2"/>
          </rPr>
          <t>Sylvie:</t>
        </r>
        <r>
          <rPr>
            <sz val="9"/>
            <color indexed="81"/>
            <rFont val="Tahoma"/>
            <family val="2"/>
          </rPr>
          <t xml:space="preserve">
level that would not result in reduction of pop biomass</t>
        </r>
      </text>
    </comment>
    <comment ref="AF44" authorId="0">
      <text>
        <r>
          <rPr>
            <b/>
            <sz val="9"/>
            <color indexed="81"/>
            <rFont val="Tahoma"/>
            <family val="2"/>
          </rPr>
          <t>Sylvie:</t>
        </r>
        <r>
          <rPr>
            <sz val="9"/>
            <color indexed="81"/>
            <rFont val="Tahoma"/>
            <family val="2"/>
          </rPr>
          <t xml:space="preserve">
99% &gt;1</t>
        </r>
      </text>
    </comment>
    <comment ref="A48" authorId="0">
      <text>
        <r>
          <rPr>
            <b/>
            <sz val="9"/>
            <color indexed="81"/>
            <rFont val="Tahoma"/>
            <family val="2"/>
          </rPr>
          <t>Sylvie:</t>
        </r>
        <r>
          <rPr>
            <sz val="9"/>
            <color indexed="81"/>
            <rFont val="Tahoma"/>
            <family val="2"/>
          </rPr>
          <t xml:space="preserve">
Acadian redfish: S. fasciatis</t>
        </r>
      </text>
    </comment>
    <comment ref="O55" authorId="0">
      <text>
        <r>
          <rPr>
            <b/>
            <sz val="9"/>
            <color indexed="81"/>
            <rFont val="Tahoma"/>
            <family val="2"/>
          </rPr>
          <t>Sylvie:</t>
        </r>
        <r>
          <rPr>
            <sz val="9"/>
            <color indexed="81"/>
            <rFont val="Tahoma"/>
            <family val="2"/>
          </rPr>
          <t xml:space="preserve">
2008</t>
        </r>
      </text>
    </comment>
    <comment ref="AI57" authorId="0">
      <text>
        <r>
          <rPr>
            <b/>
            <sz val="9"/>
            <color indexed="81"/>
            <rFont val="Tahoma"/>
            <family val="2"/>
          </rPr>
          <t>Sylvie:</t>
        </r>
        <r>
          <rPr>
            <sz val="9"/>
            <color indexed="81"/>
            <rFont val="Tahoma"/>
            <family val="2"/>
          </rPr>
          <t xml:space="preserve">
table 19</t>
        </r>
      </text>
    </comment>
    <comment ref="N60" authorId="0">
      <text>
        <r>
          <rPr>
            <b/>
            <sz val="9"/>
            <color indexed="81"/>
            <rFont val="Tahoma"/>
            <family val="2"/>
          </rPr>
          <t>Sylvie:</t>
        </r>
        <r>
          <rPr>
            <sz val="9"/>
            <color indexed="81"/>
            <rFont val="Tahoma"/>
            <family val="2"/>
          </rPr>
          <t xml:space="preserve">
2014 base model</t>
        </r>
      </text>
    </comment>
    <comment ref="AF60" authorId="0">
      <text>
        <r>
          <rPr>
            <b/>
            <sz val="9"/>
            <color indexed="81"/>
            <rFont val="Tahoma"/>
            <family val="2"/>
          </rPr>
          <t>Sylvie:</t>
        </r>
        <r>
          <rPr>
            <sz val="9"/>
            <color indexed="81"/>
            <rFont val="Tahoma"/>
            <family val="2"/>
          </rPr>
          <t xml:space="preserve">
from fig 40</t>
        </r>
      </text>
    </comment>
    <comment ref="AL60" authorId="0">
      <text>
        <r>
          <rPr>
            <b/>
            <sz val="9"/>
            <color indexed="81"/>
            <rFont val="Tahoma"/>
            <family val="2"/>
          </rPr>
          <t>Sylvie:</t>
        </r>
        <r>
          <rPr>
            <sz val="9"/>
            <color indexed="81"/>
            <rFont val="Tahoma"/>
            <family val="2"/>
          </rPr>
          <t xml:space="preserve">
see note
64-65</t>
        </r>
      </text>
    </comment>
    <comment ref="AM60" authorId="0">
      <text>
        <r>
          <rPr>
            <b/>
            <sz val="9"/>
            <color indexed="81"/>
            <rFont val="Tahoma"/>
            <family val="2"/>
          </rPr>
          <t>Sylvie:</t>
        </r>
        <r>
          <rPr>
            <sz val="9"/>
            <color indexed="81"/>
            <rFont val="Tahoma"/>
            <family val="2"/>
          </rPr>
          <t xml:space="preserve">
F' score calculated after rules in {Halpern, 2014 #7439}. </t>
        </r>
      </text>
    </comment>
    <comment ref="H63" authorId="0">
      <text>
        <r>
          <rPr>
            <b/>
            <sz val="9"/>
            <color indexed="81"/>
            <rFont val="Tahoma"/>
            <family val="2"/>
          </rPr>
          <t>Sylvie:</t>
        </r>
        <r>
          <rPr>
            <sz val="9"/>
            <color indexed="81"/>
            <rFont val="Tahoma"/>
            <family val="2"/>
          </rPr>
          <t xml:space="preserve">
F40%</t>
        </r>
      </text>
    </comment>
    <comment ref="O63" authorId="0">
      <text>
        <r>
          <rPr>
            <b/>
            <sz val="9"/>
            <color indexed="81"/>
            <rFont val="Tahoma"/>
            <family val="2"/>
          </rPr>
          <t>Sylvie:</t>
        </r>
        <r>
          <rPr>
            <sz val="9"/>
            <color indexed="81"/>
            <rFont val="Tahoma"/>
            <family val="2"/>
          </rPr>
          <t xml:space="preserve">
2007:0.9</t>
        </r>
      </text>
    </comment>
    <comment ref="F67" authorId="0">
      <text>
        <r>
          <rPr>
            <b/>
            <sz val="9"/>
            <color indexed="81"/>
            <rFont val="Tahoma"/>
            <family val="2"/>
          </rPr>
          <t>Sylvie:</t>
        </r>
        <r>
          <rPr>
            <sz val="9"/>
            <color indexed="81"/>
            <rFont val="Tahoma"/>
            <family val="2"/>
          </rPr>
          <t xml:space="preserve">
the lowest B from which a secure recovery has been demonstrated 2730 in 1991</t>
        </r>
      </text>
    </comment>
    <comment ref="I67" authorId="0">
      <text>
        <r>
          <rPr>
            <b/>
            <sz val="9"/>
            <color indexed="81"/>
            <rFont val="Tahoma"/>
            <family val="2"/>
          </rPr>
          <t>Sylvie:</t>
        </r>
        <r>
          <rPr>
            <sz val="9"/>
            <color indexed="81"/>
            <rFont val="Tahoma"/>
            <family val="2"/>
          </rPr>
          <t xml:space="preserve">
level that causes no change in biomass
</t>
        </r>
      </text>
    </comment>
    <comment ref="O67" authorId="0">
      <text>
        <r>
          <rPr>
            <b/>
            <sz val="9"/>
            <color indexed="81"/>
            <rFont val="Tahoma"/>
            <family val="2"/>
          </rPr>
          <t>Sylvie:</t>
        </r>
        <r>
          <rPr>
            <sz val="9"/>
            <color indexed="81"/>
            <rFont val="Tahoma"/>
            <family val="2"/>
          </rPr>
          <t xml:space="preserve">
from graph</t>
        </r>
      </text>
    </comment>
    <comment ref="AJ104" authorId="0">
      <text>
        <r>
          <rPr>
            <b/>
            <sz val="9"/>
            <color indexed="81"/>
            <rFont val="Tahoma"/>
            <family val="2"/>
          </rPr>
          <t>Sylvie:</t>
        </r>
        <r>
          <rPr>
            <sz val="9"/>
            <color indexed="81"/>
            <rFont val="Tahoma"/>
            <family val="2"/>
          </rPr>
          <t xml:space="preserve">
starts in 1988-89</t>
        </r>
      </text>
    </comment>
    <comment ref="O107" authorId="0">
      <text>
        <r>
          <rPr>
            <b/>
            <sz val="9"/>
            <color indexed="81"/>
            <rFont val="Tahoma"/>
            <family val="2"/>
          </rPr>
          <t>Sylvie:</t>
        </r>
        <r>
          <rPr>
            <sz val="9"/>
            <color indexed="81"/>
            <rFont val="Tahoma"/>
            <family val="2"/>
          </rPr>
          <t xml:space="preserve">
SF</t>
        </r>
      </text>
    </comment>
    <comment ref="AJ107" authorId="0">
      <text>
        <r>
          <rPr>
            <b/>
            <sz val="9"/>
            <color indexed="81"/>
            <rFont val="Tahoma"/>
            <family val="2"/>
          </rPr>
          <t>Sylvie:</t>
        </r>
        <r>
          <rPr>
            <sz val="9"/>
            <color indexed="81"/>
            <rFont val="Tahoma"/>
            <family val="2"/>
          </rPr>
          <t xml:space="preserve">
assume BOF is half the catch</t>
        </r>
      </text>
    </comment>
  </commentList>
</comments>
</file>

<file path=xl/comments4.xml><?xml version="1.0" encoding="utf-8"?>
<comments xmlns="http://schemas.openxmlformats.org/spreadsheetml/2006/main">
  <authors>
    <author>Sylvie</author>
  </authors>
  <commentList>
    <comment ref="D2" authorId="0">
      <text>
        <r>
          <rPr>
            <b/>
            <sz val="9"/>
            <color indexed="81"/>
            <rFont val="Tahoma"/>
            <family val="2"/>
          </rPr>
          <t>Sylvie:</t>
        </r>
        <r>
          <rPr>
            <sz val="9"/>
            <color indexed="81"/>
            <rFont val="Tahoma"/>
            <family val="2"/>
          </rPr>
          <t xml:space="preserve">
showell</t>
        </r>
      </text>
    </comment>
    <comment ref="S2" authorId="0">
      <text>
        <r>
          <rPr>
            <b/>
            <sz val="9"/>
            <color indexed="81"/>
            <rFont val="Tahoma"/>
            <family val="2"/>
          </rPr>
          <t>Sylvie:</t>
        </r>
        <r>
          <rPr>
            <sz val="9"/>
            <color indexed="81"/>
            <rFont val="Tahoma"/>
            <family val="2"/>
          </rPr>
          <t xml:space="preserve">
{Trzcinski, 2011 #7413}</t>
        </r>
      </text>
    </comment>
    <comment ref="K3" authorId="0">
      <text>
        <r>
          <rPr>
            <b/>
            <sz val="9"/>
            <color indexed="81"/>
            <rFont val="Tahoma"/>
            <family val="2"/>
          </rPr>
          <t>Sylvie:</t>
        </r>
        <r>
          <rPr>
            <sz val="9"/>
            <color indexed="81"/>
            <rFont val="Tahoma"/>
            <family val="2"/>
          </rPr>
          <t xml:space="preserve">
marginal habitat</t>
        </r>
      </text>
    </comment>
    <comment ref="D4" authorId="0">
      <text>
        <r>
          <rPr>
            <b/>
            <sz val="9"/>
            <color indexed="81"/>
            <rFont val="Tahoma"/>
            <family val="2"/>
          </rPr>
          <t>Sylvie:</t>
        </r>
        <r>
          <rPr>
            <sz val="9"/>
            <color indexed="81"/>
            <rFont val="Tahoma"/>
            <family val="2"/>
          </rPr>
          <t xml:space="preserve">
has landings by gear</t>
        </r>
      </text>
    </comment>
    <comment ref="I4" authorId="0">
      <text>
        <r>
          <rPr>
            <b/>
            <sz val="9"/>
            <color indexed="81"/>
            <rFont val="Tahoma"/>
            <family val="2"/>
          </rPr>
          <t>Sylvie:</t>
        </r>
        <r>
          <rPr>
            <sz val="9"/>
            <color indexed="81"/>
            <rFont val="Tahoma"/>
            <family val="2"/>
          </rPr>
          <t xml:space="preserve">
herring catches 1963-2013.xls</t>
        </r>
      </text>
    </comment>
    <comment ref="K47" authorId="0">
      <text>
        <r>
          <rPr>
            <b/>
            <sz val="9"/>
            <color indexed="81"/>
            <rFont val="Tahoma"/>
            <family val="2"/>
          </rPr>
          <t>Sylvie:</t>
        </r>
        <r>
          <rPr>
            <sz val="9"/>
            <color indexed="81"/>
            <rFont val="Tahoma"/>
            <family val="2"/>
          </rPr>
          <t xml:space="preserve">
winter fishrey nov-march so 1989=1988-89
</t>
        </r>
      </text>
    </comment>
    <comment ref="H50" authorId="0">
      <text>
        <r>
          <rPr>
            <b/>
            <sz val="9"/>
            <color indexed="81"/>
            <rFont val="Tahoma"/>
            <family val="2"/>
          </rPr>
          <t>Sylvie:</t>
        </r>
        <r>
          <rPr>
            <sz val="9"/>
            <color indexed="81"/>
            <rFont val="Tahoma"/>
            <family val="2"/>
          </rPr>
          <t xml:space="preserve">
catches more imp in rest of Canada, more foreign before 1992
{Campana, 2009 #4114}</t>
        </r>
      </text>
    </comment>
    <comment ref="F68" authorId="0">
      <text>
        <r>
          <rPr>
            <b/>
            <sz val="9"/>
            <color indexed="81"/>
            <rFont val="Tahoma"/>
            <family val="2"/>
          </rPr>
          <t>Sylvie:</t>
        </r>
        <r>
          <rPr>
            <sz val="9"/>
            <color indexed="81"/>
            <rFont val="Tahoma"/>
            <family val="2"/>
          </rPr>
          <t xml:space="preserve">
incomplete</t>
        </r>
      </text>
    </comment>
    <comment ref="AH69" authorId="0">
      <text>
        <r>
          <rPr>
            <b/>
            <sz val="9"/>
            <color indexed="81"/>
            <rFont val="Tahoma"/>
            <family val="2"/>
          </rPr>
          <t>Sylvie:</t>
        </r>
        <r>
          <rPr>
            <sz val="9"/>
            <color indexed="81"/>
            <rFont val="Tahoma"/>
            <family val="2"/>
          </rPr>
          <t xml:space="preserve">
{DFO, 2012 #6670}</t>
        </r>
      </text>
    </comment>
  </commentList>
</comments>
</file>

<file path=xl/sharedStrings.xml><?xml version="1.0" encoding="utf-8"?>
<sst xmlns="http://schemas.openxmlformats.org/spreadsheetml/2006/main" count="3926" uniqueCount="838">
  <si>
    <t>FileNumber</t>
  </si>
  <si>
    <t>MF-0002</t>
  </si>
  <si>
    <t>MF-0003</t>
  </si>
  <si>
    <t>MF-0004</t>
  </si>
  <si>
    <t>MF-0010</t>
  </si>
  <si>
    <t>MF-0012</t>
  </si>
  <si>
    <t>MF-0014</t>
  </si>
  <si>
    <t>MF-0016</t>
  </si>
  <si>
    <t>MF-0017</t>
  </si>
  <si>
    <t>MF-0018</t>
  </si>
  <si>
    <t>MF-0020</t>
  </si>
  <si>
    <t>MF-0022</t>
  </si>
  <si>
    <t>MF-0023</t>
  </si>
  <si>
    <t>MF-0024</t>
  </si>
  <si>
    <t>MF-0026</t>
  </si>
  <si>
    <t>MF-0029</t>
  </si>
  <si>
    <t>MF-0032</t>
  </si>
  <si>
    <t>MF-0033</t>
  </si>
  <si>
    <t>MF-0034</t>
  </si>
  <si>
    <t>MF-0035</t>
  </si>
  <si>
    <t>MF-0036</t>
  </si>
  <si>
    <t>MF-0037</t>
  </si>
  <si>
    <t>MF-0038</t>
  </si>
  <si>
    <t>MF-0039</t>
  </si>
  <si>
    <t>MF-0040</t>
  </si>
  <si>
    <t>MF-0042</t>
  </si>
  <si>
    <t>MF-0044</t>
  </si>
  <si>
    <t>MF-0045</t>
  </si>
  <si>
    <t>MF-0046</t>
  </si>
  <si>
    <t>MF-0049</t>
  </si>
  <si>
    <t>MF-0050</t>
  </si>
  <si>
    <t>MF-0051</t>
  </si>
  <si>
    <t>MF-0052</t>
  </si>
  <si>
    <t>MF-0053</t>
  </si>
  <si>
    <t>MF-0054</t>
  </si>
  <si>
    <t>MF-0055</t>
  </si>
  <si>
    <t>MF-0056</t>
  </si>
  <si>
    <t>MF-0057</t>
  </si>
  <si>
    <t>MF-0058</t>
  </si>
  <si>
    <t>MF-0059</t>
  </si>
  <si>
    <t>MF-0060</t>
  </si>
  <si>
    <t>MF-0061</t>
  </si>
  <si>
    <t>MF-0064</t>
  </si>
  <si>
    <t>MF-0084</t>
  </si>
  <si>
    <t>MF-0095</t>
  </si>
  <si>
    <t>MF-0159</t>
  </si>
  <si>
    <t>MF-0168</t>
  </si>
  <si>
    <t>MF-0172</t>
  </si>
  <si>
    <t>MF-0179</t>
  </si>
  <si>
    <t>MF-0181</t>
  </si>
  <si>
    <t>MF-0186</t>
  </si>
  <si>
    <t>MF-0202</t>
  </si>
  <si>
    <t>MF-0206</t>
  </si>
  <si>
    <t>MF-0213</t>
  </si>
  <si>
    <t>MF-0214</t>
  </si>
  <si>
    <t>MF-0215</t>
  </si>
  <si>
    <t>MF-0222</t>
  </si>
  <si>
    <t>MF-0228</t>
  </si>
  <si>
    <t>MF-0251</t>
  </si>
  <si>
    <t>MF-0255</t>
  </si>
  <si>
    <t>MF-0256</t>
  </si>
  <si>
    <t>MF-0270</t>
  </si>
  <si>
    <t>MF-0276</t>
  </si>
  <si>
    <t>MF-0282</t>
  </si>
  <si>
    <t>MF-0290</t>
  </si>
  <si>
    <t>MF-0292</t>
  </si>
  <si>
    <t>MF-0298</t>
  </si>
  <si>
    <t>MF-0300</t>
  </si>
  <si>
    <t>MF-0303</t>
  </si>
  <si>
    <t>MF-0316</t>
  </si>
  <si>
    <t>MF-0320</t>
  </si>
  <si>
    <t>MF-0333</t>
  </si>
  <si>
    <t>MF-0337</t>
  </si>
  <si>
    <t>MF-0342</t>
  </si>
  <si>
    <t>MF-0349</t>
  </si>
  <si>
    <t>MF-0350</t>
  </si>
  <si>
    <t>MF-0362</t>
  </si>
  <si>
    <t>MF-0368</t>
  </si>
  <si>
    <t>MF-0370</t>
  </si>
  <si>
    <t>MF-0377</t>
  </si>
  <si>
    <t>MF-0378</t>
  </si>
  <si>
    <t>MF-0381</t>
  </si>
  <si>
    <t>MF-0400</t>
  </si>
  <si>
    <t>MF-0403</t>
  </si>
  <si>
    <t>MF-0404</t>
  </si>
  <si>
    <t>MF-0408</t>
  </si>
  <si>
    <t>MF-0411</t>
  </si>
  <si>
    <t>MF-0412</t>
  </si>
  <si>
    <t>MF-0413</t>
  </si>
  <si>
    <t>MF-0416</t>
  </si>
  <si>
    <t>MF-0491</t>
  </si>
  <si>
    <t>MF-0495</t>
  </si>
  <si>
    <t>MF-0501</t>
  </si>
  <si>
    <t>SizeHectare</t>
  </si>
  <si>
    <t>22.4</t>
  </si>
  <si>
    <t>12.13</t>
  </si>
  <si>
    <t>11.34</t>
  </si>
  <si>
    <t>35</t>
  </si>
  <si>
    <t>18.76</t>
  </si>
  <si>
    <t>MF-0027</t>
  </si>
  <si>
    <t>MF-0496</t>
  </si>
  <si>
    <t>MF-502</t>
  </si>
  <si>
    <t>MF-503</t>
  </si>
  <si>
    <t>MF-504</t>
  </si>
  <si>
    <t>MF-507</t>
  </si>
  <si>
    <t>MF-508</t>
  </si>
  <si>
    <t>MF-0494</t>
  </si>
  <si>
    <t>x</t>
  </si>
  <si>
    <t>X</t>
  </si>
  <si>
    <t>MF-0025</t>
  </si>
  <si>
    <t>MF-0028</t>
  </si>
  <si>
    <t>MF-0030</t>
  </si>
  <si>
    <t>List of MRPA aquaculture sites (2014)</t>
  </si>
  <si>
    <t>Sites in use</t>
  </si>
  <si>
    <t>Aquaculture sites in use based on Dec. 12, 2011 DAAF map - "Marine Aquaculture Sites with Fish: Bay of Fundy"</t>
  </si>
  <si>
    <t>Not on 2014 list</t>
  </si>
  <si>
    <t>*</t>
  </si>
  <si>
    <t>* Site not on 2011 map</t>
  </si>
  <si>
    <t xml:space="preserve">total ha's used </t>
  </si>
  <si>
    <t>Aquaculture sites in use based on Dec. 3, 2010 DAAF map - "Marine Aquaculture Sites with Fish: Bay of Fundy"</t>
  </si>
  <si>
    <t>?</t>
  </si>
  <si>
    <t>These sites were in use in 2010, but "returned" and not on 2011 map, not on 2014 list.</t>
  </si>
  <si>
    <t>Salmon Aquaculture - MRPA</t>
  </si>
  <si>
    <t>area leased (ha)</t>
  </si>
  <si>
    <t># of sites</t>
  </si>
  <si>
    <t>Volume (tonnes)</t>
  </si>
  <si>
    <t>tonnes/ha of area leased</t>
  </si>
  <si>
    <t>tonnes/  ha of area used</t>
  </si>
  <si>
    <t xml:space="preserve">from: DAAF Aquaculture sector reviews (eg. http://www.gnb.ca/0168/30/ReviewAquaculture2012.pdf)  </t>
  </si>
  <si>
    <t>*hectares of sites in use</t>
  </si>
  <si>
    <t>*data from sites in use maps</t>
  </si>
  <si>
    <t>total ha's leased</t>
  </si>
  <si>
    <t>**total hectares leased</t>
  </si>
  <si>
    <t>total possible tonnage if all available ha used</t>
  </si>
  <si>
    <t>% of tonnage produced vs. what could be produced</t>
  </si>
  <si>
    <t xml:space="preserve">Most of the aquaculture data came from NB DAAF Aquaculture sector reviews (e.g., http://www.gnb.ca/0168/30/ReviewAquaculture2012.pdf). </t>
  </si>
  <si>
    <t>However, the OHI U.S. West Coast regional study also used data that detailed how much aquaculture production a state(s) government wanted – a target to compare actual production to. This information isn’t available for NB. So, I tried to create a proxy for this.</t>
  </si>
  <si>
    <t>Karen Coombs (NB DAAF) provided me with a list of aquaculture sites in the MRPA and their size. She also was able to provide me with maps for 2011 and 2010 that showed which sites were in use (stocked) and which sites were empty. For example, in 2011, 35 sites were used (approx. 665 ha) out of a possible approx. 100 sites (1724 ha). The tonnage of salmon was 21,560 in 2011. This gives me approx. 32.4 tonnes/ha (21,560/665). If all sites and ha’s were used in 2011, theoretically 55,877 tonnes of salmon could have been harvested in 2011. In other words, 38.5% of the possible tonnage was produced. (Some of the 35 sites had smolt that weren’t harvested in 2011, but for ease of calculation, I included them in my “stocked” sites.)</t>
  </si>
  <si>
    <t>Basically, I worked on the assumption that DAAF would only lease sites that potentially could be used—that the amount of ha’s leased is environmentally sustainable, meaning DAAF hasn’t overleased.</t>
  </si>
  <si>
    <t xml:space="preserve"> </t>
  </si>
  <si>
    <t>**data from sites in use maps (NOTE: amount of area leased from DAAF sector reviews is not the exactly the same as amount of area leased based on maps--not sure why.)</t>
  </si>
  <si>
    <t>Scotia-Fundy Region - Landings (Round KG) for NAFO Divisions 4XS &amp; 5YB - 1975-2013</t>
  </si>
  <si>
    <t>Year</t>
  </si>
  <si>
    <t>Cod</t>
  </si>
  <si>
    <t>Greysole/Witch</t>
  </si>
  <si>
    <t>Haddock</t>
  </si>
  <si>
    <t>Halibut</t>
  </si>
  <si>
    <t>Pollock</t>
  </si>
  <si>
    <t>Flounders, Other</t>
  </si>
  <si>
    <t>Groundfish, Other</t>
  </si>
  <si>
    <t>Herring</t>
  </si>
  <si>
    <t>Finfish, Other</t>
  </si>
  <si>
    <t>Lobster</t>
  </si>
  <si>
    <t>Scallop, Sea</t>
  </si>
  <si>
    <t>Coastal Clams</t>
  </si>
  <si>
    <t>Invertebrates, Other</t>
  </si>
  <si>
    <t>2012p</t>
  </si>
  <si>
    <t>2013p</t>
  </si>
  <si>
    <t>Notes:</t>
  </si>
  <si>
    <t>• Indicated(*) values were suppressed to maintain fish harvester confidentiality.  2013 Lobster landings have been suppressed as the information for the latter part of the year is incomplete.</t>
  </si>
  <si>
    <t>• Data for the years 2012 through 2013 is preliminary and as such may be incomplete and/or subject to change without notice.</t>
  </si>
  <si>
    <r>
      <rPr>
        <sz val="11"/>
        <color indexed="8"/>
        <rFont val="Calibri"/>
        <family val="2"/>
      </rPr>
      <t xml:space="preserve">• </t>
    </r>
    <r>
      <rPr>
        <sz val="11"/>
        <color indexed="8"/>
        <rFont val="Arial"/>
        <family val="2"/>
      </rPr>
      <t>Marine Plant data for all species is not released for standard data requests as reporting is incomplete.</t>
    </r>
  </si>
  <si>
    <t>Details of Species Contained Within Each Species Group*</t>
  </si>
  <si>
    <t>SPECIES GROUP</t>
  </si>
  <si>
    <t>SPECIES</t>
  </si>
  <si>
    <t>COASTAL CLAMS</t>
  </si>
  <si>
    <t>CLAMS, BAR</t>
  </si>
  <si>
    <t>CLAMS, QUAHAUGS</t>
  </si>
  <si>
    <t>CLAMS, SOFT SHELL</t>
  </si>
  <si>
    <t>CLAMS, UNSPECIFIED</t>
  </si>
  <si>
    <t>FINFISH, OTHER</t>
  </si>
  <si>
    <t>ALEWIVES/GASPEREAU</t>
  </si>
  <si>
    <t>ARGENTINE</t>
  </si>
  <si>
    <t>EEL</t>
  </si>
  <si>
    <t>ELVERS</t>
  </si>
  <si>
    <t>MACKEREL</t>
  </si>
  <si>
    <t>OTHER FIN FISH UNSPECIFIED</t>
  </si>
  <si>
    <t>PELAGIC, UNSPECIFIED</t>
  </si>
  <si>
    <t>PICKEREL</t>
  </si>
  <si>
    <t>SALMON</t>
  </si>
  <si>
    <t>SHAD</t>
  </si>
  <si>
    <t>SHARK, BLUE</t>
  </si>
  <si>
    <t>SHARK, HAMMERHEAD</t>
  </si>
  <si>
    <t>SHARK, MAKO</t>
  </si>
  <si>
    <t>SHARK, PORBEAGLE/MACKEREL</t>
  </si>
  <si>
    <t>SHARK, THRESHER</t>
  </si>
  <si>
    <t>SHARK, UNSPECIFIED</t>
  </si>
  <si>
    <t>SMELTS</t>
  </si>
  <si>
    <t>STRIPED BASS</t>
  </si>
  <si>
    <t>STURGEON</t>
  </si>
  <si>
    <t>SUCKERS (MULLET, ETC)</t>
  </si>
  <si>
    <t>SWORDFISH</t>
  </si>
  <si>
    <t>TUNA, ALBACORE</t>
  </si>
  <si>
    <t>TUNA, BIGEYE</t>
  </si>
  <si>
    <t>TUNA, BLUEFIN</t>
  </si>
  <si>
    <t>TUNA, SKIPJACK</t>
  </si>
  <si>
    <t>WHITEFISH</t>
  </si>
  <si>
    <t>FLOUNDERS, OTHER</t>
  </si>
  <si>
    <t>AMERICAN PLAICE</t>
  </si>
  <si>
    <t>FLOUNDER, UNSPECIFIED</t>
  </si>
  <si>
    <t>GREENLAND HALIBUT/TURBOT</t>
  </si>
  <si>
    <t>SUMMER FLOUNDER</t>
  </si>
  <si>
    <t>WINTER FLOUNDER</t>
  </si>
  <si>
    <t>YELLOWTAIL</t>
  </si>
  <si>
    <t>GROUNDFISH, OTHER</t>
  </si>
  <si>
    <t>CATFISH</t>
  </si>
  <si>
    <t>CUSK</t>
  </si>
  <si>
    <t>DOGFISH</t>
  </si>
  <si>
    <t>GROUNDFISH, UNSPECIFIED</t>
  </si>
  <si>
    <t>HAGFISH (SLIME EEL)</t>
  </si>
  <si>
    <t>LUMPFISH</t>
  </si>
  <si>
    <t>MONKFISH</t>
  </si>
  <si>
    <t>RED HAKE</t>
  </si>
  <si>
    <t>REDFISH</t>
  </si>
  <si>
    <t>SCALEFISH</t>
  </si>
  <si>
    <t>SCULPIN</t>
  </si>
  <si>
    <t>SILVER HAKE</t>
  </si>
  <si>
    <t>SKATE</t>
  </si>
  <si>
    <t>SNAKEBLENY/ROCK EEL</t>
  </si>
  <si>
    <t>TILEFISH</t>
  </si>
  <si>
    <t>WHITE HAKE</t>
  </si>
  <si>
    <t>WOLFFISH, STRIPED</t>
  </si>
  <si>
    <t>WOLFFISH, UNSPECIFIED</t>
  </si>
  <si>
    <t>INVERTEBRATES, OTHER</t>
  </si>
  <si>
    <t>CLAMS, PROPELLOR</t>
  </si>
  <si>
    <t>CRAB, JONAH</t>
  </si>
  <si>
    <t>CRAB, ROCK</t>
  </si>
  <si>
    <t>CRAB, SNOW</t>
  </si>
  <si>
    <t>CRAB, STONE</t>
  </si>
  <si>
    <t>CRAB, UNSPECIFIED</t>
  </si>
  <si>
    <t>MOLLUSCS UNSPECIFIED</t>
  </si>
  <si>
    <t>MUSSELS</t>
  </si>
  <si>
    <t>OCEAN QUAHAUG</t>
  </si>
  <si>
    <t>PERIWINKLES</t>
  </si>
  <si>
    <t>SEA CUCUMBER</t>
  </si>
  <si>
    <t>SEA URCHINS</t>
  </si>
  <si>
    <t>SHRIMP, PANDALUS BOREALIS</t>
  </si>
  <si>
    <t>SQUID, ILLEX</t>
  </si>
  <si>
    <t>SQUID, RED; LOLLIGO</t>
  </si>
  <si>
    <t>SQUID, UNSPECIFIED</t>
  </si>
  <si>
    <t>*Each species listed in a rolled-up group does have landings recorded in at least one year of the data set, but may also have other years with no landings.</t>
  </si>
  <si>
    <t>Striped bass [no commercial fishery in the region] [this is being assessed as a species at risk]</t>
  </si>
  <si>
    <t>2013 stock status</t>
  </si>
  <si>
    <t xml:space="preserve">Atlantic Cod </t>
  </si>
  <si>
    <t xml:space="preserve"> 4X5Y </t>
  </si>
  <si>
    <t xml:space="preserve">Atlantic Halibut </t>
  </si>
  <si>
    <t xml:space="preserve"> 3NOPs4VWX+5 </t>
  </si>
  <si>
    <t xml:space="preserve">Dogfish </t>
  </si>
  <si>
    <t xml:space="preserve">Haddock </t>
  </si>
  <si>
    <t xml:space="preserve">Pollock </t>
  </si>
  <si>
    <t xml:space="preserve"> 4Xopqrs5 (western component) </t>
  </si>
  <si>
    <t xml:space="preserve">Silver Hake </t>
  </si>
  <si>
    <t xml:space="preserve"> 4VWX [no direct fishery in the Bay of Fundy] </t>
  </si>
  <si>
    <t xml:space="preserve">Redfish </t>
  </si>
  <si>
    <t xml:space="preserve"> Unit 3 [no direct fishery in the Bay of Fundy] </t>
  </si>
  <si>
    <t xml:space="preserve">Herring </t>
  </si>
  <si>
    <t xml:space="preserve"> 4VWX </t>
  </si>
  <si>
    <t xml:space="preserve"> 5Y5Z [5Y is in the Bay of Fundy] </t>
  </si>
  <si>
    <t xml:space="preserve">Lobster </t>
  </si>
  <si>
    <t xml:space="preserve">Scallop </t>
  </si>
  <si>
    <t xml:space="preserve"> SFA 28 (Bay of Fundy) </t>
  </si>
  <si>
    <t xml:space="preserve">Swordfish </t>
  </si>
  <si>
    <t xml:space="preserve">Porbeagle shark </t>
  </si>
  <si>
    <t xml:space="preserve">American eels and elvers </t>
  </si>
  <si>
    <t>species</t>
  </si>
  <si>
    <t>region</t>
  </si>
  <si>
    <t xml:space="preserve"> Subareas 3 6</t>
  </si>
  <si>
    <t>BMSY</t>
  </si>
  <si>
    <t>model</t>
  </si>
  <si>
    <t>model for PA</t>
  </si>
  <si>
    <t>RR (Ftarget)</t>
  </si>
  <si>
    <t>FMSY (limit RR)</t>
  </si>
  <si>
    <t>{DFO, 2012 #7407}</t>
  </si>
  <si>
    <t>source PA</t>
  </si>
  <si>
    <t>source assess</t>
  </si>
  <si>
    <t>40%Bmsy</t>
  </si>
  <si>
    <t>80%Bmsy</t>
  </si>
  <si>
    <t>rationale</t>
  </si>
  <si>
    <t xml:space="preserve"> 4X5Yb</t>
  </si>
  <si>
    <t>Biom</t>
  </si>
  <si>
    <t>F</t>
  </si>
  <si>
    <t>comment</t>
  </si>
  <si>
    <t>MSY</t>
  </si>
  <si>
    <t>F0.1</t>
  </si>
  <si>
    <t>F0.1 in the 1990s</t>
  </si>
  <si>
    <t>Ricker better fit</t>
  </si>
  <si>
    <t>BH more cautious</t>
  </si>
  <si>
    <t>indices</t>
  </si>
  <si>
    <t>avg (t) &lt;2012</t>
  </si>
  <si>
    <t>0&amp;1</t>
  </si>
  <si>
    <t>5+</t>
  </si>
  <si>
    <t>2&amp;3</t>
  </si>
  <si>
    <t>3+</t>
  </si>
  <si>
    <t>Line</t>
  </si>
  <si>
    <t>Misc.</t>
  </si>
  <si>
    <t>Total</t>
  </si>
  <si>
    <t>Otter trawl</t>
  </si>
  <si>
    <t>Gillnet</t>
  </si>
  <si>
    <t>Longline</t>
  </si>
  <si>
    <t>handline</t>
  </si>
  <si>
    <t>landings in tonnes</t>
  </si>
  <si>
    <t>{Clark, 2010 #4132}</t>
  </si>
  <si>
    <t>YEAR</t>
  </si>
  <si>
    <t>4X (NAFO)</t>
  </si>
  <si>
    <t>halibut</t>
  </si>
  <si>
    <t>Landings 4X_5Yb time series.xls</t>
  </si>
  <si>
    <t>unid. Groundfish</t>
  </si>
  <si>
    <t>haddock</t>
  </si>
  <si>
    <t>echinoderms</t>
  </si>
  <si>
    <t>A. plaice</t>
  </si>
  <si>
    <t>redfish</t>
  </si>
  <si>
    <t xml:space="preserve">Gaspareau </t>
  </si>
  <si>
    <t>white hake</t>
  </si>
  <si>
    <t xml:space="preserve">mainly longline, otter trawl </t>
  </si>
  <si>
    <t>COD</t>
  </si>
  <si>
    <t>{Showell, 2012 #7417}</t>
  </si>
  <si>
    <t>B/Bmsy</t>
  </si>
  <si>
    <t>LRP- limit</t>
  </si>
  <si>
    <t>USR- limit</t>
  </si>
  <si>
    <t>1970-2008</t>
  </si>
  <si>
    <t xml:space="preserve">fixed and mobile gear </t>
  </si>
  <si>
    <t>1980-2008</t>
  </si>
  <si>
    <t>RR to be reviewed</t>
  </si>
  <si>
    <t>yr for biom</t>
  </si>
  <si>
    <t>2006-2008; table 15</t>
  </si>
  <si>
    <t>snow crab</t>
  </si>
  <si>
    <t>snow crab 4X</t>
  </si>
  <si>
    <t>{Cook, 2014 #7422}</t>
  </si>
  <si>
    <t>marginal habitat</t>
  </si>
  <si>
    <t>{Fowler, 2012 #7423}</t>
  </si>
  <si>
    <t>A. plaice 4X5</t>
  </si>
  <si>
    <t>American plaice</t>
  </si>
  <si>
    <t>4VWX 4X is marginal</t>
  </si>
  <si>
    <t>SSN ref pts</t>
  </si>
  <si>
    <t>48millions</t>
  </si>
  <si>
    <t>51 millions</t>
  </si>
  <si>
    <t>~16000</t>
  </si>
  <si>
    <t>{Porter, 2011 #7426}</t>
  </si>
  <si>
    <t>pollock western</t>
  </si>
  <si>
    <t>landing by gear</t>
  </si>
  <si>
    <t>{Porter, 2011 #7426} appendix 4a</t>
  </si>
  <si>
    <t>B4-8 {DFO, 2012 #7407}</t>
  </si>
  <si>
    <t>{DFO, 2011 #7427}</t>
  </si>
  <si>
    <t>unit 3 (strata: 457-463,465-485)</t>
  </si>
  <si>
    <t>survey</t>
  </si>
  <si>
    <t>long-term average</t>
  </si>
  <si>
    <t>Cusk</t>
  </si>
  <si>
    <t>maritimes</t>
  </si>
  <si>
    <t>2009-2011</t>
  </si>
  <si>
    <t>cusk</t>
  </si>
  <si>
    <t>longline</t>
  </si>
  <si>
    <t>4x</t>
  </si>
  <si>
    <t>5Ze</t>
  </si>
  <si>
    <t>bottom trawl</t>
  </si>
  <si>
    <t>misc</t>
  </si>
  <si>
    <t>{Harris, 2010 #7431}</t>
  </si>
  <si>
    <t>total</t>
  </si>
  <si>
    <t>trend</t>
  </si>
  <si>
    <t>stable now based on halibut survey</t>
  </si>
  <si>
    <t>survey- relative</t>
  </si>
  <si>
    <t>Browns Bank</t>
  </si>
  <si>
    <t xml:space="preserve">inshore </t>
  </si>
  <si>
    <t>would be based on habitat suitability and growth rate, density, productivity; ongoing work</t>
  </si>
  <si>
    <t>SEASON</t>
  </si>
  <si>
    <t>Annual</t>
  </si>
  <si>
    <t>LFA27</t>
  </si>
  <si>
    <t>LFA28-29</t>
  </si>
  <si>
    <t>LFA30</t>
  </si>
  <si>
    <t>LFA31</t>
  </si>
  <si>
    <t>LFA32</t>
  </si>
  <si>
    <t>LFA33</t>
  </si>
  <si>
    <t>LFA34</t>
  </si>
  <si>
    <t>LFA35</t>
  </si>
  <si>
    <t>LFA36</t>
  </si>
  <si>
    <t>LFA38</t>
  </si>
  <si>
    <t>1946-47</t>
  </si>
  <si>
    <t>1947-48</t>
  </si>
  <si>
    <t>1948-49</t>
  </si>
  <si>
    <t>1949-50</t>
  </si>
  <si>
    <t>1950-51</t>
  </si>
  <si>
    <t>1951-52</t>
  </si>
  <si>
    <t>1952-53</t>
  </si>
  <si>
    <t>1953-54</t>
  </si>
  <si>
    <t>1954-55</t>
  </si>
  <si>
    <t>1955-56</t>
  </si>
  <si>
    <t>1956-57</t>
  </si>
  <si>
    <t>1957-58</t>
  </si>
  <si>
    <t>1958-59</t>
  </si>
  <si>
    <t>1959-60</t>
  </si>
  <si>
    <t>1960-61</t>
  </si>
  <si>
    <t>1961-62</t>
  </si>
  <si>
    <t>1962-63</t>
  </si>
  <si>
    <t>1963-64</t>
  </si>
  <si>
    <t>1964-65</t>
  </si>
  <si>
    <t>1965-66</t>
  </si>
  <si>
    <t>1966-67</t>
  </si>
  <si>
    <t>1967-68</t>
  </si>
  <si>
    <t>1968-69</t>
  </si>
  <si>
    <t>1969-70</t>
  </si>
  <si>
    <t>1970-71</t>
  </si>
  <si>
    <t>1971-72</t>
  </si>
  <si>
    <t>1972-73</t>
  </si>
  <si>
    <t>1973-74</t>
  </si>
  <si>
    <t>1974-75</t>
  </si>
  <si>
    <t>1975-76</t>
  </si>
  <si>
    <t>1976-77</t>
  </si>
  <si>
    <t>1977-78</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</si>
  <si>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</si>
  <si>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</si>
  <si>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</si>
  <si>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</si>
  <si>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</si>
  <si>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</si>
  <si>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</si>
  <si>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</si>
  <si>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</si>
  <si>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</si>
  <si>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</si>
  <si>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</si>
  <si>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</si>
  <si>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</si>
  <si>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</si>
  <si>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</si>
  <si>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</si>
  <si>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</si>
  <si>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</si>
  <si>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</si>
  <si>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</si>
  <si>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</si>
  <si>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</si>
  <si>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</si>
  <si>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</si>
  <si>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</si>
  <si>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</si>
  <si>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</si>
  <si>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</si>
  <si>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</si>
  <si>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</si>
  <si>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</si>
  <si>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{Smith, 2012 #7434}</t>
  </si>
  <si>
    <t>lobser BOF</t>
  </si>
  <si>
    <t>4X</t>
  </si>
  <si>
    <t>median</t>
  </si>
  <si>
    <t>present catches are higher than productive period used as reference</t>
  </si>
  <si>
    <t>salmon</t>
  </si>
  <si>
    <t>2.4 eggs/m2 of fluvial rearing habitat</t>
  </si>
  <si>
    <t>s. fasciatus</t>
  </si>
  <si>
    <t>{DFO, 2013 #7314} Clark species assessment areas 2014.xls</t>
  </si>
  <si>
    <t>LFA 38</t>
  </si>
  <si>
    <t>na</t>
  </si>
  <si>
    <t>{ICES, 2001 #7437}</t>
  </si>
  <si>
    <t>theoretical possibilities F35% reproductive potential</t>
  </si>
  <si>
    <t>cod</t>
  </si>
  <si>
    <t>year</t>
  </si>
  <si>
    <t>catch</t>
  </si>
  <si>
    <t>type B</t>
  </si>
  <si>
    <t>Bsurvey</t>
  </si>
  <si>
    <t>stock</t>
  </si>
  <si>
    <t>yr</t>
  </si>
  <si>
    <t>ct</t>
  </si>
  <si>
    <t>et</t>
  </si>
  <si>
    <t>resilience</t>
  </si>
  <si>
    <t>res</t>
  </si>
  <si>
    <t>Medium</t>
  </si>
  <si>
    <t>K</t>
  </si>
  <si>
    <t>r</t>
  </si>
  <si>
    <t>Y/MSY</t>
  </si>
  <si>
    <t>assessment excludes the western 4X and BoF which is deemed different from ESS and closer to Gulf of Maine</t>
  </si>
  <si>
    <t>{Stone, 2013 #7442}</t>
  </si>
  <si>
    <t>silverhake</t>
  </si>
  <si>
    <t>{Guénette, 2015 #7444}</t>
  </si>
  <si>
    <t>dogfish</t>
  </si>
  <si>
    <t>winter flounder</t>
  </si>
  <si>
    <t>yellowtail flounder</t>
  </si>
  <si>
    <t>very small catch, directed fishery?</t>
  </si>
  <si>
    <t>witch flounder</t>
  </si>
  <si>
    <t xml:space="preserve">bycatch, </t>
  </si>
  <si>
    <t>monkfish</t>
  </si>
  <si>
    <t>unspecified flounder</t>
  </si>
  <si>
    <t>skates</t>
  </si>
  <si>
    <t>wolffishes</t>
  </si>
  <si>
    <t>L sculpin</t>
  </si>
  <si>
    <t>mackerel</t>
  </si>
  <si>
    <t>other pelagic</t>
  </si>
  <si>
    <t>smooth skate</t>
  </si>
  <si>
    <t>thorny skate</t>
  </si>
  <si>
    <t>barndoor skate</t>
  </si>
  <si>
    <t>winter skate</t>
  </si>
  <si>
    <t>little skate</t>
  </si>
  <si>
    <t>longhorn sculpin</t>
  </si>
  <si>
    <t>2006-2008</t>
  </si>
  <si>
    <t>2012-2014</t>
  </si>
  <si>
    <t>2012-14</t>
  </si>
  <si>
    <t>avg skate</t>
  </si>
  <si>
    <t>avg catch (70-2008</t>
  </si>
  <si>
    <t>4X Barndoor</t>
  </si>
  <si>
    <t>4X Winter Skate</t>
  </si>
  <si>
    <t>replaced 0 with 1 for geom mean</t>
  </si>
  <si>
    <t>not well represented?</t>
  </si>
  <si>
    <t>porbeagle</t>
  </si>
  <si>
    <t>fish.xls (MSVPA</t>
  </si>
  <si>
    <t>Bluefin tuna</t>
  </si>
  <si>
    <t>&gt;1</t>
  </si>
  <si>
    <t>BFT (tuna section)</t>
  </si>
  <si>
    <t>{Singh, 2014 #7386}</t>
  </si>
  <si>
    <t>herring</t>
  </si>
  <si>
    <t>2010-2012</t>
  </si>
  <si>
    <t>LRP= avg2005-2010 acoustic values Scots+German Bank</t>
  </si>
  <si>
    <t>no Bmsy</t>
  </si>
  <si>
    <t>last catch</t>
  </si>
  <si>
    <t>Aplaice</t>
  </si>
  <si>
    <t>pollock</t>
  </si>
  <si>
    <t>Whake</t>
  </si>
  <si>
    <t>yellowtail</t>
  </si>
  <si>
    <t>Shake</t>
  </si>
  <si>
    <t>witchfl</t>
  </si>
  <si>
    <t>winterfl</t>
  </si>
  <si>
    <t>wolffish</t>
  </si>
  <si>
    <t>Gadus morhua</t>
  </si>
  <si>
    <t>Hippoglossus hippoglossus</t>
  </si>
  <si>
    <t>Very low</t>
  </si>
  <si>
    <t>Brosme brosme</t>
  </si>
  <si>
    <t>Low</t>
  </si>
  <si>
    <t>Melanogrammus aeglefinus</t>
  </si>
  <si>
    <t>Hippoglossoides platessoides</t>
  </si>
  <si>
    <t>Pollachius virens</t>
  </si>
  <si>
    <t>Urophycis tenuis</t>
  </si>
  <si>
    <t>Clupea harengus</t>
  </si>
  <si>
    <t>High</t>
  </si>
  <si>
    <t>Limanda ferruginea</t>
  </si>
  <si>
    <t>Merluccius bilinearis</t>
  </si>
  <si>
    <t>Glyptocephalus cynoglossus</t>
  </si>
  <si>
    <t>Pseudopleuronectes americanus</t>
  </si>
  <si>
    <t>Sebastes fasciatus</t>
  </si>
  <si>
    <t>Scomber scombrus</t>
  </si>
  <si>
    <t>Homarus americanus</t>
  </si>
  <si>
    <t>not enough possible r-k combinations</t>
  </si>
  <si>
    <t>type</t>
  </si>
  <si>
    <t>refpts doc</t>
  </si>
  <si>
    <t>y/msy</t>
  </si>
  <si>
    <t>assess</t>
  </si>
  <si>
    <t>none</t>
  </si>
  <si>
    <t>y/msy incomplete</t>
  </si>
  <si>
    <t>no combination found</t>
  </si>
  <si>
    <t>too few combinations</t>
  </si>
  <si>
    <t>Anarchichas lupus</t>
  </si>
  <si>
    <t>MSY (-2SD)</t>
  </si>
  <si>
    <t xml:space="preserve"> MSY +2SD)</t>
  </si>
  <si>
    <t>analytical</t>
  </si>
  <si>
    <t>stochastic assess</t>
  </si>
  <si>
    <t>maxB/Bmsy</t>
  </si>
  <si>
    <t>minB/BMSY</t>
  </si>
  <si>
    <t>y/ymsy</t>
  </si>
  <si>
    <t>na; incr catches</t>
  </si>
  <si>
    <t>refpts dic</t>
  </si>
  <si>
    <t>refpts doc + survey</t>
  </si>
  <si>
    <t>SSB herring from ADAPT</t>
  </si>
  <si>
    <t>1970-1993:</t>
  </si>
  <si>
    <t xml:space="preserve">   min(yr)</t>
  </si>
  <si>
    <t xml:space="preserve"> max(yr)</t>
  </si>
  <si>
    <t xml:space="preserve"> res</t>
  </si>
  <si>
    <t xml:space="preserve"> max(ct)</t>
  </si>
  <si>
    <t xml:space="preserve"> ct[1]</t>
  </si>
  <si>
    <t xml:space="preserve"> ct[nyr]</t>
  </si>
  <si>
    <t xml:space="preserve"> length(r)</t>
  </si>
  <si>
    <t xml:space="preserve"> exp(mean(log(r)))</t>
  </si>
  <si>
    <t xml:space="preserve"> sd(log(r))</t>
  </si>
  <si>
    <t xml:space="preserve"> exp(mean(log(k)))</t>
  </si>
  <si>
    <t xml:space="preserve"> sd(log(k))</t>
  </si>
  <si>
    <t xml:space="preserve">  exp(mean(log(msy)))</t>
  </si>
  <si>
    <t xml:space="preserve"> sd(log(msy))</t>
  </si>
  <si>
    <t>.2*</t>
  </si>
  <si>
    <t>alpha</t>
  </si>
  <si>
    <t>beta</t>
  </si>
  <si>
    <t>threshold</t>
  </si>
  <si>
    <t>SS</t>
  </si>
  <si>
    <t>nb</t>
  </si>
  <si>
    <t>exp</t>
  </si>
  <si>
    <t>not included in assess</t>
  </si>
  <si>
    <t>unidentified groundfish</t>
  </si>
  <si>
    <t>unspecified flounders</t>
  </si>
  <si>
    <t>other pelagics</t>
  </si>
  <si>
    <t>scallops</t>
  </si>
  <si>
    <t>all</t>
  </si>
  <si>
    <t>crabs</t>
  </si>
  <si>
    <t>squids</t>
  </si>
  <si>
    <t>bivalves</t>
  </si>
  <si>
    <t>gastropods</t>
  </si>
  <si>
    <t>shrimps</t>
  </si>
  <si>
    <t>tilefish</t>
  </si>
  <si>
    <t>since70s</t>
  </si>
  <si>
    <t>very marginal habitat</t>
  </si>
  <si>
    <t>probably includes snow crab</t>
  </si>
  <si>
    <t>lobster</t>
  </si>
  <si>
    <t>Placopecten magellanicus</t>
  </si>
  <si>
    <t>Total un assessed</t>
  </si>
  <si>
    <t>WUS</t>
  </si>
  <si>
    <t>T</t>
  </si>
  <si>
    <t>stock scores</t>
  </si>
  <si>
    <t>scallops all</t>
  </si>
  <si>
    <t>{DFO, 2011 #7454}</t>
  </si>
  <si>
    <t>west coast style</t>
  </si>
  <si>
    <t>regular weighted average</t>
  </si>
  <si>
    <t>Xfis</t>
  </si>
  <si>
    <t>general method</t>
  </si>
  <si>
    <t>Notes</t>
  </si>
  <si>
    <t>1. {DFO, 2012 #7407}</t>
  </si>
  <si>
    <t>2. DFO survey {DFO, 2013 #7314}</t>
  </si>
  <si>
    <t>3. {DFO, 2011 #7427}</t>
  </si>
  <si>
    <t>4. {Harris, 2010 #7431;Harris, 2012 #7430}</t>
  </si>
  <si>
    <t>1,4</t>
  </si>
  <si>
    <t>5. {Guénette, 2015 #7444}</t>
  </si>
  <si>
    <t>6. {DFO, 2012 #7416}</t>
  </si>
  <si>
    <t>7. {Campana, 2009 #4114}</t>
  </si>
  <si>
    <t>8. {DFO, 2013 #6868}</t>
  </si>
  <si>
    <t>9. {Fowler, 2012 #7423}</t>
  </si>
  <si>
    <t>10. {Rago, 2010 #7446}</t>
  </si>
  <si>
    <t>11. {Clark, 2011 #7412}</t>
  </si>
  <si>
    <t>12. {Trzcinski, 2011 #7413}</t>
  </si>
  <si>
    <t>13. {Mohn, 2010 #7415}</t>
  </si>
  <si>
    <t>14. {Power, 2010 #4361}</t>
  </si>
  <si>
    <t>15. {DFO, 2011 #7425}</t>
  </si>
  <si>
    <t>16. {DFO, 2011 #7429}</t>
  </si>
  <si>
    <t>17. {Smith, 2012 #7434}</t>
  </si>
  <si>
    <t>18. {TRAC, 2010 #7445}</t>
  </si>
  <si>
    <t>19. {ICCAT, 2013 #7448} table 17</t>
  </si>
  <si>
    <t>20. {Grégoire, 2010 #6672}</t>
  </si>
  <si>
    <t>21. {DFO, 2011 #7454}</t>
  </si>
  <si>
    <t>22. BH S-R, 1970-2007</t>
  </si>
  <si>
    <t>24. geom mean of survey biomass for high productive period: 1984-1993; B4+; empirical based survey index ratio</t>
  </si>
  <si>
    <t>26. Sissenwine-Shepard, Ricker SR</t>
  </si>
  <si>
    <t>27. GM survey SSB 1970-1998</t>
  </si>
  <si>
    <t>29. SSNmsyfem, YPR + SR</t>
  </si>
  <si>
    <t>33. survey mean (&gt;22cm) 1970-2010</t>
  </si>
  <si>
    <t>34. 0.5max</t>
  </si>
  <si>
    <t>35. median of 1985-2009 catch as a proxy Bmsy assuming C prop of B {Tremblay, 2012 #7434}</t>
  </si>
  <si>
    <t>36. stock recruit relationship with covariates</t>
  </si>
  <si>
    <t>37. BMSY is avg of 1981-2009 from delay-difference model</t>
  </si>
  <si>
    <t>38. average of survey biomass time series</t>
  </si>
  <si>
    <t>39. average of 1970-1984 survey biomass time series</t>
  </si>
  <si>
    <t>40. average of 1970-1985 survey biomass time series</t>
  </si>
  <si>
    <t>41. VPA assuming an increase M for adults</t>
  </si>
  <si>
    <t>42. cpue in groundfish longliners</t>
  </si>
  <si>
    <t>43. Catch at length model</t>
  </si>
  <si>
    <t>44. survey SSB</t>
  </si>
  <si>
    <t>45. Sequential population analysis</t>
  </si>
  <si>
    <t>48. State base model</t>
  </si>
  <si>
    <t>49. USA survey</t>
  </si>
  <si>
    <t>10,18</t>
  </si>
  <si>
    <t>46. surplus production model</t>
  </si>
  <si>
    <t>51. Extended Survivors Analysis (XSA), stochastic</t>
  </si>
  <si>
    <t>52. survey very noisy</t>
  </si>
  <si>
    <t>53. stock in high productivity period because of high recruitment</t>
  </si>
  <si>
    <t>54. large retrospective pattern</t>
  </si>
  <si>
    <t>53b</t>
  </si>
  <si>
    <t>53b. High productivity in part because of environmental conditions, good governance</t>
  </si>
  <si>
    <t>ne</t>
  </si>
  <si>
    <t>&lt;.03</t>
  </si>
  <si>
    <t>0.036-0.075</t>
  </si>
  <si>
    <t>Species not assessed</t>
  </si>
  <si>
    <t>Catch of assessed stocks</t>
  </si>
  <si>
    <t>25. cpue (kg/100 hooks) commercial scaled to halibut survey 1986-1992 - productive period</t>
  </si>
  <si>
    <t>23. survey biomass 1970-1998</t>
  </si>
  <si>
    <t>SSB</t>
  </si>
  <si>
    <t>Tbiom</t>
  </si>
  <si>
    <t>cpue,25</t>
  </si>
  <si>
    <t>T biom</t>
  </si>
  <si>
    <t>units</t>
  </si>
  <si>
    <t>56. SSB females only</t>
  </si>
  <si>
    <t>SSB, 56</t>
  </si>
  <si>
    <t>57. Numbers at MSY (Bmsy(SSN)</t>
  </si>
  <si>
    <t>numbers, 57</t>
  </si>
  <si>
    <t>58. Fully recruited biomass</t>
  </si>
  <si>
    <t>Biom, 58</t>
  </si>
  <si>
    <t>31. state-base model, reference point is average productive period (1970-1976)</t>
  </si>
  <si>
    <t>55. most large fish are females nowadays, growth declined</t>
  </si>
  <si>
    <t>59. using numbers does not account for the importance of spawners' size</t>
  </si>
  <si>
    <t>biomass biomass</t>
  </si>
  <si>
    <t>catch-based (Martell and Froese</t>
  </si>
  <si>
    <t>28. longterm mean (1970-2003)</t>
  </si>
  <si>
    <t>32. survey avg1970-2000</t>
  </si>
  <si>
    <t>60. dynamic surplus-production model</t>
  </si>
  <si>
    <t>30. 1970-1993 productive period in VPA-based population SSB</t>
  </si>
  <si>
    <t>RPA</t>
  </si>
  <si>
    <t>XSA</t>
  </si>
  <si>
    <t>50. yield-per recruit (analytical results)</t>
  </si>
  <si>
    <t>F/Fmsy</t>
  </si>
  <si>
    <t>61. Fmsy=F0.1</t>
  </si>
  <si>
    <t>30,61</t>
  </si>
  <si>
    <t>4X/5</t>
  </si>
  <si>
    <t>33, 62</t>
  </si>
  <si>
    <t>62. relative F that results in no decline</t>
  </si>
  <si>
    <t>4X5ze</t>
  </si>
  <si>
    <t>4X5Y</t>
  </si>
  <si>
    <t>Chionoecetes opilio</t>
  </si>
  <si>
    <t>Alosa pseudoharengus</t>
  </si>
  <si>
    <t>Salmo salar</t>
  </si>
  <si>
    <t>Anguilla rostrata</t>
  </si>
  <si>
    <t>Morone saxatilis</t>
  </si>
  <si>
    <t>Thunnus thynnus</t>
  </si>
  <si>
    <t>4X bof</t>
  </si>
  <si>
    <t>Lopholatilus chamaeleonticeps</t>
  </si>
  <si>
    <t>Squalus acanthias</t>
  </si>
  <si>
    <t>fish.xls (MSVPA) landings from the L pelagics section</t>
  </si>
  <si>
    <t>North Atlantic</t>
  </si>
  <si>
    <t xml:space="preserve">US stock portion only for refpts and assess </t>
  </si>
  <si>
    <t>NWAtlantic</t>
  </si>
  <si>
    <t>{DFO, 2012 #6670}</t>
  </si>
  <si>
    <t>NWAtl mackerel</t>
  </si>
  <si>
    <t>Lophius americanus</t>
  </si>
  <si>
    <t>Myoxocephalus octodecimspinosus</t>
  </si>
  <si>
    <t>Malacoraja senta</t>
  </si>
  <si>
    <t>Leucoraja ocellata</t>
  </si>
  <si>
    <t>Amblyraja radiata</t>
  </si>
  <si>
    <t>Raja erinacea</t>
  </si>
  <si>
    <t>Dipturus laevis</t>
  </si>
  <si>
    <t>scallopsBrowns Bank</t>
  </si>
  <si>
    <t>{Cairns, 2014 #7461}</t>
  </si>
  <si>
    <t>Scotia Fundy large eels</t>
  </si>
  <si>
    <t>eels NB</t>
  </si>
  <si>
    <t>eels NS</t>
  </si>
  <si>
    <t>eels total</t>
  </si>
  <si>
    <t>elvers</t>
  </si>
  <si>
    <t>SF elvers</t>
  </si>
  <si>
    <t>0.35-.728</t>
  </si>
  <si>
    <t>Scotia Fundy  ESS +WSS+BOF</t>
  </si>
  <si>
    <t>Western Atl</t>
  </si>
  <si>
    <t>low R</t>
  </si>
  <si>
    <t>high R</t>
  </si>
  <si>
    <t>swordish</t>
  </si>
  <si>
    <t xml:space="preserve">marfis </t>
  </si>
  <si>
    <t>19 a. {ICCAT, 2014 #7447}</t>
  </si>
  <si>
    <t>19a</t>
  </si>
  <si>
    <t>B'</t>
  </si>
  <si>
    <t>F'</t>
  </si>
  <si>
    <t>63. VPA rejected</t>
  </si>
  <si>
    <t xml:space="preserve">47. Virtual population analysis </t>
  </si>
  <si>
    <t>47,63</t>
  </si>
  <si>
    <t>29a. Spawners recruit relationship with low recruitment curve</t>
  </si>
  <si>
    <t>29b. Spawners recruit relationship with high recruitment curve</t>
  </si>
  <si>
    <t>29a</t>
  </si>
  <si>
    <t>29b</t>
  </si>
  <si>
    <t>64.  if B/Bmsy&gt;=0.8 and F/Fmsy&lt;0.8 --&gt; F'=(F/Fmsy)/0.8 {Halpern, 2014 #7439}</t>
  </si>
  <si>
    <t>65.  if B/Bmsy&lt;0.8 and B/Bmsy+0.2 &lt;F/Fmsy&lt;F/Fmsy&lt;B/Bmsy+1.5 --&gt; F'=(B/Bmsy+1.5-F/Fmsy)/1.5 {Halpern, 2014 #7439}</t>
  </si>
  <si>
    <t>Xiphias gladus</t>
  </si>
  <si>
    <t>ne. = not estimated</t>
  </si>
  <si>
    <t>using survey and less</t>
  </si>
  <si>
    <t>using y/msy</t>
  </si>
  <si>
    <t>wo herring</t>
  </si>
  <si>
    <t>1=refpts</t>
  </si>
  <si>
    <t>2=survey</t>
  </si>
  <si>
    <t>3=y.msy</t>
  </si>
  <si>
    <t>meanC</t>
  </si>
  <si>
    <t>plaice</t>
  </si>
  <si>
    <t>lobster34</t>
  </si>
  <si>
    <t>lobster35</t>
  </si>
  <si>
    <t>lobster36</t>
  </si>
  <si>
    <t>lobster38</t>
  </si>
  <si>
    <t>swordfish</t>
  </si>
  <si>
    <t>tuna</t>
  </si>
  <si>
    <t>winterFl</t>
  </si>
  <si>
    <t>4X survey</t>
  </si>
  <si>
    <t>whitchFl</t>
  </si>
  <si>
    <t>sculpin</t>
  </si>
  <si>
    <t>iBB2</t>
  </si>
  <si>
    <t>iBB3</t>
  </si>
  <si>
    <t>iBB1</t>
  </si>
  <si>
    <t>iFF1</t>
  </si>
  <si>
    <t>Calculations</t>
  </si>
  <si>
    <t>SS2</t>
  </si>
  <si>
    <t>SSH</t>
  </si>
  <si>
    <t>SSL</t>
  </si>
  <si>
    <t>SSe</t>
  </si>
  <si>
    <t>X_SS1</t>
  </si>
  <si>
    <t>X_SS2</t>
  </si>
  <si>
    <t>X_SSH</t>
  </si>
  <si>
    <t>X_SSL</t>
  </si>
  <si>
    <t>V12</t>
  </si>
  <si>
    <t>V13</t>
  </si>
  <si>
    <t>V14</t>
  </si>
  <si>
    <t>highest score</t>
  </si>
  <si>
    <t>min</t>
  </si>
  <si>
    <t>max</t>
  </si>
  <si>
    <t>stock assessment based</t>
  </si>
  <si>
    <t>input</t>
  </si>
  <si>
    <t>Results from R</t>
  </si>
  <si>
    <t>B'=SS1</t>
  </si>
  <si>
    <t>LT</t>
  </si>
  <si>
    <t>woherr</t>
  </si>
  <si>
    <t>wocod</t>
  </si>
  <si>
    <t>wohadd</t>
  </si>
  <si>
    <t>wopoll</t>
  </si>
  <si>
    <t>V15</t>
  </si>
  <si>
    <t>V16</t>
  </si>
  <si>
    <t>Changes in parameters</t>
  </si>
  <si>
    <t>SS1</t>
  </si>
  <si>
    <t>wo cod</t>
  </si>
  <si>
    <t>wo haddock</t>
  </si>
  <si>
    <t>wo pollock</t>
  </si>
  <si>
    <t>initial parameters</t>
  </si>
  <si>
    <t>lower T</t>
  </si>
  <si>
    <t>higher T</t>
  </si>
  <si>
    <t>lower alpha</t>
  </si>
  <si>
    <t>lowert LT</t>
  </si>
  <si>
    <t>XFIS</t>
  </si>
  <si>
    <t>scenarios</t>
  </si>
  <si>
    <t>SS2 or SS1</t>
  </si>
  <si>
    <t>lower scores</t>
  </si>
  <si>
    <t>survey based</t>
  </si>
  <si>
    <t>mean(F', B')</t>
  </si>
  <si>
    <t>rel w</t>
  </si>
  <si>
    <t>wi</t>
  </si>
  <si>
    <t>iB1</t>
  </si>
  <si>
    <t>iB2</t>
  </si>
  <si>
    <t>iB3</t>
  </si>
  <si>
    <t>CV</t>
  </si>
  <si>
    <t>B/Bmsy based on</t>
  </si>
  <si>
    <t>results from R-- uncertainty</t>
  </si>
  <si>
    <t>SS herring=0.1</t>
  </si>
  <si>
    <t>SS herring=0.4</t>
  </si>
  <si>
    <t>Lamna nasus</t>
  </si>
  <si>
    <t>Refpts</t>
  </si>
  <si>
    <t>Y/msy based</t>
  </si>
  <si>
    <t>Bmsy</t>
  </si>
  <si>
    <t>source</t>
  </si>
  <si>
    <t>cod B</t>
  </si>
  <si>
    <t>cod B/Bmsy</t>
  </si>
  <si>
    <t>cpue data in {Harris, 2012 #7430}</t>
  </si>
  <si>
    <t>SSb survey</t>
  </si>
  <si>
    <t>SSN, 56</t>
  </si>
  <si>
    <t>assessment</t>
  </si>
  <si>
    <t>assess; from graph fig24</t>
  </si>
  <si>
    <t>lobsters</t>
  </si>
  <si>
    <t>table 15 assess</t>
  </si>
  <si>
    <t>assess table 14</t>
  </si>
  <si>
    <t>table 5 assess run2</t>
  </si>
  <si>
    <t>assess; graph fig 6</t>
  </si>
  <si>
    <t>wolfish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</si>
</sst>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25" x14ac:knownFonts="1">
    <font>
      <sz val="10"/>
      <name val="Arial"/>
    </font>
    <font>
      <sz val="10"/>
      <name val="Arial"/>
      <family val="2"/>
    </font>
    <font>
      <b/>
      <sz val="12"/>
      <name val="Century"/>
      <family val="1"/>
    </font>
    <font>
      <sz val="12"/>
      <name val="Century"/>
      <family val="1"/>
    </font>
    <font>
      <sz val="10"/>
      <color indexed="8"/>
      <name val="Arial"/>
      <family val="2"/>
    </font>
    <font>
      <b/>
      <sz val="10"/>
      <color indexed="8"/>
      <name val="Arial"/>
      <family val="2"/>
    </font>
    <font>
      <sz val="10"/>
      <name val="Arial"/>
      <family val="2"/>
    </font>
    <font>
      <sz val="10"/>
      <name val="Calibri"/>
      <family val="2"/>
    </font>
    <font>
      <b/>
      <sz val="11"/>
      <color indexed="8"/>
      <name val="Arial"/>
      <family val="2"/>
    </font>
    <font>
      <sz val="11"/>
      <color indexed="8"/>
      <name val="Arial"/>
      <family val="2"/>
    </font>
    <font>
      <sz val="11"/>
      <color indexed="8"/>
      <name val="Calibri"/>
      <family val="2"/>
    </font>
    <font>
      <b/>
      <sz val="10"/>
      <color theme="0"/>
      <name val="Arial"/>
      <family val="2"/>
    </font>
    <font>
      <b/>
      <sz val="10"/>
      <name val="Arial"/>
      <family val="2"/>
    </font>
    <font>
      <sz val="9"/>
      <color indexed="81"/>
      <name val="Tahoma"/>
      <family val="2"/>
    </font>
    <font>
      <b/>
      <sz val="9"/>
      <color indexed="81"/>
      <name val="Tahoma"/>
      <family val="2"/>
    </font>
    <font>
      <i/>
      <sz val="10"/>
      <name val="Arial"/>
      <family val="2"/>
    </font>
    <font>
      <sz val="12"/>
      <color theme="1"/>
      <name val="Calibri"/>
      <family val="2"/>
    </font>
    <font>
      <sz val="12"/>
      <name val="Calibri"/>
      <family val="2"/>
    </font>
    <font>
      <b/>
      <sz val="12"/>
      <name val="Calibri"/>
      <family val="2"/>
    </font>
    <font>
      <sz val="10"/>
      <color theme="0"/>
      <name val="Arial"/>
      <family val="2"/>
    </font>
    <font>
      <strike/>
      <sz val="10"/>
      <name val="Arial"/>
      <family val="2"/>
    </font>
    <font>
      <sz val="10"/>
      <color theme="1"/>
      <name val="Arial"/>
      <family val="2"/>
    </font>
    <font>
      <b/>
      <sz val="12"/>
      <color theme="1"/>
      <name val="Calibri"/>
      <family val="2"/>
    </font>
    <font>
      <i/>
      <sz val="12"/>
      <name val="Calibri"/>
      <family val="2"/>
    </font>
    <font>
      <sz val="10"/>
      <color rgb="FFFF0000"/>
      <name val="Arial"/>
      <family val="2"/>
    </font>
  </fonts>
  <fills count="2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5" tint="0.39997558519241921"/>
        <bgColor indexed="64"/>
      </patternFill>
    </fill>
    <fill>
      <patternFill patternType="solid">
        <fgColor theme="0" tint="-0.34998626667073579"/>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rgb="FFFF0000"/>
        <bgColor indexed="64"/>
      </patternFill>
    </fill>
    <fill>
      <patternFill patternType="solid">
        <fgColor theme="7" tint="0.59999389629810485"/>
        <bgColor indexed="64"/>
      </patternFill>
    </fill>
    <fill>
      <patternFill patternType="solid">
        <fgColor theme="6" tint="-0.249977111117893"/>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3"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276">
    <xf numFmtId="0" fontId="0" fillId="0" borderId="0" xfId="0"/>
    <xf numFmtId="0" fontId="2" fillId="0" borderId="0" xfId="0" applyFont="1"/>
    <xf numFmtId="0" fontId="3" fillId="0" borderId="0" xfId="0" applyFont="1"/>
    <xf numFmtId="0" fontId="2" fillId="0" borderId="1" xfId="0" applyFont="1" applyBorder="1" applyAlignment="1">
      <alignment horizontal="left"/>
    </xf>
    <xf numFmtId="0" fontId="3" fillId="0" borderId="1" xfId="0" applyFont="1" applyFill="1" applyBorder="1"/>
    <xf numFmtId="2" fontId="3" fillId="0" borderId="1" xfId="0" applyNumberFormat="1" applyFont="1" applyFill="1" applyBorder="1" applyAlignment="1">
      <alignment horizontal="right"/>
    </xf>
    <xf numFmtId="0" fontId="3" fillId="0" borderId="0" xfId="0" applyNumberFormat="1" applyFont="1" applyFill="1"/>
    <xf numFmtId="2" fontId="3" fillId="0" borderId="0" xfId="0" applyNumberFormat="1" applyFont="1" applyFill="1"/>
    <xf numFmtId="0" fontId="3" fillId="0" borderId="0" xfId="0" applyNumberFormat="1" applyFont="1"/>
    <xf numFmtId="49" fontId="3" fillId="0" borderId="0" xfId="0" applyNumberFormat="1" applyFont="1"/>
    <xf numFmtId="0" fontId="3" fillId="0" borderId="2" xfId="0" applyFont="1" applyFill="1" applyBorder="1"/>
    <xf numFmtId="49" fontId="2" fillId="0" borderId="1" xfId="0" applyNumberFormat="1" applyFont="1" applyFill="1" applyBorder="1" applyAlignment="1">
      <alignment horizontal="right"/>
    </xf>
    <xf numFmtId="0" fontId="3" fillId="0" borderId="1" xfId="0" applyNumberFormat="1" applyFont="1" applyFill="1" applyBorder="1"/>
    <xf numFmtId="2" fontId="3" fillId="0" borderId="1" xfId="0" applyNumberFormat="1" applyFont="1" applyFill="1" applyBorder="1"/>
    <xf numFmtId="49" fontId="0" fillId="0" borderId="0" xfId="0" applyNumberFormat="1"/>
    <xf numFmtId="2" fontId="0" fillId="0" borderId="0" xfId="0" applyNumberFormat="1"/>
    <xf numFmtId="0" fontId="0" fillId="2" borderId="0" xfId="0" applyFill="1"/>
    <xf numFmtId="2" fontId="0" fillId="2" borderId="0" xfId="0" applyNumberFormat="1" applyFill="1"/>
    <xf numFmtId="0" fontId="0" fillId="3" borderId="0" xfId="0" applyFill="1"/>
    <xf numFmtId="0" fontId="6" fillId="0" borderId="0" xfId="0" applyFont="1"/>
    <xf numFmtId="0" fontId="6" fillId="2" borderId="0" xfId="0" applyFont="1" applyFill="1"/>
    <xf numFmtId="0" fontId="6" fillId="3" borderId="0" xfId="0" applyFont="1" applyFill="1"/>
    <xf numFmtId="0" fontId="0" fillId="2" borderId="0" xfId="0" applyFill="1" applyAlignment="1">
      <alignment wrapText="1"/>
    </xf>
    <xf numFmtId="0" fontId="0" fillId="4" borderId="0" xfId="0" applyFill="1" applyAlignment="1">
      <alignment wrapText="1"/>
    </xf>
    <xf numFmtId="3" fontId="0" fillId="0" borderId="0" xfId="0" applyNumberFormat="1"/>
    <xf numFmtId="164" fontId="0" fillId="0" borderId="0" xfId="0" applyNumberFormat="1"/>
    <xf numFmtId="0" fontId="6" fillId="4" borderId="0" xfId="0" applyFont="1" applyFill="1" applyAlignment="1">
      <alignment wrapText="1"/>
    </xf>
    <xf numFmtId="0" fontId="6" fillId="0" borderId="0" xfId="0" applyFont="1" applyAlignment="1">
      <alignment wrapText="1"/>
    </xf>
    <xf numFmtId="0" fontId="7" fillId="0" borderId="0" xfId="0" applyFont="1" applyAlignment="1">
      <alignment wrapText="1"/>
    </xf>
    <xf numFmtId="0" fontId="7" fillId="0" borderId="0" xfId="0" applyFont="1" applyAlignment="1">
      <alignment vertical="center" wrapText="1"/>
    </xf>
    <xf numFmtId="0" fontId="6" fillId="0" borderId="0" xfId="0" applyFont="1" applyAlignment="1"/>
    <xf numFmtId="0" fontId="5" fillId="0" borderId="0" xfId="0" applyFont="1" applyAlignment="1">
      <alignment horizontal="left"/>
    </xf>
    <xf numFmtId="0" fontId="0" fillId="0" borderId="0" xfId="0" applyAlignment="1">
      <alignment horizontal="center"/>
    </xf>
    <xf numFmtId="2" fontId="0" fillId="0" borderId="0" xfId="0" applyNumberFormat="1" applyAlignment="1">
      <alignment vertical="top" wrapText="1"/>
    </xf>
    <xf numFmtId="2" fontId="5" fillId="0" borderId="1" xfId="0" applyNumberFormat="1" applyFont="1" applyBorder="1" applyAlignment="1">
      <alignment horizontal="center" vertical="top" wrapText="1"/>
    </xf>
    <xf numFmtId="0" fontId="0" fillId="0" borderId="3" xfId="0" applyNumberFormat="1" applyBorder="1" applyAlignment="1">
      <alignment horizontal="center"/>
    </xf>
    <xf numFmtId="3" fontId="0" fillId="0" borderId="4" xfId="0" applyNumberFormat="1" applyBorder="1" applyAlignment="1">
      <alignment horizontal="center"/>
    </xf>
    <xf numFmtId="3" fontId="0" fillId="0" borderId="5" xfId="0" applyNumberFormat="1" applyBorder="1" applyAlignment="1">
      <alignment horizontal="center"/>
    </xf>
    <xf numFmtId="3" fontId="0" fillId="0" borderId="6" xfId="0" applyNumberFormat="1" applyBorder="1" applyAlignment="1">
      <alignment horizontal="center"/>
    </xf>
    <xf numFmtId="3" fontId="4" fillId="0" borderId="6" xfId="0" applyNumberFormat="1" applyFont="1" applyBorder="1" applyAlignment="1">
      <alignment horizontal="center"/>
    </xf>
    <xf numFmtId="3" fontId="0" fillId="0" borderId="3" xfId="0" applyNumberFormat="1" applyBorder="1" applyAlignment="1">
      <alignment horizontal="center"/>
    </xf>
    <xf numFmtId="3" fontId="0" fillId="0" borderId="2" xfId="0" applyNumberFormat="1" applyBorder="1" applyAlignment="1">
      <alignment horizontal="center"/>
    </xf>
    <xf numFmtId="3" fontId="0" fillId="0" borderId="7" xfId="0" applyNumberFormat="1" applyBorder="1" applyAlignment="1">
      <alignment horizontal="center"/>
    </xf>
    <xf numFmtId="3" fontId="4" fillId="0" borderId="7" xfId="0" applyNumberFormat="1" applyFont="1" applyBorder="1" applyAlignment="1">
      <alignment horizontal="center"/>
    </xf>
    <xf numFmtId="0" fontId="0" fillId="0" borderId="3" xfId="0" applyBorder="1" applyAlignment="1">
      <alignment horizontal="center"/>
    </xf>
    <xf numFmtId="0" fontId="8" fillId="0" borderId="0" xfId="0" applyFont="1"/>
    <xf numFmtId="0" fontId="9" fillId="0" borderId="0" xfId="0" applyFont="1"/>
    <xf numFmtId="0" fontId="9" fillId="0" borderId="0" xfId="0" applyFont="1" applyAlignment="1">
      <alignment horizontal="left"/>
    </xf>
    <xf numFmtId="0" fontId="5" fillId="0" borderId="0" xfId="0" applyFont="1"/>
    <xf numFmtId="0" fontId="5" fillId="0" borderId="1" xfId="0" applyFont="1" applyBorder="1"/>
    <xf numFmtId="0" fontId="5" fillId="0" borderId="11" xfId="0" applyFont="1" applyBorder="1"/>
    <xf numFmtId="0" fontId="5" fillId="0" borderId="5" xfId="0" applyFont="1" applyBorder="1"/>
    <xf numFmtId="0" fontId="4" fillId="0" borderId="6" xfId="0" applyFont="1" applyBorder="1"/>
    <xf numFmtId="0" fontId="5" fillId="0" borderId="2" xfId="0" applyFont="1" applyBorder="1"/>
    <xf numFmtId="0" fontId="4" fillId="0" borderId="7" xfId="0" applyFont="1" applyBorder="1"/>
    <xf numFmtId="0" fontId="5" fillId="0" borderId="9" xfId="0" applyFont="1" applyBorder="1"/>
    <xf numFmtId="0" fontId="4" fillId="0" borderId="10" xfId="0" applyFont="1" applyBorder="1"/>
    <xf numFmtId="0" fontId="0" fillId="0" borderId="6" xfId="0" applyBorder="1"/>
    <xf numFmtId="0" fontId="0" fillId="0" borderId="7" xfId="0" applyBorder="1"/>
    <xf numFmtId="0" fontId="0" fillId="0" borderId="10" xfId="0" applyBorder="1"/>
    <xf numFmtId="0" fontId="0" fillId="0" borderId="9" xfId="0" applyBorder="1"/>
    <xf numFmtId="0" fontId="1" fillId="0" borderId="0" xfId="0" applyFont="1"/>
    <xf numFmtId="0" fontId="12" fillId="0" borderId="0" xfId="0" applyFont="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0" fontId="1" fillId="9" borderId="0" xfId="0" applyFont="1" applyFill="1"/>
    <xf numFmtId="0" fontId="0" fillId="9" borderId="0" xfId="0" applyFill="1"/>
    <xf numFmtId="0" fontId="0" fillId="10" borderId="0" xfId="0" applyFill="1"/>
    <xf numFmtId="0" fontId="4" fillId="11" borderId="3" xfId="0" applyFont="1" applyFill="1" applyBorder="1" applyAlignment="1">
      <alignment horizontal="center"/>
    </xf>
    <xf numFmtId="3" fontId="0" fillId="11" borderId="3" xfId="0" applyNumberFormat="1" applyFill="1" applyBorder="1" applyAlignment="1">
      <alignment horizontal="center"/>
    </xf>
    <xf numFmtId="3" fontId="0" fillId="11" borderId="2" xfId="0" applyNumberFormat="1" applyFill="1" applyBorder="1" applyAlignment="1">
      <alignment horizontal="center"/>
    </xf>
    <xf numFmtId="3" fontId="0" fillId="11" borderId="7" xfId="0" applyNumberFormat="1" applyFill="1" applyBorder="1" applyAlignment="1">
      <alignment horizontal="center"/>
    </xf>
    <xf numFmtId="0" fontId="4" fillId="11" borderId="8" xfId="0" applyFont="1" applyFill="1" applyBorder="1" applyAlignment="1">
      <alignment horizontal="center"/>
    </xf>
    <xf numFmtId="3" fontId="0" fillId="11" borderId="8" xfId="0" applyNumberFormat="1" applyFill="1" applyBorder="1" applyAlignment="1">
      <alignment horizontal="center"/>
    </xf>
    <xf numFmtId="3" fontId="0" fillId="11" borderId="9" xfId="0" applyNumberFormat="1" applyFill="1" applyBorder="1" applyAlignment="1">
      <alignment horizontal="center"/>
    </xf>
    <xf numFmtId="3" fontId="0" fillId="11" borderId="10" xfId="0" applyNumberFormat="1" applyFill="1" applyBorder="1" applyAlignment="1">
      <alignment horizontal="center"/>
    </xf>
    <xf numFmtId="0" fontId="0" fillId="11" borderId="0" xfId="0" applyFill="1"/>
    <xf numFmtId="0" fontId="1" fillId="11" borderId="0" xfId="0" applyFont="1" applyFill="1"/>
    <xf numFmtId="0" fontId="0" fillId="7" borderId="0" xfId="0" applyFill="1"/>
    <xf numFmtId="0" fontId="0" fillId="5" borderId="0" xfId="0" applyFill="1"/>
    <xf numFmtId="0" fontId="0" fillId="8" borderId="0" xfId="0" applyFill="1"/>
    <xf numFmtId="2" fontId="5" fillId="12" borderId="1" xfId="0" applyNumberFormat="1" applyFont="1" applyFill="1" applyBorder="1" applyAlignment="1">
      <alignment horizontal="center" vertical="top" wrapText="1"/>
    </xf>
    <xf numFmtId="1" fontId="0" fillId="0" borderId="0" xfId="0" applyNumberFormat="1"/>
    <xf numFmtId="0" fontId="1" fillId="14" borderId="0" xfId="0" applyFont="1" applyFill="1"/>
    <xf numFmtId="0" fontId="0" fillId="14" borderId="0" xfId="0" applyFill="1"/>
    <xf numFmtId="3" fontId="0" fillId="14" borderId="0" xfId="0" applyNumberFormat="1" applyFill="1"/>
    <xf numFmtId="1" fontId="0" fillId="14" borderId="0" xfId="0" applyNumberFormat="1" applyFill="1"/>
    <xf numFmtId="0" fontId="1" fillId="10" borderId="0" xfId="0" applyFont="1" applyFill="1"/>
    <xf numFmtId="3" fontId="0" fillId="10" borderId="0" xfId="0" applyNumberFormat="1" applyFill="1"/>
    <xf numFmtId="1" fontId="0" fillId="10" borderId="0" xfId="0" applyNumberFormat="1" applyFill="1"/>
    <xf numFmtId="0" fontId="12" fillId="16" borderId="0" xfId="0" applyFont="1" applyFill="1"/>
    <xf numFmtId="0" fontId="1" fillId="16" borderId="0" xfId="0" applyFont="1" applyFill="1"/>
    <xf numFmtId="0" fontId="0" fillId="16" borderId="0" xfId="0" applyFill="1"/>
    <xf numFmtId="0" fontId="1" fillId="13" borderId="0" xfId="0" applyFont="1" applyFill="1"/>
    <xf numFmtId="0" fontId="0" fillId="13" borderId="0" xfId="0" applyFill="1"/>
    <xf numFmtId="0" fontId="1" fillId="0" borderId="0" xfId="0" applyFont="1" applyFill="1"/>
    <xf numFmtId="0" fontId="0" fillId="17" borderId="0" xfId="0" applyFill="1"/>
    <xf numFmtId="0" fontId="1" fillId="18" borderId="0" xfId="0" applyFont="1" applyFill="1"/>
    <xf numFmtId="0" fontId="0" fillId="18" borderId="0" xfId="0" applyFill="1"/>
    <xf numFmtId="0" fontId="0" fillId="0" borderId="0" xfId="0" applyFill="1"/>
    <xf numFmtId="3" fontId="0" fillId="0" borderId="0" xfId="0" applyNumberFormat="1" applyFill="1"/>
    <xf numFmtId="3" fontId="0" fillId="7" borderId="0" xfId="0" applyNumberFormat="1" applyFill="1"/>
    <xf numFmtId="0" fontId="11" fillId="10" borderId="3" xfId="0" applyFont="1" applyFill="1" applyBorder="1"/>
    <xf numFmtId="0" fontId="0" fillId="0" borderId="3" xfId="0" applyBorder="1"/>
    <xf numFmtId="0" fontId="1" fillId="0" borderId="3" xfId="0" applyFont="1" applyBorder="1"/>
    <xf numFmtId="0" fontId="17" fillId="0" borderId="0" xfId="0" applyFont="1" applyAlignment="1">
      <alignment vertical="center"/>
    </xf>
    <xf numFmtId="0" fontId="17" fillId="5" borderId="0" xfId="0" applyFont="1" applyFill="1" applyAlignment="1">
      <alignment vertical="center"/>
    </xf>
    <xf numFmtId="0" fontId="17" fillId="7" borderId="0" xfId="0" applyFont="1" applyFill="1" applyAlignment="1">
      <alignment vertical="center"/>
    </xf>
    <xf numFmtId="0" fontId="16" fillId="7" borderId="0" xfId="0" applyFont="1" applyFill="1" applyAlignment="1">
      <alignment vertical="center"/>
    </xf>
    <xf numFmtId="0" fontId="18" fillId="0" borderId="0" xfId="0" applyFont="1" applyFill="1" applyBorder="1" applyAlignment="1">
      <alignment vertical="center"/>
    </xf>
    <xf numFmtId="3" fontId="15" fillId="0" borderId="0" xfId="0" applyNumberFormat="1" applyFont="1"/>
    <xf numFmtId="3" fontId="12" fillId="0" borderId="0" xfId="0" applyNumberFormat="1" applyFont="1"/>
    <xf numFmtId="0" fontId="12" fillId="0" borderId="3" xfId="0" applyFont="1" applyBorder="1"/>
    <xf numFmtId="0" fontId="12" fillId="0" borderId="0" xfId="0" applyFont="1" applyAlignment="1">
      <alignment horizontal="center" wrapText="1"/>
    </xf>
    <xf numFmtId="0" fontId="12" fillId="13" borderId="0" xfId="0" applyFont="1" applyFill="1"/>
    <xf numFmtId="0" fontId="0" fillId="0" borderId="0" xfId="0" applyNumberFormat="1"/>
    <xf numFmtId="0" fontId="17" fillId="13" borderId="0" xfId="0" applyFont="1" applyFill="1" applyAlignment="1">
      <alignment vertical="center"/>
    </xf>
    <xf numFmtId="0" fontId="17" fillId="0" borderId="0" xfId="0" applyFont="1" applyFill="1" applyBorder="1" applyAlignment="1">
      <alignment vertical="center"/>
    </xf>
    <xf numFmtId="0" fontId="1" fillId="0" borderId="0" xfId="0" applyNumberFormat="1" applyFont="1"/>
    <xf numFmtId="3" fontId="1" fillId="0" borderId="0" xfId="0" applyNumberFormat="1" applyFont="1"/>
    <xf numFmtId="0" fontId="17" fillId="0" borderId="0" xfId="0" applyFont="1" applyFill="1" applyAlignment="1">
      <alignment vertical="center"/>
    </xf>
    <xf numFmtId="3" fontId="1" fillId="0" borderId="0" xfId="0" applyNumberFormat="1" applyFont="1" applyFill="1"/>
    <xf numFmtId="0" fontId="0" fillId="0" borderId="3" xfId="0" applyFill="1" applyBorder="1"/>
    <xf numFmtId="0" fontId="12" fillId="0" borderId="0" xfId="0" applyFont="1" applyFill="1"/>
    <xf numFmtId="0" fontId="17" fillId="18" borderId="0" xfId="0" applyFont="1" applyFill="1" applyBorder="1" applyAlignment="1">
      <alignment vertical="center"/>
    </xf>
    <xf numFmtId="0" fontId="17" fillId="9" borderId="0" xfId="0" applyFont="1" applyFill="1" applyBorder="1" applyAlignment="1">
      <alignment vertical="center"/>
    </xf>
    <xf numFmtId="0" fontId="17" fillId="13" borderId="0" xfId="0" applyFont="1" applyFill="1" applyBorder="1" applyAlignment="1">
      <alignment vertical="center"/>
    </xf>
    <xf numFmtId="0" fontId="17" fillId="10" borderId="0" xfId="0" applyFont="1" applyFill="1" applyAlignment="1">
      <alignment vertical="center"/>
    </xf>
    <xf numFmtId="0" fontId="11" fillId="10" borderId="0" xfId="0" applyFont="1" applyFill="1" applyBorder="1"/>
    <xf numFmtId="0" fontId="1" fillId="7" borderId="0" xfId="0" applyFont="1" applyFill="1" applyBorder="1"/>
    <xf numFmtId="0" fontId="0" fillId="0" borderId="0" xfId="0" applyBorder="1"/>
    <xf numFmtId="0" fontId="0" fillId="0" borderId="0" xfId="0" applyFill="1" applyBorder="1"/>
    <xf numFmtId="0" fontId="1" fillId="0" borderId="0" xfId="0" applyFont="1" applyBorder="1"/>
    <xf numFmtId="0" fontId="12" fillId="0" borderId="0" xfId="0" applyFont="1" applyBorder="1"/>
    <xf numFmtId="2" fontId="0" fillId="0" borderId="3" xfId="0" applyNumberFormat="1" applyBorder="1"/>
    <xf numFmtId="2" fontId="0" fillId="0" borderId="0" xfId="0" applyNumberFormat="1" applyBorder="1"/>
    <xf numFmtId="1" fontId="0" fillId="7" borderId="0" xfId="0" applyNumberFormat="1" applyFill="1"/>
    <xf numFmtId="165" fontId="0" fillId="0" borderId="0" xfId="0" applyNumberFormat="1"/>
    <xf numFmtId="2" fontId="0" fillId="0" borderId="0" xfId="0" applyNumberFormat="1" applyFill="1"/>
    <xf numFmtId="2" fontId="1" fillId="18" borderId="3" xfId="0" applyNumberFormat="1" applyFont="1" applyFill="1" applyBorder="1"/>
    <xf numFmtId="2" fontId="1" fillId="18" borderId="0" xfId="0" applyNumberFormat="1" applyFont="1" applyFill="1" applyBorder="1"/>
    <xf numFmtId="2" fontId="1" fillId="0" borderId="3" xfId="0" applyNumberFormat="1" applyFont="1" applyBorder="1"/>
    <xf numFmtId="2" fontId="1" fillId="0" borderId="0" xfId="0" applyNumberFormat="1" applyFont="1" applyBorder="1"/>
    <xf numFmtId="2" fontId="12" fillId="0" borderId="0" xfId="0" applyNumberFormat="1" applyFont="1" applyBorder="1"/>
    <xf numFmtId="2" fontId="0" fillId="18" borderId="3" xfId="0" applyNumberFormat="1" applyFill="1" applyBorder="1"/>
    <xf numFmtId="2" fontId="0" fillId="18" borderId="0" xfId="0" applyNumberFormat="1" applyFill="1" applyBorder="1"/>
    <xf numFmtId="2" fontId="0" fillId="0" borderId="3" xfId="0" applyNumberFormat="1" applyFill="1" applyBorder="1"/>
    <xf numFmtId="2" fontId="0" fillId="0" borderId="0" xfId="0" applyNumberFormat="1" applyFill="1" applyBorder="1"/>
    <xf numFmtId="2" fontId="1" fillId="0" borderId="0" xfId="0" applyNumberFormat="1" applyFont="1" applyFill="1" applyBorder="1"/>
    <xf numFmtId="2" fontId="1" fillId="0" borderId="0" xfId="0" applyNumberFormat="1" applyFont="1"/>
    <xf numFmtId="2" fontId="12" fillId="0" borderId="3" xfId="0" applyNumberFormat="1" applyFont="1" applyBorder="1"/>
    <xf numFmtId="2" fontId="15" fillId="7" borderId="0" xfId="0" applyNumberFormat="1" applyFont="1" applyFill="1" applyBorder="1"/>
    <xf numFmtId="2" fontId="0" fillId="7" borderId="0" xfId="0" applyNumberFormat="1" applyFill="1"/>
    <xf numFmtId="2" fontId="12" fillId="7" borderId="3" xfId="0" applyNumberFormat="1" applyFont="1" applyFill="1" applyBorder="1"/>
    <xf numFmtId="2" fontId="12" fillId="7" borderId="0" xfId="0" applyNumberFormat="1" applyFont="1" applyFill="1" applyBorder="1"/>
    <xf numFmtId="2" fontId="1" fillId="17" borderId="3" xfId="0" applyNumberFormat="1" applyFont="1" applyFill="1" applyBorder="1"/>
    <xf numFmtId="2" fontId="1" fillId="17" borderId="0" xfId="0" applyNumberFormat="1" applyFont="1" applyFill="1" applyBorder="1"/>
    <xf numFmtId="0" fontId="11" fillId="20" borderId="0" xfId="0" applyFont="1" applyFill="1"/>
    <xf numFmtId="0" fontId="1" fillId="21" borderId="0" xfId="0" applyFont="1" applyFill="1"/>
    <xf numFmtId="0" fontId="19" fillId="15" borderId="0" xfId="0" applyFont="1" applyFill="1"/>
    <xf numFmtId="0" fontId="19" fillId="15" borderId="3" xfId="0" applyFont="1" applyFill="1" applyBorder="1"/>
    <xf numFmtId="0" fontId="19" fillId="15" borderId="0" xfId="0" applyFont="1" applyFill="1" applyBorder="1"/>
    <xf numFmtId="3" fontId="19" fillId="15" borderId="0" xfId="0" applyNumberFormat="1" applyFont="1" applyFill="1"/>
    <xf numFmtId="0" fontId="20" fillId="0" borderId="0" xfId="0" applyFont="1"/>
    <xf numFmtId="0" fontId="20" fillId="14" borderId="0" xfId="0" applyFont="1" applyFill="1"/>
    <xf numFmtId="0" fontId="20" fillId="10" borderId="0" xfId="0" applyFont="1" applyFill="1"/>
    <xf numFmtId="0" fontId="0" fillId="8" borderId="3" xfId="0" applyFill="1" applyBorder="1"/>
    <xf numFmtId="0" fontId="0" fillId="13" borderId="3" xfId="0" applyFill="1" applyBorder="1"/>
    <xf numFmtId="0" fontId="0" fillId="13" borderId="0" xfId="0" applyFill="1" applyBorder="1"/>
    <xf numFmtId="3" fontId="0" fillId="13" borderId="0" xfId="0" applyNumberFormat="1" applyFill="1"/>
    <xf numFmtId="0" fontId="17" fillId="18" borderId="0" xfId="0" applyFont="1" applyFill="1" applyAlignment="1">
      <alignment vertical="center"/>
    </xf>
    <xf numFmtId="0" fontId="0" fillId="22" borderId="0" xfId="0" applyFill="1"/>
    <xf numFmtId="3" fontId="19" fillId="22" borderId="0" xfId="0" applyNumberFormat="1" applyFont="1" applyFill="1"/>
    <xf numFmtId="0" fontId="19" fillId="22" borderId="0" xfId="0" applyFont="1" applyFill="1"/>
    <xf numFmtId="0" fontId="19" fillId="22" borderId="3" xfId="0" applyFont="1" applyFill="1" applyBorder="1"/>
    <xf numFmtId="0" fontId="19" fillId="22" borderId="0" xfId="0" applyFont="1" applyFill="1" applyBorder="1"/>
    <xf numFmtId="2" fontId="0" fillId="2" borderId="0" xfId="0" applyNumberFormat="1" applyFill="1" applyBorder="1"/>
    <xf numFmtId="0" fontId="1" fillId="0" borderId="12" xfId="0" applyFont="1" applyFill="1" applyBorder="1"/>
    <xf numFmtId="0" fontId="0" fillId="0" borderId="12" xfId="0" applyFill="1" applyBorder="1"/>
    <xf numFmtId="2" fontId="0" fillId="0" borderId="8" xfId="0" applyNumberFormat="1" applyFill="1" applyBorder="1"/>
    <xf numFmtId="2" fontId="0" fillId="0" borderId="12" xfId="0" applyNumberFormat="1" applyFill="1" applyBorder="1"/>
    <xf numFmtId="3" fontId="0" fillId="0" borderId="12" xfId="0" applyNumberFormat="1" applyFill="1" applyBorder="1"/>
    <xf numFmtId="0" fontId="1" fillId="0" borderId="0" xfId="0" quotePrefix="1" applyFont="1"/>
    <xf numFmtId="0" fontId="17" fillId="2" borderId="0" xfId="0" applyFont="1" applyFill="1" applyBorder="1" applyAlignment="1">
      <alignment vertical="center"/>
    </xf>
    <xf numFmtId="166" fontId="0" fillId="0" borderId="0" xfId="0" applyNumberFormat="1"/>
    <xf numFmtId="0" fontId="21" fillId="0" borderId="0" xfId="0" applyFont="1"/>
    <xf numFmtId="0" fontId="21" fillId="9" borderId="0" xfId="0" applyFont="1" applyFill="1"/>
    <xf numFmtId="0" fontId="16" fillId="0" borderId="0" xfId="0" applyFont="1" applyFill="1" applyAlignment="1">
      <alignment vertical="center"/>
    </xf>
    <xf numFmtId="0" fontId="16" fillId="5" borderId="0" xfId="0" applyFont="1" applyFill="1" applyAlignment="1">
      <alignment vertical="center"/>
    </xf>
    <xf numFmtId="0" fontId="16" fillId="19" borderId="0" xfId="0" applyFont="1" applyFill="1" applyAlignment="1">
      <alignment vertical="center"/>
    </xf>
    <xf numFmtId="0" fontId="16" fillId="13" borderId="0" xfId="0" applyFont="1" applyFill="1" applyAlignment="1">
      <alignment vertical="center"/>
    </xf>
    <xf numFmtId="0" fontId="16" fillId="0" borderId="0" xfId="0" applyFont="1" applyAlignment="1">
      <alignment vertical="center"/>
    </xf>
    <xf numFmtId="0" fontId="16" fillId="18" borderId="0" xfId="0" applyFont="1" applyFill="1" applyAlignment="1">
      <alignment vertical="center"/>
    </xf>
    <xf numFmtId="0" fontId="21" fillId="13" borderId="0" xfId="0" applyFont="1" applyFill="1"/>
    <xf numFmtId="0" fontId="16" fillId="8" borderId="0" xfId="0" applyFont="1" applyFill="1" applyAlignment="1">
      <alignment vertical="center"/>
    </xf>
    <xf numFmtId="0" fontId="16" fillId="10" borderId="0" xfId="0" applyFont="1" applyFill="1" applyAlignment="1">
      <alignment vertical="center"/>
    </xf>
    <xf numFmtId="0" fontId="21" fillId="10" borderId="0" xfId="0" applyFont="1" applyFill="1"/>
    <xf numFmtId="0" fontId="21" fillId="7" borderId="0" xfId="0" applyFont="1" applyFill="1"/>
    <xf numFmtId="0" fontId="21" fillId="7" borderId="0" xfId="0" applyFont="1" applyFill="1" applyBorder="1"/>
    <xf numFmtId="0" fontId="22" fillId="0" borderId="0" xfId="0" applyFont="1" applyFill="1" applyBorder="1" applyAlignment="1">
      <alignment vertical="center"/>
    </xf>
    <xf numFmtId="0" fontId="21" fillId="0" borderId="12" xfId="0" applyFont="1" applyFill="1" applyBorder="1"/>
    <xf numFmtId="0" fontId="16" fillId="2" borderId="0" xfId="0" applyFont="1" applyFill="1" applyBorder="1" applyAlignment="1">
      <alignment vertical="center"/>
    </xf>
    <xf numFmtId="0" fontId="16" fillId="9" borderId="0" xfId="0" applyFont="1" applyFill="1" applyBorder="1" applyAlignment="1">
      <alignment vertical="center"/>
    </xf>
    <xf numFmtId="0" fontId="16" fillId="0" borderId="0" xfId="0" applyFont="1" applyFill="1" applyBorder="1" applyAlignment="1">
      <alignment vertical="center"/>
    </xf>
    <xf numFmtId="0" fontId="16" fillId="18" borderId="0" xfId="0" applyFont="1" applyFill="1" applyBorder="1" applyAlignment="1">
      <alignment vertical="center"/>
    </xf>
    <xf numFmtId="0" fontId="16" fillId="13" borderId="0" xfId="0" applyFont="1" applyFill="1" applyBorder="1" applyAlignment="1">
      <alignment vertical="center"/>
    </xf>
    <xf numFmtId="0" fontId="16" fillId="15" borderId="0" xfId="0" applyFont="1" applyFill="1" applyBorder="1" applyAlignment="1">
      <alignment vertical="center"/>
    </xf>
    <xf numFmtId="0" fontId="16" fillId="0" borderId="0" xfId="0" applyFont="1" applyBorder="1" applyAlignment="1">
      <alignment vertical="center"/>
    </xf>
    <xf numFmtId="0" fontId="21" fillId="0" borderId="0" xfId="0" applyFont="1" applyFill="1"/>
    <xf numFmtId="0" fontId="11" fillId="15" borderId="0" xfId="0" applyFont="1" applyFill="1"/>
    <xf numFmtId="0" fontId="0" fillId="6" borderId="0" xfId="0" applyFill="1"/>
    <xf numFmtId="0" fontId="0" fillId="6" borderId="0" xfId="0" applyFill="1" applyBorder="1"/>
    <xf numFmtId="0" fontId="0" fillId="6" borderId="12" xfId="0" applyFill="1" applyBorder="1"/>
    <xf numFmtId="0" fontId="1" fillId="19" borderId="0" xfId="0" applyFont="1" applyFill="1"/>
    <xf numFmtId="0" fontId="17" fillId="19" borderId="0" xfId="0" applyFont="1" applyFill="1" applyAlignment="1">
      <alignment vertical="center"/>
    </xf>
    <xf numFmtId="0" fontId="17" fillId="8" borderId="0" xfId="0" applyFont="1" applyFill="1" applyAlignment="1">
      <alignment vertical="center"/>
    </xf>
    <xf numFmtId="0" fontId="17" fillId="15" borderId="0" xfId="0" applyFont="1" applyFill="1" applyBorder="1" applyAlignment="1">
      <alignment vertical="center"/>
    </xf>
    <xf numFmtId="0" fontId="17" fillId="0" borderId="0" xfId="0" applyFont="1" applyBorder="1" applyAlignment="1">
      <alignment vertical="center"/>
    </xf>
    <xf numFmtId="0" fontId="1" fillId="22" borderId="0" xfId="0" applyFont="1" applyFill="1"/>
    <xf numFmtId="0" fontId="1" fillId="10" borderId="0" xfId="0" applyFont="1" applyFill="1" applyBorder="1"/>
    <xf numFmtId="0" fontId="0" fillId="19" borderId="0" xfId="0" applyFill="1"/>
    <xf numFmtId="0" fontId="15" fillId="0" borderId="0" xfId="0" applyFont="1"/>
    <xf numFmtId="0" fontId="1" fillId="0" borderId="0" xfId="0" applyFont="1" applyFill="1" applyBorder="1"/>
    <xf numFmtId="2" fontId="0" fillId="23" borderId="3" xfId="0" applyNumberFormat="1" applyFill="1" applyBorder="1"/>
    <xf numFmtId="2" fontId="20" fillId="23" borderId="3" xfId="0" applyNumberFormat="1" applyFont="1" applyFill="1" applyBorder="1"/>
    <xf numFmtId="0" fontId="23" fillId="13" borderId="0" xfId="0" applyFont="1" applyFill="1" applyAlignment="1">
      <alignment vertical="center"/>
    </xf>
    <xf numFmtId="0" fontId="15" fillId="13" borderId="0" xfId="0" applyFont="1" applyFill="1"/>
    <xf numFmtId="0" fontId="23" fillId="7" borderId="0" xfId="0" applyFont="1" applyFill="1" applyAlignment="1">
      <alignment vertical="center"/>
    </xf>
    <xf numFmtId="0" fontId="15" fillId="7" borderId="0" xfId="0" applyFont="1" applyFill="1"/>
    <xf numFmtId="2" fontId="15" fillId="23" borderId="3" xfId="0" applyNumberFormat="1" applyFont="1" applyFill="1" applyBorder="1"/>
    <xf numFmtId="2" fontId="15" fillId="23" borderId="0" xfId="0" applyNumberFormat="1" applyFont="1" applyFill="1" applyBorder="1"/>
    <xf numFmtId="2" fontId="1" fillId="23" borderId="3" xfId="0" applyNumberFormat="1" applyFont="1" applyFill="1" applyBorder="1"/>
    <xf numFmtId="0" fontId="19" fillId="20" borderId="0" xfId="0" applyFont="1" applyFill="1"/>
    <xf numFmtId="1" fontId="1" fillId="0" borderId="0" xfId="0" applyNumberFormat="1" applyFont="1"/>
    <xf numFmtId="1" fontId="0" fillId="0" borderId="0" xfId="0" applyNumberFormat="1" applyFont="1"/>
    <xf numFmtId="2" fontId="0" fillId="0" borderId="0" xfId="0" applyNumberFormat="1" applyFont="1"/>
    <xf numFmtId="2" fontId="12" fillId="2" borderId="0" xfId="0" applyNumberFormat="1" applyFont="1" applyFill="1" applyBorder="1"/>
    <xf numFmtId="2" fontId="12" fillId="2" borderId="0" xfId="0" applyNumberFormat="1" applyFont="1" applyFill="1"/>
    <xf numFmtId="2" fontId="12" fillId="0" borderId="0" xfId="0" applyNumberFormat="1" applyFont="1"/>
    <xf numFmtId="2" fontId="12" fillId="0" borderId="0" xfId="0" applyNumberFormat="1" applyFont="1" applyFill="1"/>
    <xf numFmtId="0" fontId="11" fillId="22" borderId="0" xfId="0" applyFont="1" applyFill="1"/>
    <xf numFmtId="0" fontId="12" fillId="6" borderId="0" xfId="0" applyFont="1" applyFill="1"/>
    <xf numFmtId="0" fontId="24" fillId="0" borderId="0" xfId="0" applyFont="1" applyFill="1"/>
    <xf numFmtId="0" fontId="0" fillId="24" borderId="0" xfId="0" applyFill="1"/>
    <xf numFmtId="2" fontId="0" fillId="25" borderId="0" xfId="0" applyNumberFormat="1" applyFill="1"/>
    <xf numFmtId="0" fontId="21" fillId="25" borderId="0" xfId="0" applyFont="1" applyFill="1"/>
    <xf numFmtId="0" fontId="19" fillId="10" borderId="3" xfId="0" applyFont="1" applyFill="1" applyBorder="1"/>
    <xf numFmtId="0" fontId="15" fillId="23" borderId="0" xfId="0" applyFont="1" applyFill="1"/>
    <xf numFmtId="0" fontId="0" fillId="23" borderId="0" xfId="0" applyFill="1"/>
    <xf numFmtId="1" fontId="0" fillId="23" borderId="0" xfId="0" applyNumberFormat="1" applyFill="1"/>
    <xf numFmtId="0" fontId="1" fillId="23" borderId="0" xfId="0" applyFont="1" applyFill="1"/>
    <xf numFmtId="3" fontId="0" fillId="23" borderId="0" xfId="0" applyNumberFormat="1" applyFill="1"/>
    <xf numFmtId="2" fontId="0" fillId="23" borderId="0" xfId="0" applyNumberFormat="1" applyFill="1"/>
    <xf numFmtId="2" fontId="0" fillId="23" borderId="0" xfId="0" applyNumberFormat="1" applyFill="1" applyBorder="1"/>
    <xf numFmtId="2" fontId="1" fillId="23" borderId="0" xfId="0" applyNumberFormat="1" applyFont="1" applyFill="1" applyBorder="1"/>
    <xf numFmtId="165" fontId="12" fillId="6" borderId="0" xfId="0" applyNumberFormat="1" applyFont="1" applyFill="1"/>
    <xf numFmtId="166" fontId="12" fillId="6" borderId="0" xfId="0" applyNumberFormat="1" applyFont="1" applyFill="1"/>
    <xf numFmtId="166" fontId="12" fillId="0" borderId="0" xfId="0" applyNumberFormat="1" applyFont="1" applyFill="1"/>
    <xf numFmtId="2" fontId="15" fillId="7" borderId="0" xfId="0" applyNumberFormat="1" applyFont="1" applyFill="1"/>
    <xf numFmtId="2" fontId="12" fillId="6" borderId="0" xfId="0" applyNumberFormat="1" applyFont="1" applyFill="1"/>
    <xf numFmtId="0" fontId="0" fillId="26" borderId="0" xfId="0" applyFill="1"/>
    <xf numFmtId="2" fontId="0" fillId="6" borderId="0" xfId="0" applyNumberFormat="1" applyFill="1"/>
    <xf numFmtId="0" fontId="12" fillId="6" borderId="12" xfId="0" applyFont="1" applyFill="1" applyBorder="1"/>
    <xf numFmtId="166" fontId="12" fillId="0" borderId="0" xfId="0" applyNumberFormat="1" applyFont="1"/>
    <xf numFmtId="166" fontId="0" fillId="6" borderId="0" xfId="0" applyNumberFormat="1" applyFill="1"/>
    <xf numFmtId="0" fontId="1" fillId="6" borderId="0" xfId="0" applyFont="1" applyFill="1" applyAlignment="1">
      <alignment horizontal="right"/>
    </xf>
    <xf numFmtId="166" fontId="1" fillId="0" borderId="0" xfId="0" applyNumberFormat="1" applyFont="1"/>
    <xf numFmtId="166" fontId="0" fillId="0" borderId="0" xfId="0" applyNumberFormat="1" applyFill="1"/>
    <xf numFmtId="166" fontId="0" fillId="7" borderId="0" xfId="0" applyNumberFormat="1" applyFill="1"/>
    <xf numFmtId="166" fontId="0" fillId="0" borderId="0" xfId="0" applyNumberFormat="1" applyBorder="1"/>
    <xf numFmtId="164" fontId="0" fillId="6" borderId="0" xfId="0" applyNumberFormat="1" applyFill="1"/>
    <xf numFmtId="0" fontId="0" fillId="0" borderId="0" xfId="0" applyAlignment="1">
      <alignment horizontal="left" vertical="top" wrapText="1"/>
    </xf>
    <xf numFmtId="2" fontId="12" fillId="7" borderId="0" xfId="0" applyNumberFormat="1" applyFont="1" applyFill="1"/>
    <xf numFmtId="164" fontId="12" fillId="6" borderId="0" xfId="0" applyNumberFormat="1" applyFont="1" applyFill="1"/>
  </cellXfs>
  <cellStyles count="1">
    <cellStyle name="Normal" xfId="0" builtinId="0"/>
  </cellStyles>
  <dxfs count="0"/>
  <tableStyles count="0" defaultTableStyle="TableStyleMedium9" defaultPivotStyle="PivotStyleLight16"/>
  <colors>
    <mruColors>
      <color rgb="FFF99DB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'by gear'!$X$28:$X$64</c:f>
              <c:numCache>
                <c:formatCode>General</c:formatCode>
                <c:ptCount val="37"/>
                <c:pt idx="0">
                  <c:v>3687</c:v>
                </c:pt>
                <c:pt idx="1">
                  <c:v>5457</c:v>
                </c:pt>
                <c:pt idx="2">
                  <c:v>6006</c:v>
                </c:pt>
                <c:pt idx="3">
                  <c:v>5831</c:v>
                </c:pt>
                <c:pt idx="4">
                  <c:v>5161</c:v>
                </c:pt>
                <c:pt idx="5">
                  <c:v>5022</c:v>
                </c:pt>
                <c:pt idx="6">
                  <c:v>2671</c:v>
                </c:pt>
                <c:pt idx="7">
                  <c:v>3051</c:v>
                </c:pt>
                <c:pt idx="8">
                  <c:v>4863</c:v>
                </c:pt>
                <c:pt idx="9">
                  <c:v>4544</c:v>
                </c:pt>
                <c:pt idx="10">
                  <c:v>4340</c:v>
                </c:pt>
                <c:pt idx="11">
                  <c:v>5485</c:v>
                </c:pt>
                <c:pt idx="12">
                  <c:v>5593</c:v>
                </c:pt>
                <c:pt idx="13">
                  <c:v>3785</c:v>
                </c:pt>
                <c:pt idx="14">
                  <c:v>2877</c:v>
                </c:pt>
                <c:pt idx="15">
                  <c:v>2131</c:v>
                </c:pt>
                <c:pt idx="16">
                  <c:v>1764</c:v>
                </c:pt>
                <c:pt idx="17">
                  <c:v>3414</c:v>
                </c:pt>
                <c:pt idx="18">
                  <c:v>2626</c:v>
                </c:pt>
                <c:pt idx="19">
                  <c:v>2955</c:v>
                </c:pt>
                <c:pt idx="20">
                  <c:v>2914</c:v>
                </c:pt>
                <c:pt idx="21">
                  <c:v>3739</c:v>
                </c:pt>
                <c:pt idx="22">
                  <c:v>4533</c:v>
                </c:pt>
                <c:pt idx="23">
                  <c:v>2616</c:v>
                </c:pt>
                <c:pt idx="24">
                  <c:v>1382</c:v>
                </c:pt>
                <c:pt idx="25">
                  <c:v>1710</c:v>
                </c:pt>
                <c:pt idx="26">
                  <c:v>1237</c:v>
                </c:pt>
                <c:pt idx="27">
                  <c:v>1625</c:v>
                </c:pt>
                <c:pt idx="28">
                  <c:v>1445</c:v>
                </c:pt>
                <c:pt idx="29">
                  <c:v>997</c:v>
                </c:pt>
                <c:pt idx="30">
                  <c:v>921</c:v>
                </c:pt>
                <c:pt idx="31">
                  <c:v>1386</c:v>
                </c:pt>
                <c:pt idx="32">
                  <c:v>361</c:v>
                </c:pt>
                <c:pt idx="33">
                  <c:v>346</c:v>
                </c:pt>
                <c:pt idx="34">
                  <c:v>293</c:v>
                </c:pt>
                <c:pt idx="35">
                  <c:v>148</c:v>
                </c:pt>
                <c:pt idx="36">
                  <c:v>181</c:v>
                </c:pt>
              </c:numCache>
            </c:numRef>
          </c:val>
          <c:smooth val="0"/>
        </c:ser>
        <c:dLbls>
          <c:showLegendKey val="0"/>
          <c:showVal val="0"/>
          <c:showCatName val="0"/>
          <c:showSerName val="0"/>
          <c:showPercent val="0"/>
          <c:showBubbleSize val="0"/>
        </c:dLbls>
        <c:marker val="1"/>
        <c:smooth val="0"/>
        <c:axId val="146209024"/>
        <c:axId val="148385792"/>
      </c:lineChart>
      <c:catAx>
        <c:axId val="146209024"/>
        <c:scaling>
          <c:orientation val="minMax"/>
        </c:scaling>
        <c:delete val="0"/>
        <c:axPos val="b"/>
        <c:majorTickMark val="out"/>
        <c:minorTickMark val="none"/>
        <c:tickLblPos val="nextTo"/>
        <c:crossAx val="148385792"/>
        <c:crosses val="autoZero"/>
        <c:auto val="1"/>
        <c:lblAlgn val="ctr"/>
        <c:lblOffset val="100"/>
        <c:noMultiLvlLbl val="0"/>
      </c:catAx>
      <c:valAx>
        <c:axId val="148385792"/>
        <c:scaling>
          <c:orientation val="minMax"/>
        </c:scaling>
        <c:delete val="0"/>
        <c:axPos val="l"/>
        <c:majorGridlines/>
        <c:numFmt formatCode="General" sourceLinked="1"/>
        <c:majorTickMark val="out"/>
        <c:minorTickMark val="none"/>
        <c:tickLblPos val="nextTo"/>
        <c:crossAx val="1462090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'C for msy'!$E$20:$E$58</c:f>
              <c:numCache>
                <c:formatCode>General</c:formatCode>
                <c:ptCount val="39"/>
                <c:pt idx="0">
                  <c:v>42994.682799999995</c:v>
                </c:pt>
                <c:pt idx="1">
                  <c:v>20183.6669</c:v>
                </c:pt>
                <c:pt idx="2">
                  <c:v>28324.509600000001</c:v>
                </c:pt>
                <c:pt idx="3">
                  <c:v>16786.399000000001</c:v>
                </c:pt>
                <c:pt idx="4">
                  <c:v>24858.783800000001</c:v>
                </c:pt>
                <c:pt idx="5">
                  <c:v>32891.246200000001</c:v>
                </c:pt>
                <c:pt idx="6">
                  <c:v>27531.320899999999</c:v>
                </c:pt>
                <c:pt idx="7">
                  <c:v>30313.6024</c:v>
                </c:pt>
                <c:pt idx="8">
                  <c:v>21655.885300000002</c:v>
                </c:pt>
                <c:pt idx="9">
                  <c:v>31937.78</c:v>
                </c:pt>
                <c:pt idx="10">
                  <c:v>25438.165100000002</c:v>
                </c:pt>
                <c:pt idx="11">
                  <c:v>28910.019199999999</c:v>
                </c:pt>
                <c:pt idx="12">
                  <c:v>27376.513200000001</c:v>
                </c:pt>
                <c:pt idx="13">
                  <c:v>22137.647699999998</c:v>
                </c:pt>
                <c:pt idx="14">
                  <c:v>25312.019</c:v>
                </c:pt>
                <c:pt idx="15">
                  <c:v>32040.361800000002</c:v>
                </c:pt>
                <c:pt idx="16">
                  <c:v>18011.272100000002</c:v>
                </c:pt>
                <c:pt idx="17">
                  <c:v>16061.035599999999</c:v>
                </c:pt>
                <c:pt idx="18">
                  <c:v>46406.405500000001</c:v>
                </c:pt>
                <c:pt idx="19">
                  <c:v>21406.245800000001</c:v>
                </c:pt>
                <c:pt idx="20">
                  <c:v>32765.877</c:v>
                </c:pt>
                <c:pt idx="21">
                  <c:v>21162.856299999999</c:v>
                </c:pt>
                <c:pt idx="22">
                  <c:v>18318.651699999999</c:v>
                </c:pt>
                <c:pt idx="23">
                  <c:v>10220.373599999999</c:v>
                </c:pt>
                <c:pt idx="24">
                  <c:v>18462.780600000002</c:v>
                </c:pt>
                <c:pt idx="25">
                  <c:v>17221.398000000001</c:v>
                </c:pt>
                <c:pt idx="26">
                  <c:v>53667.33</c:v>
                </c:pt>
                <c:pt idx="27">
                  <c:v>19872.769800000002</c:v>
                </c:pt>
                <c:pt idx="28">
                  <c:v>22319.247600000002</c:v>
                </c:pt>
                <c:pt idx="29">
                  <c:v>10490.374900000001</c:v>
                </c:pt>
                <c:pt idx="30">
                  <c:v>13198.239800000001</c:v>
                </c:pt>
                <c:pt idx="31">
                  <c:v>12980.1546</c:v>
                </c:pt>
                <c:pt idx="32">
                  <c:v>20913.435399999998</c:v>
                </c:pt>
                <c:pt idx="33">
                  <c:v>12088.6211</c:v>
                </c:pt>
                <c:pt idx="34">
                  <c:v>8395.7515899999999</c:v>
                </c:pt>
                <c:pt idx="35">
                  <c:v>9741.839539999999</c:v>
                </c:pt>
                <c:pt idx="36">
                  <c:v>5968.8460400000004</c:v>
                </c:pt>
                <c:pt idx="37">
                  <c:v>7002.9095700000007</c:v>
                </c:pt>
                <c:pt idx="38">
                  <c:v>3277.6390899999997</c:v>
                </c:pt>
              </c:numCache>
            </c:numRef>
          </c:val>
          <c:smooth val="0"/>
        </c:ser>
        <c:dLbls>
          <c:showLegendKey val="0"/>
          <c:showVal val="0"/>
          <c:showCatName val="0"/>
          <c:showSerName val="0"/>
          <c:showPercent val="0"/>
          <c:showBubbleSize val="0"/>
        </c:dLbls>
        <c:marker val="1"/>
        <c:smooth val="0"/>
        <c:axId val="148434944"/>
        <c:axId val="148436480"/>
      </c:lineChart>
      <c:catAx>
        <c:axId val="148434944"/>
        <c:scaling>
          <c:orientation val="minMax"/>
        </c:scaling>
        <c:delete val="0"/>
        <c:axPos val="b"/>
        <c:majorTickMark val="out"/>
        <c:minorTickMark val="none"/>
        <c:tickLblPos val="nextTo"/>
        <c:crossAx val="148436480"/>
        <c:crosses val="autoZero"/>
        <c:auto val="1"/>
        <c:lblAlgn val="ctr"/>
        <c:lblOffset val="100"/>
        <c:noMultiLvlLbl val="0"/>
      </c:catAx>
      <c:valAx>
        <c:axId val="148436480"/>
        <c:scaling>
          <c:orientation val="minMax"/>
        </c:scaling>
        <c:delete val="0"/>
        <c:axPos val="l"/>
        <c:majorGridlines/>
        <c:numFmt formatCode="General" sourceLinked="1"/>
        <c:majorTickMark val="out"/>
        <c:minorTickMark val="none"/>
        <c:tickLblPos val="nextTo"/>
        <c:crossAx val="14843494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survey!$G$2</c:f>
              <c:strCache>
                <c:ptCount val="1"/>
                <c:pt idx="0">
                  <c:v>SSB</c:v>
                </c:pt>
              </c:strCache>
            </c:strRef>
          </c:tx>
          <c:marker>
            <c:symbol val="none"/>
          </c:marker>
          <c:cat>
            <c:numRef>
              <c:f>survey!$A$3:$A$42</c:f>
              <c:numCache>
                <c:formatCode>General</c:formatCode>
                <c:ptCount val="4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numCache>
            </c:numRef>
          </c:cat>
          <c:val>
            <c:numRef>
              <c:f>survey!$G$3:$G$42</c:f>
              <c:numCache>
                <c:formatCode>General</c:formatCode>
                <c:ptCount val="40"/>
                <c:pt idx="0">
                  <c:v>368012.9301496289</c:v>
                </c:pt>
                <c:pt idx="1">
                  <c:v>278287.00783824903</c:v>
                </c:pt>
                <c:pt idx="2">
                  <c:v>219128.24186691365</c:v>
                </c:pt>
                <c:pt idx="3">
                  <c:v>254830.09652004097</c:v>
                </c:pt>
                <c:pt idx="4">
                  <c:v>377227.70816328097</c:v>
                </c:pt>
                <c:pt idx="5">
                  <c:v>378590.71700697578</c:v>
                </c:pt>
                <c:pt idx="6">
                  <c:v>297631.28749908268</c:v>
                </c:pt>
                <c:pt idx="7">
                  <c:v>252094.80470496003</c:v>
                </c:pt>
                <c:pt idx="8">
                  <c:v>158946.45034892016</c:v>
                </c:pt>
                <c:pt idx="9">
                  <c:v>133059.59630497277</c:v>
                </c:pt>
                <c:pt idx="10">
                  <c:v>247810.64568854304</c:v>
                </c:pt>
                <c:pt idx="11">
                  <c:v>257969.47549667998</c:v>
                </c:pt>
                <c:pt idx="12">
                  <c:v>199549.66028771998</c:v>
                </c:pt>
                <c:pt idx="13">
                  <c:v>197164.14049690778</c:v>
                </c:pt>
                <c:pt idx="14">
                  <c:v>216807.47137933568</c:v>
                </c:pt>
                <c:pt idx="15">
                  <c:v>277105.24370564381</c:v>
                </c:pt>
                <c:pt idx="16">
                  <c:v>403953.41654597211</c:v>
                </c:pt>
                <c:pt idx="17">
                  <c:v>537893.63444704132</c:v>
                </c:pt>
                <c:pt idx="18">
                  <c:v>498242.00855337491</c:v>
                </c:pt>
                <c:pt idx="19">
                  <c:v>394453.2328378408</c:v>
                </c:pt>
                <c:pt idx="20">
                  <c:v>376293.76754011016</c:v>
                </c:pt>
                <c:pt idx="21">
                  <c:v>282054.01852945454</c:v>
                </c:pt>
                <c:pt idx="22">
                  <c:v>249689.44890590306</c:v>
                </c:pt>
                <c:pt idx="23">
                  <c:v>170497.96056533919</c:v>
                </c:pt>
                <c:pt idx="24">
                  <c:v>107705.90225710145</c:v>
                </c:pt>
                <c:pt idx="25">
                  <c:v>84889.963525013256</c:v>
                </c:pt>
                <c:pt idx="26">
                  <c:v>103140.34609731295</c:v>
                </c:pt>
                <c:pt idx="27">
                  <c:v>120351.36903633559</c:v>
                </c:pt>
                <c:pt idx="28">
                  <c:v>126681.01923625413</c:v>
                </c:pt>
                <c:pt idx="29">
                  <c:v>107789.21084253115</c:v>
                </c:pt>
                <c:pt idx="30">
                  <c:v>93629.467649166952</c:v>
                </c:pt>
                <c:pt idx="31">
                  <c:v>93504.97694389867</c:v>
                </c:pt>
                <c:pt idx="32">
                  <c:v>97689.850046037085</c:v>
                </c:pt>
                <c:pt idx="33">
                  <c:v>85643.044483959558</c:v>
                </c:pt>
                <c:pt idx="34">
                  <c:v>91487.641570668085</c:v>
                </c:pt>
                <c:pt idx="35">
                  <c:v>86601.539203720837</c:v>
                </c:pt>
                <c:pt idx="36">
                  <c:v>77747.570374799747</c:v>
                </c:pt>
                <c:pt idx="37">
                  <c:v>66324.013444534401</c:v>
                </c:pt>
                <c:pt idx="38">
                  <c:v>60122.002113949413</c:v>
                </c:pt>
                <c:pt idx="39">
                  <c:v>63471.841390371606</c:v>
                </c:pt>
              </c:numCache>
            </c:numRef>
          </c:val>
          <c:smooth val="0"/>
        </c:ser>
        <c:dLbls>
          <c:showLegendKey val="0"/>
          <c:showVal val="0"/>
          <c:showCatName val="0"/>
          <c:showSerName val="0"/>
          <c:showPercent val="0"/>
          <c:showBubbleSize val="0"/>
        </c:dLbls>
        <c:marker val="1"/>
        <c:smooth val="0"/>
        <c:axId val="149018112"/>
        <c:axId val="149019648"/>
      </c:lineChart>
      <c:catAx>
        <c:axId val="149018112"/>
        <c:scaling>
          <c:orientation val="minMax"/>
        </c:scaling>
        <c:delete val="0"/>
        <c:axPos val="b"/>
        <c:numFmt formatCode="General" sourceLinked="1"/>
        <c:majorTickMark val="out"/>
        <c:minorTickMark val="none"/>
        <c:tickLblPos val="nextTo"/>
        <c:crossAx val="149019648"/>
        <c:crosses val="autoZero"/>
        <c:auto val="1"/>
        <c:lblAlgn val="ctr"/>
        <c:lblOffset val="100"/>
        <c:noMultiLvlLbl val="0"/>
      </c:catAx>
      <c:valAx>
        <c:axId val="149019648"/>
        <c:scaling>
          <c:orientation val="minMax"/>
        </c:scaling>
        <c:delete val="0"/>
        <c:axPos val="l"/>
        <c:majorGridlines/>
        <c:numFmt formatCode="General" sourceLinked="1"/>
        <c:majorTickMark val="out"/>
        <c:minorTickMark val="none"/>
        <c:tickLblPos val="nextTo"/>
        <c:crossAx val="1490181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40</xdr:col>
      <xdr:colOff>457729</xdr:colOff>
      <xdr:row>89</xdr:row>
      <xdr:rowOff>7938</xdr:rowOff>
    </xdr:from>
    <xdr:to>
      <xdr:col>42</xdr:col>
      <xdr:colOff>0</xdr:colOff>
      <xdr:row>91</xdr:row>
      <xdr:rowOff>103188</xdr:rowOff>
    </xdr:to>
    <xdr:sp macro="" textlink="">
      <xdr:nvSpPr>
        <xdr:cNvPr id="2" name="TextBox 1"/>
        <xdr:cNvSpPr txBox="1"/>
      </xdr:nvSpPr>
      <xdr:spPr>
        <a:xfrm>
          <a:off x="23641579" y="16438563"/>
          <a:ext cx="4167187"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I kept the regular weighted</a:t>
          </a:r>
          <a:r>
            <a:rPr lang="en-CA" sz="1100" baseline="0"/>
            <a:t> average result</a:t>
          </a:r>
          <a:endParaRPr lang="en-CA"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40</xdr:col>
      <xdr:colOff>457729</xdr:colOff>
      <xdr:row>94</xdr:row>
      <xdr:rowOff>7938</xdr:rowOff>
    </xdr:from>
    <xdr:to>
      <xdr:col>46</xdr:col>
      <xdr:colOff>433916</xdr:colOff>
      <xdr:row>96</xdr:row>
      <xdr:rowOff>103188</xdr:rowOff>
    </xdr:to>
    <xdr:sp macro="" textlink="">
      <xdr:nvSpPr>
        <xdr:cNvPr id="2" name="TextBox 1"/>
        <xdr:cNvSpPr txBox="1"/>
      </xdr:nvSpPr>
      <xdr:spPr>
        <a:xfrm>
          <a:off x="23741062" y="16465021"/>
          <a:ext cx="4167187" cy="4974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I kept the regular weighted</a:t>
          </a:r>
          <a:r>
            <a:rPr lang="en-CA" sz="1100" baseline="0"/>
            <a:t> average result</a:t>
          </a:r>
          <a:endParaRPr lang="en-CA"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14</xdr:col>
      <xdr:colOff>365124</xdr:colOff>
      <xdr:row>38</xdr:row>
      <xdr:rowOff>25400</xdr:rowOff>
    </xdr:from>
    <xdr:to>
      <xdr:col>22</xdr:col>
      <xdr:colOff>26457</xdr:colOff>
      <xdr:row>55</xdr:row>
      <xdr:rowOff>69850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47625</xdr:colOff>
      <xdr:row>11</xdr:row>
      <xdr:rowOff>57150</xdr:rowOff>
    </xdr:from>
    <xdr:to>
      <xdr:col>13</xdr:col>
      <xdr:colOff>414337</xdr:colOff>
      <xdr:row>28</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571500</xdr:colOff>
      <xdr:row>16</xdr:row>
      <xdr:rowOff>147637</xdr:rowOff>
    </xdr:from>
    <xdr:to>
      <xdr:col>16</xdr:col>
      <xdr:colOff>266700</xdr:colOff>
      <xdr:row>33</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16</xdr:col>
      <xdr:colOff>9525</xdr:colOff>
      <xdr:row>20</xdr:row>
      <xdr:rowOff>66675</xdr:rowOff>
    </xdr:from>
    <xdr:to>
      <xdr:col>20</xdr:col>
      <xdr:colOff>600075</xdr:colOff>
      <xdr:row>29</xdr:row>
      <xdr:rowOff>9525</xdr:rowOff>
    </xdr:to>
    <xdr:sp macro="" textlink="">
      <xdr:nvSpPr>
        <xdr:cNvPr id="2" name="TextBox 1"/>
        <xdr:cNvSpPr txBox="1"/>
      </xdr:nvSpPr>
      <xdr:spPr>
        <a:xfrm>
          <a:off x="10401300" y="3467100"/>
          <a:ext cx="3028950" cy="1400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these numbers do not make any sense</a:t>
          </a:r>
        </a:p>
        <a:p>
          <a:r>
            <a:rPr lang="en-CA" sz="1100"/>
            <a:t>they must be for a larger area</a:t>
          </a:r>
        </a:p>
        <a:p>
          <a:endParaRPr lang="en-CA"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s/Clark%20Species%20by%20Assessment%20Areas%20201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ylvie/Documents/RPA/data%20summary%2020jan20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s/Landings%204X_5Yb%20time%20serie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ylvie/Documents/RPA/docs/Herring%20catches%201963-201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ylvie/Documents/SABS/msvpa/herring%20predation%20deaths%20mars20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ssment biomass"/>
      <sheetName val="4VW"/>
      <sheetName val="cod  4x"/>
      <sheetName val="cod 4vn"/>
      <sheetName val="cod 4vsw"/>
      <sheetName val="haddock 4x"/>
      <sheetName val="little skate 4x"/>
      <sheetName val="smooth skate 4x"/>
      <sheetName val="thorny skate 4x"/>
      <sheetName val="winter skate 4X"/>
      <sheetName val="white hake 4x"/>
      <sheetName val="winter 4x"/>
      <sheetName val="yellowtail 4x"/>
      <sheetName val="pollock 474, 476, 480-495"/>
      <sheetName val="pollock 440-473, 475, 477, 478"/>
      <sheetName val="redfish 457-463, 465-485"/>
      <sheetName val="redfish 440-456, 464"/>
      <sheetName val="witch flounder 4X"/>
      <sheetName val="silver hake 440-483"/>
      <sheetName val="halibut 4VWX"/>
      <sheetName val="plaice 4X"/>
      <sheetName val="wolffish 4X"/>
      <sheetName val="wolffish 4VW"/>
      <sheetName val="barndoor 4VW"/>
      <sheetName val="barndoor 4X"/>
      <sheetName val="dogfish 4VWX"/>
      <sheetName val="monkfish 4X"/>
    </sheetNames>
    <sheetDataSet>
      <sheetData sheetId="0">
        <row r="2">
          <cell r="B2">
            <v>42994.682799999995</v>
          </cell>
          <cell r="V2">
            <v>39082.214159999996</v>
          </cell>
          <cell r="AD2">
            <v>565.41577800000005</v>
          </cell>
          <cell r="AT2">
            <v>162922.4</v>
          </cell>
          <cell r="BJ2">
            <v>823.88851199999999</v>
          </cell>
          <cell r="BR2">
            <v>5528.0144199999995</v>
          </cell>
          <cell r="CH2">
            <v>1260.1156699999999</v>
          </cell>
          <cell r="CP2">
            <v>1883.3869999999999</v>
          </cell>
          <cell r="CX2">
            <v>182.73432880000001</v>
          </cell>
          <cell r="DB2">
            <v>1547.086</v>
          </cell>
          <cell r="DF2">
            <v>4710.9727999999996</v>
          </cell>
          <cell r="DJ2">
            <v>1595.964956</v>
          </cell>
          <cell r="DV2">
            <v>22.075363399999997</v>
          </cell>
          <cell r="ED2">
            <v>7979.90726</v>
          </cell>
          <cell r="EP2">
            <v>4220.8606</v>
          </cell>
          <cell r="ET2">
            <v>262.09975520000006</v>
          </cell>
        </row>
        <row r="3">
          <cell r="B3">
            <v>20183.6669</v>
          </cell>
          <cell r="V3">
            <v>50923.624199999998</v>
          </cell>
          <cell r="AD3">
            <v>352.809821</v>
          </cell>
          <cell r="AT3">
            <v>168389.4</v>
          </cell>
          <cell r="BJ3">
            <v>431.75984399999999</v>
          </cell>
          <cell r="BR3">
            <v>2783.55555</v>
          </cell>
          <cell r="CH3">
            <v>0</v>
          </cell>
          <cell r="CP3">
            <v>701.49519999999995</v>
          </cell>
          <cell r="CX3">
            <v>192.35112320000002</v>
          </cell>
          <cell r="DB3">
            <v>959.952</v>
          </cell>
          <cell r="DF3">
            <v>2333.1912000000002</v>
          </cell>
          <cell r="DJ3">
            <v>2511.2107260000002</v>
          </cell>
          <cell r="DV3">
            <v>123.67596</v>
          </cell>
          <cell r="ED3">
            <v>1466.1475270000001</v>
          </cell>
          <cell r="EP3">
            <v>2118.8849</v>
          </cell>
          <cell r="ET3">
            <v>161.84315839999999</v>
          </cell>
        </row>
        <row r="4">
          <cell r="B4">
            <v>28324.509600000001</v>
          </cell>
          <cell r="V4">
            <v>23952.014999999999</v>
          </cell>
          <cell r="AD4">
            <v>101.001328</v>
          </cell>
          <cell r="AT4">
            <v>304724.3</v>
          </cell>
          <cell r="BJ4">
            <v>563.70852000000002</v>
          </cell>
          <cell r="BR4">
            <v>6601.0202499999996</v>
          </cell>
          <cell r="CH4">
            <v>1897.0127199999999</v>
          </cell>
          <cell r="CP4">
            <v>2835.7820000000002</v>
          </cell>
          <cell r="CX4">
            <v>394.04555200000004</v>
          </cell>
          <cell r="DB4">
            <v>1180.7670000000001</v>
          </cell>
          <cell r="DF4">
            <v>2092.2280000000001</v>
          </cell>
          <cell r="DJ4">
            <v>1959.729979</v>
          </cell>
          <cell r="DV4">
            <v>487.058536</v>
          </cell>
          <cell r="ED4">
            <v>1976.4608730000002</v>
          </cell>
          <cell r="EP4">
            <v>1337.443</v>
          </cell>
          <cell r="ET4">
            <v>136.32617439999999</v>
          </cell>
        </row>
        <row r="5">
          <cell r="B5">
            <v>16786.399000000001</v>
          </cell>
          <cell r="V5">
            <v>31317.535679999994</v>
          </cell>
          <cell r="AD5">
            <v>710.62094499999989</v>
          </cell>
          <cell r="AT5">
            <v>256291</v>
          </cell>
          <cell r="BJ5">
            <v>626.83689500000003</v>
          </cell>
          <cell r="BR5">
            <v>11113.366099999999</v>
          </cell>
          <cell r="CH5">
            <v>1438.2017900000001</v>
          </cell>
          <cell r="CP5">
            <v>4237.9759999999997</v>
          </cell>
          <cell r="CX5">
            <v>75.169192240000015</v>
          </cell>
          <cell r="DB5">
            <v>1098.2729999999999</v>
          </cell>
          <cell r="DF5">
            <v>2739.6952000000001</v>
          </cell>
          <cell r="DJ5">
            <v>2559.8279120000002</v>
          </cell>
          <cell r="DV5">
            <v>0</v>
          </cell>
          <cell r="ED5">
            <v>2976.9981240000002</v>
          </cell>
          <cell r="EP5">
            <v>3979.6817999999998</v>
          </cell>
          <cell r="ET5">
            <v>331.55894560000002</v>
          </cell>
        </row>
        <row r="6">
          <cell r="B6">
            <v>24858.783800000001</v>
          </cell>
          <cell r="V6">
            <v>66630.21024</v>
          </cell>
          <cell r="AD6">
            <v>488.46187099999997</v>
          </cell>
          <cell r="AT6">
            <v>66166.17</v>
          </cell>
          <cell r="BJ6">
            <v>1285.7044699999999</v>
          </cell>
          <cell r="BR6">
            <v>6908.4120400000002</v>
          </cell>
          <cell r="CH6">
            <v>378.22288900000001</v>
          </cell>
          <cell r="CP6">
            <v>2971.7539999999999</v>
          </cell>
          <cell r="CX6">
            <v>174.9022368</v>
          </cell>
          <cell r="DB6">
            <v>1642.085</v>
          </cell>
          <cell r="DF6">
            <v>4732.9528</v>
          </cell>
          <cell r="DJ6">
            <v>2425.1926510000003</v>
          </cell>
          <cell r="DV6">
            <v>0</v>
          </cell>
          <cell r="ED6">
            <v>3028.2912800000004</v>
          </cell>
          <cell r="EP6">
            <v>1572.6941999999999</v>
          </cell>
          <cell r="ET6">
            <v>597.23154079999995</v>
          </cell>
        </row>
        <row r="7">
          <cell r="B7">
            <v>32891.246200000001</v>
          </cell>
          <cell r="V7">
            <v>37756.498679999997</v>
          </cell>
          <cell r="AD7">
            <v>346.76521399999996</v>
          </cell>
          <cell r="AT7">
            <v>319789.90000000002</v>
          </cell>
          <cell r="BJ7">
            <v>1414.4646399999999</v>
          </cell>
          <cell r="BR7">
            <v>16867.611800000002</v>
          </cell>
          <cell r="CH7">
            <v>1126.1914899999999</v>
          </cell>
          <cell r="CP7">
            <v>2300.8449999999998</v>
          </cell>
          <cell r="CX7">
            <v>238.46205759999998</v>
          </cell>
          <cell r="DB7">
            <v>1243.923</v>
          </cell>
          <cell r="DF7">
            <v>1818.62</v>
          </cell>
          <cell r="DJ7">
            <v>8356.5646300000008</v>
          </cell>
          <cell r="DV7">
            <v>331.328711</v>
          </cell>
          <cell r="ED7">
            <v>8629.8396599999996</v>
          </cell>
          <cell r="EP7">
            <v>4495.1869999999999</v>
          </cell>
          <cell r="ET7">
            <v>496.17761679999995</v>
          </cell>
        </row>
        <row r="8">
          <cell r="B8">
            <v>27531.320899999999</v>
          </cell>
          <cell r="V8">
            <v>39803.067000000003</v>
          </cell>
          <cell r="AD8">
            <v>785.43028099999992</v>
          </cell>
          <cell r="AT8">
            <v>56619.67</v>
          </cell>
          <cell r="BJ8">
            <v>1295.0042900000001</v>
          </cell>
          <cell r="BR8">
            <v>7556.1603600000008</v>
          </cell>
          <cell r="CH8">
            <v>332.06410100000005</v>
          </cell>
          <cell r="CP8">
            <v>872.024</v>
          </cell>
          <cell r="CX8">
            <v>548.69673839999996</v>
          </cell>
          <cell r="DB8">
            <v>3357.8490000000002</v>
          </cell>
          <cell r="DF8">
            <v>685.49840000000006</v>
          </cell>
          <cell r="DJ8">
            <v>2962.2329749999994</v>
          </cell>
          <cell r="DV8">
            <v>0</v>
          </cell>
          <cell r="ED8">
            <v>5508.0040160000008</v>
          </cell>
          <cell r="EP8">
            <v>1949.346</v>
          </cell>
          <cell r="ET8">
            <v>532.86185920000003</v>
          </cell>
        </row>
        <row r="9">
          <cell r="B9">
            <v>30313.6024</v>
          </cell>
          <cell r="V9">
            <v>231917.54399999999</v>
          </cell>
          <cell r="AD9">
            <v>935.45166900000004</v>
          </cell>
          <cell r="AT9">
            <v>204407.2</v>
          </cell>
          <cell r="BJ9">
            <v>929.91016400000001</v>
          </cell>
          <cell r="BR9">
            <v>11595.4584</v>
          </cell>
          <cell r="CH9">
            <v>446.56526299999996</v>
          </cell>
          <cell r="CP9">
            <v>6124.9669999999996</v>
          </cell>
          <cell r="CX9">
            <v>560.19600400000002</v>
          </cell>
          <cell r="DB9">
            <v>3739.2179999999998</v>
          </cell>
          <cell r="DF9">
            <v>1063.1471999999999</v>
          </cell>
          <cell r="DJ9">
            <v>6276.5878100000009</v>
          </cell>
          <cell r="DV9">
            <v>547.94085199999995</v>
          </cell>
          <cell r="ED9">
            <v>9183.6060099999995</v>
          </cell>
          <cell r="EP9">
            <v>2660.7211000000002</v>
          </cell>
          <cell r="ET9">
            <v>1684.6070399999999</v>
          </cell>
        </row>
        <row r="10">
          <cell r="B10">
            <v>21655.885300000002</v>
          </cell>
          <cell r="V10">
            <v>49108.742759999994</v>
          </cell>
          <cell r="AT10">
            <v>323911.3</v>
          </cell>
          <cell r="BJ10">
            <v>894.232933</v>
          </cell>
          <cell r="BR10">
            <v>9095.1134600000005</v>
          </cell>
          <cell r="CH10">
            <v>1405.0295800000001</v>
          </cell>
          <cell r="CP10">
            <v>2391.8069999999998</v>
          </cell>
          <cell r="CX10">
            <v>222.25626640000002</v>
          </cell>
          <cell r="DB10">
            <v>4258.0839999999998</v>
          </cell>
          <cell r="DF10">
            <v>1596.7432000000001</v>
          </cell>
          <cell r="DJ10">
            <v>2260.2819579999996</v>
          </cell>
          <cell r="DV10">
            <v>308.64676020000002</v>
          </cell>
          <cell r="ED10">
            <v>2538.7527700000001</v>
          </cell>
          <cell r="EP10">
            <v>7421.1180999999997</v>
          </cell>
          <cell r="ET10">
            <v>382.53861120000005</v>
          </cell>
        </row>
        <row r="11">
          <cell r="B11">
            <v>31937.78</v>
          </cell>
          <cell r="V11">
            <v>81807.709440000006</v>
          </cell>
          <cell r="AT11">
            <v>52233.04</v>
          </cell>
          <cell r="BJ11">
            <v>1169.7577800000001</v>
          </cell>
          <cell r="BR11">
            <v>7460.8455000000004</v>
          </cell>
          <cell r="CH11">
            <v>1429.4103300000002</v>
          </cell>
          <cell r="CP11">
            <v>1161.2919999999999</v>
          </cell>
          <cell r="CX11">
            <v>629.14350160000004</v>
          </cell>
          <cell r="DB11">
            <v>4972.5770000000002</v>
          </cell>
          <cell r="DF11">
            <v>1718.7256</v>
          </cell>
          <cell r="DJ11">
            <v>3260.5526199999999</v>
          </cell>
          <cell r="DV11">
            <v>0</v>
          </cell>
          <cell r="ED11">
            <v>3553.7515910000002</v>
          </cell>
          <cell r="EP11">
            <v>2906.8420000000001</v>
          </cell>
          <cell r="ET11">
            <v>2941.4460400000003</v>
          </cell>
        </row>
        <row r="12">
          <cell r="B12">
            <v>25438.165100000002</v>
          </cell>
          <cell r="V12">
            <v>97094.283840000004</v>
          </cell>
          <cell r="AD12">
            <v>220.230986</v>
          </cell>
          <cell r="AT12">
            <v>29905.61</v>
          </cell>
          <cell r="BJ12">
            <v>427.18378999999999</v>
          </cell>
          <cell r="BR12">
            <v>4223.83187</v>
          </cell>
          <cell r="CH12">
            <v>1773.5472500000001</v>
          </cell>
          <cell r="CP12">
            <v>1540.9280000000001</v>
          </cell>
          <cell r="CX12">
            <v>1244.108784</v>
          </cell>
          <cell r="DB12">
            <v>4533.6660000000002</v>
          </cell>
          <cell r="DF12">
            <v>3514.9984000000004</v>
          </cell>
          <cell r="DJ12">
            <v>3435.9882069999999</v>
          </cell>
          <cell r="DV12">
            <v>0</v>
          </cell>
          <cell r="ED12">
            <v>1482.633429</v>
          </cell>
          <cell r="EP12">
            <v>676.90665000000001</v>
          </cell>
          <cell r="ET12">
            <v>1612.6697199999999</v>
          </cell>
        </row>
        <row r="13">
          <cell r="B13">
            <v>28910.019199999999</v>
          </cell>
          <cell r="V13">
            <v>80319.689039999997</v>
          </cell>
          <cell r="AD13">
            <v>36.084512600000004</v>
          </cell>
          <cell r="AT13">
            <v>58765.37</v>
          </cell>
          <cell r="BJ13">
            <v>1021.08633</v>
          </cell>
          <cell r="BR13">
            <v>7206.0059900000006</v>
          </cell>
          <cell r="CH13">
            <v>968.61516200000005</v>
          </cell>
          <cell r="CP13">
            <v>2823.8110000000001</v>
          </cell>
          <cell r="CX13">
            <v>1063.868872</v>
          </cell>
          <cell r="DB13">
            <v>5185.4129999999996</v>
          </cell>
          <cell r="DF13">
            <v>1784.0728000000001</v>
          </cell>
          <cell r="DJ13">
            <v>3747.12905</v>
          </cell>
          <cell r="DV13">
            <v>0</v>
          </cell>
          <cell r="ED13">
            <v>2183.369807</v>
          </cell>
          <cell r="EP13">
            <v>1694.9511</v>
          </cell>
          <cell r="ET13">
            <v>2721.974768</v>
          </cell>
        </row>
        <row r="14">
          <cell r="B14">
            <v>27376.513200000001</v>
          </cell>
          <cell r="V14">
            <v>110088.94211999999</v>
          </cell>
          <cell r="AT14">
            <v>84356.14</v>
          </cell>
          <cell r="BJ14">
            <v>416.36205099999995</v>
          </cell>
          <cell r="BR14">
            <v>8996.4910099999997</v>
          </cell>
          <cell r="CH14">
            <v>890.32505700000002</v>
          </cell>
          <cell r="CP14">
            <v>2367.0219999999999</v>
          </cell>
          <cell r="CX14">
            <v>533.9605808</v>
          </cell>
          <cell r="DB14">
            <v>4534.0730000000003</v>
          </cell>
          <cell r="DF14">
            <v>2987.5816</v>
          </cell>
          <cell r="DJ14">
            <v>4371.890699999999</v>
          </cell>
          <cell r="DV14">
            <v>0</v>
          </cell>
          <cell r="ED14">
            <v>2585.1139479999997</v>
          </cell>
          <cell r="EP14">
            <v>1184.6411000000001</v>
          </cell>
          <cell r="ET14">
            <v>3282.2006000000001</v>
          </cell>
        </row>
        <row r="15">
          <cell r="B15">
            <v>22137.647699999998</v>
          </cell>
          <cell r="V15">
            <v>47014.806200000006</v>
          </cell>
          <cell r="AD15">
            <v>585.44773600000008</v>
          </cell>
          <cell r="AT15">
            <v>122196.9</v>
          </cell>
          <cell r="BJ15">
            <v>381.62038299999995</v>
          </cell>
          <cell r="BR15">
            <v>5705.9351399999996</v>
          </cell>
          <cell r="CH15">
            <v>676.59967200000006</v>
          </cell>
          <cell r="CP15">
            <v>2779.2620000000002</v>
          </cell>
          <cell r="CX15">
            <v>108.105525</v>
          </cell>
          <cell r="DB15">
            <v>3266.3420000000001</v>
          </cell>
          <cell r="DF15">
            <v>2935.2719999999999</v>
          </cell>
          <cell r="DJ15">
            <v>3003.109375</v>
          </cell>
          <cell r="DV15">
            <v>1055.29349</v>
          </cell>
          <cell r="ED15">
            <v>2345.2283980000002</v>
          </cell>
          <cell r="EP15">
            <v>1137.3846000000001</v>
          </cell>
          <cell r="ET15">
            <v>1192.7450880000001</v>
          </cell>
        </row>
        <row r="16">
          <cell r="B16">
            <v>25312.019</v>
          </cell>
          <cell r="V16">
            <v>67244.046400000007</v>
          </cell>
          <cell r="AD16">
            <v>339.00913400000002</v>
          </cell>
          <cell r="AL16">
            <v>40285.039195747784</v>
          </cell>
          <cell r="AT16">
            <v>140065.70000000001</v>
          </cell>
          <cell r="BJ16">
            <v>513.62276499999996</v>
          </cell>
          <cell r="BR16">
            <v>7400.3804199999995</v>
          </cell>
          <cell r="CH16">
            <v>313.47875099999999</v>
          </cell>
          <cell r="CP16">
            <v>4315.915</v>
          </cell>
          <cell r="CX16">
            <v>296.23088299999995</v>
          </cell>
          <cell r="DB16">
            <v>5161.8379999999997</v>
          </cell>
          <cell r="DF16">
            <v>4081.8339999999998</v>
          </cell>
          <cell r="DJ16">
            <v>4018.0039400000005</v>
          </cell>
          <cell r="DV16">
            <v>0</v>
          </cell>
          <cell r="ED16">
            <v>3323.005036</v>
          </cell>
          <cell r="EP16">
            <v>2352.5807300000001</v>
          </cell>
          <cell r="ET16">
            <v>3452.8360899999998</v>
          </cell>
        </row>
        <row r="17">
          <cell r="B17">
            <v>32040.361800000002</v>
          </cell>
          <cell r="V17">
            <v>75236.566599999991</v>
          </cell>
          <cell r="AD17">
            <v>911.78129799999999</v>
          </cell>
          <cell r="AL17">
            <v>44866.412038452021</v>
          </cell>
          <cell r="AT17">
            <v>18135.68</v>
          </cell>
          <cell r="BJ17">
            <v>598.96061699999996</v>
          </cell>
          <cell r="BR17">
            <v>5818.4745800000001</v>
          </cell>
          <cell r="CH17">
            <v>982.81444199999999</v>
          </cell>
          <cell r="CP17">
            <v>1458.8889999999999</v>
          </cell>
          <cell r="CX17">
            <v>251.46613099999999</v>
          </cell>
          <cell r="DB17">
            <v>1513.183</v>
          </cell>
          <cell r="DF17">
            <v>1694.6880000000001</v>
          </cell>
          <cell r="DJ17">
            <v>1625.4577360000001</v>
          </cell>
          <cell r="DV17">
            <v>0</v>
          </cell>
          <cell r="ED17">
            <v>967.14489100000003</v>
          </cell>
          <cell r="EP17">
            <v>1019.4644599999999</v>
          </cell>
          <cell r="ET17">
            <v>1194.53838</v>
          </cell>
        </row>
        <row r="18">
          <cell r="B18">
            <v>18011.272100000002</v>
          </cell>
          <cell r="V18">
            <v>59406.644899999999</v>
          </cell>
          <cell r="AD18">
            <v>291.16218099999998</v>
          </cell>
          <cell r="AL18">
            <v>41853.390509394019</v>
          </cell>
          <cell r="AT18">
            <v>99563.92</v>
          </cell>
          <cell r="BJ18">
            <v>549.12291200000004</v>
          </cell>
          <cell r="BR18">
            <v>5934.1584499999999</v>
          </cell>
          <cell r="CH18">
            <v>735.55915599999992</v>
          </cell>
          <cell r="CP18">
            <v>2261.8760000000002</v>
          </cell>
          <cell r="CX18">
            <v>602.23632799999996</v>
          </cell>
          <cell r="DB18">
            <v>1382.6859999999999</v>
          </cell>
          <cell r="DF18">
            <v>2117.8809999999999</v>
          </cell>
          <cell r="DJ18">
            <v>1540.4088039999999</v>
          </cell>
          <cell r="DV18">
            <v>0</v>
          </cell>
          <cell r="ED18">
            <v>2685.7604999999999</v>
          </cell>
          <cell r="EP18">
            <v>2517.7105999999999</v>
          </cell>
          <cell r="ET18">
            <v>2812.5435600000001</v>
          </cell>
        </row>
        <row r="19">
          <cell r="B19">
            <v>16061.035599999999</v>
          </cell>
          <cell r="V19">
            <v>29695.497800000001</v>
          </cell>
          <cell r="AD19">
            <v>1135.7892899999999</v>
          </cell>
          <cell r="AL19">
            <v>42623.245499895253</v>
          </cell>
          <cell r="AT19">
            <v>62558.19</v>
          </cell>
          <cell r="BJ19">
            <v>198.349965</v>
          </cell>
          <cell r="BR19">
            <v>2466.8075400000002</v>
          </cell>
          <cell r="CH19">
            <v>943.42391199999997</v>
          </cell>
          <cell r="CP19">
            <v>1161.548</v>
          </cell>
          <cell r="CX19">
            <v>262.48425400000002</v>
          </cell>
          <cell r="DB19">
            <v>1705.374</v>
          </cell>
          <cell r="DF19">
            <v>2659.4189999999999</v>
          </cell>
          <cell r="DJ19">
            <v>2976.0657000000001</v>
          </cell>
          <cell r="DV19">
            <v>0</v>
          </cell>
          <cell r="ED19">
            <v>2690.6848620000001</v>
          </cell>
          <cell r="EP19">
            <v>1424.0848999999998</v>
          </cell>
          <cell r="ET19">
            <v>2750.0372599999996</v>
          </cell>
        </row>
        <row r="20">
          <cell r="B20">
            <v>46406.405500000001</v>
          </cell>
          <cell r="V20">
            <v>28265.370500000001</v>
          </cell>
          <cell r="AD20">
            <v>93.170122300000003</v>
          </cell>
          <cell r="AL20">
            <v>106446.27074411378</v>
          </cell>
          <cell r="AT20">
            <v>82883.97</v>
          </cell>
          <cell r="BJ20">
            <v>199.18856299999999</v>
          </cell>
          <cell r="BR20">
            <v>3237.9821899999997</v>
          </cell>
          <cell r="CH20">
            <v>815.82748400000003</v>
          </cell>
          <cell r="CP20">
            <v>1459.83</v>
          </cell>
          <cell r="CX20">
            <v>1400.04856</v>
          </cell>
          <cell r="DB20">
            <v>3164.2449999999999</v>
          </cell>
          <cell r="DF20">
            <v>2973.3389999999999</v>
          </cell>
          <cell r="DJ20">
            <v>2249.5478789999997</v>
          </cell>
          <cell r="DV20">
            <v>104.916956</v>
          </cell>
          <cell r="ED20">
            <v>1503.346955</v>
          </cell>
          <cell r="EP20">
            <v>2834.0075699999998</v>
          </cell>
          <cell r="ET20">
            <v>5559.59166</v>
          </cell>
        </row>
        <row r="21">
          <cell r="B21">
            <v>21406.245800000001</v>
          </cell>
          <cell r="V21">
            <v>21539.804700000001</v>
          </cell>
          <cell r="AD21">
            <v>1443.6094900000001</v>
          </cell>
          <cell r="AL21">
            <v>36252.455070509284</v>
          </cell>
          <cell r="AT21">
            <v>27361.1</v>
          </cell>
          <cell r="BJ21">
            <v>62.6329925</v>
          </cell>
          <cell r="BR21">
            <v>2984.1268999999998</v>
          </cell>
          <cell r="CH21">
            <v>1541.08546</v>
          </cell>
          <cell r="CP21">
            <v>1576.693</v>
          </cell>
          <cell r="CX21">
            <v>460.221788</v>
          </cell>
          <cell r="DB21">
            <v>3598.2640000000001</v>
          </cell>
          <cell r="DF21">
            <v>2186.4830000000002</v>
          </cell>
          <cell r="DJ21">
            <v>1003.2054909999999</v>
          </cell>
          <cell r="DV21">
            <v>0</v>
          </cell>
          <cell r="ED21">
            <v>778.96460300000001</v>
          </cell>
          <cell r="EP21">
            <v>2966.6222499999999</v>
          </cell>
          <cell r="ET21">
            <v>4559.4887099999996</v>
          </cell>
        </row>
        <row r="22">
          <cell r="B22">
            <v>32765.877</v>
          </cell>
          <cell r="V22">
            <v>41291.729700000004</v>
          </cell>
          <cell r="AD22">
            <v>1782.2122899999999</v>
          </cell>
          <cell r="AL22">
            <v>98589.655425226869</v>
          </cell>
          <cell r="AT22">
            <v>60800.959999999999</v>
          </cell>
          <cell r="BJ22">
            <v>153.71729500000001</v>
          </cell>
          <cell r="BR22">
            <v>2270.7727</v>
          </cell>
          <cell r="CH22">
            <v>1911.31772</v>
          </cell>
          <cell r="CP22">
            <v>606.57399999999996</v>
          </cell>
          <cell r="CX22">
            <v>307.20357900000005</v>
          </cell>
          <cell r="DB22">
            <v>1742.0719999999999</v>
          </cell>
          <cell r="DF22">
            <v>1192.204</v>
          </cell>
          <cell r="DJ22">
            <v>1362.727067</v>
          </cell>
          <cell r="DV22">
            <v>0</v>
          </cell>
          <cell r="ED22">
            <v>448.632116</v>
          </cell>
          <cell r="EP22">
            <v>4257.8358200000002</v>
          </cell>
          <cell r="ET22">
            <v>6934.3224500000006</v>
          </cell>
        </row>
        <row r="23">
          <cell r="B23">
            <v>21162.856299999999</v>
          </cell>
          <cell r="V23">
            <v>60978.574700000005</v>
          </cell>
          <cell r="AD23">
            <v>1071.41221</v>
          </cell>
          <cell r="AL23">
            <v>34856.395930082559</v>
          </cell>
          <cell r="AT23">
            <v>23815.16</v>
          </cell>
          <cell r="BJ23">
            <v>136.808031</v>
          </cell>
          <cell r="BR23">
            <v>2540.1715299999996</v>
          </cell>
          <cell r="CH23">
            <v>793.88649499999997</v>
          </cell>
          <cell r="CP23">
            <v>1156.7270000000001</v>
          </cell>
          <cell r="CX23">
            <v>806.84486199999992</v>
          </cell>
          <cell r="DB23">
            <v>2629.942</v>
          </cell>
          <cell r="DF23">
            <v>1971.1759999999999</v>
          </cell>
          <cell r="DJ23">
            <v>1001.145008</v>
          </cell>
          <cell r="DV23">
            <v>0</v>
          </cell>
          <cell r="ED23">
            <v>1589.7224360000002</v>
          </cell>
          <cell r="EP23">
            <v>3321.2812799999997</v>
          </cell>
          <cell r="ET23">
            <v>4728.55573</v>
          </cell>
        </row>
        <row r="24">
          <cell r="B24">
            <v>18318.651699999999</v>
          </cell>
          <cell r="V24">
            <v>34636.540099999998</v>
          </cell>
          <cell r="AD24">
            <v>1073.1533200000001</v>
          </cell>
          <cell r="AL24">
            <v>15852.532397045854</v>
          </cell>
          <cell r="AT24">
            <v>114468.3</v>
          </cell>
          <cell r="BJ24">
            <v>145.99301399999999</v>
          </cell>
          <cell r="BR24">
            <v>2747.9110299999998</v>
          </cell>
          <cell r="CH24">
            <v>786.76938500000006</v>
          </cell>
          <cell r="CP24">
            <v>460.99200000000002</v>
          </cell>
          <cell r="CX24">
            <v>751.81576899999993</v>
          </cell>
          <cell r="DB24">
            <v>4424.8130000000001</v>
          </cell>
          <cell r="DF24">
            <v>3410.252</v>
          </cell>
          <cell r="DJ24">
            <v>654.21998399999995</v>
          </cell>
          <cell r="DV24">
            <v>0</v>
          </cell>
          <cell r="ED24">
            <v>749.32504000000006</v>
          </cell>
          <cell r="EP24">
            <v>7646.7557500000003</v>
          </cell>
          <cell r="ET24">
            <v>6511.5325999999995</v>
          </cell>
        </row>
        <row r="25">
          <cell r="B25">
            <v>10220.373599999999</v>
          </cell>
          <cell r="V25">
            <v>12799.6016</v>
          </cell>
          <cell r="AD25">
            <v>347.76436099999995</v>
          </cell>
          <cell r="AL25">
            <v>42488.867863421641</v>
          </cell>
          <cell r="AT25">
            <v>68534.61</v>
          </cell>
          <cell r="BJ25">
            <v>51.948419699999995</v>
          </cell>
          <cell r="BR25">
            <v>1572.01776</v>
          </cell>
          <cell r="CH25">
            <v>1344.5652600000001</v>
          </cell>
          <cell r="CP25">
            <v>1092.951</v>
          </cell>
          <cell r="CX25">
            <v>725.90993299999991</v>
          </cell>
          <cell r="DB25">
            <v>3586.011</v>
          </cell>
          <cell r="DF25">
            <v>1358.8630000000001</v>
          </cell>
          <cell r="DJ25">
            <v>2102.1215970000003</v>
          </cell>
          <cell r="DV25">
            <v>17.1634858</v>
          </cell>
          <cell r="ED25">
            <v>1869.3253950000001</v>
          </cell>
          <cell r="EP25">
            <v>1924.1881799999999</v>
          </cell>
          <cell r="ET25">
            <v>3211.20739</v>
          </cell>
        </row>
        <row r="26">
          <cell r="B26">
            <v>18462.780600000002</v>
          </cell>
          <cell r="V26">
            <v>23851.9555</v>
          </cell>
          <cell r="AD26">
            <v>1260.85726</v>
          </cell>
          <cell r="AT26">
            <v>41528.33</v>
          </cell>
          <cell r="BJ26">
            <v>353.29620400000005</v>
          </cell>
          <cell r="BR26">
            <v>1928.39004</v>
          </cell>
          <cell r="CH26">
            <v>1229.6850099999999</v>
          </cell>
          <cell r="CP26">
            <v>982.38</v>
          </cell>
          <cell r="CX26">
            <v>1476.5366799999999</v>
          </cell>
          <cell r="DB26">
            <v>2133.8609999999999</v>
          </cell>
          <cell r="DF26">
            <v>3152.97</v>
          </cell>
          <cell r="DJ26">
            <v>1341.074869</v>
          </cell>
          <cell r="DV26">
            <v>203.52597700000001</v>
          </cell>
          <cell r="ED26">
            <v>1248.980693</v>
          </cell>
          <cell r="EP26">
            <v>2914.7608700000001</v>
          </cell>
          <cell r="ET26">
            <v>3093.3306699999998</v>
          </cell>
        </row>
        <row r="27">
          <cell r="B27">
            <v>17221.398000000001</v>
          </cell>
          <cell r="V27">
            <v>49340.070500000002</v>
          </cell>
          <cell r="AD27">
            <v>1273.7023700000002</v>
          </cell>
          <cell r="AT27">
            <v>44987.87</v>
          </cell>
          <cell r="BJ27">
            <v>149.75100499999999</v>
          </cell>
          <cell r="BR27">
            <v>1859.6548500000001</v>
          </cell>
          <cell r="CH27">
            <v>1194.5741</v>
          </cell>
          <cell r="CP27">
            <v>685.51499999999999</v>
          </cell>
          <cell r="CX27">
            <v>761.83806299999992</v>
          </cell>
          <cell r="DB27">
            <v>2032.3409999999999</v>
          </cell>
          <cell r="DF27">
            <v>2669.87</v>
          </cell>
          <cell r="DJ27">
            <v>2853.1280729999999</v>
          </cell>
          <cell r="DV27">
            <v>75.120423200000005</v>
          </cell>
          <cell r="ED27">
            <v>2937.7460499999997</v>
          </cell>
          <cell r="EP27">
            <v>2429.1818499999999</v>
          </cell>
          <cell r="ET27">
            <v>4394.6766399999997</v>
          </cell>
        </row>
        <row r="28">
          <cell r="B28">
            <v>53667.33</v>
          </cell>
          <cell r="V28">
            <v>83065.099700000006</v>
          </cell>
          <cell r="AD28">
            <v>1751.9406100000001</v>
          </cell>
          <cell r="AT28">
            <v>49056.81</v>
          </cell>
          <cell r="BJ28">
            <v>226.96952199999998</v>
          </cell>
          <cell r="BR28">
            <v>1258.9822799999999</v>
          </cell>
          <cell r="CH28">
            <v>2261.09051</v>
          </cell>
          <cell r="CP28">
            <v>1907.932</v>
          </cell>
          <cell r="CX28">
            <v>1080.37806</v>
          </cell>
          <cell r="DB28">
            <v>1790.4839999999999</v>
          </cell>
          <cell r="DF28">
            <v>2162.373</v>
          </cell>
          <cell r="DJ28">
            <v>4044.3103799999999</v>
          </cell>
          <cell r="DV28">
            <v>20.934926899999997</v>
          </cell>
          <cell r="ED28">
            <v>2030.95516</v>
          </cell>
          <cell r="EP28">
            <v>1323.9595099999999</v>
          </cell>
          <cell r="ET28">
            <v>4177.7722999999996</v>
          </cell>
        </row>
        <row r="29">
          <cell r="B29">
            <v>19872.769800000002</v>
          </cell>
          <cell r="V29">
            <v>45208.969700000001</v>
          </cell>
          <cell r="AD29">
            <v>1807.6354099999999</v>
          </cell>
          <cell r="AT29">
            <v>119703.3</v>
          </cell>
          <cell r="BJ29">
            <v>305.61638599999998</v>
          </cell>
          <cell r="BR29">
            <v>2497.3877200000002</v>
          </cell>
          <cell r="CH29">
            <v>1559.4173600000001</v>
          </cell>
          <cell r="CP29">
            <v>3470.9140000000002</v>
          </cell>
          <cell r="CX29">
            <v>856.06286799999998</v>
          </cell>
          <cell r="DB29">
            <v>2088.806</v>
          </cell>
          <cell r="DF29">
            <v>2527.7139999999999</v>
          </cell>
          <cell r="DJ29">
            <v>3673.7309960000002</v>
          </cell>
          <cell r="DV29">
            <v>77.64892857000001</v>
          </cell>
          <cell r="ED29">
            <v>1562.8811599999999</v>
          </cell>
          <cell r="EP29">
            <v>8430.841480000001</v>
          </cell>
          <cell r="ET29">
            <v>4476.29493</v>
          </cell>
        </row>
        <row r="30">
          <cell r="B30">
            <v>22319.247600000002</v>
          </cell>
          <cell r="V30">
            <v>43523.927600000003</v>
          </cell>
          <cell r="AD30">
            <v>1163.9212399999999</v>
          </cell>
          <cell r="AT30">
            <v>23687.58</v>
          </cell>
          <cell r="BJ30">
            <v>177.62338699999998</v>
          </cell>
          <cell r="BR30">
            <v>1292.8038100000001</v>
          </cell>
          <cell r="CH30">
            <v>1248.58214</v>
          </cell>
          <cell r="CP30">
            <v>1443.4059999999999</v>
          </cell>
          <cell r="CX30">
            <v>1147.27665</v>
          </cell>
          <cell r="DB30">
            <v>2379.2930000000001</v>
          </cell>
          <cell r="DF30">
            <v>2226.424</v>
          </cell>
          <cell r="DJ30">
            <v>1953.1471270000002</v>
          </cell>
          <cell r="DV30">
            <v>324.18324450000006</v>
          </cell>
          <cell r="ED30">
            <v>2835.0969800000003</v>
          </cell>
          <cell r="EP30">
            <v>2278.8679300000003</v>
          </cell>
          <cell r="ET30">
            <v>2775.6774999999998</v>
          </cell>
        </row>
        <row r="31">
          <cell r="B31">
            <v>10490.374900000001</v>
          </cell>
          <cell r="V31">
            <v>56431.113700000002</v>
          </cell>
          <cell r="AD31">
            <v>206.962502</v>
          </cell>
          <cell r="AT31">
            <v>82437.679999999993</v>
          </cell>
          <cell r="BJ31">
            <v>578.54188499999998</v>
          </cell>
          <cell r="BR31">
            <v>2313.2617099999998</v>
          </cell>
          <cell r="CH31">
            <v>226.41047599999999</v>
          </cell>
          <cell r="CP31">
            <v>1235.875</v>
          </cell>
          <cell r="CX31">
            <v>455.35953999999998</v>
          </cell>
          <cell r="DB31">
            <v>1493.4459999999999</v>
          </cell>
          <cell r="DF31">
            <v>1876.1590000000001</v>
          </cell>
          <cell r="DJ31">
            <v>1105.2122179999999</v>
          </cell>
          <cell r="DV31">
            <v>543.13237399999991</v>
          </cell>
          <cell r="ED31">
            <v>1359.528037</v>
          </cell>
          <cell r="EP31">
            <v>4582.2402400000001</v>
          </cell>
          <cell r="ET31">
            <v>2969.9784500000001</v>
          </cell>
        </row>
        <row r="32">
          <cell r="B32">
            <v>13198.239800000001</v>
          </cell>
          <cell r="V32">
            <v>60228.847200000004</v>
          </cell>
          <cell r="AD32">
            <v>1762.2543999999998</v>
          </cell>
          <cell r="AL32">
            <v>6618.4900508918008</v>
          </cell>
          <cell r="AT32">
            <v>64688.4</v>
          </cell>
          <cell r="BJ32">
            <v>343.88878399999999</v>
          </cell>
          <cell r="BR32">
            <v>589.65535699999998</v>
          </cell>
          <cell r="CH32">
            <v>860.15381200000002</v>
          </cell>
          <cell r="CP32">
            <v>692.95299999999997</v>
          </cell>
          <cell r="CX32">
            <v>942.28650399999992</v>
          </cell>
          <cell r="DB32">
            <v>1533.7349999999999</v>
          </cell>
          <cell r="DF32">
            <v>1871.4839999999999</v>
          </cell>
          <cell r="DJ32">
            <v>803.28123699999992</v>
          </cell>
          <cell r="DV32">
            <v>201.940719</v>
          </cell>
          <cell r="ED32">
            <v>1319.7282710000002</v>
          </cell>
          <cell r="EP32">
            <v>1260.0608999999999</v>
          </cell>
          <cell r="ET32">
            <v>4941.2353800000001</v>
          </cell>
        </row>
        <row r="33">
          <cell r="B33">
            <v>12980.1546</v>
          </cell>
          <cell r="V33">
            <v>85396.140599999999</v>
          </cell>
          <cell r="AD33">
            <v>561.47459199999992</v>
          </cell>
          <cell r="AL33">
            <v>16973.478161986575</v>
          </cell>
          <cell r="AT33">
            <v>107275.9</v>
          </cell>
          <cell r="BJ33">
            <v>263.84933100000001</v>
          </cell>
          <cell r="BR33">
            <v>1123.70156</v>
          </cell>
          <cell r="CH33">
            <v>547.78783399999998</v>
          </cell>
          <cell r="CP33">
            <v>2463.163</v>
          </cell>
          <cell r="CX33">
            <v>1970.6375600000001</v>
          </cell>
          <cell r="DB33">
            <v>2015.7550000000001</v>
          </cell>
          <cell r="DF33">
            <v>1413.9939999999999</v>
          </cell>
          <cell r="DJ33">
            <v>1407.03007</v>
          </cell>
          <cell r="DV33">
            <v>1198.4458319999999</v>
          </cell>
          <cell r="ED33">
            <v>1019.6815230000001</v>
          </cell>
          <cell r="EP33">
            <v>1323.98404</v>
          </cell>
          <cell r="ET33">
            <v>3877.8580499999998</v>
          </cell>
        </row>
        <row r="34">
          <cell r="B34">
            <v>20913.435399999998</v>
          </cell>
          <cell r="V34">
            <v>65790.558099999995</v>
          </cell>
          <cell r="AD34">
            <v>690.85887500000001</v>
          </cell>
          <cell r="AL34">
            <v>7011.7131918259302</v>
          </cell>
          <cell r="AT34">
            <v>35303.25</v>
          </cell>
          <cell r="BJ34">
            <v>204.02376800000002</v>
          </cell>
          <cell r="BR34">
            <v>865.41328799999997</v>
          </cell>
          <cell r="CH34">
            <v>318.29411800000003</v>
          </cell>
          <cell r="CP34">
            <v>2868.3159999999998</v>
          </cell>
          <cell r="CX34">
            <v>1134.2936100000002</v>
          </cell>
          <cell r="DB34">
            <v>4206.7349999999997</v>
          </cell>
          <cell r="DF34">
            <v>1591.48</v>
          </cell>
          <cell r="DJ34">
            <v>1124.58852</v>
          </cell>
          <cell r="DV34">
            <v>663.42614390000006</v>
          </cell>
          <cell r="ED34">
            <v>1160.486946</v>
          </cell>
          <cell r="EP34">
            <v>1119.9099199999998</v>
          </cell>
          <cell r="ET34">
            <v>4712.2651299999998</v>
          </cell>
        </row>
        <row r="35">
          <cell r="B35">
            <v>12088.6211</v>
          </cell>
          <cell r="V35">
            <v>67927.119900000005</v>
          </cell>
          <cell r="AD35">
            <v>1666.3028700000002</v>
          </cell>
          <cell r="AL35">
            <v>21009.443293887351</v>
          </cell>
          <cell r="AT35">
            <v>60937.64</v>
          </cell>
          <cell r="BJ35">
            <v>188.34414900000002</v>
          </cell>
          <cell r="BR35">
            <v>830.70141100000001</v>
          </cell>
          <cell r="CH35">
            <v>891.75687899999991</v>
          </cell>
          <cell r="CP35">
            <v>1147.9960000000001</v>
          </cell>
          <cell r="CX35">
            <v>1073.43382</v>
          </cell>
          <cell r="DB35">
            <v>1815.521</v>
          </cell>
          <cell r="DF35">
            <v>988.28</v>
          </cell>
          <cell r="DJ35">
            <v>669.72064999999998</v>
          </cell>
          <cell r="DV35">
            <v>462.08837499999998</v>
          </cell>
          <cell r="ED35">
            <v>2079.4717969999997</v>
          </cell>
          <cell r="EP35">
            <v>1168.45244</v>
          </cell>
          <cell r="ET35">
            <v>4155.2060600000004</v>
          </cell>
        </row>
        <row r="36">
          <cell r="B36">
            <v>8395.7515899999999</v>
          </cell>
          <cell r="AD36">
            <v>1186.28133</v>
          </cell>
          <cell r="AL36">
            <v>23861.814875196669</v>
          </cell>
          <cell r="AT36">
            <v>33743.58</v>
          </cell>
          <cell r="BJ36">
            <v>272.49613400000004</v>
          </cell>
          <cell r="BR36">
            <v>1010.25486</v>
          </cell>
          <cell r="CH36">
            <v>978.66114300000004</v>
          </cell>
          <cell r="CP36">
            <v>748.50400000000002</v>
          </cell>
          <cell r="CX36">
            <v>730.95158100000003</v>
          </cell>
          <cell r="DB36">
            <v>2873.127</v>
          </cell>
          <cell r="DF36">
            <v>855.51599999999996</v>
          </cell>
          <cell r="DJ36">
            <v>873.22341200000005</v>
          </cell>
          <cell r="DV36">
            <v>705.43221261000008</v>
          </cell>
          <cell r="ED36">
            <v>497.67008399999997</v>
          </cell>
          <cell r="EP36">
            <v>1269.75125</v>
          </cell>
          <cell r="ET36">
            <v>5333.9989500000001</v>
          </cell>
        </row>
        <row r="37">
          <cell r="B37">
            <v>9741.839539999999</v>
          </cell>
          <cell r="AD37">
            <v>458.38901799999996</v>
          </cell>
          <cell r="AL37">
            <v>17333.78550020378</v>
          </cell>
          <cell r="AT37">
            <v>121635.1</v>
          </cell>
          <cell r="BJ37">
            <v>387.25953900000002</v>
          </cell>
          <cell r="BR37">
            <v>1325.9017900000001</v>
          </cell>
          <cell r="CH37">
            <v>856.76603799999998</v>
          </cell>
          <cell r="CP37">
            <v>1748.9580000000001</v>
          </cell>
          <cell r="CX37">
            <v>751.62697800000001</v>
          </cell>
          <cell r="DB37">
            <v>4798.0379999999996</v>
          </cell>
          <cell r="DF37">
            <v>1273.1880000000001</v>
          </cell>
          <cell r="DJ37">
            <v>707.53560748700011</v>
          </cell>
          <cell r="DV37">
            <v>915.67752000000007</v>
          </cell>
          <cell r="ED37">
            <v>1631.7938409999999</v>
          </cell>
          <cell r="EP37">
            <v>13369.1013</v>
          </cell>
          <cell r="ET37">
            <v>4270.7833200000005</v>
          </cell>
        </row>
        <row r="38">
          <cell r="B38">
            <v>5968.8460400000004</v>
          </cell>
          <cell r="V38">
            <v>46692.839200000002</v>
          </cell>
          <cell r="AD38">
            <v>524.51181200000008</v>
          </cell>
          <cell r="AL38">
            <v>138404.18924246953</v>
          </cell>
          <cell r="AT38">
            <v>144448.79999999999</v>
          </cell>
          <cell r="BJ38">
            <v>822.68141600000001</v>
          </cell>
          <cell r="BR38">
            <v>991.41326800000002</v>
          </cell>
          <cell r="CH38">
            <v>887.35841500000004</v>
          </cell>
          <cell r="CP38">
            <v>928.48500000000001</v>
          </cell>
          <cell r="CX38">
            <v>539.18221400000004</v>
          </cell>
          <cell r="DB38">
            <v>4458.0709999999999</v>
          </cell>
          <cell r="DF38">
            <v>551.63699999999994</v>
          </cell>
          <cell r="DJ38">
            <v>889.00295499999993</v>
          </cell>
          <cell r="DV38">
            <v>474.08104800000001</v>
          </cell>
          <cell r="ED38">
            <v>855.74682700000005</v>
          </cell>
          <cell r="EP38">
            <v>1919.5527500000001</v>
          </cell>
          <cell r="ET38">
            <v>3843.5250299999998</v>
          </cell>
        </row>
        <row r="39">
          <cell r="B39">
            <v>7002.9095700000007</v>
          </cell>
          <cell r="V39">
            <v>54824.990600000005</v>
          </cell>
          <cell r="AD39">
            <v>965.03493600000002</v>
          </cell>
          <cell r="AL39">
            <v>27333.73879391377</v>
          </cell>
          <cell r="AT39">
            <v>67063.570000000007</v>
          </cell>
          <cell r="BJ39">
            <v>230.88145900000001</v>
          </cell>
          <cell r="BR39">
            <v>1470.3039099999999</v>
          </cell>
          <cell r="CH39">
            <v>332.50374599999998</v>
          </cell>
          <cell r="CP39">
            <v>1204.5519999999999</v>
          </cell>
          <cell r="CX39">
            <v>1573.92058</v>
          </cell>
          <cell r="DB39">
            <v>7564.7629999999999</v>
          </cell>
          <cell r="DF39">
            <v>1442.297</v>
          </cell>
          <cell r="DJ39">
            <v>299.790978784</v>
          </cell>
          <cell r="DV39">
            <v>3527.1752060000003</v>
          </cell>
          <cell r="ED39">
            <v>839.43881499999998</v>
          </cell>
          <cell r="EP39">
            <v>2849.63274</v>
          </cell>
          <cell r="ET39">
            <v>4200.1066900000005</v>
          </cell>
        </row>
        <row r="40">
          <cell r="B40">
            <v>3277.6390899999997</v>
          </cell>
          <cell r="V40">
            <v>43291.941200000001</v>
          </cell>
          <cell r="AD40">
            <v>1092.5772899999999</v>
          </cell>
          <cell r="AL40">
            <v>46251.551491250699</v>
          </cell>
          <cell r="AT40">
            <v>274532.90000000002</v>
          </cell>
          <cell r="BJ40">
            <v>155.44807699999998</v>
          </cell>
          <cell r="BR40">
            <v>1108.6025300000001</v>
          </cell>
          <cell r="CH40">
            <v>713.00205700000004</v>
          </cell>
          <cell r="CP40">
            <v>735.673</v>
          </cell>
          <cell r="CX40">
            <v>399.59427600000004</v>
          </cell>
          <cell r="DB40">
            <v>5414.5240000000003</v>
          </cell>
          <cell r="DF40">
            <v>1580.4870000000001</v>
          </cell>
          <cell r="DJ40">
            <v>176.29763260000001</v>
          </cell>
          <cell r="DV40">
            <v>692.86262099999999</v>
          </cell>
          <cell r="ED40">
            <v>963.764184</v>
          </cell>
          <cell r="EP40">
            <v>1394.9073100000001</v>
          </cell>
          <cell r="ET40">
            <v>5620.0819099999999</v>
          </cell>
        </row>
        <row r="41">
          <cell r="B41">
            <v>14972.0224</v>
          </cell>
          <cell r="AD41">
            <v>963.96305400000006</v>
          </cell>
          <cell r="AL41">
            <v>53804.846488572119</v>
          </cell>
          <cell r="AT41">
            <v>335956.5</v>
          </cell>
          <cell r="BJ41">
            <v>674.93229500000007</v>
          </cell>
          <cell r="BR41">
            <v>302.26983899999999</v>
          </cell>
          <cell r="CH41">
            <v>911.74497299999996</v>
          </cell>
          <cell r="CP41">
            <v>2032.22</v>
          </cell>
          <cell r="CX41">
            <v>720.59561199999996</v>
          </cell>
          <cell r="DB41">
            <v>6448.1509999999998</v>
          </cell>
          <cell r="DF41">
            <v>1167.568</v>
          </cell>
          <cell r="DJ41">
            <v>250.730108</v>
          </cell>
          <cell r="DV41">
            <v>1960.274596</v>
          </cell>
          <cell r="ED41">
            <v>753.72046599999999</v>
          </cell>
          <cell r="EP41">
            <v>1558.7679499999999</v>
          </cell>
          <cell r="ET41">
            <v>7165.98722</v>
          </cell>
        </row>
        <row r="42">
          <cell r="B42">
            <v>3037.9430400000001</v>
          </cell>
          <cell r="AD42">
            <v>963.78139899999996</v>
          </cell>
          <cell r="AL42">
            <v>6160.7596947409802</v>
          </cell>
          <cell r="AT42">
            <v>82900.009999999995</v>
          </cell>
          <cell r="BJ42">
            <v>592.82444499999997</v>
          </cell>
          <cell r="BR42">
            <v>243.978994</v>
          </cell>
          <cell r="CH42">
            <v>1272.9316200000001</v>
          </cell>
          <cell r="CP42">
            <v>2325.105</v>
          </cell>
          <cell r="CX42">
            <v>355.14423999999997</v>
          </cell>
          <cell r="DB42">
            <v>8277.3340000000007</v>
          </cell>
          <cell r="DF42">
            <v>1019.525</v>
          </cell>
          <cell r="DJ42">
            <v>347.71208000000001</v>
          </cell>
          <cell r="DV42">
            <v>2500.264365</v>
          </cell>
          <cell r="ED42">
            <v>235.49529899999999</v>
          </cell>
          <cell r="EP42">
            <v>3846.8833</v>
          </cell>
          <cell r="ET42">
            <v>12984.3979</v>
          </cell>
        </row>
        <row r="43">
          <cell r="B43">
            <v>3774.9582400000004</v>
          </cell>
          <cell r="AD43">
            <v>854.87023799999997</v>
          </cell>
          <cell r="AL43">
            <v>8355.3989419868431</v>
          </cell>
          <cell r="AT43">
            <v>213286.9</v>
          </cell>
          <cell r="BJ43">
            <v>343.93326299999995</v>
          </cell>
          <cell r="BR43">
            <v>231.57055400000002</v>
          </cell>
          <cell r="CH43">
            <v>729.39953700000001</v>
          </cell>
          <cell r="CP43">
            <v>488.08</v>
          </cell>
          <cell r="CX43">
            <v>725.03083499999991</v>
          </cell>
          <cell r="DB43">
            <v>6777.134</v>
          </cell>
          <cell r="DF43">
            <v>857.51099999999997</v>
          </cell>
          <cell r="DJ43">
            <v>638.26085881100005</v>
          </cell>
          <cell r="DV43">
            <v>366.76541840000004</v>
          </cell>
          <cell r="ED43">
            <v>731.84684300000015</v>
          </cell>
          <cell r="EP43">
            <v>1300.1576</v>
          </cell>
          <cell r="ET43">
            <v>3589.4854399999999</v>
          </cell>
        </row>
        <row r="44">
          <cell r="B44">
            <v>3267.5290800000002</v>
          </cell>
          <cell r="V44">
            <v>28979.9928</v>
          </cell>
          <cell r="AD44">
            <v>1271.6086299999999</v>
          </cell>
          <cell r="AL44">
            <v>6039.5113658405899</v>
          </cell>
          <cell r="AT44">
            <v>203942.6</v>
          </cell>
          <cell r="BJ44">
            <v>106.418842</v>
          </cell>
          <cell r="BR44">
            <v>165.77712500000001</v>
          </cell>
          <cell r="CH44">
            <v>1784.03126</v>
          </cell>
          <cell r="CP44">
            <v>730.8</v>
          </cell>
          <cell r="CX44">
            <v>331.64921299999997</v>
          </cell>
          <cell r="DB44">
            <v>7684.7190000000001</v>
          </cell>
          <cell r="DF44">
            <v>767.16800000000001</v>
          </cell>
          <cell r="DJ44">
            <v>308.77300000000002</v>
          </cell>
          <cell r="DV44">
            <v>1235.3040000000001</v>
          </cell>
          <cell r="ED44">
            <v>485.63</v>
          </cell>
          <cell r="EP44">
            <v>1043.60517</v>
          </cell>
          <cell r="ET44">
            <v>6295.1835999999994</v>
          </cell>
        </row>
        <row r="45">
          <cell r="B45">
            <v>2057.7750973476082</v>
          </cell>
          <cell r="V45">
            <v>36580.237151939822</v>
          </cell>
          <cell r="AD45">
            <v>1466.8536585836191</v>
          </cell>
          <cell r="AL45">
            <v>26822.9352477629</v>
          </cell>
          <cell r="AT45">
            <v>77122.730123972593</v>
          </cell>
          <cell r="BJ45">
            <v>325.90620443958568</v>
          </cell>
          <cell r="BR45">
            <v>323.09542035082995</v>
          </cell>
          <cell r="CH45">
            <v>997.62343360778129</v>
          </cell>
          <cell r="CP45">
            <v>869.40865038791969</v>
          </cell>
          <cell r="CX45">
            <v>101.7415140570187</v>
          </cell>
          <cell r="DB45">
            <v>8656.0487126605403</v>
          </cell>
          <cell r="DF45">
            <v>311.75032385319605</v>
          </cell>
          <cell r="DJ45">
            <v>9.6351835473498415</v>
          </cell>
          <cell r="DV45">
            <v>984.63841991609013</v>
          </cell>
          <cell r="ED45">
            <v>307.60849320375604</v>
          </cell>
          <cell r="EP45">
            <v>1637.2427093217566</v>
          </cell>
          <cell r="ET45">
            <v>6447.8057161030392</v>
          </cell>
        </row>
        <row r="46">
          <cell r="B46">
            <v>2512.9571999999998</v>
          </cell>
          <cell r="V46">
            <v>42883.089599999999</v>
          </cell>
          <cell r="AD46">
            <v>521.11289999999997</v>
          </cell>
          <cell r="AL46">
            <v>9752.4982999999993</v>
          </cell>
          <cell r="AT46">
            <v>76917.280400000003</v>
          </cell>
          <cell r="BJ46">
            <v>344.31740000000002</v>
          </cell>
          <cell r="BR46">
            <v>372.0376</v>
          </cell>
          <cell r="CH46">
            <v>323.34750000000003</v>
          </cell>
          <cell r="CP46">
            <v>1592.3677</v>
          </cell>
          <cell r="CX46">
            <v>119.45269999999999</v>
          </cell>
          <cell r="DB46">
            <v>8530.9241999999995</v>
          </cell>
          <cell r="DF46">
            <v>524.79330000000004</v>
          </cell>
          <cell r="DJ46">
            <v>25.038599999999999</v>
          </cell>
          <cell r="DV46">
            <v>2878.7860999999998</v>
          </cell>
          <cell r="ED46">
            <v>1257.9467</v>
          </cell>
          <cell r="EP46">
            <v>1261.2361000000001</v>
          </cell>
          <cell r="ET46">
            <v>2673.232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ls"/>
      <sheetName val="seals2"/>
      <sheetName val="q used"/>
      <sheetName val="4X"/>
      <sheetName val="4X age"/>
      <sheetName val="retro"/>
      <sheetName val="vpa"/>
      <sheetName val="4VW"/>
      <sheetName val="4VW age"/>
      <sheetName val="4VW cohort"/>
      <sheetName val="4VW z"/>
      <sheetName val="4VW sim"/>
      <sheetName val="4Xz"/>
      <sheetName val="4X sim"/>
      <sheetName val="waa"/>
      <sheetName val="laa"/>
      <sheetName val="GSL"/>
      <sheetName val="4X ypr dc"/>
      <sheetName val="4X ypr wz"/>
      <sheetName val="proj ess"/>
      <sheetName val="tables"/>
      <sheetName val="4VW ypr dc"/>
      <sheetName val="4VW ypr wz"/>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00">
          <cell r="AV100">
            <v>8651.0205993292238</v>
          </cell>
        </row>
        <row r="101">
          <cell r="AV101">
            <v>24394.501834152834</v>
          </cell>
        </row>
        <row r="102">
          <cell r="AV102">
            <v>10947.112562441338</v>
          </cell>
        </row>
        <row r="103">
          <cell r="AV103">
            <v>5423.520010715014</v>
          </cell>
        </row>
        <row r="104">
          <cell r="AV104">
            <v>2635.5627425760999</v>
          </cell>
        </row>
        <row r="105">
          <cell r="AV105">
            <v>15687.655165889946</v>
          </cell>
        </row>
        <row r="106">
          <cell r="AV106">
            <v>4241.0696957273904</v>
          </cell>
        </row>
        <row r="107">
          <cell r="AV107">
            <v>4642.1173343385508</v>
          </cell>
        </row>
        <row r="108">
          <cell r="AV108">
            <v>15196.364856348724</v>
          </cell>
        </row>
        <row r="109">
          <cell r="AV109">
            <v>17737.333597400673</v>
          </cell>
        </row>
        <row r="110">
          <cell r="AV110">
            <v>12756.602875455519</v>
          </cell>
        </row>
        <row r="111">
          <cell r="AV111">
            <v>8655.4598480431268</v>
          </cell>
        </row>
        <row r="112">
          <cell r="AV112">
            <v>7355.3754917728384</v>
          </cell>
        </row>
        <row r="113">
          <cell r="AV113">
            <v>5839.7089073831057</v>
          </cell>
        </row>
        <row r="114">
          <cell r="AV114">
            <v>8426</v>
          </cell>
        </row>
      </sheetData>
      <sheetData sheetId="18" refreshError="1"/>
      <sheetData sheetId="19" refreshError="1"/>
      <sheetData sheetId="20" refreshError="1"/>
      <sheetData sheetId="21" refreshError="1"/>
      <sheetData sheetId="2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ES CODE"/>
      <sheetName val="GEARS CODE"/>
      <sheetName val="ECHINODERMS"/>
      <sheetName val="pivot"/>
      <sheetName val="ALL"/>
      <sheetName val="4Xn"/>
      <sheetName val="Don's COD"/>
      <sheetName val="COD"/>
      <sheetName val="HADDOCK"/>
      <sheetName val="HALIBUT"/>
      <sheetName val="A PLAICE"/>
      <sheetName val="REDFISH"/>
      <sheetName val="FLOUNDERS"/>
      <sheetName val="D PISCIVORES"/>
      <sheetName val="SKATES"/>
      <sheetName val="DOGFISH"/>
      <sheetName val="POLLOCK"/>
      <sheetName val="S HAKE"/>
      <sheetName val="L BENTHIVORES"/>
      <sheetName val="L SCULPIN"/>
      <sheetName val="MACKEREL"/>
      <sheetName val="L PELAGIC"/>
      <sheetName val="Other PELAGIC"/>
      <sheetName val="SHARKS"/>
      <sheetName val="HERRING"/>
      <sheetName val="LOBSTER"/>
      <sheetName val="SCALLOP"/>
      <sheetName val="CRABS"/>
      <sheetName val="SQUIDS"/>
      <sheetName val="BIVALVES"/>
      <sheetName val="UNID GROUNDFISH"/>
      <sheetName val="GASTROPODS"/>
      <sheetName val="SHRIMPS"/>
      <sheetName val="TILEFISH"/>
      <sheetName val="4XU"/>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3">
          <cell r="B3">
            <v>1519</v>
          </cell>
        </row>
        <row r="4">
          <cell r="B4">
            <v>2631</v>
          </cell>
        </row>
        <row r="5">
          <cell r="B5">
            <v>2779</v>
          </cell>
        </row>
        <row r="6">
          <cell r="B6">
            <v>10584</v>
          </cell>
        </row>
        <row r="7">
          <cell r="B7">
            <v>8668</v>
          </cell>
        </row>
        <row r="8">
          <cell r="B8">
            <v>4371</v>
          </cell>
        </row>
        <row r="9">
          <cell r="B9">
            <v>2577</v>
          </cell>
        </row>
        <row r="10">
          <cell r="B10">
            <v>2766</v>
          </cell>
        </row>
        <row r="11">
          <cell r="B11">
            <v>5343</v>
          </cell>
        </row>
        <row r="12">
          <cell r="B12">
            <v>4201</v>
          </cell>
        </row>
        <row r="13">
          <cell r="B13">
            <v>2549</v>
          </cell>
        </row>
        <row r="14">
          <cell r="B14">
            <v>2040</v>
          </cell>
        </row>
        <row r="15">
          <cell r="B15">
            <v>2391</v>
          </cell>
        </row>
        <row r="16">
          <cell r="B16">
            <v>1380</v>
          </cell>
        </row>
        <row r="17">
          <cell r="B17">
            <v>623</v>
          </cell>
        </row>
        <row r="18">
          <cell r="B18">
            <v>1083</v>
          </cell>
        </row>
        <row r="19">
          <cell r="B19">
            <v>8757</v>
          </cell>
        </row>
        <row r="20">
          <cell r="B20">
            <v>5957</v>
          </cell>
        </row>
        <row r="21">
          <cell r="B21">
            <v>5002</v>
          </cell>
        </row>
        <row r="22">
          <cell r="B22">
            <v>9581</v>
          </cell>
        </row>
        <row r="23">
          <cell r="B23">
            <v>22132</v>
          </cell>
        </row>
        <row r="24">
          <cell r="B24">
            <v>17311</v>
          </cell>
        </row>
        <row r="25">
          <cell r="B25">
            <v>18828</v>
          </cell>
        </row>
        <row r="26">
          <cell r="B26">
            <v>15325</v>
          </cell>
        </row>
        <row r="27">
          <cell r="B27">
            <v>9904</v>
          </cell>
        </row>
        <row r="28">
          <cell r="B28">
            <v>7741</v>
          </cell>
        </row>
        <row r="29">
          <cell r="B29">
            <v>5191</v>
          </cell>
        </row>
        <row r="30">
          <cell r="B30">
            <v>8043</v>
          </cell>
        </row>
        <row r="31">
          <cell r="B31">
            <v>28533</v>
          </cell>
        </row>
        <row r="32">
          <cell r="B32">
            <v>40409</v>
          </cell>
        </row>
        <row r="33">
          <cell r="B33">
            <v>27827</v>
          </cell>
        </row>
        <row r="34">
          <cell r="B34">
            <v>21163</v>
          </cell>
        </row>
        <row r="35">
          <cell r="B35">
            <v>24289</v>
          </cell>
        </row>
        <row r="36">
          <cell r="B36">
            <v>26882</v>
          </cell>
        </row>
        <row r="37">
          <cell r="B37">
            <v>35719</v>
          </cell>
        </row>
        <row r="38">
          <cell r="B38">
            <v>34697</v>
          </cell>
        </row>
        <row r="39">
          <cell r="B39">
            <v>15150</v>
          </cell>
        </row>
        <row r="40">
          <cell r="B40">
            <v>11192</v>
          </cell>
        </row>
        <row r="41">
          <cell r="B41">
            <v>14395</v>
          </cell>
        </row>
        <row r="42">
          <cell r="B42">
            <v>16138</v>
          </cell>
        </row>
        <row r="43">
          <cell r="B43">
            <v>20023</v>
          </cell>
        </row>
        <row r="44">
          <cell r="B44">
            <v>26341</v>
          </cell>
        </row>
        <row r="45">
          <cell r="B45">
            <v>35752</v>
          </cell>
        </row>
        <row r="46">
          <cell r="B46">
            <v>36165</v>
          </cell>
        </row>
        <row r="47">
          <cell r="B47">
            <v>41526</v>
          </cell>
        </row>
        <row r="48">
          <cell r="B48">
            <v>24765</v>
          </cell>
        </row>
        <row r="49">
          <cell r="B49">
            <v>23814</v>
          </cell>
        </row>
        <row r="50">
          <cell r="B50">
            <v>24533</v>
          </cell>
        </row>
        <row r="51">
          <cell r="B51">
            <v>15929</v>
          </cell>
        </row>
      </sheetData>
      <sheetData sheetId="27">
        <row r="6">
          <cell r="B6">
            <v>2</v>
          </cell>
        </row>
        <row r="7">
          <cell r="B7">
            <v>3</v>
          </cell>
        </row>
        <row r="8">
          <cell r="B8">
            <v>2</v>
          </cell>
        </row>
        <row r="11">
          <cell r="B11">
            <v>7</v>
          </cell>
        </row>
        <row r="12">
          <cell r="B12">
            <v>9</v>
          </cell>
        </row>
        <row r="13">
          <cell r="B13">
            <v>85</v>
          </cell>
        </row>
        <row r="14">
          <cell r="B14">
            <v>182</v>
          </cell>
        </row>
        <row r="15">
          <cell r="B15">
            <v>7</v>
          </cell>
        </row>
        <row r="16">
          <cell r="B16">
            <v>6</v>
          </cell>
        </row>
        <row r="17">
          <cell r="B17">
            <v>14</v>
          </cell>
        </row>
        <row r="18">
          <cell r="B18">
            <v>14</v>
          </cell>
        </row>
        <row r="19">
          <cell r="B19">
            <v>7</v>
          </cell>
        </row>
        <row r="20">
          <cell r="B20">
            <v>22</v>
          </cell>
        </row>
        <row r="21">
          <cell r="B21">
            <v>53</v>
          </cell>
        </row>
        <row r="22">
          <cell r="B22">
            <v>17</v>
          </cell>
        </row>
        <row r="23">
          <cell r="B23">
            <v>15</v>
          </cell>
        </row>
        <row r="24">
          <cell r="B24">
            <v>20</v>
          </cell>
        </row>
        <row r="25">
          <cell r="B25">
            <v>41</v>
          </cell>
        </row>
        <row r="26">
          <cell r="B26">
            <v>328</v>
          </cell>
        </row>
        <row r="27">
          <cell r="B27">
            <v>297</v>
          </cell>
        </row>
        <row r="28">
          <cell r="B28">
            <v>357</v>
          </cell>
        </row>
        <row r="29">
          <cell r="B29">
            <v>39</v>
          </cell>
        </row>
        <row r="30">
          <cell r="B30">
            <v>118</v>
          </cell>
        </row>
        <row r="31">
          <cell r="B31">
            <v>18</v>
          </cell>
        </row>
        <row r="32">
          <cell r="B32">
            <v>41</v>
          </cell>
        </row>
        <row r="33">
          <cell r="B33">
            <v>30</v>
          </cell>
        </row>
        <row r="34">
          <cell r="B34">
            <v>19</v>
          </cell>
        </row>
        <row r="35">
          <cell r="B35">
            <v>46</v>
          </cell>
        </row>
        <row r="36">
          <cell r="B36">
            <v>78</v>
          </cell>
        </row>
        <row r="37">
          <cell r="B37">
            <v>165</v>
          </cell>
        </row>
        <row r="38">
          <cell r="B38">
            <v>549</v>
          </cell>
        </row>
        <row r="39">
          <cell r="B39">
            <v>872</v>
          </cell>
        </row>
        <row r="40">
          <cell r="B40">
            <v>1170</v>
          </cell>
        </row>
        <row r="41">
          <cell r="B41">
            <v>1528</v>
          </cell>
        </row>
        <row r="42">
          <cell r="B42">
            <v>1495</v>
          </cell>
        </row>
        <row r="43">
          <cell r="B43">
            <v>2122</v>
          </cell>
        </row>
        <row r="44">
          <cell r="B44">
            <v>2783</v>
          </cell>
        </row>
        <row r="45">
          <cell r="B45">
            <v>2362</v>
          </cell>
        </row>
        <row r="46">
          <cell r="B46">
            <v>1319</v>
          </cell>
        </row>
        <row r="47">
          <cell r="B47">
            <v>1370</v>
          </cell>
        </row>
        <row r="48">
          <cell r="B48">
            <v>1162</v>
          </cell>
        </row>
        <row r="49">
          <cell r="B49">
            <v>951</v>
          </cell>
        </row>
        <row r="50">
          <cell r="B50">
            <v>827</v>
          </cell>
        </row>
        <row r="51">
          <cell r="B51">
            <v>892</v>
          </cell>
        </row>
      </sheetData>
      <sheetData sheetId="28">
        <row r="4">
          <cell r="B4">
            <v>1</v>
          </cell>
        </row>
        <row r="5">
          <cell r="B5">
            <v>65</v>
          </cell>
        </row>
        <row r="6">
          <cell r="B6">
            <v>8</v>
          </cell>
        </row>
        <row r="7">
          <cell r="B7">
            <v>33</v>
          </cell>
        </row>
        <row r="8">
          <cell r="B8">
            <v>8</v>
          </cell>
        </row>
        <row r="9">
          <cell r="B9">
            <v>3</v>
          </cell>
        </row>
        <row r="11">
          <cell r="B11">
            <v>46</v>
          </cell>
        </row>
        <row r="13">
          <cell r="B13">
            <v>26</v>
          </cell>
        </row>
        <row r="14">
          <cell r="B14">
            <v>110</v>
          </cell>
        </row>
        <row r="15">
          <cell r="B15">
            <v>39</v>
          </cell>
        </row>
        <row r="16">
          <cell r="B16">
            <v>1767</v>
          </cell>
        </row>
        <row r="17">
          <cell r="B17">
            <v>277</v>
          </cell>
        </row>
        <row r="18">
          <cell r="B18">
            <v>3250</v>
          </cell>
        </row>
        <row r="19">
          <cell r="B19">
            <v>2805</v>
          </cell>
        </row>
        <row r="20">
          <cell r="B20">
            <v>1184</v>
          </cell>
        </row>
        <row r="21">
          <cell r="B21">
            <v>1501</v>
          </cell>
        </row>
        <row r="22">
          <cell r="B22">
            <v>3764</v>
          </cell>
        </row>
        <row r="23">
          <cell r="B23">
            <v>17410</v>
          </cell>
        </row>
        <row r="24">
          <cell r="B24">
            <v>4589</v>
          </cell>
        </row>
        <row r="25">
          <cell r="B25">
            <v>217</v>
          </cell>
        </row>
        <row r="26">
          <cell r="B26">
            <v>29</v>
          </cell>
        </row>
        <row r="27">
          <cell r="B27">
            <v>1</v>
          </cell>
        </row>
        <row r="28">
          <cell r="B28">
            <v>7</v>
          </cell>
        </row>
        <row r="29">
          <cell r="B29">
            <v>36</v>
          </cell>
        </row>
        <row r="30">
          <cell r="B30">
            <v>16</v>
          </cell>
        </row>
        <row r="31">
          <cell r="B31">
            <v>31</v>
          </cell>
        </row>
        <row r="32">
          <cell r="B32">
            <v>48</v>
          </cell>
        </row>
        <row r="33">
          <cell r="B33">
            <v>997</v>
          </cell>
        </row>
        <row r="34">
          <cell r="B34">
            <v>224</v>
          </cell>
        </row>
        <row r="35">
          <cell r="B35">
            <v>238</v>
          </cell>
        </row>
        <row r="36">
          <cell r="B36">
            <v>1689</v>
          </cell>
        </row>
        <row r="37">
          <cell r="B37">
            <v>98</v>
          </cell>
        </row>
        <row r="38">
          <cell r="B38">
            <v>118</v>
          </cell>
        </row>
        <row r="39">
          <cell r="B39">
            <v>145</v>
          </cell>
        </row>
        <row r="40">
          <cell r="B40">
            <v>467</v>
          </cell>
        </row>
        <row r="42">
          <cell r="B42">
            <v>5</v>
          </cell>
        </row>
        <row r="43">
          <cell r="B43">
            <v>6</v>
          </cell>
        </row>
        <row r="44">
          <cell r="B44">
            <v>20</v>
          </cell>
        </row>
        <row r="45">
          <cell r="B45">
            <v>4</v>
          </cell>
        </row>
        <row r="46">
          <cell r="B46">
            <v>7</v>
          </cell>
        </row>
        <row r="47">
          <cell r="B47">
            <v>3</v>
          </cell>
        </row>
        <row r="48">
          <cell r="B48">
            <v>0</v>
          </cell>
        </row>
        <row r="51">
          <cell r="B51">
            <v>1150</v>
          </cell>
        </row>
      </sheetData>
      <sheetData sheetId="29">
        <row r="3">
          <cell r="B3">
            <v>665</v>
          </cell>
        </row>
        <row r="5">
          <cell r="B5">
            <v>528</v>
          </cell>
        </row>
        <row r="6">
          <cell r="B6">
            <v>416</v>
          </cell>
        </row>
        <row r="7">
          <cell r="B7">
            <v>564</v>
          </cell>
        </row>
        <row r="8">
          <cell r="B8">
            <v>564</v>
          </cell>
        </row>
        <row r="9">
          <cell r="B9">
            <v>965</v>
          </cell>
        </row>
        <row r="10">
          <cell r="B10">
            <v>1802</v>
          </cell>
        </row>
        <row r="11">
          <cell r="B11">
            <v>1745</v>
          </cell>
        </row>
        <row r="12">
          <cell r="B12">
            <v>2605</v>
          </cell>
        </row>
        <row r="13">
          <cell r="B13">
            <v>3036</v>
          </cell>
        </row>
        <row r="14">
          <cell r="B14">
            <v>4319</v>
          </cell>
        </row>
        <row r="15">
          <cell r="B15">
            <v>2267</v>
          </cell>
        </row>
        <row r="16">
          <cell r="B16">
            <v>2871</v>
          </cell>
        </row>
        <row r="17">
          <cell r="B17">
            <v>1371</v>
          </cell>
        </row>
        <row r="18">
          <cell r="B18">
            <v>1220</v>
          </cell>
        </row>
        <row r="19">
          <cell r="B19">
            <v>1117</v>
          </cell>
        </row>
        <row r="20">
          <cell r="B20">
            <v>1951</v>
          </cell>
        </row>
        <row r="21">
          <cell r="B21">
            <v>2015</v>
          </cell>
        </row>
        <row r="22">
          <cell r="B22">
            <v>1679</v>
          </cell>
        </row>
        <row r="23">
          <cell r="B23">
            <v>2777</v>
          </cell>
        </row>
        <row r="24">
          <cell r="B24">
            <v>2454</v>
          </cell>
        </row>
        <row r="25">
          <cell r="B25">
            <v>2936</v>
          </cell>
        </row>
        <row r="26">
          <cell r="B26">
            <v>2916</v>
          </cell>
        </row>
        <row r="27">
          <cell r="B27">
            <v>3633</v>
          </cell>
        </row>
        <row r="28">
          <cell r="B28">
            <v>3931</v>
          </cell>
        </row>
        <row r="29">
          <cell r="B29">
            <v>4454</v>
          </cell>
        </row>
        <row r="30">
          <cell r="B30">
            <v>3830</v>
          </cell>
        </row>
        <row r="31">
          <cell r="B31">
            <v>2088</v>
          </cell>
        </row>
        <row r="32">
          <cell r="B32">
            <v>1627</v>
          </cell>
        </row>
        <row r="33">
          <cell r="B33">
            <v>1697</v>
          </cell>
        </row>
        <row r="34">
          <cell r="B34">
            <v>1663</v>
          </cell>
        </row>
        <row r="35">
          <cell r="B35">
            <v>1527</v>
          </cell>
        </row>
        <row r="36">
          <cell r="B36">
            <v>1155</v>
          </cell>
        </row>
        <row r="37">
          <cell r="B37">
            <v>1409</v>
          </cell>
        </row>
        <row r="38">
          <cell r="B38">
            <v>1811</v>
          </cell>
        </row>
        <row r="39">
          <cell r="B39">
            <v>677</v>
          </cell>
        </row>
        <row r="40">
          <cell r="B40">
            <v>447</v>
          </cell>
        </row>
        <row r="41">
          <cell r="B41">
            <v>365</v>
          </cell>
        </row>
        <row r="42">
          <cell r="B42">
            <v>586</v>
          </cell>
        </row>
        <row r="43">
          <cell r="B43">
            <v>687</v>
          </cell>
        </row>
        <row r="44">
          <cell r="B44">
            <v>1576</v>
          </cell>
        </row>
        <row r="45">
          <cell r="B45">
            <v>2057</v>
          </cell>
        </row>
        <row r="46">
          <cell r="B46">
            <v>506</v>
          </cell>
        </row>
        <row r="47">
          <cell r="B47">
            <v>1496</v>
          </cell>
        </row>
        <row r="48">
          <cell r="B48">
            <v>1354</v>
          </cell>
        </row>
        <row r="49">
          <cell r="B49">
            <v>950</v>
          </cell>
        </row>
        <row r="50">
          <cell r="B50">
            <v>560</v>
          </cell>
        </row>
        <row r="51">
          <cell r="B51">
            <v>901</v>
          </cell>
        </row>
      </sheetData>
      <sheetData sheetId="30"/>
      <sheetData sheetId="31"/>
      <sheetData sheetId="32">
        <row r="9">
          <cell r="B9">
            <v>3</v>
          </cell>
        </row>
        <row r="11">
          <cell r="B11">
            <v>592</v>
          </cell>
        </row>
        <row r="12">
          <cell r="B12">
            <v>678</v>
          </cell>
        </row>
        <row r="13">
          <cell r="B13">
            <v>920</v>
          </cell>
        </row>
        <row r="14">
          <cell r="B14">
            <v>260</v>
          </cell>
        </row>
        <row r="15">
          <cell r="B15">
            <v>255</v>
          </cell>
        </row>
        <row r="16">
          <cell r="B16">
            <v>31</v>
          </cell>
        </row>
        <row r="17">
          <cell r="B17">
            <v>9</v>
          </cell>
        </row>
        <row r="20">
          <cell r="B20">
            <v>1</v>
          </cell>
        </row>
        <row r="22">
          <cell r="B22">
            <v>19</v>
          </cell>
        </row>
        <row r="32">
          <cell r="B32">
            <v>3</v>
          </cell>
        </row>
        <row r="35">
          <cell r="B35">
            <v>3</v>
          </cell>
        </row>
        <row r="36">
          <cell r="B36">
            <v>12</v>
          </cell>
        </row>
        <row r="37">
          <cell r="B37">
            <v>9</v>
          </cell>
        </row>
        <row r="38">
          <cell r="B38">
            <v>1</v>
          </cell>
        </row>
        <row r="40">
          <cell r="B40">
            <v>12</v>
          </cell>
        </row>
        <row r="41">
          <cell r="B41">
            <v>26</v>
          </cell>
        </row>
        <row r="42">
          <cell r="B42">
            <v>15</v>
          </cell>
        </row>
        <row r="43">
          <cell r="B43">
            <v>17</v>
          </cell>
        </row>
        <row r="44">
          <cell r="B44">
            <v>21</v>
          </cell>
        </row>
        <row r="45">
          <cell r="B45">
            <v>7</v>
          </cell>
        </row>
        <row r="47">
          <cell r="B47">
            <v>1</v>
          </cell>
        </row>
        <row r="48">
          <cell r="B48">
            <v>2</v>
          </cell>
        </row>
        <row r="49">
          <cell r="B49">
            <v>4</v>
          </cell>
        </row>
        <row r="51">
          <cell r="B51">
            <v>1</v>
          </cell>
        </row>
      </sheetData>
      <sheetData sheetId="33">
        <row r="32">
          <cell r="B32">
            <v>10</v>
          </cell>
        </row>
        <row r="33">
          <cell r="B33">
            <v>27</v>
          </cell>
        </row>
        <row r="34">
          <cell r="B34">
            <v>11</v>
          </cell>
        </row>
        <row r="35">
          <cell r="B35">
            <v>16</v>
          </cell>
        </row>
        <row r="36">
          <cell r="B36">
            <v>14</v>
          </cell>
        </row>
        <row r="37">
          <cell r="B37">
            <v>7</v>
          </cell>
        </row>
        <row r="38">
          <cell r="B38">
            <v>9</v>
          </cell>
        </row>
        <row r="39">
          <cell r="B39">
            <v>6</v>
          </cell>
        </row>
        <row r="40">
          <cell r="B40">
            <v>6</v>
          </cell>
        </row>
        <row r="41">
          <cell r="B41">
            <v>1</v>
          </cell>
        </row>
        <row r="42">
          <cell r="B42">
            <v>1</v>
          </cell>
        </row>
        <row r="45">
          <cell r="B45">
            <v>4</v>
          </cell>
        </row>
        <row r="47">
          <cell r="B47">
            <v>0</v>
          </cell>
        </row>
        <row r="48">
          <cell r="B48">
            <v>1</v>
          </cell>
        </row>
        <row r="51">
          <cell r="B51">
            <v>3</v>
          </cell>
        </row>
      </sheetData>
      <sheetData sheetId="3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heetName val="detail"/>
      <sheetName val="Sheet3"/>
    </sheetNames>
    <sheetDataSet>
      <sheetData sheetId="0">
        <row r="7">
          <cell r="S7">
            <v>62630</v>
          </cell>
        </row>
        <row r="8">
          <cell r="S8">
            <v>88828</v>
          </cell>
        </row>
        <row r="9">
          <cell r="S9">
            <v>125740</v>
          </cell>
        </row>
        <row r="10">
          <cell r="S10">
            <v>188031</v>
          </cell>
        </row>
        <row r="11">
          <cell r="S11">
            <v>187175</v>
          </cell>
        </row>
        <row r="12">
          <cell r="S12">
            <v>245090</v>
          </cell>
        </row>
        <row r="13">
          <cell r="S13">
            <v>259484</v>
          </cell>
        </row>
        <row r="14">
          <cell r="S14">
            <v>209163</v>
          </cell>
        </row>
        <row r="15">
          <cell r="S15">
            <v>93287</v>
          </cell>
        </row>
        <row r="16">
          <cell r="S16">
            <v>157586</v>
          </cell>
        </row>
        <row r="17">
          <cell r="S17">
            <v>115572</v>
          </cell>
        </row>
        <row r="18">
          <cell r="S18">
            <v>118745</v>
          </cell>
        </row>
        <row r="19">
          <cell r="S19">
            <v>123975</v>
          </cell>
        </row>
        <row r="20">
          <cell r="S20">
            <v>102628</v>
          </cell>
        </row>
        <row r="21">
          <cell r="S21">
            <v>116997</v>
          </cell>
        </row>
        <row r="22">
          <cell r="S22">
            <v>117450</v>
          </cell>
        </row>
        <row r="23">
          <cell r="S23">
            <v>80602</v>
          </cell>
        </row>
        <row r="24">
          <cell r="S24">
            <v>82141</v>
          </cell>
        </row>
        <row r="25">
          <cell r="S25">
            <v>88198</v>
          </cell>
        </row>
        <row r="26">
          <cell r="S26">
            <v>98421</v>
          </cell>
        </row>
        <row r="27">
          <cell r="S27">
            <v>86599</v>
          </cell>
        </row>
        <row r="28">
          <cell r="S28">
            <v>79909</v>
          </cell>
        </row>
        <row r="29">
          <cell r="S29">
            <v>130095</v>
          </cell>
        </row>
        <row r="30">
          <cell r="S30">
            <v>92878</v>
          </cell>
        </row>
        <row r="31">
          <cell r="S31">
            <v>119240</v>
          </cell>
        </row>
        <row r="32">
          <cell r="S32">
            <v>147881</v>
          </cell>
        </row>
        <row r="33">
          <cell r="S33">
            <v>121500</v>
          </cell>
        </row>
        <row r="34">
          <cell r="S34">
            <v>131320</v>
          </cell>
        </row>
        <row r="35">
          <cell r="S35">
            <v>102255</v>
          </cell>
        </row>
        <row r="36">
          <cell r="S36">
            <v>116694</v>
          </cell>
        </row>
        <row r="37">
          <cell r="S37">
            <v>118645</v>
          </cell>
        </row>
        <row r="38">
          <cell r="S38">
            <v>92308</v>
          </cell>
        </row>
        <row r="39">
          <cell r="S39">
            <v>77315</v>
          </cell>
        </row>
        <row r="40">
          <cell r="S40">
            <v>83487</v>
          </cell>
        </row>
        <row r="41">
          <cell r="S41">
            <v>95421</v>
          </cell>
        </row>
        <row r="42">
          <cell r="S42">
            <v>102474</v>
          </cell>
        </row>
        <row r="43">
          <cell r="S43">
            <v>110525.8</v>
          </cell>
        </row>
        <row r="44">
          <cell r="S44">
            <v>105326</v>
          </cell>
        </row>
        <row r="45">
          <cell r="S45">
            <v>107186</v>
          </cell>
        </row>
        <row r="46">
          <cell r="S46">
            <v>99582</v>
          </cell>
        </row>
        <row r="47">
          <cell r="S47">
            <v>103887</v>
          </cell>
        </row>
        <row r="48">
          <cell r="S48">
            <v>104147</v>
          </cell>
        </row>
        <row r="49">
          <cell r="S49">
            <v>69456.350000000006</v>
          </cell>
        </row>
        <row r="50">
          <cell r="S50">
            <v>74964</v>
          </cell>
        </row>
        <row r="51">
          <cell r="S51">
            <v>88191.039999999994</v>
          </cell>
        </row>
        <row r="52">
          <cell r="S52">
            <v>63034.380000000005</v>
          </cell>
        </row>
        <row r="53">
          <cell r="S53">
            <v>70963</v>
          </cell>
        </row>
        <row r="54">
          <cell r="S54">
            <v>71460</v>
          </cell>
        </row>
        <row r="55">
          <cell r="S55">
            <v>66767.3</v>
          </cell>
        </row>
        <row r="56">
          <cell r="S56">
            <v>49373.26</v>
          </cell>
        </row>
        <row r="57">
          <cell r="S57">
            <v>54462.13</v>
          </cell>
        </row>
      </sheetData>
      <sheetData sheetId="1" refreshError="1"/>
      <sheetData sheetId="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N from adapt"/>
      <sheetName val="4X herring wt"/>
      <sheetName val="4X herring catch"/>
      <sheetName val="suit"/>
      <sheetName val="q"/>
      <sheetName val="summary"/>
      <sheetName val="graphs"/>
      <sheetName val="explor"/>
      <sheetName val="results"/>
      <sheetName val="4X herring beg pop#"/>
      <sheetName val="F&amp;M2"/>
      <sheetName val="M2"/>
      <sheetName val="4X herring catch &amp; pred deaths"/>
      <sheetName val="4X all pred_deaths"/>
      <sheetName val="4X cod pred_deaths"/>
      <sheetName val="4X pol pred_deaths"/>
      <sheetName val="4X bir pred_deaths"/>
      <sheetName val="Shake D"/>
      <sheetName val="WHake D"/>
      <sheetName val="hal D"/>
      <sheetName val="dog D"/>
      <sheetName val="bft D"/>
      <sheetName val="mak D"/>
      <sheetName val="por D"/>
      <sheetName val="bsh D"/>
      <sheetName val="mon D"/>
      <sheetName val="rav D"/>
      <sheetName val="hum D"/>
      <sheetName val="gys D"/>
      <sheetName val="omm D"/>
    </sheetNames>
    <sheetDataSet>
      <sheetData sheetId="0">
        <row r="2">
          <cell r="Q2" t="str">
            <v>SSB</v>
          </cell>
        </row>
        <row r="3">
          <cell r="Q3">
            <v>368012.9301496289</v>
          </cell>
        </row>
        <row r="4">
          <cell r="Q4">
            <v>278287.00783824903</v>
          </cell>
        </row>
        <row r="5">
          <cell r="Q5">
            <v>219128.24186691365</v>
          </cell>
        </row>
        <row r="6">
          <cell r="Q6">
            <v>254830.09652004097</v>
          </cell>
        </row>
        <row r="7">
          <cell r="Q7">
            <v>377227.70816328097</v>
          </cell>
        </row>
        <row r="8">
          <cell r="Q8">
            <v>378590.71700697578</v>
          </cell>
        </row>
        <row r="9">
          <cell r="Q9">
            <v>297631.28749908268</v>
          </cell>
        </row>
        <row r="10">
          <cell r="Q10">
            <v>252094.80470496003</v>
          </cell>
        </row>
        <row r="11">
          <cell r="Q11">
            <v>158946.45034892016</v>
          </cell>
        </row>
        <row r="12">
          <cell r="Q12">
            <v>133059.59630497277</v>
          </cell>
        </row>
        <row r="13">
          <cell r="Q13">
            <v>247810.64568854304</v>
          </cell>
        </row>
        <row r="14">
          <cell r="Q14">
            <v>257969.47549667998</v>
          </cell>
        </row>
        <row r="15">
          <cell r="Q15">
            <v>199549.66028771998</v>
          </cell>
        </row>
        <row r="16">
          <cell r="Q16">
            <v>197164.14049690778</v>
          </cell>
        </row>
        <row r="17">
          <cell r="Q17">
            <v>216807.47137933568</v>
          </cell>
        </row>
        <row r="18">
          <cell r="Q18">
            <v>277105.24370564381</v>
          </cell>
        </row>
        <row r="19">
          <cell r="Q19">
            <v>403953.41654597211</v>
          </cell>
        </row>
        <row r="20">
          <cell r="Q20">
            <v>537893.63444704132</v>
          </cell>
        </row>
        <row r="21">
          <cell r="Q21">
            <v>498242.00855337491</v>
          </cell>
        </row>
        <row r="22">
          <cell r="Q22">
            <v>394453.2328378408</v>
          </cell>
        </row>
        <row r="23">
          <cell r="Q23">
            <v>376293.76754011016</v>
          </cell>
        </row>
        <row r="24">
          <cell r="Q24">
            <v>282054.01852945454</v>
          </cell>
        </row>
        <row r="25">
          <cell r="Q25">
            <v>249689.44890590306</v>
          </cell>
        </row>
        <row r="26">
          <cell r="Q26">
            <v>170497.96056533919</v>
          </cell>
        </row>
        <row r="27">
          <cell r="Q27">
            <v>107705.90225710145</v>
          </cell>
        </row>
        <row r="28">
          <cell r="Q28">
            <v>84889.963525013256</v>
          </cell>
        </row>
        <row r="29">
          <cell r="Q29">
            <v>103140.34609731295</v>
          </cell>
        </row>
        <row r="30">
          <cell r="Q30">
            <v>120351.36903633559</v>
          </cell>
        </row>
        <row r="31">
          <cell r="Q31">
            <v>126681.01923625413</v>
          </cell>
        </row>
        <row r="32">
          <cell r="Q32">
            <v>107789.21084253115</v>
          </cell>
        </row>
        <row r="33">
          <cell r="Q33">
            <v>93629.467649166952</v>
          </cell>
        </row>
        <row r="34">
          <cell r="Q34">
            <v>93504.97694389867</v>
          </cell>
        </row>
        <row r="35">
          <cell r="Q35">
            <v>97689.850046037085</v>
          </cell>
        </row>
        <row r="36">
          <cell r="Q36">
            <v>85643.044483959558</v>
          </cell>
        </row>
        <row r="37">
          <cell r="Q37">
            <v>91487.641570668085</v>
          </cell>
        </row>
        <row r="38">
          <cell r="Q38">
            <v>86601.539203720837</v>
          </cell>
        </row>
        <row r="39">
          <cell r="Q39">
            <v>77747.570374799747</v>
          </cell>
        </row>
        <row r="40">
          <cell r="Q40">
            <v>66324.013444534401</v>
          </cell>
        </row>
        <row r="41">
          <cell r="Q41">
            <v>60122.002113949413</v>
          </cell>
        </row>
        <row r="42">
          <cell r="Q42">
            <v>63471.841390371606</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19"/>
  <sheetViews>
    <sheetView topLeftCell="AC1" workbookViewId="0">
      <selection activeCell="AZ4" sqref="AZ4"/>
    </sheetView>
  </sheetViews>
  <sheetFormatPr defaultRowHeight="12.75" x14ac:dyDescent="0.2"/>
  <sheetData>
    <row r="1" spans="1:52" x14ac:dyDescent="0.2">
      <c r="H1">
        <f>5/13</f>
        <v>0.38461538461538464</v>
      </c>
      <c r="N1">
        <f>10/17</f>
        <v>0.58823529411764708</v>
      </c>
      <c r="AC1">
        <f>10/17</f>
        <v>0.58823529411764708</v>
      </c>
    </row>
    <row r="2" spans="1:52" x14ac:dyDescent="0.2">
      <c r="A2" s="61" t="s">
        <v>824</v>
      </c>
      <c r="B2" s="61" t="s">
        <v>344</v>
      </c>
      <c r="D2" s="61" t="s">
        <v>344</v>
      </c>
      <c r="F2" s="61" t="s">
        <v>827</v>
      </c>
      <c r="H2" s="61" t="s">
        <v>830</v>
      </c>
      <c r="J2" s="61" t="s">
        <v>828</v>
      </c>
      <c r="L2" s="61" t="s">
        <v>830</v>
      </c>
      <c r="N2" s="61" t="s">
        <v>831</v>
      </c>
      <c r="P2" s="61" t="s">
        <v>830</v>
      </c>
      <c r="R2" s="61" t="s">
        <v>344</v>
      </c>
      <c r="T2" s="61"/>
      <c r="X2" s="61" t="s">
        <v>833</v>
      </c>
      <c r="Y2" s="61" t="s">
        <v>834</v>
      </c>
      <c r="AA2" s="61" t="s">
        <v>835</v>
      </c>
      <c r="AC2" s="61" t="s">
        <v>836</v>
      </c>
      <c r="AE2" s="61" t="s">
        <v>344</v>
      </c>
      <c r="AG2" s="61" t="s">
        <v>344</v>
      </c>
      <c r="AI2" s="61" t="s">
        <v>344</v>
      </c>
      <c r="AK2" s="61" t="s">
        <v>344</v>
      </c>
    </row>
    <row r="3" spans="1:52" x14ac:dyDescent="0.2">
      <c r="A3" s="61" t="s">
        <v>823</v>
      </c>
      <c r="B3">
        <f>'Stock status clean'!E9</f>
        <v>22016.580977692305</v>
      </c>
      <c r="D3">
        <f>'Stock status clean'!E12</f>
        <v>39000</v>
      </c>
      <c r="F3">
        <f>'Stock status clean'!E15</f>
        <v>33.25</v>
      </c>
      <c r="H3">
        <f>'Stock status clean'!E18</f>
        <v>4900</v>
      </c>
      <c r="J3">
        <f>'Stock status clean'!E21</f>
        <v>17167</v>
      </c>
      <c r="L3">
        <f>'Stock status clean'!E25</f>
        <v>52000</v>
      </c>
      <c r="N3">
        <f>'Stock status clean'!E30</f>
        <v>27945</v>
      </c>
      <c r="P3">
        <f>'Stock status clean'!E33</f>
        <v>292803.87355762039</v>
      </c>
      <c r="R3">
        <f>'Stock status clean'!E37</f>
        <v>2414.4139419354847</v>
      </c>
      <c r="T3" s="61" t="s">
        <v>541</v>
      </c>
      <c r="U3" s="61" t="s">
        <v>541</v>
      </c>
      <c r="V3">
        <f>'Stock status clean'!E51</f>
        <v>159288</v>
      </c>
      <c r="X3" s="62" t="s">
        <v>316</v>
      </c>
      <c r="Y3">
        <f>'Stock status clean'!E56</f>
        <v>13226</v>
      </c>
      <c r="AA3">
        <f>'Stock status clean'!E59</f>
        <v>440021</v>
      </c>
      <c r="AC3" s="61">
        <f>'Stock status clean'!E62</f>
        <v>7281</v>
      </c>
      <c r="AE3" s="84">
        <f>'Stock status clean'!E64</f>
        <v>3556.6626140822882</v>
      </c>
      <c r="AG3" s="84">
        <f>'Stock status clean'!E66</f>
        <v>1796.5989011197316</v>
      </c>
      <c r="AI3" s="84">
        <f>'Stock status clean'!E69</f>
        <v>650.65457661993401</v>
      </c>
      <c r="AK3" s="84">
        <f>'Stock status clean'!E72</f>
        <v>2016.8975846939863</v>
      </c>
      <c r="AM3" s="84">
        <f>'Stock status clean'!E75</f>
        <v>2181.3163265823064</v>
      </c>
      <c r="AO3" s="84">
        <f>'Stock status clean'!E77</f>
        <v>2797.8731344293719</v>
      </c>
      <c r="AQ3" s="84">
        <f>'Stock status clean'!E79</f>
        <v>834.39432871428562</v>
      </c>
      <c r="AS3" s="84">
        <f>'Stock status clean'!E80</f>
        <v>7936.1468206666668</v>
      </c>
      <c r="AU3" s="84">
        <f>'Stock status clean'!E81</f>
        <v>1763.5876030000002</v>
      </c>
      <c r="AW3" s="84">
        <f>'Stock status clean'!E82</f>
        <v>1130.545255</v>
      </c>
      <c r="AY3" s="84">
        <f>'Stock status clean'!E83</f>
        <v>903.81770499999993</v>
      </c>
    </row>
    <row r="4" spans="1:52" s="62" customFormat="1" x14ac:dyDescent="0.2">
      <c r="B4" s="62" t="s">
        <v>825</v>
      </c>
      <c r="C4" s="62" t="s">
        <v>826</v>
      </c>
      <c r="D4" s="62" t="s">
        <v>511</v>
      </c>
      <c r="E4" s="62" t="s">
        <v>316</v>
      </c>
      <c r="F4" s="62" t="s">
        <v>349</v>
      </c>
      <c r="G4" s="62" t="s">
        <v>316</v>
      </c>
      <c r="H4" s="62" t="s">
        <v>304</v>
      </c>
      <c r="I4" s="62" t="s">
        <v>316</v>
      </c>
      <c r="J4" s="62" t="s">
        <v>312</v>
      </c>
      <c r="K4" s="62" t="s">
        <v>316</v>
      </c>
      <c r="L4" s="62" t="s">
        <v>307</v>
      </c>
      <c r="M4" s="62" t="s">
        <v>316</v>
      </c>
      <c r="N4" s="62" t="s">
        <v>499</v>
      </c>
      <c r="O4" s="62" t="s">
        <v>316</v>
      </c>
      <c r="P4" s="62" t="s">
        <v>505</v>
      </c>
      <c r="Q4" s="62" t="s">
        <v>316</v>
      </c>
      <c r="R4" s="62" t="s">
        <v>753</v>
      </c>
      <c r="S4" s="62" t="s">
        <v>316</v>
      </c>
      <c r="T4" s="62" t="s">
        <v>310</v>
      </c>
      <c r="U4" s="62" t="s">
        <v>832</v>
      </c>
      <c r="V4" s="62" t="s">
        <v>471</v>
      </c>
      <c r="W4" s="62" t="s">
        <v>316</v>
      </c>
      <c r="X4" s="62" t="s">
        <v>758</v>
      </c>
      <c r="Y4" s="62" t="s">
        <v>759</v>
      </c>
      <c r="Z4" s="62" t="s">
        <v>316</v>
      </c>
      <c r="AA4" s="62" t="s">
        <v>482</v>
      </c>
      <c r="AB4" s="62" t="s">
        <v>316</v>
      </c>
      <c r="AC4" s="62" t="s">
        <v>582</v>
      </c>
      <c r="AD4" s="62" t="s">
        <v>316</v>
      </c>
      <c r="AE4" s="62" t="s">
        <v>472</v>
      </c>
      <c r="AF4" s="62" t="s">
        <v>316</v>
      </c>
      <c r="AG4" s="62" t="s">
        <v>475</v>
      </c>
      <c r="AH4" s="62" t="s">
        <v>316</v>
      </c>
      <c r="AI4" s="62" t="s">
        <v>513</v>
      </c>
      <c r="AJ4" s="62" t="s">
        <v>316</v>
      </c>
      <c r="AK4" s="62" t="s">
        <v>837</v>
      </c>
      <c r="AL4" s="62" t="s">
        <v>316</v>
      </c>
      <c r="AM4" s="62" t="s">
        <v>477</v>
      </c>
      <c r="AN4" s="62" t="s">
        <v>316</v>
      </c>
      <c r="AO4" s="62" t="s">
        <v>763</v>
      </c>
      <c r="AP4" s="62" t="s">
        <v>316</v>
      </c>
      <c r="AQ4" s="62" t="s">
        <v>484</v>
      </c>
      <c r="AR4" s="62" t="s">
        <v>316</v>
      </c>
      <c r="AS4" s="62" t="s">
        <v>485</v>
      </c>
      <c r="AT4" s="62" t="s">
        <v>316</v>
      </c>
      <c r="AU4" s="62" t="s">
        <v>486</v>
      </c>
      <c r="AV4" s="62" t="s">
        <v>316</v>
      </c>
      <c r="AW4" s="62" t="s">
        <v>487</v>
      </c>
      <c r="AX4" s="62" t="s">
        <v>316</v>
      </c>
      <c r="AY4" s="62" t="s">
        <v>488</v>
      </c>
      <c r="AZ4" s="62" t="s">
        <v>316</v>
      </c>
    </row>
    <row r="5" spans="1:52" x14ac:dyDescent="0.2">
      <c r="A5">
        <v>2000</v>
      </c>
      <c r="B5">
        <f>'[1]assessment biomass'!B32</f>
        <v>13198.239800000001</v>
      </c>
      <c r="D5">
        <f>'[1]assessment biomass'!AL32</f>
        <v>6618.4900508918008</v>
      </c>
      <c r="F5">
        <v>19.100000000000001</v>
      </c>
      <c r="H5">
        <f>12*$H$1</f>
        <v>4.6153846153846159</v>
      </c>
      <c r="J5" s="84">
        <f>'[2]4X ypr dc'!AV100</f>
        <v>8651.0205993292238</v>
      </c>
      <c r="L5">
        <v>23936</v>
      </c>
      <c r="N5">
        <f>6.5*N1</f>
        <v>3.8235294117647061</v>
      </c>
      <c r="P5">
        <f>survey!G33</f>
        <v>93629.467649166952</v>
      </c>
      <c r="R5">
        <f>'[1]assessment biomass'!DF32</f>
        <v>1871.4839999999999</v>
      </c>
      <c r="V5">
        <v>52562</v>
      </c>
      <c r="Y5">
        <v>16554</v>
      </c>
      <c r="AA5">
        <v>198984</v>
      </c>
      <c r="AC5">
        <f>20*AC1</f>
        <v>11.764705882352942</v>
      </c>
      <c r="AE5">
        <f>'[1]assessment biomass'!ET32</f>
        <v>4941.2353800000001</v>
      </c>
      <c r="AG5">
        <f>'[1]assessment biomass'!CP32</f>
        <v>692.95299999999997</v>
      </c>
      <c r="AI5">
        <f>'[1]assessment biomass'!CX32</f>
        <v>942.28650399999992</v>
      </c>
      <c r="AK5">
        <f>'[1]assessment biomass'!DJ32</f>
        <v>803.28123699999992</v>
      </c>
      <c r="AM5">
        <f>'[1]assessment biomass'!ED32</f>
        <v>1319.7282710000002</v>
      </c>
      <c r="AO5">
        <f>'[1]assessment biomass'!EP32</f>
        <v>1260.0608999999999</v>
      </c>
      <c r="AQ5">
        <f>'[1]assessment biomass'!BJ32</f>
        <v>343.88878399999999</v>
      </c>
      <c r="AS5">
        <f>'[1]assessment biomass'!BR32</f>
        <v>589.65535699999998</v>
      </c>
      <c r="AU5">
        <f>'[1]assessment biomass'!DV32</f>
        <v>201.940719</v>
      </c>
      <c r="AW5">
        <f>'[1]assessment biomass'!CH32</f>
        <v>860.15381200000002</v>
      </c>
      <c r="AY5">
        <f>'[1]assessment biomass'!AD32</f>
        <v>1762.2543999999998</v>
      </c>
    </row>
    <row r="6" spans="1:52" x14ac:dyDescent="0.2">
      <c r="A6">
        <v>2001</v>
      </c>
      <c r="B6">
        <f>'[1]assessment biomass'!B33</f>
        <v>12980.1546</v>
      </c>
      <c r="D6">
        <f>'[1]assessment biomass'!AL33</f>
        <v>16973.478161986575</v>
      </c>
      <c r="F6">
        <v>13.8</v>
      </c>
      <c r="H6">
        <f>13*$H$1</f>
        <v>5</v>
      </c>
      <c r="J6" s="84">
        <f>'[2]4X ypr dc'!AV101</f>
        <v>24394.501834152834</v>
      </c>
      <c r="L6">
        <v>24827</v>
      </c>
      <c r="N6">
        <f>6*N1</f>
        <v>3.5294117647058822</v>
      </c>
      <c r="P6">
        <f>survey!G34</f>
        <v>93504.97694389867</v>
      </c>
      <c r="R6">
        <f>'[1]assessment biomass'!DF33</f>
        <v>1413.9939999999999</v>
      </c>
      <c r="V6">
        <v>61552</v>
      </c>
      <c r="Y6">
        <v>16249</v>
      </c>
      <c r="AA6">
        <v>331446</v>
      </c>
      <c r="AC6">
        <f>21*AC1</f>
        <v>12.352941176470589</v>
      </c>
      <c r="AE6">
        <f>'[1]assessment biomass'!ET33</f>
        <v>3877.8580499999998</v>
      </c>
      <c r="AG6">
        <f>'[1]assessment biomass'!CP33</f>
        <v>2463.163</v>
      </c>
      <c r="AI6">
        <f>'[1]assessment biomass'!CX33</f>
        <v>1970.6375600000001</v>
      </c>
      <c r="AK6">
        <f>'[1]assessment biomass'!DJ33</f>
        <v>1407.03007</v>
      </c>
      <c r="AM6">
        <f>'[1]assessment biomass'!ED33</f>
        <v>1019.6815230000001</v>
      </c>
      <c r="AO6">
        <f>'[1]assessment biomass'!EP33</f>
        <v>1323.98404</v>
      </c>
      <c r="AQ6">
        <f>'[1]assessment biomass'!BJ33</f>
        <v>263.84933100000001</v>
      </c>
      <c r="AS6">
        <f>'[1]assessment biomass'!BR33</f>
        <v>1123.70156</v>
      </c>
      <c r="AU6">
        <f>'[1]assessment biomass'!DV33</f>
        <v>1198.4458319999999</v>
      </c>
      <c r="AW6">
        <f>'[1]assessment biomass'!CH33</f>
        <v>547.78783399999998</v>
      </c>
      <c r="AY6">
        <f>'[1]assessment biomass'!AD33</f>
        <v>561.47459199999992</v>
      </c>
    </row>
    <row r="7" spans="1:52" x14ac:dyDescent="0.2">
      <c r="A7">
        <v>2002</v>
      </c>
      <c r="B7">
        <f>'[1]assessment biomass'!B34</f>
        <v>20913.435399999998</v>
      </c>
      <c r="D7">
        <f>'[1]assessment biomass'!AL34</f>
        <v>7011.7131918259302</v>
      </c>
      <c r="F7">
        <v>11.8</v>
      </c>
      <c r="H7">
        <f>13.5*$H$1</f>
        <v>5.1923076923076925</v>
      </c>
      <c r="J7" s="84">
        <f>'[2]4X ypr dc'!AV102</f>
        <v>10947.112562441338</v>
      </c>
      <c r="L7">
        <v>38139</v>
      </c>
      <c r="N7">
        <f>5.5*N1</f>
        <v>3.2352941176470589</v>
      </c>
      <c r="P7">
        <f>survey!G35</f>
        <v>97689.850046037085</v>
      </c>
      <c r="R7">
        <f>'[1]assessment biomass'!DF34</f>
        <v>1591.48</v>
      </c>
      <c r="V7">
        <v>64844</v>
      </c>
      <c r="Y7">
        <v>16103</v>
      </c>
      <c r="AA7">
        <v>346232</v>
      </c>
      <c r="AC7">
        <f>27*AC1</f>
        <v>15.882352941176471</v>
      </c>
      <c r="AE7">
        <f>'[1]assessment biomass'!ET34</f>
        <v>4712.2651299999998</v>
      </c>
      <c r="AG7">
        <f>'[1]assessment biomass'!CP34</f>
        <v>2868.3159999999998</v>
      </c>
      <c r="AI7">
        <f>'[1]assessment biomass'!CX34</f>
        <v>1134.2936100000002</v>
      </c>
      <c r="AK7">
        <f>'[1]assessment biomass'!DJ34</f>
        <v>1124.58852</v>
      </c>
      <c r="AM7">
        <f>'[1]assessment biomass'!ED34</f>
        <v>1160.486946</v>
      </c>
      <c r="AO7">
        <f>'[1]assessment biomass'!EP34</f>
        <v>1119.9099199999998</v>
      </c>
      <c r="AQ7">
        <f>'[1]assessment biomass'!BJ34</f>
        <v>204.02376800000002</v>
      </c>
      <c r="AS7">
        <f>'[1]assessment biomass'!BR34</f>
        <v>865.41328799999997</v>
      </c>
      <c r="AU7">
        <f>'[1]assessment biomass'!DV34</f>
        <v>663.42614390000006</v>
      </c>
      <c r="AW7">
        <f>'[1]assessment biomass'!CH34</f>
        <v>318.29411800000003</v>
      </c>
      <c r="AY7">
        <f>'[1]assessment biomass'!AD34</f>
        <v>690.85887500000001</v>
      </c>
    </row>
    <row r="8" spans="1:52" x14ac:dyDescent="0.2">
      <c r="A8">
        <v>2003</v>
      </c>
      <c r="B8">
        <f>'[1]assessment biomass'!B35</f>
        <v>12088.6211</v>
      </c>
      <c r="D8">
        <f>'[1]assessment biomass'!AL35</f>
        <v>21009.443293887351</v>
      </c>
      <c r="F8">
        <v>12.5</v>
      </c>
      <c r="H8">
        <f>13.5*$H$1</f>
        <v>5.1923076923076925</v>
      </c>
      <c r="J8" s="84">
        <f>'[2]4X ypr dc'!AV103</f>
        <v>5423.520010715014</v>
      </c>
      <c r="L8">
        <v>48858</v>
      </c>
      <c r="N8">
        <f>5*N1</f>
        <v>2.9411764705882355</v>
      </c>
      <c r="P8">
        <f>survey!G36</f>
        <v>85643.044483959558</v>
      </c>
      <c r="R8">
        <f>'[1]assessment biomass'!DF35</f>
        <v>988.28</v>
      </c>
      <c r="V8">
        <v>58376</v>
      </c>
      <c r="Y8">
        <v>16178</v>
      </c>
      <c r="AA8">
        <v>319924</v>
      </c>
      <c r="AC8">
        <f>40.5*AC1</f>
        <v>23.823529411764707</v>
      </c>
      <c r="AE8">
        <f>'[1]assessment biomass'!ET35</f>
        <v>4155.2060600000004</v>
      </c>
      <c r="AG8">
        <f>'[1]assessment biomass'!CP35</f>
        <v>1147.9960000000001</v>
      </c>
      <c r="AI8">
        <f>'[1]assessment biomass'!CX35</f>
        <v>1073.43382</v>
      </c>
      <c r="AK8">
        <f>'[1]assessment biomass'!DJ35</f>
        <v>669.72064999999998</v>
      </c>
      <c r="AM8">
        <f>'[1]assessment biomass'!ED35</f>
        <v>2079.4717969999997</v>
      </c>
      <c r="AO8">
        <f>'[1]assessment biomass'!EP35</f>
        <v>1168.45244</v>
      </c>
      <c r="AQ8">
        <f>'[1]assessment biomass'!BJ35</f>
        <v>188.34414900000002</v>
      </c>
      <c r="AS8">
        <f>'[1]assessment biomass'!BR35</f>
        <v>830.70141100000001</v>
      </c>
      <c r="AU8">
        <f>'[1]assessment biomass'!DV35</f>
        <v>462.08837499999998</v>
      </c>
      <c r="AW8">
        <f>'[1]assessment biomass'!CH35</f>
        <v>891.75687899999991</v>
      </c>
      <c r="AY8">
        <f>'[1]assessment biomass'!AD35</f>
        <v>1666.3028700000002</v>
      </c>
    </row>
    <row r="9" spans="1:52" x14ac:dyDescent="0.2">
      <c r="A9">
        <v>2004</v>
      </c>
      <c r="B9">
        <f>'[1]assessment biomass'!B36</f>
        <v>8395.7515899999999</v>
      </c>
      <c r="D9">
        <f>'[1]assessment biomass'!AL36</f>
        <v>23861.814875196669</v>
      </c>
      <c r="F9">
        <v>15.1</v>
      </c>
      <c r="H9">
        <f>13*$H$1</f>
        <v>5</v>
      </c>
      <c r="J9" s="84">
        <f>'[2]4X ypr dc'!AV104</f>
        <v>2635.5627425760999</v>
      </c>
      <c r="L9">
        <v>48358</v>
      </c>
      <c r="M9">
        <f t="shared" ref="M9:M12" si="0">L9/$L$3</f>
        <v>0.92996153846153851</v>
      </c>
      <c r="N9">
        <f>5*N1</f>
        <v>2.9411764705882355</v>
      </c>
      <c r="P9">
        <f>survey!G37</f>
        <v>91487.641570668085</v>
      </c>
      <c r="R9">
        <f>'[1]assessment biomass'!DF36</f>
        <v>855.51599999999996</v>
      </c>
      <c r="V9">
        <v>53625</v>
      </c>
      <c r="Y9">
        <v>16797</v>
      </c>
      <c r="AA9">
        <v>276163</v>
      </c>
      <c r="AB9">
        <f t="shared" ref="AB9:AB12" si="1">AA9/$AA$3</f>
        <v>0.62761322755050331</v>
      </c>
      <c r="AC9" s="61">
        <f>28.5*AC1</f>
        <v>16.764705882352942</v>
      </c>
      <c r="AE9">
        <f>'[1]assessment biomass'!ET36</f>
        <v>5333.9989500000001</v>
      </c>
      <c r="AG9">
        <f>'[1]assessment biomass'!CP36</f>
        <v>748.50400000000002</v>
      </c>
      <c r="AI9">
        <f>'[1]assessment biomass'!CX36</f>
        <v>730.95158100000003</v>
      </c>
      <c r="AK9">
        <f>'[1]assessment biomass'!DJ36</f>
        <v>873.22341200000005</v>
      </c>
      <c r="AM9">
        <f>'[1]assessment biomass'!ED36</f>
        <v>497.67008399999997</v>
      </c>
      <c r="AO9">
        <f>'[1]assessment biomass'!EP36</f>
        <v>1269.75125</v>
      </c>
      <c r="AQ9">
        <f>'[1]assessment biomass'!BJ36</f>
        <v>272.49613400000004</v>
      </c>
      <c r="AS9">
        <f>'[1]assessment biomass'!BR36</f>
        <v>1010.25486</v>
      </c>
      <c r="AU9">
        <f>'[1]assessment biomass'!DV36</f>
        <v>705.43221261000008</v>
      </c>
      <c r="AW9">
        <f>'[1]assessment biomass'!CH36</f>
        <v>978.66114300000004</v>
      </c>
      <c r="AY9">
        <f>'[1]assessment biomass'!AD36</f>
        <v>1186.28133</v>
      </c>
    </row>
    <row r="10" spans="1:52" x14ac:dyDescent="0.2">
      <c r="A10">
        <v>2005</v>
      </c>
      <c r="B10">
        <f>'[1]assessment biomass'!B37</f>
        <v>9741.839539999999</v>
      </c>
      <c r="D10">
        <f>'[1]assessment biomass'!AL37</f>
        <v>17333.78550020378</v>
      </c>
      <c r="F10">
        <v>11.4</v>
      </c>
      <c r="H10">
        <f>13*$H$1</f>
        <v>5</v>
      </c>
      <c r="I10">
        <f t="shared" ref="I10:I13" si="2">H10*1000/$H$3</f>
        <v>1.0204081632653061</v>
      </c>
      <c r="J10" s="84">
        <f>'[2]4X ypr dc'!AV105</f>
        <v>15687.655165889946</v>
      </c>
      <c r="L10">
        <v>43339</v>
      </c>
      <c r="M10">
        <f t="shared" si="0"/>
        <v>0.83344230769230765</v>
      </c>
      <c r="N10">
        <f>5*N1</f>
        <v>2.9411764705882355</v>
      </c>
      <c r="O10">
        <f t="shared" ref="O10:O13" si="3">N10*1000/$N$3</f>
        <v>0.10524875543346701</v>
      </c>
      <c r="P10">
        <f>survey!G38</f>
        <v>86601.539203720837</v>
      </c>
      <c r="Q10">
        <f t="shared" ref="Q10:Q13" si="4">P10/$P$3</f>
        <v>0.29576637136488793</v>
      </c>
      <c r="R10">
        <f>'[1]assessment biomass'!DF37</f>
        <v>1273.1880000000001</v>
      </c>
      <c r="V10">
        <v>47719</v>
      </c>
      <c r="W10">
        <f t="shared" ref="W10:W13" si="5">V10/$V$3</f>
        <v>0.29957686705840991</v>
      </c>
      <c r="Y10">
        <v>17324</v>
      </c>
      <c r="AA10">
        <v>230708</v>
      </c>
      <c r="AB10">
        <f t="shared" si="1"/>
        <v>0.52431133968606047</v>
      </c>
      <c r="AC10">
        <f>23*AC1</f>
        <v>13.529411764705882</v>
      </c>
      <c r="AE10">
        <f>'[1]assessment biomass'!ET37</f>
        <v>4270.7833200000005</v>
      </c>
      <c r="AG10">
        <f>'[1]assessment biomass'!CP37</f>
        <v>1748.9580000000001</v>
      </c>
      <c r="AI10">
        <f>'[1]assessment biomass'!CX37</f>
        <v>751.62697800000001</v>
      </c>
      <c r="AK10">
        <f>'[1]assessment biomass'!DJ37</f>
        <v>707.53560748700011</v>
      </c>
      <c r="AM10">
        <f>'[1]assessment biomass'!ED37</f>
        <v>1631.7938409999999</v>
      </c>
      <c r="AO10">
        <f>'[1]assessment biomass'!EP37</f>
        <v>13369.1013</v>
      </c>
      <c r="AQ10">
        <f>'[1]assessment biomass'!BJ37</f>
        <v>387.25953900000002</v>
      </c>
      <c r="AS10">
        <f>'[1]assessment biomass'!BR37</f>
        <v>1325.9017900000001</v>
      </c>
      <c r="AU10">
        <f>'[1]assessment biomass'!DV37</f>
        <v>915.67752000000007</v>
      </c>
      <c r="AW10">
        <f>'[1]assessment biomass'!CH37</f>
        <v>856.76603799999998</v>
      </c>
      <c r="AY10">
        <f>'[1]assessment biomass'!AD37</f>
        <v>458.38901799999996</v>
      </c>
    </row>
    <row r="11" spans="1:52" x14ac:dyDescent="0.2">
      <c r="A11">
        <v>2006</v>
      </c>
      <c r="B11">
        <f>'[1]assessment biomass'!B38</f>
        <v>5968.8460400000004</v>
      </c>
      <c r="D11">
        <f>'[1]assessment biomass'!AL38</f>
        <v>138404.18924246953</v>
      </c>
      <c r="F11">
        <v>7.3</v>
      </c>
      <c r="H11">
        <f>14*$H$1</f>
        <v>5.384615384615385</v>
      </c>
      <c r="I11">
        <f t="shared" si="2"/>
        <v>1.098901098901099</v>
      </c>
      <c r="J11" s="84">
        <f>'[2]4X ypr dc'!AV106</f>
        <v>4241.0696957273904</v>
      </c>
      <c r="L11">
        <v>37367</v>
      </c>
      <c r="M11">
        <f t="shared" si="0"/>
        <v>0.71859615384615383</v>
      </c>
      <c r="N11">
        <f>5*N1</f>
        <v>2.9411764705882355</v>
      </c>
      <c r="O11">
        <f t="shared" si="3"/>
        <v>0.10524875543346701</v>
      </c>
      <c r="P11">
        <f>survey!G39</f>
        <v>77747.570374799747</v>
      </c>
      <c r="Q11">
        <f t="shared" si="4"/>
        <v>0.26552780682220017</v>
      </c>
      <c r="R11">
        <f>'[1]assessment biomass'!DF38</f>
        <v>551.63699999999994</v>
      </c>
      <c r="V11">
        <v>106180</v>
      </c>
      <c r="W11">
        <f t="shared" si="5"/>
        <v>0.66659133142484051</v>
      </c>
      <c r="X11">
        <v>0.97299999999999998</v>
      </c>
      <c r="Y11">
        <v>18047</v>
      </c>
      <c r="AA11">
        <v>196923</v>
      </c>
      <c r="AB11">
        <f t="shared" si="1"/>
        <v>0.44753091329731992</v>
      </c>
      <c r="AC11">
        <f>20*AC1</f>
        <v>11.764705882352942</v>
      </c>
      <c r="AD11">
        <f t="shared" ref="AD11:AD14" si="6">AC11*1000/$AC$3</f>
        <v>1.61580907599958</v>
      </c>
      <c r="AE11">
        <f>'[1]assessment biomass'!ET38</f>
        <v>3843.5250299999998</v>
      </c>
      <c r="AG11">
        <f>'[1]assessment biomass'!CP38</f>
        <v>928.48500000000001</v>
      </c>
      <c r="AI11">
        <f>'[1]assessment biomass'!CX38</f>
        <v>539.18221400000004</v>
      </c>
      <c r="AK11">
        <f>'[1]assessment biomass'!DJ38</f>
        <v>889.00295499999993</v>
      </c>
      <c r="AM11">
        <f>'[1]assessment biomass'!ED38</f>
        <v>855.74682700000005</v>
      </c>
      <c r="AO11">
        <f>'[1]assessment biomass'!EP38</f>
        <v>1919.5527500000001</v>
      </c>
      <c r="AQ11">
        <f>'[1]assessment biomass'!BJ38</f>
        <v>822.68141600000001</v>
      </c>
      <c r="AS11">
        <f>'[1]assessment biomass'!BR38</f>
        <v>991.41326800000002</v>
      </c>
      <c r="AU11">
        <f>'[1]assessment biomass'!DV38</f>
        <v>474.08104800000001</v>
      </c>
      <c r="AW11">
        <f>'[1]assessment biomass'!CH38</f>
        <v>887.35841500000004</v>
      </c>
      <c r="AY11">
        <f>'[1]assessment biomass'!AD38</f>
        <v>524.51181200000008</v>
      </c>
    </row>
    <row r="12" spans="1:52" x14ac:dyDescent="0.2">
      <c r="A12">
        <v>2007</v>
      </c>
      <c r="B12">
        <f>'[1]assessment biomass'!B39</f>
        <v>7002.9095700000007</v>
      </c>
      <c r="D12">
        <f>'[1]assessment biomass'!AL39</f>
        <v>27333.73879391377</v>
      </c>
      <c r="F12">
        <v>18.399999999999999</v>
      </c>
      <c r="G12">
        <f t="shared" ref="G12:G15" si="7">F12/$F$3</f>
        <v>0.55338345864661653</v>
      </c>
      <c r="H12">
        <f>16*$H$1</f>
        <v>6.1538461538461542</v>
      </c>
      <c r="I12">
        <f t="shared" si="2"/>
        <v>1.2558869701726845</v>
      </c>
      <c r="J12" s="84">
        <f>'[2]4X ypr dc'!AV107</f>
        <v>4642.1173343385508</v>
      </c>
      <c r="L12">
        <v>47811</v>
      </c>
      <c r="M12">
        <f t="shared" si="0"/>
        <v>0.91944230769230773</v>
      </c>
      <c r="N12">
        <f>5.5*N1</f>
        <v>3.2352941176470589</v>
      </c>
      <c r="O12">
        <f t="shared" si="3"/>
        <v>0.1157736309768137</v>
      </c>
      <c r="P12">
        <f>survey!G40</f>
        <v>66324.013444534401</v>
      </c>
      <c r="Q12">
        <f t="shared" si="4"/>
        <v>0.2265134427310867</v>
      </c>
      <c r="R12">
        <f>'[1]assessment biomass'!DF39</f>
        <v>1442.297</v>
      </c>
      <c r="V12">
        <v>141351</v>
      </c>
      <c r="W12">
        <f t="shared" si="5"/>
        <v>0.88739264728039779</v>
      </c>
      <c r="X12">
        <v>0.98</v>
      </c>
      <c r="Y12">
        <v>20301</v>
      </c>
      <c r="AA12">
        <v>150226</v>
      </c>
      <c r="AB12">
        <f t="shared" si="1"/>
        <v>0.34140643287479461</v>
      </c>
      <c r="AC12">
        <f>21*AC1</f>
        <v>12.352941176470589</v>
      </c>
      <c r="AD12">
        <f t="shared" si="6"/>
        <v>1.6965995297995591</v>
      </c>
      <c r="AE12">
        <f>'[1]assessment biomass'!ET39</f>
        <v>4200.1066900000005</v>
      </c>
      <c r="AG12">
        <f>'[1]assessment biomass'!CP39</f>
        <v>1204.5519999999999</v>
      </c>
      <c r="AI12">
        <f>'[1]assessment biomass'!CX39</f>
        <v>1573.92058</v>
      </c>
      <c r="AK12">
        <f>'[1]assessment biomass'!DJ39</f>
        <v>299.790978784</v>
      </c>
      <c r="AM12">
        <f>'[1]assessment biomass'!ED39</f>
        <v>839.43881499999998</v>
      </c>
      <c r="AO12">
        <f>'[1]assessment biomass'!EP39</f>
        <v>2849.63274</v>
      </c>
      <c r="AQ12">
        <f>'[1]assessment biomass'!BJ39</f>
        <v>230.88145900000001</v>
      </c>
      <c r="AS12">
        <f>'[1]assessment biomass'!BR39</f>
        <v>1470.3039099999999</v>
      </c>
      <c r="AU12">
        <f>'[1]assessment biomass'!DV39</f>
        <v>3527.1752060000003</v>
      </c>
      <c r="AW12">
        <f>'[1]assessment biomass'!CH39</f>
        <v>332.50374599999998</v>
      </c>
      <c r="AY12">
        <f>'[1]assessment biomass'!AD39</f>
        <v>965.03493600000002</v>
      </c>
    </row>
    <row r="13" spans="1:52" x14ac:dyDescent="0.2">
      <c r="A13">
        <v>2008</v>
      </c>
      <c r="B13">
        <f>'[1]assessment biomass'!B40</f>
        <v>3277.6390899999997</v>
      </c>
      <c r="D13">
        <f>'[1]assessment biomass'!AL40</f>
        <v>46251.551491250699</v>
      </c>
      <c r="F13">
        <v>17.8</v>
      </c>
      <c r="G13">
        <f t="shared" si="7"/>
        <v>0.53533834586466167</v>
      </c>
      <c r="H13">
        <f>17*$H$1</f>
        <v>6.5384615384615392</v>
      </c>
      <c r="I13">
        <f t="shared" si="2"/>
        <v>1.3343799058084773</v>
      </c>
      <c r="J13" s="84">
        <f>'[2]4X ypr dc'!AV108</f>
        <v>15196.364856348724</v>
      </c>
      <c r="L13">
        <v>43996</v>
      </c>
      <c r="M13">
        <f>L13/$L$3</f>
        <v>0.84607692307692306</v>
      </c>
      <c r="N13">
        <f>6*N1</f>
        <v>3.5294117647058822</v>
      </c>
      <c r="O13">
        <f t="shared" si="3"/>
        <v>0.12629850652016039</v>
      </c>
      <c r="P13">
        <f>survey!G41</f>
        <v>60122.002113949413</v>
      </c>
      <c r="Q13">
        <f t="shared" si="4"/>
        <v>0.20533199026179585</v>
      </c>
      <c r="R13">
        <f>'[1]assessment biomass'!DF40</f>
        <v>1580.4870000000001</v>
      </c>
      <c r="V13">
        <v>194616</v>
      </c>
      <c r="W13">
        <f t="shared" si="5"/>
        <v>1.2217869519361158</v>
      </c>
      <c r="X13">
        <v>1.026</v>
      </c>
      <c r="Y13">
        <v>21323</v>
      </c>
      <c r="AA13">
        <v>103504</v>
      </c>
      <c r="AB13">
        <f>AA13/$AA$3</f>
        <v>0.23522513698209857</v>
      </c>
      <c r="AC13">
        <f>12*AC1</f>
        <v>7.0588235294117645</v>
      </c>
      <c r="AD13">
        <f t="shared" si="6"/>
        <v>0.96948544559974792</v>
      </c>
      <c r="AE13">
        <f>'[1]assessment biomass'!ET40</f>
        <v>5620.0819099999999</v>
      </c>
      <c r="AG13">
        <f>'[1]assessment biomass'!CP40</f>
        <v>735.673</v>
      </c>
      <c r="AI13">
        <f>'[1]assessment biomass'!CX40</f>
        <v>399.59427600000004</v>
      </c>
      <c r="AK13">
        <f>'[1]assessment biomass'!DJ40</f>
        <v>176.29763260000001</v>
      </c>
      <c r="AM13">
        <f>'[1]assessment biomass'!ED40</f>
        <v>963.764184</v>
      </c>
      <c r="AO13">
        <f>'[1]assessment biomass'!EP40</f>
        <v>1394.9073100000001</v>
      </c>
      <c r="AQ13">
        <f>'[1]assessment biomass'!BJ40</f>
        <v>155.44807699999998</v>
      </c>
      <c r="AS13">
        <f>'[1]assessment biomass'!BR40</f>
        <v>1108.6025300000001</v>
      </c>
      <c r="AU13">
        <f>'[1]assessment biomass'!DV40</f>
        <v>692.86262099999999</v>
      </c>
      <c r="AW13">
        <f>'[1]assessment biomass'!CH40</f>
        <v>713.00205700000004</v>
      </c>
      <c r="AY13">
        <f>'[1]assessment biomass'!AD40</f>
        <v>1092.5772899999999</v>
      </c>
    </row>
    <row r="14" spans="1:52" x14ac:dyDescent="0.2">
      <c r="A14">
        <v>2009</v>
      </c>
      <c r="B14">
        <f>'[1]assessment biomass'!B41</f>
        <v>14972.0224</v>
      </c>
      <c r="D14">
        <f>'[1]assessment biomass'!AL41</f>
        <v>53804.846488572119</v>
      </c>
      <c r="F14">
        <v>13.9</v>
      </c>
      <c r="G14">
        <f t="shared" si="7"/>
        <v>0.41804511278195489</v>
      </c>
      <c r="H14">
        <f>19*$H$1</f>
        <v>7.3076923076923084</v>
      </c>
      <c r="I14">
        <f>H14*1000/$H$3</f>
        <v>1.491365777080063</v>
      </c>
      <c r="J14" s="84">
        <f>'[2]4X ypr dc'!AV109</f>
        <v>17737.333597400673</v>
      </c>
      <c r="N14">
        <f>6*N1</f>
        <v>3.5294117647058822</v>
      </c>
      <c r="O14">
        <f>N14*1000/$N$3</f>
        <v>0.12629850652016039</v>
      </c>
      <c r="P14">
        <f>survey!G42</f>
        <v>63471.841390371606</v>
      </c>
      <c r="Q14">
        <f>P14/$P$3</f>
        <v>0.21677254682179295</v>
      </c>
      <c r="R14">
        <f>'[1]assessment biomass'!DF41</f>
        <v>1167.568</v>
      </c>
      <c r="V14">
        <v>163256</v>
      </c>
      <c r="W14">
        <f>V14/$V$3</f>
        <v>1.0249108532971725</v>
      </c>
      <c r="X14">
        <v>1.077</v>
      </c>
      <c r="Y14">
        <v>21706</v>
      </c>
      <c r="Z14">
        <f t="shared" ref="Z14:Z17" si="8">Y14/$Y$3</f>
        <v>1.6411613488583094</v>
      </c>
      <c r="AC14">
        <f>11*AC1</f>
        <v>6.4705882352941178</v>
      </c>
      <c r="AD14">
        <f t="shared" si="6"/>
        <v>0.88869499179976896</v>
      </c>
      <c r="AE14">
        <f>'[1]assessment biomass'!ET41</f>
        <v>7165.98722</v>
      </c>
      <c r="AG14">
        <f>'[1]assessment biomass'!CP41</f>
        <v>2032.22</v>
      </c>
      <c r="AI14">
        <f>'[1]assessment biomass'!CX41</f>
        <v>720.59561199999996</v>
      </c>
      <c r="AK14">
        <f>'[1]assessment biomass'!DJ41</f>
        <v>250.730108</v>
      </c>
      <c r="AM14">
        <f>'[1]assessment biomass'!ED41</f>
        <v>753.72046599999999</v>
      </c>
      <c r="AO14">
        <f>'[1]assessment biomass'!EP41</f>
        <v>1558.7679499999999</v>
      </c>
      <c r="AQ14">
        <f>'[1]assessment biomass'!BJ41</f>
        <v>674.93229500000007</v>
      </c>
      <c r="AS14">
        <f>'[1]assessment biomass'!BR41</f>
        <v>302.26983899999999</v>
      </c>
      <c r="AU14">
        <f>'[1]assessment biomass'!DV41</f>
        <v>1960.274596</v>
      </c>
      <c r="AW14">
        <f>'[1]assessment biomass'!CH41</f>
        <v>911.74497299999996</v>
      </c>
      <c r="AY14">
        <f>'[1]assessment biomass'!AD41</f>
        <v>963.96305400000006</v>
      </c>
    </row>
    <row r="15" spans="1:52" x14ac:dyDescent="0.2">
      <c r="A15">
        <v>2010</v>
      </c>
      <c r="B15">
        <f>'[1]assessment biomass'!B42</f>
        <v>3037.9430400000001</v>
      </c>
      <c r="C15">
        <f>B15/$B$3</f>
        <v>0.13798432386382392</v>
      </c>
      <c r="D15">
        <f>'[1]assessment biomass'!AL42</f>
        <v>6160.7596947409802</v>
      </c>
      <c r="E15">
        <f t="shared" ref="E15:E18" si="9">D15/$D$3</f>
        <v>0.15796819730105077</v>
      </c>
      <c r="F15">
        <v>19</v>
      </c>
      <c r="G15">
        <f t="shared" si="7"/>
        <v>0.5714285714285714</v>
      </c>
      <c r="J15" s="84">
        <f>'[2]4X ypr dc'!AV110</f>
        <v>12756.602875455519</v>
      </c>
      <c r="K15">
        <f t="shared" ref="K15:K18" si="10">J15/$J$3</f>
        <v>0.74308865121777357</v>
      </c>
      <c r="R15">
        <f>'[1]assessment biomass'!DF42</f>
        <v>1019.525</v>
      </c>
      <c r="S15">
        <f t="shared" ref="S15:S18" si="11">R15/$R$3</f>
        <v>0.42226603412615754</v>
      </c>
      <c r="X15">
        <v>1.1040000000000001</v>
      </c>
      <c r="Y15">
        <v>22700</v>
      </c>
      <c r="Z15">
        <f t="shared" si="8"/>
        <v>1.7163163465900499</v>
      </c>
      <c r="AC15">
        <f>18*AC1</f>
        <v>10.588235294117647</v>
      </c>
      <c r="AD15">
        <f>AC15*1000/$AC$3</f>
        <v>1.4542281683996219</v>
      </c>
      <c r="AE15">
        <f>'[1]assessment biomass'!ET42</f>
        <v>12984.3979</v>
      </c>
      <c r="AF15">
        <f t="shared" ref="AF15:AF18" si="12">AE15/$AE$3</f>
        <v>3.6507252188018722</v>
      </c>
      <c r="AG15">
        <f>'[1]assessment biomass'!CP42</f>
        <v>2325.105</v>
      </c>
      <c r="AH15">
        <f t="shared" ref="AH15:AH18" si="13">AG15/$AG$3</f>
        <v>1.2941703340411022</v>
      </c>
      <c r="AI15">
        <f>'[1]assessment biomass'!CX42</f>
        <v>355.14423999999997</v>
      </c>
      <c r="AJ15">
        <f t="shared" ref="AJ15:AJ18" si="14">AI15/$AI$3</f>
        <v>0.54582608462531401</v>
      </c>
      <c r="AK15">
        <f>'[1]assessment biomass'!DJ42</f>
        <v>347.71208000000001</v>
      </c>
      <c r="AL15">
        <f t="shared" ref="AL15:AL18" si="15">AK15/$AK$3</f>
        <v>0.1723994726548084</v>
      </c>
      <c r="AM15">
        <f>'[1]assessment biomass'!ED42</f>
        <v>235.49529899999999</v>
      </c>
      <c r="AN15">
        <f t="shared" ref="AN15:AN18" si="16">AM15/$AM$3</f>
        <v>0.10796017804945091</v>
      </c>
      <c r="AO15">
        <f>'[1]assessment biomass'!EP42</f>
        <v>3846.8833</v>
      </c>
      <c r="AP15">
        <f t="shared" ref="AP15:AP18" si="17">AO15/$AO$3</f>
        <v>1.3749312835746479</v>
      </c>
      <c r="AQ15">
        <f>'[1]assessment biomass'!BJ42</f>
        <v>592.82444499999997</v>
      </c>
      <c r="AR15">
        <f t="shared" ref="AR15" si="18">AQ15/AQ$3</f>
        <v>0.71048474875599932</v>
      </c>
      <c r="AS15">
        <f>'[1]assessment biomass'!BR42</f>
        <v>243.978994</v>
      </c>
      <c r="AT15">
        <f t="shared" ref="AT15" si="19">AS15/AS$3</f>
        <v>3.0742752057541296E-2</v>
      </c>
      <c r="AU15">
        <f>'[1]assessment biomass'!DV42</f>
        <v>2500.264365</v>
      </c>
      <c r="AV15">
        <f t="shared" ref="AV15" si="20">AU15/AU$3</f>
        <v>1.4177148675500186</v>
      </c>
      <c r="AW15">
        <f>'[1]assessment biomass'!CH42</f>
        <v>1272.9316200000001</v>
      </c>
      <c r="AX15">
        <f t="shared" ref="AX15:AZ18" si="21">AW15/AW$3</f>
        <v>1.1259448610042595</v>
      </c>
      <c r="AY15">
        <f>'[1]assessment biomass'!AD42</f>
        <v>963.78139899999996</v>
      </c>
      <c r="AZ15">
        <f t="shared" si="21"/>
        <v>1.0663448986098365</v>
      </c>
    </row>
    <row r="16" spans="1:52" x14ac:dyDescent="0.2">
      <c r="A16">
        <v>2011</v>
      </c>
      <c r="B16">
        <f>'[1]assessment biomass'!B43</f>
        <v>3774.9582400000004</v>
      </c>
      <c r="C16">
        <f>B16/$B$3</f>
        <v>0.1714597849604747</v>
      </c>
      <c r="D16">
        <f>'[1]assessment biomass'!AL43</f>
        <v>8355.3989419868431</v>
      </c>
      <c r="E16">
        <f t="shared" si="9"/>
        <v>0.21424099851248316</v>
      </c>
      <c r="F16">
        <v>22.8</v>
      </c>
      <c r="G16">
        <f>F16/$F$3</f>
        <v>0.68571428571428572</v>
      </c>
      <c r="J16" s="84">
        <f>'[2]4X ypr dc'!AV111</f>
        <v>8655.4598480431268</v>
      </c>
      <c r="K16">
        <f t="shared" si="10"/>
        <v>0.50419175441504782</v>
      </c>
      <c r="R16">
        <f>'[1]assessment biomass'!DF43</f>
        <v>857.51099999999997</v>
      </c>
      <c r="S16">
        <f t="shared" si="11"/>
        <v>0.35516320756190922</v>
      </c>
      <c r="X16">
        <v>1.1359999999999999</v>
      </c>
      <c r="Y16">
        <v>26607</v>
      </c>
      <c r="Z16">
        <f t="shared" si="8"/>
        <v>2.0117193406925753</v>
      </c>
      <c r="AE16">
        <f>'[1]assessment biomass'!ET43</f>
        <v>3589.4854399999999</v>
      </c>
      <c r="AF16">
        <f t="shared" si="12"/>
        <v>1.0092285463872093</v>
      </c>
      <c r="AG16">
        <f>'[1]assessment biomass'!CP43</f>
        <v>488.08</v>
      </c>
      <c r="AH16">
        <f t="shared" si="13"/>
        <v>0.2716688737234581</v>
      </c>
      <c r="AI16">
        <f>'[1]assessment biomass'!CX43</f>
        <v>725.03083499999991</v>
      </c>
      <c r="AJ16">
        <f t="shared" si="14"/>
        <v>1.1143098981435602</v>
      </c>
      <c r="AK16">
        <f>'[1]assessment biomass'!DJ43</f>
        <v>638.26085881100005</v>
      </c>
      <c r="AL16">
        <f t="shared" si="15"/>
        <v>0.31645675202087176</v>
      </c>
      <c r="AM16">
        <f>'[1]assessment biomass'!ED43</f>
        <v>731.84684300000015</v>
      </c>
      <c r="AN16">
        <f t="shared" si="16"/>
        <v>0.33550697534394758</v>
      </c>
      <c r="AO16">
        <f>'[1]assessment biomass'!EP43</f>
        <v>1300.1576</v>
      </c>
      <c r="AP16">
        <f t="shared" si="17"/>
        <v>0.46469497991200664</v>
      </c>
      <c r="AQ16">
        <f>'[1]assessment biomass'!BJ43</f>
        <v>343.93326299999995</v>
      </c>
      <c r="AR16">
        <f t="shared" ref="AR16" si="22">AQ16/AQ$3</f>
        <v>0.41219511106932516</v>
      </c>
      <c r="AS16">
        <f>'[1]assessment biomass'!BR43</f>
        <v>231.57055400000002</v>
      </c>
      <c r="AT16">
        <f t="shared" ref="AT16" si="23">AS16/AS$3</f>
        <v>2.9179217475785963E-2</v>
      </c>
      <c r="AU16">
        <f>'[1]assessment biomass'!DV43</f>
        <v>366.76541840000004</v>
      </c>
      <c r="AV16">
        <f t="shared" ref="AV16" si="24">AU16/AU$3</f>
        <v>0.20796552310534699</v>
      </c>
      <c r="AW16">
        <f>'[1]assessment biomass'!CH43</f>
        <v>729.39953700000001</v>
      </c>
      <c r="AX16">
        <f t="shared" si="21"/>
        <v>0.64517500186226517</v>
      </c>
      <c r="AY16">
        <f>'[1]assessment biomass'!AD43</f>
        <v>854.87023799999997</v>
      </c>
      <c r="AZ16">
        <f t="shared" si="21"/>
        <v>0.94584365107120805</v>
      </c>
    </row>
    <row r="17" spans="1:52" x14ac:dyDescent="0.2">
      <c r="A17">
        <v>2012</v>
      </c>
      <c r="B17">
        <f>'[1]assessment biomass'!B44</f>
        <v>3267.5290800000002</v>
      </c>
      <c r="C17">
        <f>B17/$B$3</f>
        <v>0.14841219366943187</v>
      </c>
      <c r="D17">
        <f>'[1]assessment biomass'!AL44</f>
        <v>6039.5113658405899</v>
      </c>
      <c r="E17">
        <f t="shared" si="9"/>
        <v>0.15485926579078435</v>
      </c>
      <c r="J17" s="84">
        <f>'[2]4X ypr dc'!AV112</f>
        <v>7355.3754917728384</v>
      </c>
      <c r="K17">
        <f t="shared" si="10"/>
        <v>0.42846015563423068</v>
      </c>
      <c r="R17">
        <f>'[1]assessment biomass'!DF44</f>
        <v>767.16800000000001</v>
      </c>
      <c r="S17">
        <f t="shared" si="11"/>
        <v>0.31774501740368905</v>
      </c>
      <c r="Y17">
        <v>28318</v>
      </c>
      <c r="Z17">
        <f t="shared" si="8"/>
        <v>2.14108574020868</v>
      </c>
      <c r="AE17">
        <f>'[1]assessment biomass'!ET44</f>
        <v>6295.1835999999994</v>
      </c>
      <c r="AF17">
        <f t="shared" si="12"/>
        <v>1.7699692894891919</v>
      </c>
      <c r="AG17">
        <f>'[1]assessment biomass'!CP44</f>
        <v>730.8</v>
      </c>
      <c r="AH17">
        <f t="shared" si="13"/>
        <v>0.40676858899586787</v>
      </c>
      <c r="AI17">
        <f>'[1]assessment biomass'!CX44</f>
        <v>331.64921299999997</v>
      </c>
      <c r="AJ17">
        <f t="shared" si="14"/>
        <v>0.50971625331965631</v>
      </c>
      <c r="AK17">
        <f>'[1]assessment biomass'!DJ44</f>
        <v>308.77300000000002</v>
      </c>
      <c r="AL17">
        <f t="shared" si="15"/>
        <v>0.15309304862242104</v>
      </c>
      <c r="AM17">
        <f>'[1]assessment biomass'!ED44</f>
        <v>485.63</v>
      </c>
      <c r="AN17">
        <f t="shared" si="16"/>
        <v>0.22263162572155992</v>
      </c>
      <c r="AO17">
        <f>'[1]assessment biomass'!EP44</f>
        <v>1043.60517</v>
      </c>
      <c r="AP17">
        <f t="shared" si="17"/>
        <v>0.37299946061094152</v>
      </c>
      <c r="AQ17">
        <f>'[1]assessment biomass'!BJ44</f>
        <v>106.418842</v>
      </c>
      <c r="AR17">
        <f t="shared" ref="AR17" si="25">AQ17/AQ$3</f>
        <v>0.12754022689006084</v>
      </c>
      <c r="AS17">
        <f>'[1]assessment biomass'!BR44</f>
        <v>165.77712500000001</v>
      </c>
      <c r="AT17">
        <f t="shared" ref="AT17" si="26">AS17/AS$3</f>
        <v>2.0888868205953138E-2</v>
      </c>
      <c r="AU17">
        <f>'[1]assessment biomass'!DV44</f>
        <v>1235.3040000000001</v>
      </c>
      <c r="AV17">
        <f t="shared" ref="AV17" si="27">AU17/AU$3</f>
        <v>0.70044946896805782</v>
      </c>
      <c r="AW17">
        <f>'[1]assessment biomass'!CH44</f>
        <v>1784.03126</v>
      </c>
      <c r="AX17">
        <f t="shared" si="21"/>
        <v>1.5780272856038833</v>
      </c>
      <c r="AY17">
        <f>'[1]assessment biomass'!AD44</f>
        <v>1271.6086299999999</v>
      </c>
      <c r="AZ17">
        <f t="shared" si="21"/>
        <v>1.4069304274140104</v>
      </c>
    </row>
    <row r="18" spans="1:52" x14ac:dyDescent="0.2">
      <c r="A18">
        <v>2013</v>
      </c>
      <c r="B18">
        <f>'[1]assessment biomass'!B45</f>
        <v>2057.7750973476082</v>
      </c>
      <c r="C18">
        <f>B18/$B$3</f>
        <v>9.3464789080220587E-2</v>
      </c>
      <c r="D18">
        <f>'[1]assessment biomass'!AL45</f>
        <v>26822.9352477629</v>
      </c>
      <c r="E18">
        <f t="shared" si="9"/>
        <v>0.687767570455459</v>
      </c>
      <c r="J18" s="84">
        <f>'[2]4X ypr dc'!AV113</f>
        <v>5839.7089073831057</v>
      </c>
      <c r="K18">
        <f t="shared" si="10"/>
        <v>0.34017061265119741</v>
      </c>
      <c r="R18">
        <f>'[1]assessment biomass'!DF45</f>
        <v>311.75032385319605</v>
      </c>
      <c r="S18">
        <f t="shared" si="11"/>
        <v>0.12912049522182817</v>
      </c>
      <c r="Y18">
        <v>27966</v>
      </c>
      <c r="Z18">
        <f>Y18/$Y$3</f>
        <v>2.1144714955390898</v>
      </c>
      <c r="AE18">
        <f>'[1]assessment biomass'!ET45</f>
        <v>6447.8057161030392</v>
      </c>
      <c r="AF18">
        <f t="shared" si="12"/>
        <v>1.8128808986754965</v>
      </c>
      <c r="AG18">
        <f>'[1]assessment biomass'!CP45</f>
        <v>869.40865038791969</v>
      </c>
      <c r="AH18">
        <f t="shared" si="13"/>
        <v>0.48391917074315255</v>
      </c>
      <c r="AI18">
        <f>'[1]assessment biomass'!CX45</f>
        <v>101.7415140570187</v>
      </c>
      <c r="AJ18">
        <f t="shared" si="14"/>
        <v>0.15636793732482857</v>
      </c>
      <c r="AK18">
        <f>'[1]assessment biomass'!DJ45</f>
        <v>9.6351835473498415</v>
      </c>
      <c r="AL18">
        <f t="shared" si="15"/>
        <v>4.7772299498349286E-3</v>
      </c>
      <c r="AM18">
        <f>'[1]assessment biomass'!ED45</f>
        <v>307.60849320375604</v>
      </c>
      <c r="AN18">
        <f t="shared" si="16"/>
        <v>0.1410196629691568</v>
      </c>
      <c r="AO18">
        <f>'[1]assessment biomass'!EP45</f>
        <v>1637.2427093217566</v>
      </c>
      <c r="AP18">
        <f t="shared" si="17"/>
        <v>0.58517403422427638</v>
      </c>
      <c r="AQ18">
        <f>'[1]assessment biomass'!BJ45</f>
        <v>325.90620443958568</v>
      </c>
      <c r="AR18">
        <f t="shared" ref="AR18" si="28">AQ18/AQ$3</f>
        <v>0.39059014811590709</v>
      </c>
      <c r="AS18">
        <f>'[1]assessment biomass'!BR45</f>
        <v>323.09542035082995</v>
      </c>
      <c r="AT18">
        <f t="shared" ref="AT18" si="29">AS18/AS$3</f>
        <v>4.0711875378798584E-2</v>
      </c>
      <c r="AU18">
        <f>'[1]assessment biomass'!DV45</f>
        <v>984.63841991609013</v>
      </c>
      <c r="AV18">
        <f t="shared" ref="AV18" si="30">AU18/AU$3</f>
        <v>0.55831557119200848</v>
      </c>
      <c r="AW18">
        <f>'[1]assessment biomass'!CH45</f>
        <v>997.62343360778129</v>
      </c>
      <c r="AX18">
        <f t="shared" si="21"/>
        <v>0.88242680175397425</v>
      </c>
      <c r="AY18">
        <f>'[1]assessment biomass'!AD45</f>
        <v>1466.8536585836191</v>
      </c>
      <c r="AZ18">
        <f t="shared" si="21"/>
        <v>1.6229530030988044</v>
      </c>
    </row>
    <row r="19" spans="1:52" x14ac:dyDescent="0.2">
      <c r="A19">
        <v>2014</v>
      </c>
      <c r="B19">
        <f>'[1]assessment biomass'!B46</f>
        <v>2512.9571999999998</v>
      </c>
      <c r="C19">
        <f>B19/$B$3</f>
        <v>0.11413930267129963</v>
      </c>
      <c r="D19">
        <f>'[1]assessment biomass'!AL46</f>
        <v>9752.4982999999993</v>
      </c>
      <c r="E19">
        <f>D19/$D$3</f>
        <v>0.25006405897435896</v>
      </c>
      <c r="J19" s="84">
        <f>'[2]4X ypr dc'!AV114</f>
        <v>8426</v>
      </c>
      <c r="K19">
        <f>J19/$J$3</f>
        <v>0.49082542086561426</v>
      </c>
      <c r="R19">
        <f>'[1]assessment biomass'!DF46</f>
        <v>524.79330000000004</v>
      </c>
      <c r="S19">
        <f>R19/$R$3</f>
        <v>0.21735846156492372</v>
      </c>
      <c r="AE19">
        <f>'[1]assessment biomass'!ET46</f>
        <v>2673.232</v>
      </c>
      <c r="AF19">
        <f>AE19/$AE$3</f>
        <v>0.75161247778059592</v>
      </c>
      <c r="AG19">
        <f>'[1]assessment biomass'!CP46</f>
        <v>1592.3677</v>
      </c>
      <c r="AH19">
        <f>AG19/$AG$3</f>
        <v>0.88632342979145518</v>
      </c>
      <c r="AI19">
        <f>'[1]assessment biomass'!CX46</f>
        <v>119.45269999999999</v>
      </c>
      <c r="AJ19">
        <f>AI19/$AI$3</f>
        <v>0.18358850347374986</v>
      </c>
      <c r="AK19">
        <f>'[1]assessment biomass'!DJ46</f>
        <v>25.038599999999999</v>
      </c>
      <c r="AL19">
        <f>AK19/$AK$3</f>
        <v>1.2414413200757032E-2</v>
      </c>
      <c r="AM19">
        <f>'[1]assessment biomass'!ED46</f>
        <v>1257.9467</v>
      </c>
      <c r="AN19">
        <f>AM19/$AM$3</f>
        <v>0.57669155301787656</v>
      </c>
      <c r="AO19">
        <f>'[1]assessment biomass'!EP46</f>
        <v>1261.2361000000001</v>
      </c>
      <c r="AP19">
        <f>AO19/$AO$3</f>
        <v>0.45078387739593845</v>
      </c>
      <c r="AQ19">
        <f>'[1]assessment biomass'!BJ46</f>
        <v>344.31740000000002</v>
      </c>
      <c r="AR19">
        <f>AQ19/AQ$3</f>
        <v>0.41265548931829044</v>
      </c>
      <c r="AS19">
        <f>'[1]assessment biomass'!BR46</f>
        <v>372.0376</v>
      </c>
      <c r="AT19">
        <f>AS19/AS$3</f>
        <v>4.687887061655286E-2</v>
      </c>
      <c r="AU19">
        <f>'[1]assessment biomass'!DV46</f>
        <v>2878.7860999999998</v>
      </c>
      <c r="AV19">
        <f>AU19/AU$3</f>
        <v>1.6323465276706186</v>
      </c>
      <c r="AW19">
        <f>'[1]assessment biomass'!CH46</f>
        <v>323.34750000000003</v>
      </c>
      <c r="AX19">
        <f>AW19/AW$3</f>
        <v>0.28601022256291725</v>
      </c>
      <c r="AY19">
        <f>'[1]assessment biomass'!AD46</f>
        <v>521.11289999999997</v>
      </c>
      <c r="AZ19">
        <f>AY19/AY$3</f>
        <v>0.57656859023358031</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workbookViewId="0">
      <selection activeCell="E40" sqref="E40"/>
    </sheetView>
  </sheetViews>
  <sheetFormatPr defaultRowHeight="12.75" x14ac:dyDescent="0.2"/>
  <cols>
    <col min="1" max="1" width="6" customWidth="1"/>
  </cols>
  <sheetData>
    <row r="1" spans="1:9" x14ac:dyDescent="0.2">
      <c r="A1" s="61" t="s">
        <v>497</v>
      </c>
      <c r="G1" s="61" t="s">
        <v>556</v>
      </c>
    </row>
    <row r="2" spans="1:9" x14ac:dyDescent="0.2">
      <c r="A2" s="115" t="s">
        <v>302</v>
      </c>
      <c r="B2" t="s">
        <v>495</v>
      </c>
      <c r="C2" t="s">
        <v>496</v>
      </c>
      <c r="G2" t="str">
        <f>'[5]popN from adapt'!Q2</f>
        <v>SSB</v>
      </c>
      <c r="H2" s="61" t="s">
        <v>557</v>
      </c>
      <c r="I2">
        <f>AVERAGE(G3:G26)</f>
        <v>292803.87355762039</v>
      </c>
    </row>
    <row r="3" spans="1:9" x14ac:dyDescent="0.2">
      <c r="A3">
        <v>1970</v>
      </c>
      <c r="B3">
        <v>22.075363399999997</v>
      </c>
      <c r="C3">
        <v>1260.1156699999999</v>
      </c>
      <c r="G3">
        <f>'[5]popN from adapt'!Q3</f>
        <v>368012.9301496289</v>
      </c>
    </row>
    <row r="4" spans="1:9" x14ac:dyDescent="0.2">
      <c r="A4">
        <v>1971</v>
      </c>
      <c r="B4">
        <v>123.67596</v>
      </c>
      <c r="C4" s="80">
        <v>1</v>
      </c>
      <c r="G4">
        <f>'[5]popN from adapt'!Q4</f>
        <v>278287.00783824903</v>
      </c>
    </row>
    <row r="5" spans="1:9" x14ac:dyDescent="0.2">
      <c r="A5">
        <v>1972</v>
      </c>
      <c r="B5">
        <v>487.058536</v>
      </c>
      <c r="C5">
        <v>1897.0127199999999</v>
      </c>
      <c r="G5">
        <f>'[5]popN from adapt'!Q5</f>
        <v>219128.24186691365</v>
      </c>
    </row>
    <row r="6" spans="1:9" x14ac:dyDescent="0.2">
      <c r="A6">
        <v>1973</v>
      </c>
      <c r="B6" s="80">
        <v>1</v>
      </c>
      <c r="C6">
        <v>1438.2017900000001</v>
      </c>
      <c r="G6">
        <f>'[5]popN from adapt'!Q6</f>
        <v>254830.09652004097</v>
      </c>
    </row>
    <row r="7" spans="1:9" x14ac:dyDescent="0.2">
      <c r="A7">
        <v>1974</v>
      </c>
      <c r="B7" s="80">
        <v>1</v>
      </c>
      <c r="C7">
        <v>378.22288900000001</v>
      </c>
      <c r="G7">
        <f>'[5]popN from adapt'!Q7</f>
        <v>377227.70816328097</v>
      </c>
    </row>
    <row r="8" spans="1:9" x14ac:dyDescent="0.2">
      <c r="A8">
        <v>1975</v>
      </c>
      <c r="B8">
        <v>331.328711</v>
      </c>
      <c r="C8">
        <v>1126.1914899999999</v>
      </c>
      <c r="G8">
        <f>'[5]popN from adapt'!Q8</f>
        <v>378590.71700697578</v>
      </c>
    </row>
    <row r="9" spans="1:9" x14ac:dyDescent="0.2">
      <c r="A9">
        <v>1976</v>
      </c>
      <c r="B9" s="80">
        <v>1</v>
      </c>
      <c r="C9">
        <v>332.06410100000005</v>
      </c>
      <c r="G9">
        <f>'[5]popN from adapt'!Q9</f>
        <v>297631.28749908268</v>
      </c>
    </row>
    <row r="10" spans="1:9" x14ac:dyDescent="0.2">
      <c r="A10">
        <v>1977</v>
      </c>
      <c r="B10">
        <v>547.94085199999995</v>
      </c>
      <c r="C10">
        <v>446.56526299999996</v>
      </c>
      <c r="G10">
        <f>'[5]popN from adapt'!Q10</f>
        <v>252094.80470496003</v>
      </c>
    </row>
    <row r="11" spans="1:9" x14ac:dyDescent="0.2">
      <c r="A11">
        <v>1978</v>
      </c>
      <c r="B11">
        <v>308.64676020000002</v>
      </c>
      <c r="C11">
        <v>1405.0295800000001</v>
      </c>
      <c r="G11">
        <f>'[5]popN from adapt'!Q11</f>
        <v>158946.45034892016</v>
      </c>
    </row>
    <row r="12" spans="1:9" x14ac:dyDescent="0.2">
      <c r="A12">
        <v>1979</v>
      </c>
      <c r="B12" s="80">
        <v>1</v>
      </c>
      <c r="C12">
        <v>1429.4103300000002</v>
      </c>
      <c r="G12">
        <f>'[5]popN from adapt'!Q12</f>
        <v>133059.59630497277</v>
      </c>
    </row>
    <row r="13" spans="1:9" x14ac:dyDescent="0.2">
      <c r="A13">
        <v>1980</v>
      </c>
      <c r="B13" s="80">
        <v>1</v>
      </c>
      <c r="C13">
        <v>1773.5472500000001</v>
      </c>
      <c r="G13">
        <f>'[5]popN from adapt'!Q13</f>
        <v>247810.64568854304</v>
      </c>
    </row>
    <row r="14" spans="1:9" x14ac:dyDescent="0.2">
      <c r="A14">
        <v>1981</v>
      </c>
      <c r="B14" s="80">
        <v>1</v>
      </c>
      <c r="C14">
        <v>968.61516200000005</v>
      </c>
      <c r="G14">
        <f>'[5]popN from adapt'!Q14</f>
        <v>257969.47549667998</v>
      </c>
    </row>
    <row r="15" spans="1:9" x14ac:dyDescent="0.2">
      <c r="A15">
        <v>1982</v>
      </c>
      <c r="B15" s="80">
        <v>1</v>
      </c>
      <c r="C15">
        <v>890.32505700000002</v>
      </c>
      <c r="G15">
        <f>'[5]popN from adapt'!Q15</f>
        <v>199549.66028771998</v>
      </c>
    </row>
    <row r="16" spans="1:9" x14ac:dyDescent="0.2">
      <c r="A16">
        <v>1983</v>
      </c>
      <c r="B16">
        <v>1055.29349</v>
      </c>
      <c r="C16">
        <v>676.59967200000006</v>
      </c>
      <c r="G16">
        <f>'[5]popN from adapt'!Q16</f>
        <v>197164.14049690778</v>
      </c>
    </row>
    <row r="17" spans="1:7" x14ac:dyDescent="0.2">
      <c r="A17">
        <v>1984</v>
      </c>
      <c r="B17" s="80">
        <v>1</v>
      </c>
      <c r="C17">
        <v>313.47875099999999</v>
      </c>
      <c r="G17">
        <f>'[5]popN from adapt'!Q17</f>
        <v>216807.47137933568</v>
      </c>
    </row>
    <row r="18" spans="1:7" x14ac:dyDescent="0.2">
      <c r="A18">
        <v>1985</v>
      </c>
      <c r="B18" s="80">
        <v>1</v>
      </c>
      <c r="C18">
        <v>982.81444199999999</v>
      </c>
      <c r="G18">
        <f>'[5]popN from adapt'!Q18</f>
        <v>277105.24370564381</v>
      </c>
    </row>
    <row r="19" spans="1:7" x14ac:dyDescent="0.2">
      <c r="A19">
        <v>1986</v>
      </c>
      <c r="B19" s="80">
        <v>1</v>
      </c>
      <c r="C19">
        <v>735.55915599999992</v>
      </c>
      <c r="G19">
        <f>'[5]popN from adapt'!Q19</f>
        <v>403953.41654597211</v>
      </c>
    </row>
    <row r="20" spans="1:7" x14ac:dyDescent="0.2">
      <c r="A20">
        <v>1987</v>
      </c>
      <c r="B20" s="80">
        <v>1</v>
      </c>
      <c r="C20">
        <v>943.42391199999997</v>
      </c>
      <c r="G20">
        <f>'[5]popN from adapt'!Q20</f>
        <v>537893.63444704132</v>
      </c>
    </row>
    <row r="21" spans="1:7" x14ac:dyDescent="0.2">
      <c r="A21">
        <v>1988</v>
      </c>
      <c r="B21">
        <v>104.916956</v>
      </c>
      <c r="C21">
        <v>815.82748400000003</v>
      </c>
      <c r="G21">
        <f>'[5]popN from adapt'!Q21</f>
        <v>498242.00855337491</v>
      </c>
    </row>
    <row r="22" spans="1:7" x14ac:dyDescent="0.2">
      <c r="A22">
        <v>1989</v>
      </c>
      <c r="B22" s="80">
        <v>1</v>
      </c>
      <c r="C22">
        <v>1541.08546</v>
      </c>
      <c r="G22">
        <f>'[5]popN from adapt'!Q22</f>
        <v>394453.2328378408</v>
      </c>
    </row>
    <row r="23" spans="1:7" x14ac:dyDescent="0.2">
      <c r="A23">
        <v>1990</v>
      </c>
      <c r="B23" s="80">
        <v>1</v>
      </c>
      <c r="C23">
        <v>1911.31772</v>
      </c>
      <c r="G23">
        <f>'[5]popN from adapt'!Q23</f>
        <v>376293.76754011016</v>
      </c>
    </row>
    <row r="24" spans="1:7" x14ac:dyDescent="0.2">
      <c r="A24">
        <v>1991</v>
      </c>
      <c r="B24" s="80">
        <v>1</v>
      </c>
      <c r="C24">
        <v>793.88649499999997</v>
      </c>
      <c r="G24">
        <f>'[5]popN from adapt'!Q24</f>
        <v>282054.01852945454</v>
      </c>
    </row>
    <row r="25" spans="1:7" x14ac:dyDescent="0.2">
      <c r="A25">
        <v>1992</v>
      </c>
      <c r="B25" s="80">
        <v>1</v>
      </c>
      <c r="C25">
        <v>786.76938500000006</v>
      </c>
      <c r="G25">
        <f>'[5]popN from adapt'!Q25</f>
        <v>249689.44890590306</v>
      </c>
    </row>
    <row r="26" spans="1:7" x14ac:dyDescent="0.2">
      <c r="A26">
        <v>1993</v>
      </c>
      <c r="B26">
        <v>17.1634858</v>
      </c>
      <c r="C26">
        <v>1344.5652600000001</v>
      </c>
      <c r="G26">
        <f>'[5]popN from adapt'!Q26</f>
        <v>170497.96056533919</v>
      </c>
    </row>
    <row r="27" spans="1:7" x14ac:dyDescent="0.2">
      <c r="A27">
        <v>1994</v>
      </c>
      <c r="B27">
        <v>203.52597700000001</v>
      </c>
      <c r="C27">
        <v>1229.6850099999999</v>
      </c>
      <c r="G27">
        <f>'[5]popN from adapt'!Q27</f>
        <v>107705.90225710145</v>
      </c>
    </row>
    <row r="28" spans="1:7" x14ac:dyDescent="0.2">
      <c r="A28">
        <v>1995</v>
      </c>
      <c r="B28">
        <v>75.120423200000005</v>
      </c>
      <c r="C28">
        <v>1194.5741</v>
      </c>
      <c r="G28">
        <f>'[5]popN from adapt'!Q28</f>
        <v>84889.963525013256</v>
      </c>
    </row>
    <row r="29" spans="1:7" x14ac:dyDescent="0.2">
      <c r="A29">
        <v>1996</v>
      </c>
      <c r="B29">
        <v>20.934926899999997</v>
      </c>
      <c r="C29">
        <v>2261.09051</v>
      </c>
      <c r="G29">
        <f>'[5]popN from adapt'!Q29</f>
        <v>103140.34609731295</v>
      </c>
    </row>
    <row r="30" spans="1:7" x14ac:dyDescent="0.2">
      <c r="A30">
        <v>1997</v>
      </c>
      <c r="B30">
        <v>77.64892857000001</v>
      </c>
      <c r="C30">
        <v>1559.4173600000001</v>
      </c>
      <c r="G30">
        <f>'[5]popN from adapt'!Q30</f>
        <v>120351.36903633559</v>
      </c>
    </row>
    <row r="31" spans="1:7" x14ac:dyDescent="0.2">
      <c r="A31">
        <v>1998</v>
      </c>
      <c r="B31">
        <v>324.18324450000006</v>
      </c>
      <c r="C31">
        <v>1248.58214</v>
      </c>
      <c r="G31">
        <f>'[5]popN from adapt'!Q31</f>
        <v>126681.01923625413</v>
      </c>
    </row>
    <row r="32" spans="1:7" x14ac:dyDescent="0.2">
      <c r="A32">
        <v>1999</v>
      </c>
      <c r="B32">
        <v>543.13237399999991</v>
      </c>
      <c r="C32">
        <v>226.41047599999999</v>
      </c>
      <c r="G32">
        <f>'[5]popN from adapt'!Q32</f>
        <v>107789.21084253115</v>
      </c>
    </row>
    <row r="33" spans="1:7" x14ac:dyDescent="0.2">
      <c r="A33">
        <v>2000</v>
      </c>
      <c r="B33">
        <v>201.940719</v>
      </c>
      <c r="C33">
        <v>860.15381200000002</v>
      </c>
      <c r="G33">
        <f>'[5]popN from adapt'!Q33</f>
        <v>93629.467649166952</v>
      </c>
    </row>
    <row r="34" spans="1:7" x14ac:dyDescent="0.2">
      <c r="A34">
        <v>2001</v>
      </c>
      <c r="B34">
        <v>1198.4458319999999</v>
      </c>
      <c r="C34">
        <v>547.78783399999998</v>
      </c>
      <c r="G34">
        <f>'[5]popN from adapt'!Q34</f>
        <v>93504.97694389867</v>
      </c>
    </row>
    <row r="35" spans="1:7" x14ac:dyDescent="0.2">
      <c r="A35">
        <v>2002</v>
      </c>
      <c r="B35">
        <v>663.42614390000006</v>
      </c>
      <c r="C35">
        <v>318.29411800000003</v>
      </c>
      <c r="G35">
        <f>'[5]popN from adapt'!Q35</f>
        <v>97689.850046037085</v>
      </c>
    </row>
    <row r="36" spans="1:7" x14ac:dyDescent="0.2">
      <c r="A36">
        <v>2003</v>
      </c>
      <c r="B36">
        <v>462.08837499999998</v>
      </c>
      <c r="C36">
        <v>891.75687899999991</v>
      </c>
      <c r="G36">
        <f>'[5]popN from adapt'!Q36</f>
        <v>85643.044483959558</v>
      </c>
    </row>
    <row r="37" spans="1:7" x14ac:dyDescent="0.2">
      <c r="A37">
        <v>2004</v>
      </c>
      <c r="B37">
        <v>705.43221261000008</v>
      </c>
      <c r="C37">
        <v>978.66114300000004</v>
      </c>
      <c r="G37">
        <f>'[5]popN from adapt'!Q37</f>
        <v>91487.641570668085</v>
      </c>
    </row>
    <row r="38" spans="1:7" x14ac:dyDescent="0.2">
      <c r="A38">
        <v>2005</v>
      </c>
      <c r="B38">
        <v>915.67752000000007</v>
      </c>
      <c r="C38">
        <v>856.76603799999998</v>
      </c>
      <c r="G38">
        <f>'[5]popN from adapt'!Q38</f>
        <v>86601.539203720837</v>
      </c>
    </row>
    <row r="39" spans="1:7" x14ac:dyDescent="0.2">
      <c r="A39">
        <v>2006</v>
      </c>
      <c r="B39">
        <v>474.08104800000001</v>
      </c>
      <c r="C39">
        <v>887.35841500000004</v>
      </c>
      <c r="G39">
        <f>'[5]popN from adapt'!Q39</f>
        <v>77747.570374799747</v>
      </c>
    </row>
    <row r="40" spans="1:7" x14ac:dyDescent="0.2">
      <c r="A40">
        <v>2007</v>
      </c>
      <c r="B40">
        <v>3527.1752060000003</v>
      </c>
      <c r="C40">
        <v>332.50374599999998</v>
      </c>
      <c r="G40">
        <f>'[5]popN from adapt'!Q40</f>
        <v>66324.013444534401</v>
      </c>
    </row>
    <row r="41" spans="1:7" x14ac:dyDescent="0.2">
      <c r="A41">
        <v>2008</v>
      </c>
      <c r="B41">
        <v>692.86262099999999</v>
      </c>
      <c r="C41">
        <v>713.00205700000004</v>
      </c>
      <c r="G41">
        <f>'[5]popN from adapt'!Q41</f>
        <v>60122.002113949413</v>
      </c>
    </row>
    <row r="42" spans="1:7" x14ac:dyDescent="0.2">
      <c r="A42">
        <v>2009</v>
      </c>
      <c r="B42">
        <v>1960.274596</v>
      </c>
      <c r="C42">
        <v>911.74497299999996</v>
      </c>
      <c r="G42">
        <f>'[5]popN from adapt'!Q42</f>
        <v>63471.841390371606</v>
      </c>
    </row>
    <row r="43" spans="1:7" x14ac:dyDescent="0.2">
      <c r="A43">
        <v>2010</v>
      </c>
      <c r="B43">
        <v>2500.264365</v>
      </c>
      <c r="C43">
        <v>1272.9316200000001</v>
      </c>
    </row>
    <row r="44" spans="1:7" x14ac:dyDescent="0.2">
      <c r="A44">
        <v>2011</v>
      </c>
      <c r="B44">
        <v>366.76541840000004</v>
      </c>
      <c r="C44">
        <v>729.39953700000001</v>
      </c>
    </row>
    <row r="45" spans="1:7" x14ac:dyDescent="0.2">
      <c r="A45">
        <v>2012</v>
      </c>
      <c r="B45">
        <v>1235.3040000000001</v>
      </c>
      <c r="C45">
        <v>1784.03126</v>
      </c>
    </row>
    <row r="46" spans="1:7" x14ac:dyDescent="0.2">
      <c r="A46">
        <v>2013</v>
      </c>
      <c r="B46">
        <v>984.63841991609013</v>
      </c>
      <c r="C46">
        <v>997.62343360778129</v>
      </c>
    </row>
    <row r="47" spans="1:7" x14ac:dyDescent="0.2">
      <c r="A47">
        <v>2014</v>
      </c>
      <c r="B47">
        <v>2878.7860999999998</v>
      </c>
      <c r="C47">
        <v>323.34750000000003</v>
      </c>
    </row>
    <row r="48" spans="1:7" x14ac:dyDescent="0.2">
      <c r="A48">
        <v>2015</v>
      </c>
    </row>
    <row r="49" spans="1:1" x14ac:dyDescent="0.2">
      <c r="A49">
        <v>2016</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9"/>
  <sheetViews>
    <sheetView topLeftCell="A7" workbookViewId="0">
      <selection activeCell="H14" sqref="H14"/>
    </sheetView>
  </sheetViews>
  <sheetFormatPr defaultRowHeight="12.75" x14ac:dyDescent="0.2"/>
  <cols>
    <col min="1" max="1" width="2.85546875" customWidth="1"/>
    <col min="2" max="3" width="9.140625" customWidth="1"/>
    <col min="4" max="4" width="10.85546875" customWidth="1"/>
    <col min="5" max="5" width="10.42578125" customWidth="1"/>
    <col min="6" max="6" width="8.42578125" customWidth="1"/>
    <col min="7" max="7" width="9.7109375" customWidth="1"/>
    <col min="8" max="8" width="10.5703125" customWidth="1"/>
    <col min="9" max="9" width="11.42578125" customWidth="1"/>
    <col min="10" max="10" width="11.7109375" customWidth="1"/>
    <col min="11" max="11" width="9" customWidth="1"/>
    <col min="12" max="12" width="9.5703125" customWidth="1"/>
    <col min="13" max="13" width="10.140625" customWidth="1"/>
    <col min="14" max="14" width="10.42578125" customWidth="1"/>
    <col min="15" max="15" width="13.28515625" customWidth="1"/>
  </cols>
  <sheetData>
    <row r="1" spans="1:15" x14ac:dyDescent="0.2">
      <c r="B1" s="31" t="s">
        <v>141</v>
      </c>
      <c r="C1" s="32"/>
      <c r="D1" s="32"/>
      <c r="E1" s="32"/>
      <c r="F1" s="32"/>
      <c r="G1" s="32"/>
      <c r="H1" s="32"/>
      <c r="I1" s="32"/>
      <c r="J1" s="32"/>
      <c r="K1" s="32"/>
      <c r="L1" s="32"/>
      <c r="M1" s="32"/>
      <c r="N1" s="32"/>
      <c r="O1" s="32"/>
    </row>
    <row r="2" spans="1:15" ht="25.5" x14ac:dyDescent="0.2">
      <c r="A2" s="33"/>
      <c r="B2" s="34" t="s">
        <v>142</v>
      </c>
      <c r="C2" s="83" t="s">
        <v>143</v>
      </c>
      <c r="D2" s="34" t="s">
        <v>144</v>
      </c>
      <c r="E2" s="34" t="s">
        <v>145</v>
      </c>
      <c r="F2" s="34" t="s">
        <v>146</v>
      </c>
      <c r="G2" s="34" t="s">
        <v>147</v>
      </c>
      <c r="H2" s="34" t="s">
        <v>148</v>
      </c>
      <c r="I2" s="34" t="s">
        <v>149</v>
      </c>
      <c r="J2" s="34" t="s">
        <v>150</v>
      </c>
      <c r="K2" s="34" t="s">
        <v>151</v>
      </c>
      <c r="L2" s="34" t="s">
        <v>152</v>
      </c>
      <c r="M2" s="34" t="s">
        <v>153</v>
      </c>
      <c r="N2" s="34" t="s">
        <v>154</v>
      </c>
      <c r="O2" s="34" t="s">
        <v>155</v>
      </c>
    </row>
    <row r="3" spans="1:15" x14ac:dyDescent="0.2">
      <c r="B3" s="35">
        <v>1975</v>
      </c>
      <c r="C3" s="36">
        <v>758902</v>
      </c>
      <c r="D3" s="36">
        <v>18246</v>
      </c>
      <c r="E3" s="36">
        <v>161248</v>
      </c>
      <c r="F3" s="36">
        <v>4152</v>
      </c>
      <c r="G3" s="36">
        <v>708463</v>
      </c>
      <c r="H3" s="36">
        <v>106621</v>
      </c>
      <c r="I3" s="37">
        <v>87627</v>
      </c>
      <c r="J3" s="38">
        <v>53979826</v>
      </c>
      <c r="K3" s="38">
        <v>274041</v>
      </c>
      <c r="L3" s="38">
        <v>441132</v>
      </c>
      <c r="M3" s="38">
        <v>33393</v>
      </c>
      <c r="N3" s="38">
        <v>258078</v>
      </c>
      <c r="O3" s="39" t="s">
        <v>116</v>
      </c>
    </row>
    <row r="4" spans="1:15" x14ac:dyDescent="0.2">
      <c r="B4" s="35">
        <v>1976</v>
      </c>
      <c r="C4" s="40">
        <v>614980</v>
      </c>
      <c r="D4" s="40">
        <v>13248</v>
      </c>
      <c r="E4" s="40">
        <v>127348</v>
      </c>
      <c r="F4" s="40">
        <v>3557</v>
      </c>
      <c r="G4" s="40">
        <v>239642</v>
      </c>
      <c r="H4" s="40">
        <v>91929</v>
      </c>
      <c r="I4" s="41">
        <v>25513</v>
      </c>
      <c r="J4" s="42">
        <v>38752448</v>
      </c>
      <c r="K4" s="42">
        <v>591307</v>
      </c>
      <c r="L4" s="42">
        <v>225363</v>
      </c>
      <c r="M4" s="43" t="s">
        <v>116</v>
      </c>
      <c r="N4" s="42">
        <v>182665</v>
      </c>
      <c r="O4" s="43" t="s">
        <v>116</v>
      </c>
    </row>
    <row r="5" spans="1:15" x14ac:dyDescent="0.2">
      <c r="B5" s="35">
        <v>1977</v>
      </c>
      <c r="C5" s="40">
        <v>928918</v>
      </c>
      <c r="D5" s="40">
        <v>9734</v>
      </c>
      <c r="E5" s="40">
        <v>70304</v>
      </c>
      <c r="F5" s="40">
        <v>8844</v>
      </c>
      <c r="G5" s="40">
        <v>483503</v>
      </c>
      <c r="H5" s="40">
        <v>115007</v>
      </c>
      <c r="I5" s="41">
        <v>34235</v>
      </c>
      <c r="J5" s="42">
        <v>31536061</v>
      </c>
      <c r="K5" s="43" t="s">
        <v>116</v>
      </c>
      <c r="L5" s="42">
        <v>450982</v>
      </c>
      <c r="M5" s="42">
        <v>46367</v>
      </c>
      <c r="N5" s="43" t="s">
        <v>116</v>
      </c>
      <c r="O5" s="43" t="s">
        <v>116</v>
      </c>
    </row>
    <row r="6" spans="1:15" x14ac:dyDescent="0.2">
      <c r="B6" s="35">
        <v>1978</v>
      </c>
      <c r="C6" s="40">
        <v>1052927</v>
      </c>
      <c r="D6" s="40">
        <v>3595</v>
      </c>
      <c r="E6" s="40">
        <v>723395</v>
      </c>
      <c r="F6" s="40">
        <v>16969</v>
      </c>
      <c r="G6" s="40">
        <v>526123</v>
      </c>
      <c r="H6" s="40">
        <v>129325</v>
      </c>
      <c r="I6" s="41">
        <v>82026</v>
      </c>
      <c r="J6" s="42">
        <v>41418595</v>
      </c>
      <c r="K6" s="42">
        <v>225154</v>
      </c>
      <c r="L6" s="42">
        <v>415423</v>
      </c>
      <c r="M6" s="42">
        <v>199969</v>
      </c>
      <c r="N6" s="42">
        <v>388238</v>
      </c>
      <c r="O6" s="42">
        <v>9085</v>
      </c>
    </row>
    <row r="7" spans="1:15" x14ac:dyDescent="0.2">
      <c r="B7" s="35">
        <v>1979</v>
      </c>
      <c r="C7" s="40">
        <v>2003250</v>
      </c>
      <c r="D7" s="40">
        <v>3168</v>
      </c>
      <c r="E7" s="40">
        <v>543011</v>
      </c>
      <c r="F7" s="40">
        <v>13583</v>
      </c>
      <c r="G7" s="40">
        <v>1214165</v>
      </c>
      <c r="H7" s="40">
        <v>95161</v>
      </c>
      <c r="I7" s="41">
        <v>227225</v>
      </c>
      <c r="J7" s="42">
        <v>33867932</v>
      </c>
      <c r="K7" s="42">
        <v>73602</v>
      </c>
      <c r="L7" s="42">
        <v>553085</v>
      </c>
      <c r="M7" s="42">
        <v>687587</v>
      </c>
      <c r="N7" s="42">
        <v>412369</v>
      </c>
      <c r="O7" s="42">
        <v>439842</v>
      </c>
    </row>
    <row r="8" spans="1:15" x14ac:dyDescent="0.2">
      <c r="B8" s="35">
        <v>1980</v>
      </c>
      <c r="C8" s="40">
        <v>2438966</v>
      </c>
      <c r="D8" s="40">
        <v>6019</v>
      </c>
      <c r="E8" s="40">
        <v>578151</v>
      </c>
      <c r="F8" s="40">
        <v>12831</v>
      </c>
      <c r="G8" s="40">
        <v>2384395</v>
      </c>
      <c r="H8" s="40">
        <v>86393</v>
      </c>
      <c r="I8" s="41">
        <v>75429</v>
      </c>
      <c r="J8" s="42">
        <v>11359459</v>
      </c>
      <c r="K8" s="43" t="s">
        <v>116</v>
      </c>
      <c r="L8" s="42">
        <v>413268</v>
      </c>
      <c r="M8" s="42">
        <v>1652959</v>
      </c>
      <c r="N8" s="42">
        <v>653340</v>
      </c>
      <c r="O8" s="42">
        <v>121080</v>
      </c>
    </row>
    <row r="9" spans="1:15" x14ac:dyDescent="0.2">
      <c r="B9" s="35">
        <v>1981</v>
      </c>
      <c r="C9" s="40">
        <v>2337469</v>
      </c>
      <c r="D9" s="40">
        <v>12136</v>
      </c>
      <c r="E9" s="40">
        <v>676007</v>
      </c>
      <c r="F9" s="40">
        <v>14154</v>
      </c>
      <c r="G9" s="40">
        <v>1782812</v>
      </c>
      <c r="H9" s="40">
        <v>63529</v>
      </c>
      <c r="I9" s="41">
        <v>55118</v>
      </c>
      <c r="J9" s="42">
        <v>22515968</v>
      </c>
      <c r="K9" s="43" t="s">
        <v>116</v>
      </c>
      <c r="L9" s="42">
        <v>571343</v>
      </c>
      <c r="M9" s="42">
        <v>4782865</v>
      </c>
      <c r="N9" s="42">
        <v>447903</v>
      </c>
      <c r="O9" s="42">
        <v>235147</v>
      </c>
    </row>
    <row r="10" spans="1:15" x14ac:dyDescent="0.2">
      <c r="B10" s="35">
        <v>1982</v>
      </c>
      <c r="C10" s="40">
        <v>3325253</v>
      </c>
      <c r="D10" s="40">
        <v>10001</v>
      </c>
      <c r="E10" s="40">
        <v>1597947</v>
      </c>
      <c r="F10" s="40">
        <v>16782</v>
      </c>
      <c r="G10" s="40">
        <v>2233641</v>
      </c>
      <c r="H10" s="40">
        <v>160727</v>
      </c>
      <c r="I10" s="41">
        <v>657243</v>
      </c>
      <c r="J10" s="42">
        <v>24840687</v>
      </c>
      <c r="K10" s="42">
        <v>155570</v>
      </c>
      <c r="L10" s="42">
        <v>693100</v>
      </c>
      <c r="M10" s="42">
        <v>2562552</v>
      </c>
      <c r="N10" s="42">
        <v>941544</v>
      </c>
      <c r="O10" s="42">
        <v>37933</v>
      </c>
    </row>
    <row r="11" spans="1:15" x14ac:dyDescent="0.2">
      <c r="B11" s="35">
        <v>1983</v>
      </c>
      <c r="C11" s="40">
        <v>4202596</v>
      </c>
      <c r="D11" s="40">
        <v>17184</v>
      </c>
      <c r="E11" s="40">
        <v>2217718</v>
      </c>
      <c r="F11" s="40">
        <v>31983</v>
      </c>
      <c r="G11" s="40">
        <v>1403332</v>
      </c>
      <c r="H11" s="40">
        <v>166744</v>
      </c>
      <c r="I11" s="41">
        <v>614019</v>
      </c>
      <c r="J11" s="42">
        <v>19048416</v>
      </c>
      <c r="K11" s="42">
        <v>112992</v>
      </c>
      <c r="L11" s="42">
        <v>607417</v>
      </c>
      <c r="M11" s="42">
        <v>3494415</v>
      </c>
      <c r="N11" s="42">
        <v>1063214</v>
      </c>
      <c r="O11" s="42">
        <v>97213</v>
      </c>
    </row>
    <row r="12" spans="1:15" x14ac:dyDescent="0.2">
      <c r="B12" s="35">
        <v>1984</v>
      </c>
      <c r="C12" s="40">
        <v>4074769</v>
      </c>
      <c r="D12" s="40">
        <v>15535</v>
      </c>
      <c r="E12" s="40">
        <v>1267415</v>
      </c>
      <c r="F12" s="40">
        <v>18305</v>
      </c>
      <c r="G12" s="40">
        <v>1886552</v>
      </c>
      <c r="H12" s="40">
        <v>116723</v>
      </c>
      <c r="I12" s="41">
        <v>535662</v>
      </c>
      <c r="J12" s="42">
        <v>10784855</v>
      </c>
      <c r="K12" s="42">
        <v>283296</v>
      </c>
      <c r="L12" s="42">
        <v>642870</v>
      </c>
      <c r="M12" s="42">
        <v>3323373</v>
      </c>
      <c r="N12" s="42">
        <v>1960108</v>
      </c>
      <c r="O12" s="42">
        <v>141164</v>
      </c>
    </row>
    <row r="13" spans="1:15" x14ac:dyDescent="0.2">
      <c r="B13" s="35">
        <v>1985</v>
      </c>
      <c r="C13" s="40">
        <v>2874373</v>
      </c>
      <c r="D13" s="40">
        <v>23866</v>
      </c>
      <c r="E13" s="40">
        <v>1061317</v>
      </c>
      <c r="F13" s="40">
        <v>6211</v>
      </c>
      <c r="G13" s="40">
        <v>1453285</v>
      </c>
      <c r="H13" s="40">
        <v>203906</v>
      </c>
      <c r="I13" s="41">
        <v>674601</v>
      </c>
      <c r="J13" s="42">
        <v>30536707</v>
      </c>
      <c r="K13" s="42">
        <v>687285</v>
      </c>
      <c r="L13" s="42">
        <v>660758</v>
      </c>
      <c r="M13" s="42">
        <v>3164931</v>
      </c>
      <c r="N13" s="42">
        <v>2414779</v>
      </c>
      <c r="O13" s="42">
        <v>133023</v>
      </c>
    </row>
    <row r="14" spans="1:15" x14ac:dyDescent="0.2">
      <c r="B14" s="35">
        <v>1986</v>
      </c>
      <c r="C14" s="40">
        <v>2046851</v>
      </c>
      <c r="D14" s="40">
        <v>62137</v>
      </c>
      <c r="E14" s="40">
        <v>349859</v>
      </c>
      <c r="F14" s="40">
        <v>8757</v>
      </c>
      <c r="G14" s="40">
        <v>1899292</v>
      </c>
      <c r="H14" s="40">
        <v>216248</v>
      </c>
      <c r="I14" s="41">
        <v>543485</v>
      </c>
      <c r="J14" s="42">
        <v>28645383</v>
      </c>
      <c r="K14" s="42">
        <v>1134251</v>
      </c>
      <c r="L14" s="42">
        <v>697771</v>
      </c>
      <c r="M14" s="42">
        <v>2450649</v>
      </c>
      <c r="N14" s="42">
        <v>2650877</v>
      </c>
      <c r="O14" s="42">
        <v>130258</v>
      </c>
    </row>
    <row r="15" spans="1:15" x14ac:dyDescent="0.2">
      <c r="B15" s="35">
        <v>1987</v>
      </c>
      <c r="C15" s="40">
        <v>1568616</v>
      </c>
      <c r="D15" s="40">
        <v>19602</v>
      </c>
      <c r="E15" s="40">
        <v>137411</v>
      </c>
      <c r="F15" s="40">
        <v>9731</v>
      </c>
      <c r="G15" s="40">
        <v>2231057</v>
      </c>
      <c r="H15" s="40">
        <v>187313</v>
      </c>
      <c r="I15" s="41">
        <v>269537</v>
      </c>
      <c r="J15" s="42">
        <v>27168004</v>
      </c>
      <c r="K15" s="42">
        <v>765055</v>
      </c>
      <c r="L15" s="42">
        <v>807642</v>
      </c>
      <c r="M15" s="42">
        <v>2041119</v>
      </c>
      <c r="N15" s="42">
        <v>2271618</v>
      </c>
      <c r="O15" s="42">
        <v>242447</v>
      </c>
    </row>
    <row r="16" spans="1:15" x14ac:dyDescent="0.2">
      <c r="B16" s="35">
        <v>1988</v>
      </c>
      <c r="C16" s="40">
        <v>1241423</v>
      </c>
      <c r="D16" s="40">
        <v>22791</v>
      </c>
      <c r="E16" s="40">
        <v>57870</v>
      </c>
      <c r="F16" s="40">
        <v>12906</v>
      </c>
      <c r="G16" s="40">
        <v>1116927</v>
      </c>
      <c r="H16" s="40">
        <v>131953</v>
      </c>
      <c r="I16" s="41">
        <v>140395</v>
      </c>
      <c r="J16" s="42">
        <v>48269963</v>
      </c>
      <c r="K16" s="42">
        <v>1219212</v>
      </c>
      <c r="L16" s="42">
        <v>839070</v>
      </c>
      <c r="M16" s="42">
        <v>3536267</v>
      </c>
      <c r="N16" s="42">
        <v>944756</v>
      </c>
      <c r="O16" s="42">
        <v>172512</v>
      </c>
    </row>
    <row r="17" spans="2:15" x14ac:dyDescent="0.2">
      <c r="B17" s="35">
        <v>1989</v>
      </c>
      <c r="C17" s="40">
        <v>1393301</v>
      </c>
      <c r="D17" s="40">
        <v>8819</v>
      </c>
      <c r="E17" s="40">
        <v>75047</v>
      </c>
      <c r="F17" s="40">
        <v>5547</v>
      </c>
      <c r="G17" s="40">
        <v>892843</v>
      </c>
      <c r="H17" s="40">
        <v>81245</v>
      </c>
      <c r="I17" s="41">
        <v>288603</v>
      </c>
      <c r="J17" s="42">
        <v>52830011</v>
      </c>
      <c r="K17" s="42">
        <v>1058706</v>
      </c>
      <c r="L17" s="42">
        <v>759278</v>
      </c>
      <c r="M17" s="42">
        <v>4474899</v>
      </c>
      <c r="N17" s="42">
        <v>534544</v>
      </c>
      <c r="O17" s="42">
        <v>149137</v>
      </c>
    </row>
    <row r="18" spans="2:15" x14ac:dyDescent="0.2">
      <c r="B18" s="35">
        <v>1990</v>
      </c>
      <c r="C18" s="40">
        <v>2048104</v>
      </c>
      <c r="D18" s="40">
        <v>23710</v>
      </c>
      <c r="E18" s="40">
        <v>20644</v>
      </c>
      <c r="F18" s="40">
        <v>7773</v>
      </c>
      <c r="G18" s="40">
        <v>1038550</v>
      </c>
      <c r="H18" s="40">
        <v>266076</v>
      </c>
      <c r="I18" s="41">
        <v>150281</v>
      </c>
      <c r="J18" s="42">
        <v>50535620</v>
      </c>
      <c r="K18" s="42">
        <v>1105527</v>
      </c>
      <c r="L18" s="42">
        <v>838345</v>
      </c>
      <c r="M18" s="42">
        <v>6036093</v>
      </c>
      <c r="N18" s="42">
        <v>472368</v>
      </c>
      <c r="O18" s="42">
        <v>200030</v>
      </c>
    </row>
    <row r="19" spans="2:15" x14ac:dyDescent="0.2">
      <c r="B19" s="35">
        <v>1991</v>
      </c>
      <c r="C19" s="40">
        <v>2865041</v>
      </c>
      <c r="D19" s="40">
        <v>23458</v>
      </c>
      <c r="E19" s="40">
        <v>103348</v>
      </c>
      <c r="F19" s="40">
        <v>12981</v>
      </c>
      <c r="G19" s="40">
        <v>2567632</v>
      </c>
      <c r="H19" s="40">
        <v>719426</v>
      </c>
      <c r="I19" s="41">
        <v>279130</v>
      </c>
      <c r="J19" s="42">
        <v>28694060</v>
      </c>
      <c r="K19" s="42">
        <v>503064</v>
      </c>
      <c r="L19" s="42">
        <v>820206</v>
      </c>
      <c r="M19" s="42">
        <v>3572541</v>
      </c>
      <c r="N19" s="42">
        <v>382874</v>
      </c>
      <c r="O19" s="42">
        <v>353131</v>
      </c>
    </row>
    <row r="20" spans="2:15" x14ac:dyDescent="0.2">
      <c r="B20" s="35">
        <v>1992</v>
      </c>
      <c r="C20" s="40">
        <v>1783185</v>
      </c>
      <c r="D20" s="40">
        <v>59150</v>
      </c>
      <c r="E20" s="40">
        <v>67927</v>
      </c>
      <c r="F20" s="40">
        <v>9228</v>
      </c>
      <c r="G20" s="40">
        <v>2237808</v>
      </c>
      <c r="H20" s="40">
        <v>642661</v>
      </c>
      <c r="I20" s="41">
        <v>348625</v>
      </c>
      <c r="J20" s="42">
        <v>37142733</v>
      </c>
      <c r="K20" s="42">
        <v>684450</v>
      </c>
      <c r="L20" s="42">
        <v>813169</v>
      </c>
      <c r="M20" s="42">
        <v>4042918</v>
      </c>
      <c r="N20" s="42">
        <v>530392</v>
      </c>
      <c r="O20" s="42">
        <v>720019</v>
      </c>
    </row>
    <row r="21" spans="2:15" x14ac:dyDescent="0.2">
      <c r="B21" s="35">
        <v>1993</v>
      </c>
      <c r="C21" s="40">
        <v>1590400</v>
      </c>
      <c r="D21" s="40">
        <v>31985</v>
      </c>
      <c r="E21" s="40">
        <v>125389</v>
      </c>
      <c r="F21" s="40">
        <v>7914</v>
      </c>
      <c r="G21" s="40">
        <v>1351803</v>
      </c>
      <c r="H21" s="40">
        <v>452103</v>
      </c>
      <c r="I21" s="41">
        <v>218056</v>
      </c>
      <c r="J21" s="42">
        <v>31628137</v>
      </c>
      <c r="K21" s="42">
        <v>396190</v>
      </c>
      <c r="L21" s="42">
        <v>812808</v>
      </c>
      <c r="M21" s="42">
        <v>5446005</v>
      </c>
      <c r="N21" s="42">
        <v>435044</v>
      </c>
      <c r="O21" s="42">
        <v>1202128</v>
      </c>
    </row>
    <row r="22" spans="2:15" x14ac:dyDescent="0.2">
      <c r="B22" s="35">
        <v>1994</v>
      </c>
      <c r="C22" s="40">
        <v>1029610</v>
      </c>
      <c r="D22" s="40">
        <v>21716</v>
      </c>
      <c r="E22" s="40">
        <v>128005</v>
      </c>
      <c r="F22" s="40">
        <v>10730</v>
      </c>
      <c r="G22" s="40">
        <v>1099376</v>
      </c>
      <c r="H22" s="40">
        <v>292382</v>
      </c>
      <c r="I22" s="41">
        <v>250538</v>
      </c>
      <c r="J22" s="42">
        <v>22335910</v>
      </c>
      <c r="K22" s="42">
        <v>325092</v>
      </c>
      <c r="L22" s="42">
        <v>919414</v>
      </c>
      <c r="M22" s="42">
        <v>3299913</v>
      </c>
      <c r="N22" s="42">
        <v>681539</v>
      </c>
      <c r="O22" s="42">
        <v>1709712</v>
      </c>
    </row>
    <row r="23" spans="2:15" x14ac:dyDescent="0.2">
      <c r="B23" s="35">
        <v>1995</v>
      </c>
      <c r="C23" s="40">
        <v>600551</v>
      </c>
      <c r="D23" s="40">
        <v>19851</v>
      </c>
      <c r="E23" s="40">
        <v>192117</v>
      </c>
      <c r="F23" s="40">
        <v>2220</v>
      </c>
      <c r="G23" s="40">
        <v>649739</v>
      </c>
      <c r="H23" s="40">
        <v>153517</v>
      </c>
      <c r="I23" s="41">
        <v>122363</v>
      </c>
      <c r="J23" s="42">
        <v>24877133</v>
      </c>
      <c r="K23" s="42">
        <v>507603</v>
      </c>
      <c r="L23" s="42">
        <v>824924</v>
      </c>
      <c r="M23" s="42">
        <v>2571428</v>
      </c>
      <c r="N23" s="42">
        <v>1203674</v>
      </c>
      <c r="O23" s="42">
        <v>1803049</v>
      </c>
    </row>
    <row r="24" spans="2:15" x14ac:dyDescent="0.2">
      <c r="B24" s="35">
        <v>1996</v>
      </c>
      <c r="C24" s="40">
        <v>1093498</v>
      </c>
      <c r="D24" s="40">
        <v>24254</v>
      </c>
      <c r="E24" s="40">
        <v>519262</v>
      </c>
      <c r="F24" s="40">
        <v>5012</v>
      </c>
      <c r="G24" s="40">
        <v>668106</v>
      </c>
      <c r="H24" s="40">
        <v>184795</v>
      </c>
      <c r="I24" s="41">
        <v>176020</v>
      </c>
      <c r="J24" s="42">
        <v>23091434</v>
      </c>
      <c r="K24" s="42">
        <v>257200</v>
      </c>
      <c r="L24" s="42">
        <v>1351190</v>
      </c>
      <c r="M24" s="42">
        <v>1587948</v>
      </c>
      <c r="N24" s="42">
        <v>321026</v>
      </c>
      <c r="O24" s="42">
        <v>2052430</v>
      </c>
    </row>
    <row r="25" spans="2:15" x14ac:dyDescent="0.2">
      <c r="B25" s="44">
        <v>1997</v>
      </c>
      <c r="C25" s="40">
        <v>1251831</v>
      </c>
      <c r="D25" s="40">
        <v>46414</v>
      </c>
      <c r="E25" s="40">
        <v>660877</v>
      </c>
      <c r="F25" s="40">
        <v>13765</v>
      </c>
      <c r="G25" s="40">
        <v>915028</v>
      </c>
      <c r="H25" s="40">
        <v>178600</v>
      </c>
      <c r="I25" s="41">
        <v>312795</v>
      </c>
      <c r="J25" s="42">
        <v>30075552</v>
      </c>
      <c r="K25" s="42">
        <v>318926</v>
      </c>
      <c r="L25" s="42">
        <v>1502997</v>
      </c>
      <c r="M25" s="42">
        <v>1935762</v>
      </c>
      <c r="N25" s="42">
        <v>425460</v>
      </c>
      <c r="O25" s="42">
        <v>1936135</v>
      </c>
    </row>
    <row r="26" spans="2:15" x14ac:dyDescent="0.2">
      <c r="B26" s="44">
        <v>1998</v>
      </c>
      <c r="C26" s="40">
        <v>759722</v>
      </c>
      <c r="D26" s="40">
        <v>26369</v>
      </c>
      <c r="E26" s="40">
        <v>468752</v>
      </c>
      <c r="F26" s="40">
        <v>7244</v>
      </c>
      <c r="G26" s="40">
        <v>901777</v>
      </c>
      <c r="H26" s="40">
        <v>143005</v>
      </c>
      <c r="I26" s="41">
        <v>204107</v>
      </c>
      <c r="J26" s="42">
        <v>37600080</v>
      </c>
      <c r="K26" s="42">
        <v>420124</v>
      </c>
      <c r="L26" s="42">
        <v>1688835</v>
      </c>
      <c r="M26" s="42">
        <v>2860719</v>
      </c>
      <c r="N26" s="42">
        <v>293267</v>
      </c>
      <c r="O26" s="42">
        <v>2044450</v>
      </c>
    </row>
    <row r="27" spans="2:15" x14ac:dyDescent="0.2">
      <c r="B27" s="44">
        <v>1999</v>
      </c>
      <c r="C27" s="40">
        <v>531201</v>
      </c>
      <c r="D27" s="40">
        <v>9759</v>
      </c>
      <c r="E27" s="40">
        <v>560421</v>
      </c>
      <c r="F27" s="40">
        <v>7871</v>
      </c>
      <c r="G27" s="40">
        <v>518569</v>
      </c>
      <c r="H27" s="40">
        <v>149754</v>
      </c>
      <c r="I27" s="41">
        <v>179380</v>
      </c>
      <c r="J27" s="42">
        <v>29453550</v>
      </c>
      <c r="K27" s="42">
        <v>167901</v>
      </c>
      <c r="L27" s="42">
        <v>1981241</v>
      </c>
      <c r="M27" s="42">
        <v>3393582</v>
      </c>
      <c r="N27" s="42">
        <v>195327</v>
      </c>
      <c r="O27" s="42">
        <v>2065471</v>
      </c>
    </row>
    <row r="28" spans="2:15" x14ac:dyDescent="0.2">
      <c r="B28" s="44">
        <v>2000</v>
      </c>
      <c r="C28" s="40">
        <v>532157</v>
      </c>
      <c r="D28" s="40">
        <v>12979</v>
      </c>
      <c r="E28" s="40">
        <v>423054</v>
      </c>
      <c r="F28" s="40">
        <v>9640</v>
      </c>
      <c r="G28" s="40">
        <v>384849</v>
      </c>
      <c r="H28" s="40">
        <v>77015</v>
      </c>
      <c r="I28" s="41">
        <v>307155</v>
      </c>
      <c r="J28" s="42">
        <v>33638392</v>
      </c>
      <c r="K28" s="42">
        <v>113956</v>
      </c>
      <c r="L28" s="42">
        <v>1979875</v>
      </c>
      <c r="M28" s="42">
        <v>3549699</v>
      </c>
      <c r="N28" s="42">
        <v>68278</v>
      </c>
      <c r="O28" s="42">
        <v>2606640</v>
      </c>
    </row>
    <row r="29" spans="2:15" x14ac:dyDescent="0.2">
      <c r="B29" s="44">
        <v>2001</v>
      </c>
      <c r="C29" s="40">
        <v>542951</v>
      </c>
      <c r="D29" s="40">
        <v>6649</v>
      </c>
      <c r="E29" s="40">
        <v>781793</v>
      </c>
      <c r="F29" s="40">
        <v>12466</v>
      </c>
      <c r="G29" s="40">
        <v>290202</v>
      </c>
      <c r="H29" s="40">
        <v>200234</v>
      </c>
      <c r="I29" s="41">
        <v>498731</v>
      </c>
      <c r="J29" s="42">
        <v>33579221</v>
      </c>
      <c r="K29" s="42">
        <v>164389</v>
      </c>
      <c r="L29" s="42">
        <v>2731111</v>
      </c>
      <c r="M29" s="42">
        <v>3694157</v>
      </c>
      <c r="N29" s="42">
        <v>108152</v>
      </c>
      <c r="O29" s="42">
        <v>2691307</v>
      </c>
    </row>
    <row r="30" spans="2:15" x14ac:dyDescent="0.2">
      <c r="B30" s="44">
        <v>2002</v>
      </c>
      <c r="C30" s="40">
        <v>697161</v>
      </c>
      <c r="D30" s="40">
        <v>26587</v>
      </c>
      <c r="E30" s="40">
        <v>1242321</v>
      </c>
      <c r="F30" s="40">
        <v>15432</v>
      </c>
      <c r="G30" s="40">
        <v>391230</v>
      </c>
      <c r="H30" s="40">
        <v>154214</v>
      </c>
      <c r="I30" s="41">
        <v>654293</v>
      </c>
      <c r="J30" s="42">
        <v>35458513</v>
      </c>
      <c r="K30" s="42">
        <v>22689</v>
      </c>
      <c r="L30" s="42">
        <v>2607852</v>
      </c>
      <c r="M30" s="42">
        <v>2018415</v>
      </c>
      <c r="N30" s="42">
        <v>552831</v>
      </c>
      <c r="O30" s="42">
        <v>2709417</v>
      </c>
    </row>
    <row r="31" spans="2:15" x14ac:dyDescent="0.2">
      <c r="B31" s="44">
        <v>2003</v>
      </c>
      <c r="C31" s="40">
        <v>966268</v>
      </c>
      <c r="D31" s="40">
        <v>51131</v>
      </c>
      <c r="E31" s="40">
        <v>1847870</v>
      </c>
      <c r="F31" s="40">
        <v>19379</v>
      </c>
      <c r="G31" s="40">
        <v>1241043</v>
      </c>
      <c r="H31" s="40">
        <v>230435</v>
      </c>
      <c r="I31" s="41">
        <v>528172</v>
      </c>
      <c r="J31" s="42">
        <v>32529486</v>
      </c>
      <c r="K31" s="42">
        <v>34386</v>
      </c>
      <c r="L31" s="42">
        <v>2513849</v>
      </c>
      <c r="M31" s="42">
        <v>2322748</v>
      </c>
      <c r="N31" s="42">
        <v>495051</v>
      </c>
      <c r="O31" s="42">
        <v>2664377</v>
      </c>
    </row>
    <row r="32" spans="2:15" x14ac:dyDescent="0.2">
      <c r="B32" s="44">
        <v>2004</v>
      </c>
      <c r="C32" s="40">
        <v>958224</v>
      </c>
      <c r="D32" s="40">
        <v>79509</v>
      </c>
      <c r="E32" s="40">
        <v>1388880</v>
      </c>
      <c r="F32" s="40">
        <v>19752</v>
      </c>
      <c r="G32" s="40">
        <v>682396</v>
      </c>
      <c r="H32" s="40">
        <v>389826</v>
      </c>
      <c r="I32" s="41">
        <v>700182</v>
      </c>
      <c r="J32" s="42">
        <v>35073239</v>
      </c>
      <c r="K32" s="42">
        <v>9651</v>
      </c>
      <c r="L32" s="42">
        <v>2343900</v>
      </c>
      <c r="M32" s="42">
        <v>6968687</v>
      </c>
      <c r="N32" s="42">
        <v>496160</v>
      </c>
      <c r="O32" s="42">
        <v>2846668</v>
      </c>
    </row>
    <row r="33" spans="2:15" x14ac:dyDescent="0.2">
      <c r="B33" s="44">
        <v>2005</v>
      </c>
      <c r="C33" s="40">
        <v>606714</v>
      </c>
      <c r="D33" s="40">
        <v>78536</v>
      </c>
      <c r="E33" s="40">
        <v>893294</v>
      </c>
      <c r="F33" s="40">
        <v>25811</v>
      </c>
      <c r="G33" s="40">
        <v>431007</v>
      </c>
      <c r="H33" s="40">
        <v>206168</v>
      </c>
      <c r="I33" s="41">
        <v>871576</v>
      </c>
      <c r="J33" s="42">
        <v>22277392</v>
      </c>
      <c r="K33" s="42">
        <v>8265</v>
      </c>
      <c r="L33" s="42">
        <v>3213538</v>
      </c>
      <c r="M33" s="42">
        <v>5759861</v>
      </c>
      <c r="N33" s="42">
        <v>439942</v>
      </c>
      <c r="O33" s="42">
        <v>3240823</v>
      </c>
    </row>
    <row r="34" spans="2:15" x14ac:dyDescent="0.2">
      <c r="B34" s="44">
        <v>2006</v>
      </c>
      <c r="C34" s="40">
        <v>431512</v>
      </c>
      <c r="D34" s="40">
        <v>24787</v>
      </c>
      <c r="E34" s="40">
        <v>757150</v>
      </c>
      <c r="F34" s="40">
        <v>21065</v>
      </c>
      <c r="G34" s="40">
        <v>363362</v>
      </c>
      <c r="H34" s="40">
        <v>175713</v>
      </c>
      <c r="I34" s="41">
        <v>450403</v>
      </c>
      <c r="J34" s="42">
        <v>23553775</v>
      </c>
      <c r="K34" s="42">
        <v>10067</v>
      </c>
      <c r="L34" s="42">
        <v>3092659</v>
      </c>
      <c r="M34" s="42">
        <v>4101797</v>
      </c>
      <c r="N34" s="42">
        <v>249699</v>
      </c>
      <c r="O34" s="42">
        <v>2415182</v>
      </c>
    </row>
    <row r="35" spans="2:15" x14ac:dyDescent="0.2">
      <c r="B35" s="44">
        <v>2007</v>
      </c>
      <c r="C35" s="40">
        <v>312688</v>
      </c>
      <c r="D35" s="40">
        <v>12688</v>
      </c>
      <c r="E35" s="40">
        <v>432396</v>
      </c>
      <c r="F35" s="40">
        <v>25615</v>
      </c>
      <c r="G35" s="40">
        <v>189943</v>
      </c>
      <c r="H35" s="40">
        <v>270534</v>
      </c>
      <c r="I35" s="41">
        <v>303005</v>
      </c>
      <c r="J35" s="42">
        <v>41887512</v>
      </c>
      <c r="K35" s="42">
        <v>121581</v>
      </c>
      <c r="L35" s="42">
        <v>2770728</v>
      </c>
      <c r="M35" s="42">
        <v>4269214</v>
      </c>
      <c r="N35" s="42">
        <v>139348</v>
      </c>
      <c r="O35" s="42">
        <v>2342796</v>
      </c>
    </row>
    <row r="36" spans="2:15" x14ac:dyDescent="0.2">
      <c r="B36" s="44">
        <v>2008</v>
      </c>
      <c r="C36" s="40">
        <v>501289</v>
      </c>
      <c r="D36" s="40">
        <v>16214</v>
      </c>
      <c r="E36" s="40">
        <v>447464</v>
      </c>
      <c r="F36" s="40">
        <v>24466</v>
      </c>
      <c r="G36" s="40">
        <v>146505</v>
      </c>
      <c r="H36" s="40">
        <v>417257</v>
      </c>
      <c r="I36" s="41">
        <v>332887</v>
      </c>
      <c r="J36" s="42">
        <v>18862328</v>
      </c>
      <c r="K36" s="42">
        <v>15427</v>
      </c>
      <c r="L36" s="42">
        <v>3772043</v>
      </c>
      <c r="M36" s="42">
        <v>4145664</v>
      </c>
      <c r="N36" s="42">
        <v>67574</v>
      </c>
      <c r="O36" s="42">
        <v>2620092</v>
      </c>
    </row>
    <row r="37" spans="2:15" x14ac:dyDescent="0.2">
      <c r="B37" s="44">
        <v>2009</v>
      </c>
      <c r="C37" s="40">
        <v>199339</v>
      </c>
      <c r="D37" s="40">
        <v>16662</v>
      </c>
      <c r="E37" s="40">
        <v>186691</v>
      </c>
      <c r="F37" s="40">
        <v>26632</v>
      </c>
      <c r="G37" s="40">
        <v>109482</v>
      </c>
      <c r="H37" s="40">
        <v>303769</v>
      </c>
      <c r="I37" s="41">
        <v>576942</v>
      </c>
      <c r="J37" s="42">
        <v>21722514</v>
      </c>
      <c r="K37" s="42">
        <v>94915</v>
      </c>
      <c r="L37" s="42">
        <v>3946795</v>
      </c>
      <c r="M37" s="42">
        <v>4408063</v>
      </c>
      <c r="N37" s="43" t="s">
        <v>116</v>
      </c>
      <c r="O37" s="42">
        <v>1983580</v>
      </c>
    </row>
    <row r="38" spans="2:15" x14ac:dyDescent="0.2">
      <c r="B38" s="44">
        <v>2010</v>
      </c>
      <c r="C38" s="40">
        <v>119886</v>
      </c>
      <c r="D38" s="40">
        <v>5609</v>
      </c>
      <c r="E38" s="40">
        <v>45959</v>
      </c>
      <c r="F38" s="40">
        <v>27025</v>
      </c>
      <c r="G38" s="40">
        <v>62427</v>
      </c>
      <c r="H38" s="40">
        <v>586353</v>
      </c>
      <c r="I38" s="41">
        <v>212094</v>
      </c>
      <c r="J38" s="42">
        <v>30574111</v>
      </c>
      <c r="K38" s="42">
        <v>53553</v>
      </c>
      <c r="L38" s="42">
        <v>4539617</v>
      </c>
      <c r="M38" s="42">
        <v>4653790</v>
      </c>
      <c r="N38" s="43" t="s">
        <v>116</v>
      </c>
      <c r="O38" s="42">
        <v>2768518</v>
      </c>
    </row>
    <row r="39" spans="2:15" x14ac:dyDescent="0.2">
      <c r="B39" s="44">
        <v>2011</v>
      </c>
      <c r="C39" s="40">
        <v>52218</v>
      </c>
      <c r="D39" s="40">
        <v>6656</v>
      </c>
      <c r="E39" s="40">
        <v>71523</v>
      </c>
      <c r="F39" s="40">
        <v>35703</v>
      </c>
      <c r="G39" s="40">
        <v>41399</v>
      </c>
      <c r="H39" s="40">
        <v>279343</v>
      </c>
      <c r="I39" s="41">
        <v>220767</v>
      </c>
      <c r="J39" s="42">
        <v>18454308</v>
      </c>
      <c r="K39" s="42">
        <v>42053</v>
      </c>
      <c r="L39" s="42">
        <v>5500364</v>
      </c>
      <c r="M39" s="42">
        <v>4091780</v>
      </c>
      <c r="N39" s="42">
        <v>211882</v>
      </c>
      <c r="O39" s="42">
        <v>2148705</v>
      </c>
    </row>
    <row r="40" spans="2:15" x14ac:dyDescent="0.2">
      <c r="B40" s="70" t="s">
        <v>156</v>
      </c>
      <c r="C40" s="71">
        <v>33522</v>
      </c>
      <c r="D40" s="71">
        <v>2056</v>
      </c>
      <c r="E40" s="71">
        <v>141646</v>
      </c>
      <c r="F40" s="71">
        <v>27946</v>
      </c>
      <c r="G40" s="71">
        <v>14786</v>
      </c>
      <c r="H40" s="71">
        <v>126034</v>
      </c>
      <c r="I40" s="72">
        <v>137775</v>
      </c>
      <c r="J40" s="73">
        <v>4849058</v>
      </c>
      <c r="K40" s="73">
        <v>159402</v>
      </c>
      <c r="L40" s="73">
        <v>5857759</v>
      </c>
      <c r="M40" s="73">
        <v>4536349</v>
      </c>
      <c r="N40" s="73">
        <v>334358</v>
      </c>
      <c r="O40" s="73">
        <v>2288527</v>
      </c>
    </row>
    <row r="41" spans="2:15" x14ac:dyDescent="0.2">
      <c r="B41" s="74" t="s">
        <v>157</v>
      </c>
      <c r="C41" s="75">
        <v>43426</v>
      </c>
      <c r="D41" s="75">
        <v>1006</v>
      </c>
      <c r="E41" s="75">
        <v>284100</v>
      </c>
      <c r="F41" s="75">
        <v>37310</v>
      </c>
      <c r="G41" s="75">
        <v>9442</v>
      </c>
      <c r="H41" s="75">
        <v>247891</v>
      </c>
      <c r="I41" s="76">
        <v>107624</v>
      </c>
      <c r="J41" s="77">
        <v>17624947</v>
      </c>
      <c r="K41" s="77">
        <v>75911</v>
      </c>
      <c r="L41" s="77" t="s">
        <v>116</v>
      </c>
      <c r="M41" s="77">
        <v>5337299</v>
      </c>
      <c r="N41" s="77">
        <v>398217</v>
      </c>
      <c r="O41" s="77">
        <v>2135293</v>
      </c>
    </row>
    <row r="42" spans="2:15" x14ac:dyDescent="0.2">
      <c r="B42" s="32"/>
      <c r="C42" s="32"/>
      <c r="D42" s="32"/>
      <c r="E42" s="32"/>
      <c r="F42" s="32"/>
      <c r="G42" s="32"/>
      <c r="H42" s="32"/>
      <c r="I42" s="32"/>
      <c r="J42" s="32"/>
      <c r="K42" s="32"/>
      <c r="L42" s="32"/>
      <c r="M42" s="32"/>
      <c r="N42" s="32"/>
      <c r="O42" s="32"/>
    </row>
    <row r="43" spans="2:15" ht="15" x14ac:dyDescent="0.25">
      <c r="B43" s="45" t="s">
        <v>158</v>
      </c>
      <c r="C43" s="32"/>
      <c r="D43" s="32"/>
      <c r="E43" s="32"/>
      <c r="F43" s="32"/>
      <c r="G43" s="32"/>
      <c r="H43" s="32"/>
      <c r="I43" s="32"/>
      <c r="J43" s="32"/>
      <c r="K43" s="32"/>
      <c r="L43" s="32"/>
      <c r="M43" s="32"/>
      <c r="N43" s="32"/>
      <c r="O43" s="32"/>
    </row>
    <row r="44" spans="2:15" ht="14.25" x14ac:dyDescent="0.2">
      <c r="B44" s="46" t="s">
        <v>159</v>
      </c>
      <c r="C44" s="32"/>
      <c r="D44" s="32"/>
      <c r="E44" s="32"/>
      <c r="F44" s="32"/>
      <c r="G44" s="32"/>
      <c r="H44" s="32"/>
      <c r="I44" s="32"/>
      <c r="J44" s="32"/>
      <c r="K44" s="32"/>
      <c r="L44" s="32"/>
      <c r="M44" s="32"/>
      <c r="N44" s="32"/>
      <c r="O44" s="32"/>
    </row>
    <row r="45" spans="2:15" ht="14.25" x14ac:dyDescent="0.2">
      <c r="B45" s="46" t="s">
        <v>160</v>
      </c>
      <c r="C45" s="32"/>
      <c r="D45" s="32"/>
      <c r="E45" s="32"/>
      <c r="F45" s="32"/>
      <c r="G45" s="32"/>
      <c r="H45" s="32"/>
      <c r="I45" s="32"/>
      <c r="J45" s="32"/>
      <c r="K45" s="32"/>
      <c r="L45" s="32"/>
      <c r="M45" s="32"/>
      <c r="N45" s="32"/>
      <c r="O45" s="32"/>
    </row>
    <row r="46" spans="2:15" ht="15" x14ac:dyDescent="0.25">
      <c r="B46" s="47" t="s">
        <v>161</v>
      </c>
      <c r="C46" s="32"/>
      <c r="D46" s="32"/>
      <c r="E46" s="32"/>
      <c r="F46" s="32"/>
      <c r="G46" s="32"/>
      <c r="H46" s="32"/>
      <c r="I46" s="32"/>
      <c r="J46" s="32"/>
      <c r="K46" s="32"/>
      <c r="L46" s="32"/>
      <c r="M46" s="32"/>
      <c r="N46" s="32"/>
      <c r="O46" s="32"/>
    </row>
    <row r="49" spans="2:15" x14ac:dyDescent="0.2">
      <c r="B49" s="61" t="s">
        <v>288</v>
      </c>
      <c r="C49" s="24">
        <f>AVERAGE(C18:C39)/1000</f>
        <v>885.1613636363636</v>
      </c>
      <c r="D49" s="24">
        <f t="shared" ref="D49:O49" si="0">AVERAGE(D18:D39)/1000</f>
        <v>28.394227272727271</v>
      </c>
      <c r="E49" s="24">
        <f>AVERAGE(E18:E39)/1000</f>
        <v>516.59713636363631</v>
      </c>
      <c r="F49" s="24">
        <f t="shared" si="0"/>
        <v>15.805636363636363</v>
      </c>
      <c r="G49" s="24">
        <f t="shared" si="0"/>
        <v>740.10149999999999</v>
      </c>
      <c r="H49" s="24">
        <f t="shared" si="0"/>
        <v>294.2354545454545</v>
      </c>
      <c r="I49" s="24">
        <f t="shared" si="0"/>
        <v>358.97736363636363</v>
      </c>
      <c r="J49" s="24">
        <f t="shared" si="0"/>
        <v>30138.409090909088</v>
      </c>
      <c r="K49" s="24">
        <f t="shared" si="0"/>
        <v>244.40950000000001</v>
      </c>
      <c r="L49" s="24">
        <f t="shared" si="0"/>
        <v>2298.4299999999998</v>
      </c>
      <c r="M49" s="24">
        <f t="shared" si="0"/>
        <v>3851.399272727273</v>
      </c>
      <c r="N49" s="24">
        <f t="shared" si="0"/>
        <v>388.49440000000004</v>
      </c>
      <c r="O49" s="24">
        <f t="shared" si="0"/>
        <v>2051.1209090909092</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76"/>
  <sheetViews>
    <sheetView topLeftCell="A4" workbookViewId="0"/>
  </sheetViews>
  <sheetFormatPr defaultRowHeight="12.75" x14ac:dyDescent="0.2"/>
  <cols>
    <col min="1" max="1" width="5.7109375" customWidth="1"/>
    <col min="2" max="2" width="25.140625" customWidth="1"/>
    <col min="3" max="3" width="31.5703125" customWidth="1"/>
  </cols>
  <sheetData>
    <row r="1" spans="2:3" x14ac:dyDescent="0.2">
      <c r="B1" s="48" t="s">
        <v>162</v>
      </c>
    </row>
    <row r="2" spans="2:3" x14ac:dyDescent="0.2">
      <c r="B2" s="49" t="s">
        <v>163</v>
      </c>
      <c r="C2" s="50" t="s">
        <v>164</v>
      </c>
    </row>
    <row r="3" spans="2:3" x14ac:dyDescent="0.2">
      <c r="B3" s="51" t="s">
        <v>165</v>
      </c>
      <c r="C3" s="52" t="s">
        <v>166</v>
      </c>
    </row>
    <row r="4" spans="2:3" x14ac:dyDescent="0.2">
      <c r="B4" s="53"/>
      <c r="C4" s="54" t="s">
        <v>167</v>
      </c>
    </row>
    <row r="5" spans="2:3" x14ac:dyDescent="0.2">
      <c r="B5" s="53"/>
      <c r="C5" s="54" t="s">
        <v>168</v>
      </c>
    </row>
    <row r="6" spans="2:3" x14ac:dyDescent="0.2">
      <c r="B6" s="55"/>
      <c r="C6" s="56" t="s">
        <v>169</v>
      </c>
    </row>
    <row r="7" spans="2:3" x14ac:dyDescent="0.2">
      <c r="B7" s="51" t="s">
        <v>170</v>
      </c>
      <c r="C7" s="57" t="s">
        <v>171</v>
      </c>
    </row>
    <row r="8" spans="2:3" x14ac:dyDescent="0.2">
      <c r="B8" s="53"/>
      <c r="C8" s="58" t="s">
        <v>172</v>
      </c>
    </row>
    <row r="9" spans="2:3" x14ac:dyDescent="0.2">
      <c r="B9" s="53"/>
      <c r="C9" s="58" t="s">
        <v>173</v>
      </c>
    </row>
    <row r="10" spans="2:3" x14ac:dyDescent="0.2">
      <c r="B10" s="53"/>
      <c r="C10" s="58" t="s">
        <v>174</v>
      </c>
    </row>
    <row r="11" spans="2:3" x14ac:dyDescent="0.2">
      <c r="B11" s="53"/>
      <c r="C11" s="58" t="s">
        <v>175</v>
      </c>
    </row>
    <row r="12" spans="2:3" x14ac:dyDescent="0.2">
      <c r="B12" s="53"/>
      <c r="C12" s="58" t="s">
        <v>176</v>
      </c>
    </row>
    <row r="13" spans="2:3" x14ac:dyDescent="0.2">
      <c r="B13" s="53"/>
      <c r="C13" s="58" t="s">
        <v>177</v>
      </c>
    </row>
    <row r="14" spans="2:3" x14ac:dyDescent="0.2">
      <c r="B14" s="53"/>
      <c r="C14" s="58" t="s">
        <v>178</v>
      </c>
    </row>
    <row r="15" spans="2:3" x14ac:dyDescent="0.2">
      <c r="B15" s="53"/>
      <c r="C15" s="58" t="s">
        <v>179</v>
      </c>
    </row>
    <row r="16" spans="2:3" x14ac:dyDescent="0.2">
      <c r="B16" s="53"/>
      <c r="C16" s="58" t="s">
        <v>180</v>
      </c>
    </row>
    <row r="17" spans="2:3" x14ac:dyDescent="0.2">
      <c r="B17" s="53"/>
      <c r="C17" s="58" t="s">
        <v>181</v>
      </c>
    </row>
    <row r="18" spans="2:3" x14ac:dyDescent="0.2">
      <c r="B18" s="53"/>
      <c r="C18" s="58" t="s">
        <v>182</v>
      </c>
    </row>
    <row r="19" spans="2:3" x14ac:dyDescent="0.2">
      <c r="B19" s="53"/>
      <c r="C19" s="58" t="s">
        <v>183</v>
      </c>
    </row>
    <row r="20" spans="2:3" x14ac:dyDescent="0.2">
      <c r="B20" s="53"/>
      <c r="C20" s="58" t="s">
        <v>184</v>
      </c>
    </row>
    <row r="21" spans="2:3" x14ac:dyDescent="0.2">
      <c r="B21" s="53"/>
      <c r="C21" s="58" t="s">
        <v>185</v>
      </c>
    </row>
    <row r="22" spans="2:3" x14ac:dyDescent="0.2">
      <c r="B22" s="53"/>
      <c r="C22" s="58" t="s">
        <v>186</v>
      </c>
    </row>
    <row r="23" spans="2:3" x14ac:dyDescent="0.2">
      <c r="B23" s="53"/>
      <c r="C23" s="58" t="s">
        <v>187</v>
      </c>
    </row>
    <row r="24" spans="2:3" x14ac:dyDescent="0.2">
      <c r="B24" s="53"/>
      <c r="C24" s="58" t="s">
        <v>188</v>
      </c>
    </row>
    <row r="25" spans="2:3" x14ac:dyDescent="0.2">
      <c r="B25" s="53"/>
      <c r="C25" s="58" t="s">
        <v>189</v>
      </c>
    </row>
    <row r="26" spans="2:3" x14ac:dyDescent="0.2">
      <c r="B26" s="53"/>
      <c r="C26" s="58" t="s">
        <v>190</v>
      </c>
    </row>
    <row r="27" spans="2:3" x14ac:dyDescent="0.2">
      <c r="B27" s="53"/>
      <c r="C27" s="58" t="s">
        <v>191</v>
      </c>
    </row>
    <row r="28" spans="2:3" x14ac:dyDescent="0.2">
      <c r="B28" s="53"/>
      <c r="C28" s="58" t="s">
        <v>192</v>
      </c>
    </row>
    <row r="29" spans="2:3" x14ac:dyDescent="0.2">
      <c r="B29" s="53"/>
      <c r="C29" s="58" t="s">
        <v>193</v>
      </c>
    </row>
    <row r="30" spans="2:3" x14ac:dyDescent="0.2">
      <c r="B30" s="53"/>
      <c r="C30" s="58" t="s">
        <v>194</v>
      </c>
    </row>
    <row r="31" spans="2:3" x14ac:dyDescent="0.2">
      <c r="B31" s="53"/>
      <c r="C31" s="58" t="s">
        <v>195</v>
      </c>
    </row>
    <row r="32" spans="2:3" x14ac:dyDescent="0.2">
      <c r="B32" s="55"/>
      <c r="C32" s="59" t="s">
        <v>196</v>
      </c>
    </row>
    <row r="33" spans="2:3" x14ac:dyDescent="0.2">
      <c r="B33" s="51" t="s">
        <v>197</v>
      </c>
      <c r="C33" s="57" t="s">
        <v>198</v>
      </c>
    </row>
    <row r="34" spans="2:3" x14ac:dyDescent="0.2">
      <c r="B34" s="53"/>
      <c r="C34" s="58" t="s">
        <v>199</v>
      </c>
    </row>
    <row r="35" spans="2:3" x14ac:dyDescent="0.2">
      <c r="B35" s="53"/>
      <c r="C35" s="58" t="s">
        <v>200</v>
      </c>
    </row>
    <row r="36" spans="2:3" x14ac:dyDescent="0.2">
      <c r="B36" s="53"/>
      <c r="C36" s="58" t="s">
        <v>201</v>
      </c>
    </row>
    <row r="37" spans="2:3" x14ac:dyDescent="0.2">
      <c r="B37" s="53"/>
      <c r="C37" s="58" t="s">
        <v>202</v>
      </c>
    </row>
    <row r="38" spans="2:3" x14ac:dyDescent="0.2">
      <c r="B38" s="53"/>
      <c r="C38" s="58" t="s">
        <v>203</v>
      </c>
    </row>
    <row r="39" spans="2:3" x14ac:dyDescent="0.2">
      <c r="B39" s="51" t="s">
        <v>204</v>
      </c>
      <c r="C39" s="57" t="s">
        <v>205</v>
      </c>
    </row>
    <row r="40" spans="2:3" x14ac:dyDescent="0.2">
      <c r="B40" s="53"/>
      <c r="C40" s="58" t="s">
        <v>206</v>
      </c>
    </row>
    <row r="41" spans="2:3" x14ac:dyDescent="0.2">
      <c r="B41" s="53"/>
      <c r="C41" s="58" t="s">
        <v>207</v>
      </c>
    </row>
    <row r="42" spans="2:3" x14ac:dyDescent="0.2">
      <c r="B42" s="53"/>
      <c r="C42" s="58" t="s">
        <v>208</v>
      </c>
    </row>
    <row r="43" spans="2:3" x14ac:dyDescent="0.2">
      <c r="B43" s="53"/>
      <c r="C43" s="58" t="s">
        <v>209</v>
      </c>
    </row>
    <row r="44" spans="2:3" x14ac:dyDescent="0.2">
      <c r="B44" s="53"/>
      <c r="C44" s="58" t="s">
        <v>210</v>
      </c>
    </row>
    <row r="45" spans="2:3" x14ac:dyDescent="0.2">
      <c r="B45" s="53"/>
      <c r="C45" s="58" t="s">
        <v>211</v>
      </c>
    </row>
    <row r="46" spans="2:3" x14ac:dyDescent="0.2">
      <c r="B46" s="53"/>
      <c r="C46" s="58" t="s">
        <v>212</v>
      </c>
    </row>
    <row r="47" spans="2:3" x14ac:dyDescent="0.2">
      <c r="B47" s="53"/>
      <c r="C47" s="58" t="s">
        <v>213</v>
      </c>
    </row>
    <row r="48" spans="2:3" x14ac:dyDescent="0.2">
      <c r="B48" s="53"/>
      <c r="C48" s="58" t="s">
        <v>214</v>
      </c>
    </row>
    <row r="49" spans="2:3" x14ac:dyDescent="0.2">
      <c r="B49" s="53"/>
      <c r="C49" s="58" t="s">
        <v>215</v>
      </c>
    </row>
    <row r="50" spans="2:3" x14ac:dyDescent="0.2">
      <c r="B50" s="53"/>
      <c r="C50" s="58" t="s">
        <v>216</v>
      </c>
    </row>
    <row r="51" spans="2:3" x14ac:dyDescent="0.2">
      <c r="B51" s="53"/>
      <c r="C51" s="58" t="s">
        <v>217</v>
      </c>
    </row>
    <row r="52" spans="2:3" x14ac:dyDescent="0.2">
      <c r="B52" s="53"/>
      <c r="C52" s="58" t="s">
        <v>218</v>
      </c>
    </row>
    <row r="53" spans="2:3" x14ac:dyDescent="0.2">
      <c r="B53" s="53"/>
      <c r="C53" s="58" t="s">
        <v>219</v>
      </c>
    </row>
    <row r="54" spans="2:3" x14ac:dyDescent="0.2">
      <c r="B54" s="53"/>
      <c r="C54" s="58" t="s">
        <v>220</v>
      </c>
    </row>
    <row r="55" spans="2:3" x14ac:dyDescent="0.2">
      <c r="B55" s="53"/>
      <c r="C55" s="58" t="s">
        <v>221</v>
      </c>
    </row>
    <row r="56" spans="2:3" x14ac:dyDescent="0.2">
      <c r="B56" s="53"/>
      <c r="C56" s="59" t="s">
        <v>222</v>
      </c>
    </row>
    <row r="57" spans="2:3" x14ac:dyDescent="0.2">
      <c r="B57" s="51" t="s">
        <v>223</v>
      </c>
      <c r="C57" s="57" t="s">
        <v>224</v>
      </c>
    </row>
    <row r="58" spans="2:3" x14ac:dyDescent="0.2">
      <c r="B58" s="53"/>
      <c r="C58" s="58" t="s">
        <v>225</v>
      </c>
    </row>
    <row r="59" spans="2:3" x14ac:dyDescent="0.2">
      <c r="B59" s="53"/>
      <c r="C59" s="58" t="s">
        <v>226</v>
      </c>
    </row>
    <row r="60" spans="2:3" x14ac:dyDescent="0.2">
      <c r="B60" s="53"/>
      <c r="C60" s="58" t="s">
        <v>227</v>
      </c>
    </row>
    <row r="61" spans="2:3" x14ac:dyDescent="0.2">
      <c r="B61" s="53"/>
      <c r="C61" s="58" t="s">
        <v>228</v>
      </c>
    </row>
    <row r="62" spans="2:3" x14ac:dyDescent="0.2">
      <c r="B62" s="53"/>
      <c r="C62" s="58" t="s">
        <v>229</v>
      </c>
    </row>
    <row r="63" spans="2:3" x14ac:dyDescent="0.2">
      <c r="B63" s="53"/>
      <c r="C63" s="58" t="s">
        <v>230</v>
      </c>
    </row>
    <row r="64" spans="2:3" x14ac:dyDescent="0.2">
      <c r="B64" s="53"/>
      <c r="C64" s="58" t="s">
        <v>231</v>
      </c>
    </row>
    <row r="65" spans="2:3" x14ac:dyDescent="0.2">
      <c r="B65" s="53"/>
      <c r="C65" s="58" t="s">
        <v>232</v>
      </c>
    </row>
    <row r="66" spans="2:3" x14ac:dyDescent="0.2">
      <c r="B66" s="53"/>
      <c r="C66" s="58" t="s">
        <v>233</v>
      </c>
    </row>
    <row r="67" spans="2:3" x14ac:dyDescent="0.2">
      <c r="B67" s="53"/>
      <c r="C67" s="58" t="s">
        <v>234</v>
      </c>
    </row>
    <row r="68" spans="2:3" x14ac:dyDescent="0.2">
      <c r="B68" s="53"/>
      <c r="C68" s="58" t="s">
        <v>235</v>
      </c>
    </row>
    <row r="69" spans="2:3" x14ac:dyDescent="0.2">
      <c r="B69" s="53"/>
      <c r="C69" s="58" t="s">
        <v>236</v>
      </c>
    </row>
    <row r="70" spans="2:3" x14ac:dyDescent="0.2">
      <c r="B70" s="53"/>
      <c r="C70" s="58" t="s">
        <v>237</v>
      </c>
    </row>
    <row r="71" spans="2:3" x14ac:dyDescent="0.2">
      <c r="B71" s="53"/>
      <c r="C71" s="58" t="s">
        <v>238</v>
      </c>
    </row>
    <row r="72" spans="2:3" x14ac:dyDescent="0.2">
      <c r="B72" s="60"/>
      <c r="C72" s="59" t="s">
        <v>239</v>
      </c>
    </row>
    <row r="74" spans="2:3" x14ac:dyDescent="0.2">
      <c r="B74" s="273" t="s">
        <v>240</v>
      </c>
      <c r="C74" s="273"/>
    </row>
    <row r="75" spans="2:3" x14ac:dyDescent="0.2">
      <c r="B75" s="273"/>
      <c r="C75" s="273"/>
    </row>
    <row r="76" spans="2:3" x14ac:dyDescent="0.2">
      <c r="B76" s="273"/>
      <c r="C76" s="273"/>
    </row>
  </sheetData>
  <mergeCells count="1">
    <mergeCell ref="B74:C7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heetViews>
  <sheetFormatPr defaultRowHeight="12.75" x14ac:dyDescent="0.2"/>
  <sheetData>
    <row r="1" spans="1:13" x14ac:dyDescent="0.2">
      <c r="A1" t="s">
        <v>122</v>
      </c>
    </row>
    <row r="3" spans="1:13" ht="76.5" x14ac:dyDescent="0.2">
      <c r="B3" s="16" t="s">
        <v>123</v>
      </c>
      <c r="C3" s="16" t="s">
        <v>124</v>
      </c>
      <c r="D3" s="16" t="s">
        <v>125</v>
      </c>
      <c r="E3" s="22" t="s">
        <v>126</v>
      </c>
      <c r="G3" s="26" t="s">
        <v>129</v>
      </c>
      <c r="H3" s="23" t="s">
        <v>127</v>
      </c>
      <c r="I3" s="26" t="s">
        <v>132</v>
      </c>
      <c r="J3" s="27" t="s">
        <v>133</v>
      </c>
      <c r="L3" s="26" t="s">
        <v>134</v>
      </c>
    </row>
    <row r="4" spans="1:13" x14ac:dyDescent="0.2">
      <c r="A4">
        <v>2012</v>
      </c>
      <c r="B4" s="24">
        <v>1691</v>
      </c>
      <c r="C4">
        <v>94</v>
      </c>
      <c r="D4" s="24">
        <v>30217</v>
      </c>
      <c r="E4">
        <f>D4/B4</f>
        <v>17.86930810171496</v>
      </c>
    </row>
    <row r="5" spans="1:13" x14ac:dyDescent="0.2">
      <c r="A5">
        <v>2011</v>
      </c>
      <c r="B5" s="24">
        <v>1729</v>
      </c>
      <c r="C5">
        <v>92</v>
      </c>
      <c r="D5" s="24">
        <v>21560</v>
      </c>
      <c r="E5">
        <f t="shared" ref="E5:E11" si="0">D5/B5</f>
        <v>12.469635627530364</v>
      </c>
      <c r="G5">
        <v>665.17000000000007</v>
      </c>
      <c r="H5" s="25">
        <f t="shared" ref="H5:H6" si="1">D5/G5</f>
        <v>32.412766661154286</v>
      </c>
      <c r="I5" s="25">
        <v>1723.9450000000002</v>
      </c>
      <c r="J5">
        <f>H5*I5</f>
        <v>55877.82702166363</v>
      </c>
      <c r="L5">
        <f>D5/J5</f>
        <v>0.3858417756947003</v>
      </c>
    </row>
    <row r="6" spans="1:13" x14ac:dyDescent="0.2">
      <c r="A6">
        <v>2010</v>
      </c>
      <c r="B6" s="24">
        <v>1626</v>
      </c>
      <c r="C6">
        <v>86</v>
      </c>
      <c r="D6" s="24">
        <v>25625</v>
      </c>
      <c r="E6">
        <f t="shared" si="0"/>
        <v>15.759532595325954</v>
      </c>
      <c r="G6">
        <v>831.42500000000007</v>
      </c>
      <c r="H6" s="25">
        <f t="shared" si="1"/>
        <v>30.820579126198993</v>
      </c>
      <c r="I6" s="25">
        <v>1748.2450000000001</v>
      </c>
      <c r="J6">
        <f>H6*I6</f>
        <v>53881.923354481762</v>
      </c>
      <c r="L6">
        <f>D6/J6</f>
        <v>0.47557693572697191</v>
      </c>
    </row>
    <row r="7" spans="1:13" x14ac:dyDescent="0.2">
      <c r="A7">
        <v>2009</v>
      </c>
      <c r="B7" s="24">
        <v>1658</v>
      </c>
      <c r="C7">
        <v>95</v>
      </c>
      <c r="D7" s="24">
        <v>24000</v>
      </c>
      <c r="E7">
        <f t="shared" si="0"/>
        <v>14.475271411338962</v>
      </c>
      <c r="H7" s="25"/>
      <c r="I7" s="25"/>
    </row>
    <row r="8" spans="1:13" x14ac:dyDescent="0.2">
      <c r="A8">
        <v>2008</v>
      </c>
      <c r="B8" s="24">
        <v>1722</v>
      </c>
      <c r="C8">
        <v>95</v>
      </c>
      <c r="D8" s="24">
        <v>26000</v>
      </c>
      <c r="E8">
        <f t="shared" si="0"/>
        <v>15.098722415795587</v>
      </c>
      <c r="H8" s="25"/>
      <c r="I8" s="25"/>
    </row>
    <row r="9" spans="1:13" x14ac:dyDescent="0.2">
      <c r="A9">
        <v>2007</v>
      </c>
      <c r="B9" s="24">
        <v>1700</v>
      </c>
      <c r="C9">
        <v>95</v>
      </c>
      <c r="D9" s="24">
        <v>39000</v>
      </c>
      <c r="E9">
        <f t="shared" si="0"/>
        <v>22.941176470588236</v>
      </c>
      <c r="H9" s="25"/>
      <c r="I9" s="25"/>
      <c r="M9" s="19" t="s">
        <v>139</v>
      </c>
    </row>
    <row r="10" spans="1:13" x14ac:dyDescent="0.2">
      <c r="A10">
        <v>2006</v>
      </c>
      <c r="B10" s="24">
        <v>1543</v>
      </c>
      <c r="C10">
        <v>92</v>
      </c>
      <c r="D10" s="24">
        <v>41000</v>
      </c>
      <c r="E10">
        <f t="shared" si="0"/>
        <v>26.571613739468567</v>
      </c>
      <c r="H10" s="25"/>
      <c r="I10" s="25"/>
    </row>
    <row r="11" spans="1:13" x14ac:dyDescent="0.2">
      <c r="A11">
        <v>2005</v>
      </c>
      <c r="B11">
        <v>1500</v>
      </c>
      <c r="C11">
        <v>96</v>
      </c>
      <c r="D11" s="24">
        <v>35000</v>
      </c>
      <c r="E11">
        <f t="shared" si="0"/>
        <v>23.333333333333332</v>
      </c>
      <c r="H11" s="25"/>
      <c r="I11" s="25"/>
    </row>
    <row r="13" spans="1:13" x14ac:dyDescent="0.2">
      <c r="A13" s="16" t="s">
        <v>128</v>
      </c>
    </row>
    <row r="15" spans="1:13" x14ac:dyDescent="0.2">
      <c r="A15" s="19" t="s">
        <v>130</v>
      </c>
    </row>
    <row r="16" spans="1:13" x14ac:dyDescent="0.2">
      <c r="A16" s="30" t="s">
        <v>140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0"/>
  <sheetViews>
    <sheetView workbookViewId="0"/>
  </sheetViews>
  <sheetFormatPr defaultRowHeight="15.75" x14ac:dyDescent="0.25"/>
  <cols>
    <col min="1" max="1" width="16.28515625" style="2" bestFit="1" customWidth="1"/>
    <col min="2" max="2" width="16.5703125" style="2" bestFit="1" customWidth="1"/>
  </cols>
  <sheetData>
    <row r="1" spans="1:2" x14ac:dyDescent="0.25">
      <c r="A1" s="2" t="s">
        <v>112</v>
      </c>
    </row>
    <row r="2" spans="1:2" x14ac:dyDescent="0.25">
      <c r="A2" s="1"/>
    </row>
    <row r="3" spans="1:2" x14ac:dyDescent="0.25">
      <c r="A3" s="3" t="s">
        <v>0</v>
      </c>
      <c r="B3" s="11" t="s">
        <v>93</v>
      </c>
    </row>
    <row r="4" spans="1:2" x14ac:dyDescent="0.25">
      <c r="A4" s="4" t="s">
        <v>1</v>
      </c>
      <c r="B4" s="5">
        <v>9.7799999999999994</v>
      </c>
    </row>
    <row r="5" spans="1:2" x14ac:dyDescent="0.25">
      <c r="A5" s="4" t="s">
        <v>2</v>
      </c>
      <c r="B5" s="5">
        <v>8.14</v>
      </c>
    </row>
    <row r="6" spans="1:2" x14ac:dyDescent="0.25">
      <c r="A6" s="4" t="s">
        <v>3</v>
      </c>
      <c r="B6" s="5">
        <v>24.7</v>
      </c>
    </row>
    <row r="7" spans="1:2" x14ac:dyDescent="0.25">
      <c r="A7" s="4" t="s">
        <v>4</v>
      </c>
      <c r="B7" s="5">
        <v>19.95</v>
      </c>
    </row>
    <row r="8" spans="1:2" x14ac:dyDescent="0.25">
      <c r="A8" s="4" t="s">
        <v>5</v>
      </c>
      <c r="B8" s="5">
        <v>5.45</v>
      </c>
    </row>
    <row r="9" spans="1:2" x14ac:dyDescent="0.25">
      <c r="A9" s="4" t="s">
        <v>6</v>
      </c>
      <c r="B9" s="5">
        <v>14.4</v>
      </c>
    </row>
    <row r="10" spans="1:2" x14ac:dyDescent="0.25">
      <c r="A10" s="4" t="s">
        <v>7</v>
      </c>
      <c r="B10" s="5">
        <v>17.36</v>
      </c>
    </row>
    <row r="11" spans="1:2" x14ac:dyDescent="0.25">
      <c r="A11" s="4" t="s">
        <v>8</v>
      </c>
      <c r="B11" s="5">
        <v>12.06</v>
      </c>
    </row>
    <row r="12" spans="1:2" x14ac:dyDescent="0.25">
      <c r="A12" s="4" t="s">
        <v>9</v>
      </c>
      <c r="B12" s="5">
        <v>10.19</v>
      </c>
    </row>
    <row r="13" spans="1:2" x14ac:dyDescent="0.25">
      <c r="A13" s="4" t="s">
        <v>10</v>
      </c>
      <c r="B13" s="5">
        <v>17.55</v>
      </c>
    </row>
    <row r="14" spans="1:2" x14ac:dyDescent="0.25">
      <c r="A14" s="4" t="s">
        <v>11</v>
      </c>
      <c r="B14" s="5">
        <v>10.72</v>
      </c>
    </row>
    <row r="15" spans="1:2" x14ac:dyDescent="0.25">
      <c r="A15" s="4" t="s">
        <v>12</v>
      </c>
      <c r="B15" s="5">
        <v>12.15</v>
      </c>
    </row>
    <row r="16" spans="1:2" x14ac:dyDescent="0.25">
      <c r="A16" s="4" t="s">
        <v>13</v>
      </c>
      <c r="B16" s="5">
        <v>10.64</v>
      </c>
    </row>
    <row r="17" spans="1:2" x14ac:dyDescent="0.25">
      <c r="A17" s="4" t="s">
        <v>14</v>
      </c>
      <c r="B17" s="5">
        <v>23.69</v>
      </c>
    </row>
    <row r="18" spans="1:2" x14ac:dyDescent="0.25">
      <c r="A18" s="4" t="s">
        <v>99</v>
      </c>
      <c r="B18" s="5">
        <v>30.26</v>
      </c>
    </row>
    <row r="19" spans="1:2" x14ac:dyDescent="0.25">
      <c r="A19" s="4" t="s">
        <v>15</v>
      </c>
      <c r="B19" s="5">
        <v>19.399999999999999</v>
      </c>
    </row>
    <row r="20" spans="1:2" x14ac:dyDescent="0.25">
      <c r="A20" s="4" t="s">
        <v>16</v>
      </c>
      <c r="B20" s="5">
        <v>25.3</v>
      </c>
    </row>
    <row r="21" spans="1:2" x14ac:dyDescent="0.25">
      <c r="A21" s="4" t="s">
        <v>17</v>
      </c>
      <c r="B21" s="5">
        <v>5.61</v>
      </c>
    </row>
    <row r="22" spans="1:2" x14ac:dyDescent="0.25">
      <c r="A22" s="4" t="s">
        <v>18</v>
      </c>
      <c r="B22" s="5">
        <v>6.35</v>
      </c>
    </row>
    <row r="23" spans="1:2" x14ac:dyDescent="0.25">
      <c r="A23" s="4" t="s">
        <v>19</v>
      </c>
      <c r="B23" s="5">
        <v>14.1</v>
      </c>
    </row>
    <row r="24" spans="1:2" x14ac:dyDescent="0.25">
      <c r="A24" s="4" t="s">
        <v>20</v>
      </c>
      <c r="B24" s="5">
        <v>10.77</v>
      </c>
    </row>
    <row r="25" spans="1:2" x14ac:dyDescent="0.25">
      <c r="A25" s="4" t="s">
        <v>21</v>
      </c>
      <c r="B25" s="5">
        <v>25.45</v>
      </c>
    </row>
    <row r="26" spans="1:2" x14ac:dyDescent="0.25">
      <c r="A26" s="4" t="s">
        <v>22</v>
      </c>
      <c r="B26" s="5">
        <v>10</v>
      </c>
    </row>
    <row r="27" spans="1:2" x14ac:dyDescent="0.25">
      <c r="A27" s="4" t="s">
        <v>23</v>
      </c>
      <c r="B27" s="5">
        <v>18.23</v>
      </c>
    </row>
    <row r="28" spans="1:2" x14ac:dyDescent="0.25">
      <c r="A28" s="4" t="s">
        <v>24</v>
      </c>
      <c r="B28" s="5">
        <v>8.86</v>
      </c>
    </row>
    <row r="29" spans="1:2" x14ac:dyDescent="0.25">
      <c r="A29" s="4" t="s">
        <v>25</v>
      </c>
      <c r="B29" s="5">
        <v>9.24</v>
      </c>
    </row>
    <row r="30" spans="1:2" x14ac:dyDescent="0.25">
      <c r="A30" s="4" t="s">
        <v>26</v>
      </c>
      <c r="B30" s="5">
        <v>10.6</v>
      </c>
    </row>
    <row r="31" spans="1:2" x14ac:dyDescent="0.25">
      <c r="A31" s="4" t="s">
        <v>27</v>
      </c>
      <c r="B31" s="5" t="s">
        <v>94</v>
      </c>
    </row>
    <row r="32" spans="1:2" x14ac:dyDescent="0.25">
      <c r="A32" s="4" t="s">
        <v>28</v>
      </c>
      <c r="B32" s="5">
        <v>9.6999999999999993</v>
      </c>
    </row>
    <row r="33" spans="1:2" x14ac:dyDescent="0.25">
      <c r="A33" s="4" t="s">
        <v>29</v>
      </c>
      <c r="B33" s="5">
        <v>9.52</v>
      </c>
    </row>
    <row r="34" spans="1:2" x14ac:dyDescent="0.25">
      <c r="A34" s="4" t="s">
        <v>30</v>
      </c>
      <c r="B34" s="5">
        <v>12.4</v>
      </c>
    </row>
    <row r="35" spans="1:2" x14ac:dyDescent="0.25">
      <c r="A35" s="4" t="s">
        <v>31</v>
      </c>
      <c r="B35" s="5" t="s">
        <v>95</v>
      </c>
    </row>
    <row r="36" spans="1:2" x14ac:dyDescent="0.25">
      <c r="A36" s="4" t="s">
        <v>32</v>
      </c>
      <c r="B36" s="5">
        <v>5.19</v>
      </c>
    </row>
    <row r="37" spans="1:2" x14ac:dyDescent="0.25">
      <c r="A37" s="4" t="s">
        <v>33</v>
      </c>
      <c r="B37" s="5">
        <v>24.32</v>
      </c>
    </row>
    <row r="38" spans="1:2" x14ac:dyDescent="0.25">
      <c r="A38" s="4" t="s">
        <v>34</v>
      </c>
      <c r="B38" s="5">
        <v>13.56</v>
      </c>
    </row>
    <row r="39" spans="1:2" x14ac:dyDescent="0.25">
      <c r="A39" s="4" t="s">
        <v>35</v>
      </c>
      <c r="B39" s="5">
        <v>9.5500000000000007</v>
      </c>
    </row>
    <row r="40" spans="1:2" x14ac:dyDescent="0.25">
      <c r="A40" s="4" t="s">
        <v>36</v>
      </c>
      <c r="B40" s="5" t="s">
        <v>96</v>
      </c>
    </row>
    <row r="41" spans="1:2" x14ac:dyDescent="0.25">
      <c r="A41" s="4" t="s">
        <v>37</v>
      </c>
      <c r="B41" s="5">
        <v>7.3049999999999997</v>
      </c>
    </row>
    <row r="42" spans="1:2" x14ac:dyDescent="0.25">
      <c r="A42" s="4" t="s">
        <v>38</v>
      </c>
      <c r="B42" s="5">
        <v>3.41</v>
      </c>
    </row>
    <row r="43" spans="1:2" x14ac:dyDescent="0.25">
      <c r="A43" s="4" t="s">
        <v>39</v>
      </c>
      <c r="B43" s="5">
        <v>15.5</v>
      </c>
    </row>
    <row r="44" spans="1:2" x14ac:dyDescent="0.25">
      <c r="A44" s="4" t="s">
        <v>40</v>
      </c>
      <c r="B44" s="5">
        <v>16</v>
      </c>
    </row>
    <row r="45" spans="1:2" x14ac:dyDescent="0.25">
      <c r="A45" s="4" t="s">
        <v>41</v>
      </c>
      <c r="B45" s="5">
        <v>24</v>
      </c>
    </row>
    <row r="46" spans="1:2" x14ac:dyDescent="0.25">
      <c r="A46" s="4" t="s">
        <v>42</v>
      </c>
      <c r="B46" s="5">
        <v>2.39</v>
      </c>
    </row>
    <row r="47" spans="1:2" x14ac:dyDescent="0.25">
      <c r="A47" s="4" t="s">
        <v>43</v>
      </c>
      <c r="B47" s="5">
        <v>29.1</v>
      </c>
    </row>
    <row r="48" spans="1:2" x14ac:dyDescent="0.25">
      <c r="A48" s="4" t="s">
        <v>44</v>
      </c>
      <c r="B48" s="5">
        <v>4.97</v>
      </c>
    </row>
    <row r="49" spans="1:2" x14ac:dyDescent="0.25">
      <c r="A49" s="4" t="s">
        <v>45</v>
      </c>
      <c r="B49" s="5">
        <v>3.64</v>
      </c>
    </row>
    <row r="50" spans="1:2" x14ac:dyDescent="0.25">
      <c r="A50" s="4" t="s">
        <v>46</v>
      </c>
      <c r="B50" s="5">
        <v>22</v>
      </c>
    </row>
    <row r="51" spans="1:2" x14ac:dyDescent="0.25">
      <c r="A51" s="4" t="s">
        <v>47</v>
      </c>
      <c r="B51" s="5">
        <v>26.6</v>
      </c>
    </row>
    <row r="52" spans="1:2" x14ac:dyDescent="0.25">
      <c r="A52" s="4" t="s">
        <v>48</v>
      </c>
      <c r="B52" s="5">
        <v>27.04</v>
      </c>
    </row>
    <row r="53" spans="1:2" x14ac:dyDescent="0.25">
      <c r="A53" s="4" t="s">
        <v>49</v>
      </c>
      <c r="B53" s="5">
        <v>13.81</v>
      </c>
    </row>
    <row r="54" spans="1:2" x14ac:dyDescent="0.25">
      <c r="A54" s="4" t="s">
        <v>50</v>
      </c>
      <c r="B54" s="5">
        <v>6.3</v>
      </c>
    </row>
    <row r="55" spans="1:2" x14ac:dyDescent="0.25">
      <c r="A55" s="4" t="s">
        <v>51</v>
      </c>
      <c r="B55" s="5">
        <v>12.79</v>
      </c>
    </row>
    <row r="56" spans="1:2" x14ac:dyDescent="0.25">
      <c r="A56" s="4" t="s">
        <v>52</v>
      </c>
      <c r="B56" s="5">
        <v>6.75</v>
      </c>
    </row>
    <row r="57" spans="1:2" x14ac:dyDescent="0.25">
      <c r="A57" s="4" t="s">
        <v>53</v>
      </c>
      <c r="B57" s="5">
        <v>19.8</v>
      </c>
    </row>
    <row r="58" spans="1:2" x14ac:dyDescent="0.25">
      <c r="A58" s="4" t="s">
        <v>54</v>
      </c>
      <c r="B58" s="5">
        <v>20</v>
      </c>
    </row>
    <row r="59" spans="1:2" x14ac:dyDescent="0.25">
      <c r="A59" s="4" t="s">
        <v>55</v>
      </c>
      <c r="B59" s="5">
        <v>8.81</v>
      </c>
    </row>
    <row r="60" spans="1:2" x14ac:dyDescent="0.25">
      <c r="A60" s="4" t="s">
        <v>56</v>
      </c>
      <c r="B60" s="5">
        <v>23.43</v>
      </c>
    </row>
    <row r="61" spans="1:2" x14ac:dyDescent="0.25">
      <c r="A61" s="4" t="s">
        <v>57</v>
      </c>
      <c r="B61" s="5">
        <v>19.600000000000001</v>
      </c>
    </row>
    <row r="62" spans="1:2" x14ac:dyDescent="0.25">
      <c r="A62" s="4" t="s">
        <v>58</v>
      </c>
      <c r="B62" s="5">
        <v>34</v>
      </c>
    </row>
    <row r="63" spans="1:2" x14ac:dyDescent="0.25">
      <c r="A63" s="4" t="s">
        <v>59</v>
      </c>
      <c r="B63" s="5">
        <v>37.770000000000003</v>
      </c>
    </row>
    <row r="64" spans="1:2" x14ac:dyDescent="0.25">
      <c r="A64" s="4" t="s">
        <v>60</v>
      </c>
      <c r="B64" s="5">
        <v>26.98</v>
      </c>
    </row>
    <row r="65" spans="1:2" x14ac:dyDescent="0.25">
      <c r="A65" s="4" t="s">
        <v>61</v>
      </c>
      <c r="B65" s="5">
        <v>16.350000000000001</v>
      </c>
    </row>
    <row r="66" spans="1:2" x14ac:dyDescent="0.25">
      <c r="A66" s="4" t="s">
        <v>62</v>
      </c>
      <c r="B66" s="5">
        <v>15</v>
      </c>
    </row>
    <row r="67" spans="1:2" x14ac:dyDescent="0.25">
      <c r="A67" s="4" t="s">
        <v>63</v>
      </c>
      <c r="B67" s="5">
        <v>23.12</v>
      </c>
    </row>
    <row r="68" spans="1:2" x14ac:dyDescent="0.25">
      <c r="A68" s="4" t="s">
        <v>64</v>
      </c>
      <c r="B68" s="5">
        <v>12.9</v>
      </c>
    </row>
    <row r="69" spans="1:2" x14ac:dyDescent="0.25">
      <c r="A69" s="4" t="s">
        <v>65</v>
      </c>
      <c r="B69" s="5">
        <v>32.86</v>
      </c>
    </row>
    <row r="70" spans="1:2" x14ac:dyDescent="0.25">
      <c r="A70" s="4" t="s">
        <v>66</v>
      </c>
      <c r="B70" s="5">
        <v>17.5</v>
      </c>
    </row>
    <row r="71" spans="1:2" x14ac:dyDescent="0.25">
      <c r="A71" s="4" t="s">
        <v>67</v>
      </c>
      <c r="B71" s="5">
        <v>16.73</v>
      </c>
    </row>
    <row r="72" spans="1:2" x14ac:dyDescent="0.25">
      <c r="A72" s="4" t="s">
        <v>68</v>
      </c>
      <c r="B72" s="5">
        <v>19.84</v>
      </c>
    </row>
    <row r="73" spans="1:2" x14ac:dyDescent="0.25">
      <c r="A73" s="4" t="s">
        <v>69</v>
      </c>
      <c r="B73" s="5">
        <v>26.02</v>
      </c>
    </row>
    <row r="74" spans="1:2" x14ac:dyDescent="0.25">
      <c r="A74" s="4" t="s">
        <v>70</v>
      </c>
      <c r="B74" s="5">
        <v>14.68</v>
      </c>
    </row>
    <row r="75" spans="1:2" x14ac:dyDescent="0.25">
      <c r="A75" s="4" t="s">
        <v>71</v>
      </c>
      <c r="B75" s="5">
        <v>7.07</v>
      </c>
    </row>
    <row r="76" spans="1:2" x14ac:dyDescent="0.25">
      <c r="A76" s="4" t="s">
        <v>72</v>
      </c>
      <c r="B76" s="5">
        <v>15.5</v>
      </c>
    </row>
    <row r="77" spans="1:2" x14ac:dyDescent="0.25">
      <c r="A77" s="4" t="s">
        <v>73</v>
      </c>
      <c r="B77" s="5">
        <v>20.25</v>
      </c>
    </row>
    <row r="78" spans="1:2" x14ac:dyDescent="0.25">
      <c r="A78" s="4" t="s">
        <v>74</v>
      </c>
      <c r="B78" s="5">
        <v>11.84</v>
      </c>
    </row>
    <row r="79" spans="1:2" x14ac:dyDescent="0.25">
      <c r="A79" s="4" t="s">
        <v>75</v>
      </c>
      <c r="B79" s="5">
        <v>11.79</v>
      </c>
    </row>
    <row r="80" spans="1:2" x14ac:dyDescent="0.25">
      <c r="A80" s="4" t="s">
        <v>76</v>
      </c>
      <c r="B80" s="5">
        <v>22.76</v>
      </c>
    </row>
    <row r="81" spans="1:2" x14ac:dyDescent="0.25">
      <c r="A81" s="4" t="s">
        <v>77</v>
      </c>
      <c r="B81" s="5">
        <v>15.25</v>
      </c>
    </row>
    <row r="82" spans="1:2" x14ac:dyDescent="0.25">
      <c r="A82" s="4" t="s">
        <v>78</v>
      </c>
      <c r="B82" s="5">
        <v>25.04</v>
      </c>
    </row>
    <row r="83" spans="1:2" x14ac:dyDescent="0.25">
      <c r="A83" s="4" t="s">
        <v>79</v>
      </c>
      <c r="B83" s="5">
        <v>23.13</v>
      </c>
    </row>
    <row r="84" spans="1:2" x14ac:dyDescent="0.25">
      <c r="A84" s="4" t="s">
        <v>80</v>
      </c>
      <c r="B84" s="5">
        <v>35.729999999999997</v>
      </c>
    </row>
    <row r="85" spans="1:2" x14ac:dyDescent="0.25">
      <c r="A85" s="4" t="s">
        <v>81</v>
      </c>
      <c r="B85" s="5">
        <v>23.9</v>
      </c>
    </row>
    <row r="86" spans="1:2" x14ac:dyDescent="0.25">
      <c r="A86" s="4" t="s">
        <v>82</v>
      </c>
      <c r="B86" s="5">
        <v>20</v>
      </c>
    </row>
    <row r="87" spans="1:2" x14ac:dyDescent="0.25">
      <c r="A87" s="4" t="s">
        <v>83</v>
      </c>
      <c r="B87" s="5">
        <v>28</v>
      </c>
    </row>
    <row r="88" spans="1:2" x14ac:dyDescent="0.25">
      <c r="A88" s="4" t="s">
        <v>84</v>
      </c>
      <c r="B88" s="5">
        <v>28</v>
      </c>
    </row>
    <row r="89" spans="1:2" x14ac:dyDescent="0.25">
      <c r="A89" s="4" t="s">
        <v>85</v>
      </c>
      <c r="B89" s="5">
        <v>33</v>
      </c>
    </row>
    <row r="90" spans="1:2" x14ac:dyDescent="0.25">
      <c r="A90" s="4" t="s">
        <v>86</v>
      </c>
      <c r="B90" s="5">
        <v>15</v>
      </c>
    </row>
    <row r="91" spans="1:2" x14ac:dyDescent="0.25">
      <c r="A91" s="4" t="s">
        <v>87</v>
      </c>
      <c r="B91" s="5">
        <v>20</v>
      </c>
    </row>
    <row r="92" spans="1:2" x14ac:dyDescent="0.25">
      <c r="A92" s="4" t="s">
        <v>88</v>
      </c>
      <c r="B92" s="5">
        <v>9.8000000000000007</v>
      </c>
    </row>
    <row r="93" spans="1:2" x14ac:dyDescent="0.25">
      <c r="A93" s="4" t="s">
        <v>89</v>
      </c>
      <c r="B93" s="5">
        <v>18.75</v>
      </c>
    </row>
    <row r="94" spans="1:2" x14ac:dyDescent="0.25">
      <c r="A94" s="4" t="s">
        <v>90</v>
      </c>
      <c r="B94" s="5" t="s">
        <v>98</v>
      </c>
    </row>
    <row r="95" spans="1:2" x14ac:dyDescent="0.25">
      <c r="A95" s="4" t="s">
        <v>91</v>
      </c>
      <c r="B95" s="5">
        <v>19.02</v>
      </c>
    </row>
    <row r="96" spans="1:2" x14ac:dyDescent="0.25">
      <c r="A96" s="4" t="s">
        <v>100</v>
      </c>
      <c r="B96" s="5">
        <v>47.2</v>
      </c>
    </row>
    <row r="97" spans="1:2" x14ac:dyDescent="0.25">
      <c r="A97" s="4" t="s">
        <v>92</v>
      </c>
      <c r="B97" s="5" t="s">
        <v>97</v>
      </c>
    </row>
    <row r="98" spans="1:2" x14ac:dyDescent="0.25">
      <c r="A98" s="12" t="s">
        <v>101</v>
      </c>
      <c r="B98" s="13">
        <v>37.5</v>
      </c>
    </row>
    <row r="99" spans="1:2" x14ac:dyDescent="0.25">
      <c r="A99" s="12" t="s">
        <v>102</v>
      </c>
      <c r="B99" s="13">
        <v>26.5</v>
      </c>
    </row>
    <row r="100" spans="1:2" x14ac:dyDescent="0.25">
      <c r="A100" s="12" t="s">
        <v>103</v>
      </c>
      <c r="B100" s="13">
        <v>36.4</v>
      </c>
    </row>
    <row r="101" spans="1:2" x14ac:dyDescent="0.25">
      <c r="A101" s="12" t="s">
        <v>104</v>
      </c>
      <c r="B101" s="13">
        <v>35</v>
      </c>
    </row>
    <row r="102" spans="1:2" x14ac:dyDescent="0.25">
      <c r="A102" s="12" t="s">
        <v>105</v>
      </c>
      <c r="B102" s="13">
        <v>33.700000000000003</v>
      </c>
    </row>
    <row r="103" spans="1:2" x14ac:dyDescent="0.25">
      <c r="A103" s="6"/>
      <c r="B103" s="7">
        <f>SUM(B4:B102)</f>
        <v>1702.3150000000001</v>
      </c>
    </row>
    <row r="104" spans="1:2" x14ac:dyDescent="0.25">
      <c r="A104" s="8"/>
      <c r="B104" s="9"/>
    </row>
    <row r="105" spans="1:2" x14ac:dyDescent="0.25">
      <c r="A105" s="8"/>
    </row>
    <row r="106" spans="1:2" x14ac:dyDescent="0.25">
      <c r="A106" s="8"/>
    </row>
    <row r="107" spans="1:2" x14ac:dyDescent="0.25">
      <c r="A107" s="8"/>
    </row>
    <row r="108" spans="1:2" x14ac:dyDescent="0.25">
      <c r="A108" s="8"/>
    </row>
    <row r="109" spans="1:2" x14ac:dyDescent="0.25">
      <c r="A109" s="8"/>
    </row>
    <row r="110" spans="1:2" x14ac:dyDescent="0.25">
      <c r="A110" s="10"/>
    </row>
  </sheetData>
  <phoneticPr fontId="0" type="noConversion"/>
  <pageMargins left="0.75" right="0.75" top="1" bottom="1" header="0.5" footer="0.5"/>
  <pageSetup paperSize="5"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8"/>
  <sheetViews>
    <sheetView workbookViewId="0"/>
  </sheetViews>
  <sheetFormatPr defaultRowHeight="12.75" x14ac:dyDescent="0.2"/>
  <cols>
    <col min="2" max="2" width="10.85546875" bestFit="1" customWidth="1"/>
  </cols>
  <sheetData>
    <row r="1" spans="1:7" x14ac:dyDescent="0.2">
      <c r="A1" s="19" t="s">
        <v>114</v>
      </c>
    </row>
    <row r="4" spans="1:7" x14ac:dyDescent="0.2">
      <c r="A4" t="s">
        <v>0</v>
      </c>
      <c r="B4" s="14" t="s">
        <v>93</v>
      </c>
      <c r="C4" s="19" t="s">
        <v>113</v>
      </c>
    </row>
    <row r="5" spans="1:7" x14ac:dyDescent="0.2">
      <c r="A5" t="s">
        <v>1</v>
      </c>
      <c r="B5" s="15">
        <v>9.7799999999999994</v>
      </c>
      <c r="E5" t="s">
        <v>1</v>
      </c>
      <c r="F5" s="15"/>
    </row>
    <row r="6" spans="1:7" x14ac:dyDescent="0.2">
      <c r="A6" t="s">
        <v>2</v>
      </c>
      <c r="B6" s="15">
        <v>8.14</v>
      </c>
      <c r="C6" t="s">
        <v>107</v>
      </c>
      <c r="E6" t="s">
        <v>2</v>
      </c>
      <c r="F6" s="15">
        <v>8.14</v>
      </c>
      <c r="G6" t="s">
        <v>107</v>
      </c>
    </row>
    <row r="7" spans="1:7" x14ac:dyDescent="0.2">
      <c r="A7" s="19" t="s">
        <v>116</v>
      </c>
      <c r="B7" s="15"/>
      <c r="F7" s="15"/>
    </row>
    <row r="8" spans="1:7" x14ac:dyDescent="0.2">
      <c r="A8" t="s">
        <v>4</v>
      </c>
      <c r="B8" s="15">
        <v>19.95</v>
      </c>
      <c r="C8" t="s">
        <v>107</v>
      </c>
      <c r="E8" t="s">
        <v>4</v>
      </c>
      <c r="F8" s="15">
        <v>19.95</v>
      </c>
      <c r="G8" t="s">
        <v>107</v>
      </c>
    </row>
    <row r="9" spans="1:7" x14ac:dyDescent="0.2">
      <c r="A9" t="s">
        <v>5</v>
      </c>
      <c r="B9" s="15">
        <v>5.45</v>
      </c>
      <c r="E9" t="s">
        <v>5</v>
      </c>
      <c r="F9" s="15"/>
    </row>
    <row r="10" spans="1:7" x14ac:dyDescent="0.2">
      <c r="A10" t="s">
        <v>6</v>
      </c>
      <c r="B10" s="15">
        <v>14.4</v>
      </c>
      <c r="E10" t="s">
        <v>6</v>
      </c>
      <c r="F10" s="15"/>
    </row>
    <row r="11" spans="1:7" x14ac:dyDescent="0.2">
      <c r="A11" t="s">
        <v>7</v>
      </c>
      <c r="B11" s="15">
        <v>17.36</v>
      </c>
      <c r="C11" t="s">
        <v>107</v>
      </c>
      <c r="E11" t="s">
        <v>7</v>
      </c>
      <c r="F11" s="15">
        <v>17.36</v>
      </c>
      <c r="G11" t="s">
        <v>107</v>
      </c>
    </row>
    <row r="12" spans="1:7" x14ac:dyDescent="0.2">
      <c r="A12" t="s">
        <v>8</v>
      </c>
      <c r="B12" s="15">
        <v>12.06</v>
      </c>
      <c r="E12" t="s">
        <v>8</v>
      </c>
      <c r="F12" s="15"/>
    </row>
    <row r="13" spans="1:7" x14ac:dyDescent="0.2">
      <c r="A13" t="s">
        <v>9</v>
      </c>
      <c r="B13" s="15">
        <v>10.19</v>
      </c>
      <c r="E13" t="s">
        <v>9</v>
      </c>
      <c r="F13" s="15"/>
    </row>
    <row r="14" spans="1:7" x14ac:dyDescent="0.2">
      <c r="A14" t="s">
        <v>10</v>
      </c>
      <c r="B14" s="15">
        <v>17.55</v>
      </c>
      <c r="C14" t="s">
        <v>107</v>
      </c>
      <c r="E14" t="s">
        <v>10</v>
      </c>
      <c r="F14" s="15">
        <v>17.55</v>
      </c>
      <c r="G14" t="s">
        <v>107</v>
      </c>
    </row>
    <row r="15" spans="1:7" x14ac:dyDescent="0.2">
      <c r="A15" t="s">
        <v>11</v>
      </c>
      <c r="B15" s="15">
        <v>10.72</v>
      </c>
      <c r="C15" t="s">
        <v>107</v>
      </c>
      <c r="E15" t="s">
        <v>11</v>
      </c>
      <c r="F15" s="15">
        <v>10.72</v>
      </c>
      <c r="G15" t="s">
        <v>107</v>
      </c>
    </row>
    <row r="16" spans="1:7" x14ac:dyDescent="0.2">
      <c r="A16" t="s">
        <v>12</v>
      </c>
      <c r="B16" s="15">
        <v>12.15</v>
      </c>
      <c r="E16" t="s">
        <v>12</v>
      </c>
      <c r="F16" s="15"/>
    </row>
    <row r="17" spans="1:7" x14ac:dyDescent="0.2">
      <c r="A17" t="s">
        <v>13</v>
      </c>
      <c r="B17" s="15">
        <v>10.64</v>
      </c>
      <c r="E17" t="s">
        <v>13</v>
      </c>
      <c r="F17" s="15"/>
    </row>
    <row r="18" spans="1:7" x14ac:dyDescent="0.2">
      <c r="A18" t="s">
        <v>14</v>
      </c>
      <c r="B18" s="15">
        <v>23.69</v>
      </c>
      <c r="E18" t="s">
        <v>14</v>
      </c>
      <c r="F18" s="15"/>
    </row>
    <row r="19" spans="1:7" x14ac:dyDescent="0.2">
      <c r="A19" t="s">
        <v>99</v>
      </c>
      <c r="B19" s="15">
        <v>30.26</v>
      </c>
      <c r="C19" t="s">
        <v>107</v>
      </c>
      <c r="E19" t="s">
        <v>99</v>
      </c>
      <c r="F19" s="15">
        <v>30.26</v>
      </c>
      <c r="G19" t="s">
        <v>107</v>
      </c>
    </row>
    <row r="20" spans="1:7" x14ac:dyDescent="0.2">
      <c r="A20" t="s">
        <v>15</v>
      </c>
      <c r="B20" s="15">
        <v>19.399999999999999</v>
      </c>
      <c r="E20" t="s">
        <v>15</v>
      </c>
      <c r="F20" s="15"/>
    </row>
    <row r="21" spans="1:7" x14ac:dyDescent="0.2">
      <c r="A21" t="s">
        <v>16</v>
      </c>
      <c r="B21" s="15">
        <v>25.3</v>
      </c>
      <c r="E21" t="s">
        <v>16</v>
      </c>
      <c r="F21" s="15"/>
    </row>
    <row r="22" spans="1:7" x14ac:dyDescent="0.2">
      <c r="A22" t="s">
        <v>17</v>
      </c>
      <c r="B22" s="15">
        <v>5.61</v>
      </c>
      <c r="C22" t="s">
        <v>107</v>
      </c>
      <c r="E22" t="s">
        <v>17</v>
      </c>
      <c r="F22" s="15">
        <v>5.61</v>
      </c>
      <c r="G22" t="s">
        <v>107</v>
      </c>
    </row>
    <row r="23" spans="1:7" x14ac:dyDescent="0.2">
      <c r="A23" t="s">
        <v>18</v>
      </c>
      <c r="B23" s="15">
        <v>6.35</v>
      </c>
      <c r="C23" t="s">
        <v>107</v>
      </c>
      <c r="E23" t="s">
        <v>18</v>
      </c>
      <c r="F23" s="15">
        <v>6.35</v>
      </c>
      <c r="G23" t="s">
        <v>107</v>
      </c>
    </row>
    <row r="24" spans="1:7" x14ac:dyDescent="0.2">
      <c r="A24" t="s">
        <v>19</v>
      </c>
      <c r="B24" s="15">
        <v>14.1</v>
      </c>
      <c r="C24" t="s">
        <v>107</v>
      </c>
      <c r="E24" t="s">
        <v>19</v>
      </c>
      <c r="F24" s="15">
        <v>14.1</v>
      </c>
      <c r="G24" t="s">
        <v>107</v>
      </c>
    </row>
    <row r="25" spans="1:7" x14ac:dyDescent="0.2">
      <c r="A25" t="s">
        <v>20</v>
      </c>
      <c r="B25" s="15">
        <v>10.77</v>
      </c>
      <c r="E25" t="s">
        <v>20</v>
      </c>
      <c r="F25" s="15"/>
    </row>
    <row r="26" spans="1:7" x14ac:dyDescent="0.2">
      <c r="A26" t="s">
        <v>21</v>
      </c>
      <c r="B26" s="15">
        <v>25.45</v>
      </c>
      <c r="E26" t="s">
        <v>21</v>
      </c>
      <c r="F26" s="15"/>
    </row>
    <row r="27" spans="1:7" x14ac:dyDescent="0.2">
      <c r="A27" t="s">
        <v>22</v>
      </c>
      <c r="B27" s="15">
        <v>10</v>
      </c>
      <c r="E27" t="s">
        <v>22</v>
      </c>
      <c r="F27" s="15"/>
    </row>
    <row r="28" spans="1:7" x14ac:dyDescent="0.2">
      <c r="A28" t="s">
        <v>23</v>
      </c>
      <c r="B28" s="15">
        <v>18.23</v>
      </c>
      <c r="E28" t="s">
        <v>23</v>
      </c>
      <c r="F28" s="15"/>
    </row>
    <row r="29" spans="1:7" x14ac:dyDescent="0.2">
      <c r="A29" t="s">
        <v>24</v>
      </c>
      <c r="B29" s="15">
        <v>8.86</v>
      </c>
      <c r="E29" t="s">
        <v>24</v>
      </c>
      <c r="F29" s="15"/>
    </row>
    <row r="30" spans="1:7" x14ac:dyDescent="0.2">
      <c r="A30" t="s">
        <v>25</v>
      </c>
      <c r="B30" s="15">
        <v>9.24</v>
      </c>
      <c r="E30" t="s">
        <v>25</v>
      </c>
      <c r="F30" s="15"/>
    </row>
    <row r="31" spans="1:7" x14ac:dyDescent="0.2">
      <c r="A31" t="s">
        <v>26</v>
      </c>
      <c r="B31" s="15">
        <v>10.6</v>
      </c>
      <c r="E31" t="s">
        <v>26</v>
      </c>
      <c r="F31" s="15"/>
    </row>
    <row r="32" spans="1:7" x14ac:dyDescent="0.2">
      <c r="A32" t="s">
        <v>27</v>
      </c>
      <c r="B32">
        <v>22.4</v>
      </c>
      <c r="E32" t="s">
        <v>27</v>
      </c>
    </row>
    <row r="33" spans="1:6" x14ac:dyDescent="0.2">
      <c r="A33" t="s">
        <v>28</v>
      </c>
      <c r="B33" s="15">
        <v>9.6999999999999993</v>
      </c>
      <c r="E33" t="s">
        <v>28</v>
      </c>
      <c r="F33" s="15"/>
    </row>
    <row r="34" spans="1:6" x14ac:dyDescent="0.2">
      <c r="A34" t="s">
        <v>29</v>
      </c>
      <c r="B34" s="15">
        <v>9.52</v>
      </c>
      <c r="E34" t="s">
        <v>29</v>
      </c>
      <c r="F34" s="15"/>
    </row>
    <row r="35" spans="1:6" x14ac:dyDescent="0.2">
      <c r="A35" t="s">
        <v>30</v>
      </c>
      <c r="B35" s="15">
        <v>12.4</v>
      </c>
      <c r="E35" t="s">
        <v>30</v>
      </c>
      <c r="F35" s="15"/>
    </row>
    <row r="36" spans="1:6" x14ac:dyDescent="0.2">
      <c r="A36" t="s">
        <v>31</v>
      </c>
      <c r="B36" s="15">
        <v>12.13</v>
      </c>
      <c r="E36" t="s">
        <v>31</v>
      </c>
      <c r="F36" s="15"/>
    </row>
    <row r="37" spans="1:6" x14ac:dyDescent="0.2">
      <c r="A37" t="s">
        <v>32</v>
      </c>
      <c r="B37" s="15">
        <v>5.19</v>
      </c>
      <c r="E37" t="s">
        <v>32</v>
      </c>
      <c r="F37" s="15"/>
    </row>
    <row r="38" spans="1:6" x14ac:dyDescent="0.2">
      <c r="A38" t="s">
        <v>33</v>
      </c>
      <c r="B38" s="15">
        <v>24.32</v>
      </c>
      <c r="E38" t="s">
        <v>33</v>
      </c>
      <c r="F38" s="15"/>
    </row>
    <row r="39" spans="1:6" x14ac:dyDescent="0.2">
      <c r="A39" t="s">
        <v>34</v>
      </c>
      <c r="B39" s="15">
        <v>13.56</v>
      </c>
      <c r="E39" t="s">
        <v>34</v>
      </c>
      <c r="F39" s="15"/>
    </row>
    <row r="40" spans="1:6" x14ac:dyDescent="0.2">
      <c r="A40" t="s">
        <v>35</v>
      </c>
      <c r="B40" s="15">
        <v>9.5500000000000007</v>
      </c>
      <c r="E40" t="s">
        <v>35</v>
      </c>
      <c r="F40" s="15"/>
    </row>
    <row r="41" spans="1:6" x14ac:dyDescent="0.2">
      <c r="A41" t="s">
        <v>36</v>
      </c>
      <c r="B41" s="15">
        <v>11.34</v>
      </c>
      <c r="E41" t="s">
        <v>36</v>
      </c>
      <c r="F41" s="15"/>
    </row>
    <row r="42" spans="1:6" x14ac:dyDescent="0.2">
      <c r="A42" t="s">
        <v>37</v>
      </c>
      <c r="B42" s="15">
        <v>7.3049999999999997</v>
      </c>
      <c r="E42" t="s">
        <v>37</v>
      </c>
      <c r="F42" s="15"/>
    </row>
    <row r="43" spans="1:6" x14ac:dyDescent="0.2">
      <c r="A43" t="s">
        <v>38</v>
      </c>
      <c r="B43" s="15">
        <v>3.41</v>
      </c>
      <c r="E43" t="s">
        <v>38</v>
      </c>
      <c r="F43" s="15"/>
    </row>
    <row r="44" spans="1:6" x14ac:dyDescent="0.2">
      <c r="A44" t="s">
        <v>39</v>
      </c>
      <c r="B44" s="15">
        <v>15.5</v>
      </c>
      <c r="E44" t="s">
        <v>39</v>
      </c>
      <c r="F44" s="15"/>
    </row>
    <row r="45" spans="1:6" x14ac:dyDescent="0.2">
      <c r="A45" t="s">
        <v>40</v>
      </c>
      <c r="B45" s="15">
        <v>16</v>
      </c>
      <c r="E45" t="s">
        <v>40</v>
      </c>
      <c r="F45" s="15"/>
    </row>
    <row r="46" spans="1:6" x14ac:dyDescent="0.2">
      <c r="A46" t="s">
        <v>41</v>
      </c>
      <c r="B46" s="15">
        <v>24</v>
      </c>
      <c r="E46" t="s">
        <v>41</v>
      </c>
      <c r="F46" s="15"/>
    </row>
    <row r="47" spans="1:6" x14ac:dyDescent="0.2">
      <c r="A47" s="19" t="s">
        <v>116</v>
      </c>
      <c r="B47" s="15"/>
      <c r="F47" s="15"/>
    </row>
    <row r="48" spans="1:6" x14ac:dyDescent="0.2">
      <c r="A48" t="s">
        <v>43</v>
      </c>
      <c r="B48" s="15">
        <v>29.1</v>
      </c>
      <c r="E48" t="s">
        <v>43</v>
      </c>
      <c r="F48" s="15"/>
    </row>
    <row r="49" spans="1:7" x14ac:dyDescent="0.2">
      <c r="A49" t="s">
        <v>44</v>
      </c>
      <c r="B49" s="15">
        <v>4.97</v>
      </c>
      <c r="E49" t="s">
        <v>44</v>
      </c>
      <c r="F49" s="15"/>
    </row>
    <row r="50" spans="1:7" x14ac:dyDescent="0.2">
      <c r="A50" t="s">
        <v>45</v>
      </c>
      <c r="B50" s="15">
        <v>3.64</v>
      </c>
      <c r="C50" t="s">
        <v>107</v>
      </c>
      <c r="E50" t="s">
        <v>45</v>
      </c>
      <c r="F50" s="15">
        <v>3.64</v>
      </c>
      <c r="G50" t="s">
        <v>107</v>
      </c>
    </row>
    <row r="51" spans="1:7" x14ac:dyDescent="0.2">
      <c r="A51" t="s">
        <v>46</v>
      </c>
      <c r="B51" s="15">
        <v>22</v>
      </c>
      <c r="E51" t="s">
        <v>46</v>
      </c>
      <c r="F51" s="15"/>
    </row>
    <row r="52" spans="1:7" x14ac:dyDescent="0.2">
      <c r="A52" t="s">
        <v>47</v>
      </c>
      <c r="B52" s="15">
        <v>26.6</v>
      </c>
      <c r="C52" t="s">
        <v>107</v>
      </c>
      <c r="E52" t="s">
        <v>47</v>
      </c>
      <c r="F52" s="15">
        <v>26.6</v>
      </c>
      <c r="G52" t="s">
        <v>107</v>
      </c>
    </row>
    <row r="53" spans="1:7" x14ac:dyDescent="0.2">
      <c r="A53" t="s">
        <v>48</v>
      </c>
      <c r="B53" s="15">
        <v>27.04</v>
      </c>
      <c r="E53" t="s">
        <v>48</v>
      </c>
      <c r="F53" s="15"/>
    </row>
    <row r="54" spans="1:7" x14ac:dyDescent="0.2">
      <c r="A54" s="19" t="s">
        <v>116</v>
      </c>
      <c r="B54" s="15"/>
      <c r="F54" s="15"/>
    </row>
    <row r="55" spans="1:7" x14ac:dyDescent="0.2">
      <c r="A55" t="s">
        <v>50</v>
      </c>
      <c r="B55" s="15">
        <v>6.3</v>
      </c>
      <c r="E55" t="s">
        <v>50</v>
      </c>
      <c r="F55" s="15"/>
    </row>
    <row r="56" spans="1:7" x14ac:dyDescent="0.2">
      <c r="A56" t="s">
        <v>51</v>
      </c>
      <c r="B56" s="15">
        <v>12.79</v>
      </c>
      <c r="C56" t="s">
        <v>107</v>
      </c>
      <c r="E56" t="s">
        <v>51</v>
      </c>
      <c r="F56" s="15">
        <v>12.79</v>
      </c>
      <c r="G56" t="s">
        <v>107</v>
      </c>
    </row>
    <row r="57" spans="1:7" x14ac:dyDescent="0.2">
      <c r="A57" t="s">
        <v>52</v>
      </c>
      <c r="B57" s="15">
        <v>6.75</v>
      </c>
      <c r="E57" t="s">
        <v>52</v>
      </c>
      <c r="F57" s="15"/>
    </row>
    <row r="58" spans="1:7" x14ac:dyDescent="0.2">
      <c r="A58" t="s">
        <v>53</v>
      </c>
      <c r="B58" s="15">
        <v>19.8</v>
      </c>
      <c r="C58" t="s">
        <v>107</v>
      </c>
      <c r="E58" t="s">
        <v>53</v>
      </c>
      <c r="F58" s="15">
        <v>19.8</v>
      </c>
      <c r="G58" t="s">
        <v>107</v>
      </c>
    </row>
    <row r="59" spans="1:7" x14ac:dyDescent="0.2">
      <c r="A59" t="s">
        <v>54</v>
      </c>
      <c r="B59" s="15">
        <v>20</v>
      </c>
      <c r="E59" t="s">
        <v>54</v>
      </c>
      <c r="F59" s="15"/>
    </row>
    <row r="60" spans="1:7" x14ac:dyDescent="0.2">
      <c r="A60" t="s">
        <v>55</v>
      </c>
      <c r="B60" s="15">
        <v>8.81</v>
      </c>
      <c r="C60" t="s">
        <v>107</v>
      </c>
      <c r="E60" t="s">
        <v>55</v>
      </c>
      <c r="F60" s="15">
        <v>8.81</v>
      </c>
      <c r="G60" t="s">
        <v>107</v>
      </c>
    </row>
    <row r="61" spans="1:7" x14ac:dyDescent="0.2">
      <c r="A61" t="s">
        <v>56</v>
      </c>
      <c r="B61" s="15">
        <v>23.43</v>
      </c>
      <c r="E61" t="s">
        <v>56</v>
      </c>
      <c r="F61" s="15"/>
    </row>
    <row r="62" spans="1:7" x14ac:dyDescent="0.2">
      <c r="A62" t="s">
        <v>57</v>
      </c>
      <c r="B62" s="15">
        <v>19.600000000000001</v>
      </c>
      <c r="E62" t="s">
        <v>57</v>
      </c>
      <c r="F62" s="15"/>
    </row>
    <row r="63" spans="1:7" x14ac:dyDescent="0.2">
      <c r="A63" t="s">
        <v>58</v>
      </c>
      <c r="B63" s="15">
        <v>34</v>
      </c>
      <c r="E63" t="s">
        <v>58</v>
      </c>
      <c r="F63" s="15"/>
    </row>
    <row r="64" spans="1:7" x14ac:dyDescent="0.2">
      <c r="A64" s="19" t="s">
        <v>116</v>
      </c>
      <c r="B64" s="15"/>
      <c r="F64" s="15"/>
    </row>
    <row r="65" spans="1:7" x14ac:dyDescent="0.2">
      <c r="A65" t="s">
        <v>60</v>
      </c>
      <c r="B65" s="15">
        <v>26.98</v>
      </c>
      <c r="E65" t="s">
        <v>60</v>
      </c>
      <c r="F65" s="15"/>
    </row>
    <row r="66" spans="1:7" x14ac:dyDescent="0.2">
      <c r="A66" t="s">
        <v>61</v>
      </c>
      <c r="B66" s="15">
        <v>16.350000000000001</v>
      </c>
      <c r="C66" t="s">
        <v>107</v>
      </c>
      <c r="E66" t="s">
        <v>61</v>
      </c>
      <c r="F66" s="15">
        <v>16.350000000000001</v>
      </c>
      <c r="G66" t="s">
        <v>107</v>
      </c>
    </row>
    <row r="67" spans="1:7" x14ac:dyDescent="0.2">
      <c r="A67" t="s">
        <v>62</v>
      </c>
      <c r="B67" s="15">
        <v>15</v>
      </c>
      <c r="C67" t="s">
        <v>107</v>
      </c>
      <c r="E67" t="s">
        <v>62</v>
      </c>
      <c r="F67" s="15">
        <v>15</v>
      </c>
      <c r="G67" t="s">
        <v>107</v>
      </c>
    </row>
    <row r="68" spans="1:7" x14ac:dyDescent="0.2">
      <c r="A68" t="s">
        <v>63</v>
      </c>
      <c r="B68" s="15">
        <v>23.12</v>
      </c>
      <c r="C68" t="s">
        <v>107</v>
      </c>
      <c r="E68" t="s">
        <v>63</v>
      </c>
      <c r="F68" s="15">
        <v>23.12</v>
      </c>
      <c r="G68" t="s">
        <v>107</v>
      </c>
    </row>
    <row r="69" spans="1:7" x14ac:dyDescent="0.2">
      <c r="A69" t="s">
        <v>64</v>
      </c>
      <c r="B69" s="15">
        <v>12.9</v>
      </c>
      <c r="E69" t="s">
        <v>64</v>
      </c>
      <c r="F69" s="15"/>
    </row>
    <row r="70" spans="1:7" x14ac:dyDescent="0.2">
      <c r="A70" t="s">
        <v>65</v>
      </c>
      <c r="B70" s="15">
        <v>32.86</v>
      </c>
      <c r="C70" t="s">
        <v>107</v>
      </c>
      <c r="E70" t="s">
        <v>65</v>
      </c>
      <c r="F70" s="15">
        <v>32.86</v>
      </c>
      <c r="G70" t="s">
        <v>107</v>
      </c>
    </row>
    <row r="71" spans="1:7" x14ac:dyDescent="0.2">
      <c r="A71" t="s">
        <v>66</v>
      </c>
      <c r="B71" s="15">
        <v>17.5</v>
      </c>
      <c r="C71" t="s">
        <v>107</v>
      </c>
      <c r="E71" t="s">
        <v>66</v>
      </c>
      <c r="F71" s="15">
        <v>17.5</v>
      </c>
      <c r="G71" t="s">
        <v>107</v>
      </c>
    </row>
    <row r="72" spans="1:7" x14ac:dyDescent="0.2">
      <c r="A72" t="s">
        <v>67</v>
      </c>
      <c r="B72" s="15">
        <v>16.73</v>
      </c>
      <c r="C72" t="s">
        <v>107</v>
      </c>
      <c r="E72" t="s">
        <v>67</v>
      </c>
      <c r="F72" s="15">
        <v>16.73</v>
      </c>
      <c r="G72" t="s">
        <v>107</v>
      </c>
    </row>
    <row r="73" spans="1:7" x14ac:dyDescent="0.2">
      <c r="A73" t="s">
        <v>68</v>
      </c>
      <c r="B73" s="15">
        <v>19.84</v>
      </c>
      <c r="C73" t="s">
        <v>107</v>
      </c>
      <c r="E73" t="s">
        <v>68</v>
      </c>
      <c r="F73" s="15">
        <v>19.84</v>
      </c>
      <c r="G73" t="s">
        <v>107</v>
      </c>
    </row>
    <row r="74" spans="1:7" x14ac:dyDescent="0.2">
      <c r="A74" t="s">
        <v>69</v>
      </c>
      <c r="B74" s="15">
        <v>26.02</v>
      </c>
      <c r="C74" t="s">
        <v>107</v>
      </c>
      <c r="E74" t="s">
        <v>69</v>
      </c>
      <c r="F74" s="15">
        <v>26.02</v>
      </c>
      <c r="G74" t="s">
        <v>107</v>
      </c>
    </row>
    <row r="75" spans="1:7" x14ac:dyDescent="0.2">
      <c r="A75" t="s">
        <v>70</v>
      </c>
      <c r="B75" s="15">
        <v>14.68</v>
      </c>
      <c r="E75" t="s">
        <v>70</v>
      </c>
      <c r="F75" s="15"/>
    </row>
    <row r="76" spans="1:7" x14ac:dyDescent="0.2">
      <c r="A76" s="19" t="s">
        <v>116</v>
      </c>
      <c r="B76" s="15"/>
      <c r="F76" s="15"/>
    </row>
    <row r="77" spans="1:7" x14ac:dyDescent="0.2">
      <c r="A77" s="19" t="s">
        <v>116</v>
      </c>
      <c r="B77" s="15"/>
      <c r="F77" s="15"/>
    </row>
    <row r="78" spans="1:7" x14ac:dyDescent="0.2">
      <c r="A78" t="s">
        <v>73</v>
      </c>
      <c r="B78" s="15">
        <v>20.25</v>
      </c>
      <c r="E78" t="s">
        <v>73</v>
      </c>
      <c r="F78" s="15"/>
    </row>
    <row r="79" spans="1:7" x14ac:dyDescent="0.2">
      <c r="A79" t="s">
        <v>74</v>
      </c>
      <c r="B79" s="15">
        <v>11.84</v>
      </c>
      <c r="C79" t="s">
        <v>107</v>
      </c>
      <c r="E79" t="s">
        <v>74</v>
      </c>
      <c r="F79" s="15">
        <v>11.84</v>
      </c>
      <c r="G79" t="s">
        <v>107</v>
      </c>
    </row>
    <row r="80" spans="1:7" x14ac:dyDescent="0.2">
      <c r="A80" t="s">
        <v>75</v>
      </c>
      <c r="B80" s="15">
        <v>11.79</v>
      </c>
      <c r="C80" t="s">
        <v>107</v>
      </c>
      <c r="E80" t="s">
        <v>75</v>
      </c>
      <c r="F80" s="15">
        <v>11.79</v>
      </c>
      <c r="G80" t="s">
        <v>107</v>
      </c>
    </row>
    <row r="81" spans="1:7" x14ac:dyDescent="0.2">
      <c r="A81" s="19" t="s">
        <v>116</v>
      </c>
      <c r="B81" s="15"/>
      <c r="F81" s="15"/>
    </row>
    <row r="82" spans="1:7" x14ac:dyDescent="0.2">
      <c r="A82" t="s">
        <v>77</v>
      </c>
      <c r="B82" s="15">
        <v>15.25</v>
      </c>
      <c r="C82" t="s">
        <v>107</v>
      </c>
      <c r="E82" t="s">
        <v>77</v>
      </c>
      <c r="F82" s="15">
        <v>15.25</v>
      </c>
      <c r="G82" t="s">
        <v>107</v>
      </c>
    </row>
    <row r="83" spans="1:7" x14ac:dyDescent="0.2">
      <c r="A83" t="s">
        <v>78</v>
      </c>
      <c r="B83" s="15">
        <v>25.04</v>
      </c>
      <c r="E83" t="s">
        <v>78</v>
      </c>
      <c r="F83" s="15"/>
    </row>
    <row r="84" spans="1:7" x14ac:dyDescent="0.2">
      <c r="A84" t="s">
        <v>79</v>
      </c>
      <c r="B84" s="15">
        <v>23.13</v>
      </c>
      <c r="E84" t="s">
        <v>79</v>
      </c>
      <c r="F84" s="15"/>
    </row>
    <row r="85" spans="1:7" x14ac:dyDescent="0.2">
      <c r="A85" t="s">
        <v>80</v>
      </c>
      <c r="B85" s="15">
        <v>35.729999999999997</v>
      </c>
      <c r="C85" t="s">
        <v>107</v>
      </c>
      <c r="E85" t="s">
        <v>80</v>
      </c>
      <c r="F85" s="15">
        <v>35.729999999999997</v>
      </c>
      <c r="G85" t="s">
        <v>107</v>
      </c>
    </row>
    <row r="86" spans="1:7" x14ac:dyDescent="0.2">
      <c r="A86" t="s">
        <v>81</v>
      </c>
      <c r="B86" s="15">
        <v>23.9</v>
      </c>
      <c r="E86" t="s">
        <v>81</v>
      </c>
      <c r="F86" s="15"/>
    </row>
    <row r="87" spans="1:7" x14ac:dyDescent="0.2">
      <c r="A87" t="s">
        <v>82</v>
      </c>
      <c r="B87" s="15">
        <v>20</v>
      </c>
      <c r="C87" t="s">
        <v>107</v>
      </c>
      <c r="E87" t="s">
        <v>82</v>
      </c>
      <c r="F87" s="15">
        <v>20</v>
      </c>
      <c r="G87" t="s">
        <v>107</v>
      </c>
    </row>
    <row r="88" spans="1:7" x14ac:dyDescent="0.2">
      <c r="A88" t="s">
        <v>83</v>
      </c>
      <c r="B88" s="15">
        <v>28</v>
      </c>
      <c r="C88" t="s">
        <v>107</v>
      </c>
      <c r="E88" t="s">
        <v>83</v>
      </c>
      <c r="F88" s="15">
        <v>28</v>
      </c>
      <c r="G88" t="s">
        <v>107</v>
      </c>
    </row>
    <row r="89" spans="1:7" x14ac:dyDescent="0.2">
      <c r="A89" t="s">
        <v>84</v>
      </c>
      <c r="B89" s="15">
        <v>28</v>
      </c>
      <c r="C89" t="s">
        <v>107</v>
      </c>
      <c r="E89" t="s">
        <v>84</v>
      </c>
      <c r="F89" s="15">
        <v>28</v>
      </c>
      <c r="G89" t="s">
        <v>107</v>
      </c>
    </row>
    <row r="90" spans="1:7" x14ac:dyDescent="0.2">
      <c r="A90" t="s">
        <v>85</v>
      </c>
      <c r="B90" s="15">
        <v>33</v>
      </c>
      <c r="C90" t="s">
        <v>107</v>
      </c>
      <c r="E90" t="s">
        <v>85</v>
      </c>
      <c r="F90" s="15">
        <v>33</v>
      </c>
      <c r="G90" t="s">
        <v>107</v>
      </c>
    </row>
    <row r="91" spans="1:7" x14ac:dyDescent="0.2">
      <c r="A91" t="s">
        <v>86</v>
      </c>
      <c r="B91" s="15">
        <v>15</v>
      </c>
      <c r="E91" t="s">
        <v>86</v>
      </c>
      <c r="F91" s="15"/>
    </row>
    <row r="92" spans="1:7" x14ac:dyDescent="0.2">
      <c r="A92" t="s">
        <v>87</v>
      </c>
      <c r="B92" s="15">
        <v>20</v>
      </c>
      <c r="C92" t="s">
        <v>107</v>
      </c>
      <c r="E92" t="s">
        <v>87</v>
      </c>
      <c r="F92" s="15">
        <v>20</v>
      </c>
      <c r="G92" t="s">
        <v>107</v>
      </c>
    </row>
    <row r="93" spans="1:7" x14ac:dyDescent="0.2">
      <c r="A93" t="s">
        <v>88</v>
      </c>
      <c r="B93" s="15">
        <v>9.8000000000000007</v>
      </c>
      <c r="E93" t="s">
        <v>88</v>
      </c>
      <c r="F93" s="15"/>
    </row>
    <row r="94" spans="1:7" x14ac:dyDescent="0.2">
      <c r="A94" t="s">
        <v>89</v>
      </c>
      <c r="B94" s="15">
        <v>18.75</v>
      </c>
      <c r="E94" t="s">
        <v>89</v>
      </c>
      <c r="F94" s="15"/>
    </row>
    <row r="95" spans="1:7" x14ac:dyDescent="0.2">
      <c r="A95" t="s">
        <v>90</v>
      </c>
      <c r="B95" s="15">
        <v>18.760000000000002</v>
      </c>
      <c r="C95" t="s">
        <v>107</v>
      </c>
      <c r="E95" t="s">
        <v>90</v>
      </c>
      <c r="F95" s="15">
        <v>18.760000000000002</v>
      </c>
      <c r="G95" t="s">
        <v>107</v>
      </c>
    </row>
    <row r="96" spans="1:7" x14ac:dyDescent="0.2">
      <c r="A96" t="s">
        <v>91</v>
      </c>
      <c r="B96" s="15">
        <v>19.02</v>
      </c>
      <c r="E96" t="s">
        <v>91</v>
      </c>
      <c r="F96" s="15"/>
    </row>
    <row r="97" spans="1:7" x14ac:dyDescent="0.2">
      <c r="A97" t="s">
        <v>100</v>
      </c>
      <c r="B97" s="15">
        <v>47.2</v>
      </c>
      <c r="C97" t="s">
        <v>107</v>
      </c>
      <c r="E97" t="s">
        <v>100</v>
      </c>
      <c r="F97" s="15">
        <v>47.2</v>
      </c>
      <c r="G97" t="s">
        <v>107</v>
      </c>
    </row>
    <row r="98" spans="1:7" x14ac:dyDescent="0.2">
      <c r="A98" t="s">
        <v>92</v>
      </c>
      <c r="B98" s="15">
        <v>35</v>
      </c>
      <c r="E98" t="s">
        <v>92</v>
      </c>
      <c r="F98" s="15"/>
    </row>
    <row r="99" spans="1:7" x14ac:dyDescent="0.2">
      <c r="A99" t="s">
        <v>101</v>
      </c>
      <c r="B99" s="15">
        <v>37.5</v>
      </c>
      <c r="E99" t="s">
        <v>101</v>
      </c>
      <c r="F99" s="15"/>
    </row>
    <row r="100" spans="1:7" x14ac:dyDescent="0.2">
      <c r="A100" t="s">
        <v>102</v>
      </c>
      <c r="B100" s="15">
        <v>26.5</v>
      </c>
      <c r="C100" t="s">
        <v>107</v>
      </c>
      <c r="E100" t="s">
        <v>102</v>
      </c>
      <c r="F100" s="15">
        <v>26.5</v>
      </c>
      <c r="G100" t="s">
        <v>107</v>
      </c>
    </row>
    <row r="101" spans="1:7" x14ac:dyDescent="0.2">
      <c r="A101" t="s">
        <v>103</v>
      </c>
      <c r="B101" s="15">
        <v>36.4</v>
      </c>
      <c r="E101" t="s">
        <v>103</v>
      </c>
      <c r="F101" s="15"/>
    </row>
    <row r="102" spans="1:7" x14ac:dyDescent="0.2">
      <c r="A102" t="s">
        <v>104</v>
      </c>
      <c r="B102" s="15">
        <v>35</v>
      </c>
      <c r="E102" t="s">
        <v>104</v>
      </c>
      <c r="F102" s="15"/>
    </row>
    <row r="103" spans="1:7" x14ac:dyDescent="0.2">
      <c r="A103" t="s">
        <v>105</v>
      </c>
      <c r="B103" s="15">
        <v>33.700000000000003</v>
      </c>
      <c r="E103" t="s">
        <v>105</v>
      </c>
      <c r="F103" s="15"/>
    </row>
    <row r="104" spans="1:7" x14ac:dyDescent="0.2">
      <c r="A104" s="16" t="s">
        <v>106</v>
      </c>
      <c r="B104" s="17">
        <v>46</v>
      </c>
      <c r="E104" s="16" t="s">
        <v>106</v>
      </c>
      <c r="F104" s="17"/>
    </row>
    <row r="105" spans="1:7" x14ac:dyDescent="0.2">
      <c r="A105">
        <f>COUNT(A5:A104)</f>
        <v>0</v>
      </c>
      <c r="B105" s="15">
        <f>SUM(B5:B104)</f>
        <v>1723.9450000000002</v>
      </c>
      <c r="C105" s="19" t="s">
        <v>131</v>
      </c>
      <c r="E105">
        <f>COUNT(E5:E104)</f>
        <v>0</v>
      </c>
      <c r="F105" s="15">
        <f>SUM(F5:F104)</f>
        <v>665.17000000000007</v>
      </c>
      <c r="G105" s="19" t="s">
        <v>118</v>
      </c>
    </row>
    <row r="107" spans="1:7" x14ac:dyDescent="0.2">
      <c r="A107" s="20" t="s">
        <v>115</v>
      </c>
    </row>
    <row r="108" spans="1:7" x14ac:dyDescent="0.2">
      <c r="A108" s="19" t="s">
        <v>117</v>
      </c>
    </row>
  </sheetData>
  <phoneticPr fontId="0" type="noConversion"/>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1"/>
  <sheetViews>
    <sheetView workbookViewId="0"/>
  </sheetViews>
  <sheetFormatPr defaultRowHeight="12.75" x14ac:dyDescent="0.2"/>
  <sheetData>
    <row r="1" spans="1:7" x14ac:dyDescent="0.2">
      <c r="A1" s="19" t="s">
        <v>119</v>
      </c>
    </row>
    <row r="3" spans="1:7" x14ac:dyDescent="0.2">
      <c r="A3" t="s">
        <v>0</v>
      </c>
      <c r="B3" t="s">
        <v>93</v>
      </c>
      <c r="C3" s="19" t="s">
        <v>113</v>
      </c>
      <c r="E3" t="s">
        <v>0</v>
      </c>
      <c r="F3" t="s">
        <v>93</v>
      </c>
    </row>
    <row r="4" spans="1:7" x14ac:dyDescent="0.2">
      <c r="A4" t="s">
        <v>1</v>
      </c>
      <c r="B4">
        <v>9.7799999999999994</v>
      </c>
      <c r="E4" t="s">
        <v>1</v>
      </c>
    </row>
    <row r="5" spans="1:7" x14ac:dyDescent="0.2">
      <c r="A5" t="s">
        <v>2</v>
      </c>
      <c r="B5">
        <v>8.14</v>
      </c>
      <c r="E5" t="s">
        <v>2</v>
      </c>
    </row>
    <row r="6" spans="1:7" x14ac:dyDescent="0.2">
      <c r="A6" s="19" t="s">
        <v>116</v>
      </c>
    </row>
    <row r="7" spans="1:7" x14ac:dyDescent="0.2">
      <c r="A7" t="s">
        <v>4</v>
      </c>
      <c r="B7">
        <v>19.95</v>
      </c>
      <c r="E7" t="s">
        <v>4</v>
      </c>
    </row>
    <row r="8" spans="1:7" x14ac:dyDescent="0.2">
      <c r="A8" t="s">
        <v>5</v>
      </c>
      <c r="B8">
        <v>5.45</v>
      </c>
      <c r="E8" t="s">
        <v>5</v>
      </c>
    </row>
    <row r="9" spans="1:7" x14ac:dyDescent="0.2">
      <c r="A9" t="s">
        <v>6</v>
      </c>
      <c r="B9">
        <v>14.4</v>
      </c>
      <c r="E9" t="s">
        <v>6</v>
      </c>
    </row>
    <row r="10" spans="1:7" x14ac:dyDescent="0.2">
      <c r="A10" t="s">
        <v>7</v>
      </c>
      <c r="B10">
        <v>17.36</v>
      </c>
      <c r="E10" t="s">
        <v>7</v>
      </c>
    </row>
    <row r="11" spans="1:7" x14ac:dyDescent="0.2">
      <c r="A11" t="s">
        <v>8</v>
      </c>
      <c r="B11">
        <v>12.06</v>
      </c>
      <c r="E11" t="s">
        <v>8</v>
      </c>
    </row>
    <row r="12" spans="1:7" x14ac:dyDescent="0.2">
      <c r="A12" t="s">
        <v>9</v>
      </c>
      <c r="B12">
        <v>10.19</v>
      </c>
      <c r="E12" t="s">
        <v>9</v>
      </c>
    </row>
    <row r="13" spans="1:7" x14ac:dyDescent="0.2">
      <c r="A13" t="s">
        <v>10</v>
      </c>
      <c r="B13">
        <v>17.55</v>
      </c>
      <c r="E13" t="s">
        <v>10</v>
      </c>
    </row>
    <row r="14" spans="1:7" x14ac:dyDescent="0.2">
      <c r="A14" t="s">
        <v>11</v>
      </c>
      <c r="B14">
        <v>10.72</v>
      </c>
      <c r="C14" t="s">
        <v>107</v>
      </c>
      <c r="E14" t="s">
        <v>11</v>
      </c>
      <c r="F14">
        <v>10.72</v>
      </c>
      <c r="G14" t="s">
        <v>107</v>
      </c>
    </row>
    <row r="15" spans="1:7" x14ac:dyDescent="0.2">
      <c r="A15" t="s">
        <v>12</v>
      </c>
      <c r="B15">
        <v>12.15</v>
      </c>
      <c r="E15" t="s">
        <v>12</v>
      </c>
    </row>
    <row r="16" spans="1:7" x14ac:dyDescent="0.2">
      <c r="A16" t="s">
        <v>13</v>
      </c>
      <c r="B16">
        <v>10.64</v>
      </c>
      <c r="E16" t="s">
        <v>13</v>
      </c>
    </row>
    <row r="17" spans="1:7" x14ac:dyDescent="0.2">
      <c r="A17" t="s">
        <v>14</v>
      </c>
      <c r="B17">
        <v>23.69</v>
      </c>
      <c r="E17" t="s">
        <v>14</v>
      </c>
    </row>
    <row r="18" spans="1:7" x14ac:dyDescent="0.2">
      <c r="A18" t="s">
        <v>99</v>
      </c>
      <c r="B18">
        <v>30.26</v>
      </c>
      <c r="C18" t="s">
        <v>107</v>
      </c>
      <c r="E18" t="s">
        <v>99</v>
      </c>
      <c r="F18">
        <v>30.26</v>
      </c>
      <c r="G18" t="s">
        <v>107</v>
      </c>
    </row>
    <row r="19" spans="1:7" x14ac:dyDescent="0.2">
      <c r="A19" t="s">
        <v>15</v>
      </c>
      <c r="B19">
        <v>19.399999999999999</v>
      </c>
      <c r="E19" t="s">
        <v>15</v>
      </c>
    </row>
    <row r="20" spans="1:7" x14ac:dyDescent="0.2">
      <c r="A20" t="s">
        <v>16</v>
      </c>
      <c r="B20">
        <v>25.3</v>
      </c>
      <c r="E20" t="s">
        <v>16</v>
      </c>
    </row>
    <row r="21" spans="1:7" x14ac:dyDescent="0.2">
      <c r="A21" t="s">
        <v>17</v>
      </c>
      <c r="B21">
        <v>5.61</v>
      </c>
      <c r="C21" t="s">
        <v>107</v>
      </c>
      <c r="E21" t="s">
        <v>17</v>
      </c>
      <c r="F21">
        <v>5.61</v>
      </c>
      <c r="G21" t="s">
        <v>107</v>
      </c>
    </row>
    <row r="22" spans="1:7" x14ac:dyDescent="0.2">
      <c r="A22" t="s">
        <v>18</v>
      </c>
      <c r="B22">
        <v>6.35</v>
      </c>
      <c r="C22" t="s">
        <v>107</v>
      </c>
      <c r="E22" t="s">
        <v>18</v>
      </c>
      <c r="F22">
        <v>6.35</v>
      </c>
      <c r="G22" t="s">
        <v>107</v>
      </c>
    </row>
    <row r="23" spans="1:7" x14ac:dyDescent="0.2">
      <c r="A23" t="s">
        <v>19</v>
      </c>
      <c r="B23">
        <v>14.1</v>
      </c>
      <c r="C23" t="s">
        <v>107</v>
      </c>
      <c r="E23" t="s">
        <v>19</v>
      </c>
      <c r="F23">
        <v>14.1</v>
      </c>
      <c r="G23" t="s">
        <v>107</v>
      </c>
    </row>
    <row r="24" spans="1:7" x14ac:dyDescent="0.2">
      <c r="A24" t="s">
        <v>20</v>
      </c>
      <c r="B24">
        <v>10.77</v>
      </c>
      <c r="C24" t="s">
        <v>107</v>
      </c>
      <c r="E24" t="s">
        <v>20</v>
      </c>
      <c r="F24">
        <v>10.77</v>
      </c>
      <c r="G24" t="s">
        <v>107</v>
      </c>
    </row>
    <row r="25" spans="1:7" x14ac:dyDescent="0.2">
      <c r="A25" t="s">
        <v>21</v>
      </c>
      <c r="B25">
        <v>25.45</v>
      </c>
      <c r="E25" t="s">
        <v>21</v>
      </c>
    </row>
    <row r="26" spans="1:7" x14ac:dyDescent="0.2">
      <c r="A26" t="s">
        <v>22</v>
      </c>
      <c r="B26">
        <v>10</v>
      </c>
      <c r="C26" t="s">
        <v>107</v>
      </c>
      <c r="E26" t="s">
        <v>22</v>
      </c>
      <c r="F26">
        <v>10</v>
      </c>
      <c r="G26" t="s">
        <v>107</v>
      </c>
    </row>
    <row r="27" spans="1:7" x14ac:dyDescent="0.2">
      <c r="A27" t="s">
        <v>23</v>
      </c>
      <c r="B27">
        <v>18.23</v>
      </c>
      <c r="E27" t="s">
        <v>23</v>
      </c>
    </row>
    <row r="28" spans="1:7" x14ac:dyDescent="0.2">
      <c r="A28" t="s">
        <v>24</v>
      </c>
      <c r="B28">
        <v>8.86</v>
      </c>
      <c r="E28" t="s">
        <v>24</v>
      </c>
    </row>
    <row r="29" spans="1:7" x14ac:dyDescent="0.2">
      <c r="A29" t="s">
        <v>25</v>
      </c>
      <c r="B29">
        <v>9.24</v>
      </c>
      <c r="E29" t="s">
        <v>25</v>
      </c>
    </row>
    <row r="30" spans="1:7" x14ac:dyDescent="0.2">
      <c r="A30" t="s">
        <v>26</v>
      </c>
      <c r="B30">
        <v>10.6</v>
      </c>
      <c r="E30" t="s">
        <v>26</v>
      </c>
    </row>
    <row r="31" spans="1:7" x14ac:dyDescent="0.2">
      <c r="A31" t="s">
        <v>27</v>
      </c>
      <c r="B31">
        <v>22.4</v>
      </c>
      <c r="C31" t="s">
        <v>107</v>
      </c>
      <c r="E31" t="s">
        <v>27</v>
      </c>
      <c r="F31">
        <v>22.4</v>
      </c>
      <c r="G31" t="s">
        <v>107</v>
      </c>
    </row>
    <row r="32" spans="1:7" x14ac:dyDescent="0.2">
      <c r="A32" t="s">
        <v>28</v>
      </c>
      <c r="B32">
        <v>9.6999999999999993</v>
      </c>
      <c r="E32" t="s">
        <v>28</v>
      </c>
    </row>
    <row r="33" spans="1:7" x14ac:dyDescent="0.2">
      <c r="A33" t="s">
        <v>29</v>
      </c>
      <c r="B33">
        <v>9.52</v>
      </c>
      <c r="E33" t="s">
        <v>29</v>
      </c>
    </row>
    <row r="34" spans="1:7" x14ac:dyDescent="0.2">
      <c r="A34" t="s">
        <v>30</v>
      </c>
      <c r="B34">
        <v>12.4</v>
      </c>
      <c r="E34" t="s">
        <v>30</v>
      </c>
    </row>
    <row r="35" spans="1:7" x14ac:dyDescent="0.2">
      <c r="A35" t="s">
        <v>31</v>
      </c>
      <c r="B35">
        <v>12.13</v>
      </c>
      <c r="C35" t="s">
        <v>107</v>
      </c>
      <c r="E35" t="s">
        <v>31</v>
      </c>
      <c r="F35">
        <v>12.13</v>
      </c>
      <c r="G35" t="s">
        <v>107</v>
      </c>
    </row>
    <row r="36" spans="1:7" x14ac:dyDescent="0.2">
      <c r="A36" t="s">
        <v>32</v>
      </c>
      <c r="B36">
        <v>5.19</v>
      </c>
      <c r="C36" t="s">
        <v>107</v>
      </c>
      <c r="E36" t="s">
        <v>32</v>
      </c>
      <c r="F36">
        <v>5.19</v>
      </c>
      <c r="G36" t="s">
        <v>107</v>
      </c>
    </row>
    <row r="37" spans="1:7" x14ac:dyDescent="0.2">
      <c r="A37" t="s">
        <v>33</v>
      </c>
      <c r="B37">
        <v>24.32</v>
      </c>
      <c r="C37" t="s">
        <v>107</v>
      </c>
      <c r="E37" t="s">
        <v>33</v>
      </c>
      <c r="F37">
        <v>24.32</v>
      </c>
      <c r="G37" t="s">
        <v>107</v>
      </c>
    </row>
    <row r="38" spans="1:7" x14ac:dyDescent="0.2">
      <c r="A38" t="s">
        <v>34</v>
      </c>
      <c r="B38">
        <v>13.56</v>
      </c>
      <c r="C38" t="s">
        <v>107</v>
      </c>
      <c r="E38" t="s">
        <v>34</v>
      </c>
      <c r="F38">
        <v>13.56</v>
      </c>
      <c r="G38" t="s">
        <v>107</v>
      </c>
    </row>
    <row r="39" spans="1:7" x14ac:dyDescent="0.2">
      <c r="A39" t="s">
        <v>35</v>
      </c>
      <c r="B39">
        <v>9.5500000000000007</v>
      </c>
      <c r="C39" t="s">
        <v>107</v>
      </c>
      <c r="E39" t="s">
        <v>35</v>
      </c>
      <c r="F39">
        <v>9.5500000000000007</v>
      </c>
      <c r="G39" t="s">
        <v>107</v>
      </c>
    </row>
    <row r="40" spans="1:7" x14ac:dyDescent="0.2">
      <c r="A40" t="s">
        <v>36</v>
      </c>
      <c r="B40">
        <v>11.34</v>
      </c>
      <c r="E40" t="s">
        <v>36</v>
      </c>
    </row>
    <row r="41" spans="1:7" x14ac:dyDescent="0.2">
      <c r="A41" t="s">
        <v>37</v>
      </c>
      <c r="B41">
        <v>7.3049999999999997</v>
      </c>
      <c r="C41" t="s">
        <v>107</v>
      </c>
      <c r="E41" t="s">
        <v>37</v>
      </c>
      <c r="F41">
        <v>7.3049999999999997</v>
      </c>
      <c r="G41" t="s">
        <v>107</v>
      </c>
    </row>
    <row r="42" spans="1:7" x14ac:dyDescent="0.2">
      <c r="A42" t="s">
        <v>38</v>
      </c>
      <c r="B42">
        <v>3.41</v>
      </c>
      <c r="E42" t="s">
        <v>38</v>
      </c>
    </row>
    <row r="43" spans="1:7" x14ac:dyDescent="0.2">
      <c r="A43" t="s">
        <v>39</v>
      </c>
      <c r="B43">
        <v>15.5</v>
      </c>
      <c r="C43" t="s">
        <v>107</v>
      </c>
      <c r="E43" t="s">
        <v>39</v>
      </c>
      <c r="F43">
        <v>15.5</v>
      </c>
      <c r="G43" t="s">
        <v>107</v>
      </c>
    </row>
    <row r="44" spans="1:7" x14ac:dyDescent="0.2">
      <c r="A44" t="s">
        <v>40</v>
      </c>
      <c r="B44">
        <v>16</v>
      </c>
      <c r="E44" t="s">
        <v>40</v>
      </c>
    </row>
    <row r="45" spans="1:7" x14ac:dyDescent="0.2">
      <c r="A45" t="s">
        <v>41</v>
      </c>
      <c r="B45">
        <v>24</v>
      </c>
      <c r="E45" t="s">
        <v>41</v>
      </c>
    </row>
    <row r="46" spans="1:7" x14ac:dyDescent="0.2">
      <c r="A46" s="19" t="s">
        <v>116</v>
      </c>
    </row>
    <row r="47" spans="1:7" x14ac:dyDescent="0.2">
      <c r="A47" t="s">
        <v>43</v>
      </c>
      <c r="B47">
        <v>29.1</v>
      </c>
      <c r="C47" t="s">
        <v>107</v>
      </c>
      <c r="E47" t="s">
        <v>43</v>
      </c>
      <c r="F47">
        <v>29.1</v>
      </c>
      <c r="G47" t="s">
        <v>107</v>
      </c>
    </row>
    <row r="48" spans="1:7" x14ac:dyDescent="0.2">
      <c r="A48" t="s">
        <v>44</v>
      </c>
      <c r="B48">
        <v>4.97</v>
      </c>
      <c r="E48" t="s">
        <v>44</v>
      </c>
    </row>
    <row r="49" spans="1:7" x14ac:dyDescent="0.2">
      <c r="A49" t="s">
        <v>45</v>
      </c>
      <c r="B49">
        <v>3.64</v>
      </c>
      <c r="C49" t="s">
        <v>107</v>
      </c>
      <c r="E49" t="s">
        <v>45</v>
      </c>
      <c r="F49">
        <v>3.64</v>
      </c>
      <c r="G49" t="s">
        <v>107</v>
      </c>
    </row>
    <row r="50" spans="1:7" x14ac:dyDescent="0.2">
      <c r="A50" t="s">
        <v>46</v>
      </c>
      <c r="B50">
        <v>22</v>
      </c>
      <c r="C50" t="s">
        <v>107</v>
      </c>
      <c r="E50" t="s">
        <v>46</v>
      </c>
      <c r="F50">
        <v>22</v>
      </c>
      <c r="G50" t="s">
        <v>107</v>
      </c>
    </row>
    <row r="51" spans="1:7" x14ac:dyDescent="0.2">
      <c r="A51" t="s">
        <v>47</v>
      </c>
      <c r="B51">
        <v>26.6</v>
      </c>
      <c r="C51" t="s">
        <v>107</v>
      </c>
      <c r="E51" t="s">
        <v>47</v>
      </c>
      <c r="F51">
        <v>26.6</v>
      </c>
      <c r="G51" t="s">
        <v>107</v>
      </c>
    </row>
    <row r="52" spans="1:7" x14ac:dyDescent="0.2">
      <c r="A52" t="s">
        <v>48</v>
      </c>
      <c r="B52">
        <v>27.04</v>
      </c>
      <c r="C52" t="s">
        <v>107</v>
      </c>
      <c r="E52" t="s">
        <v>48</v>
      </c>
      <c r="F52">
        <v>27.04</v>
      </c>
      <c r="G52" t="s">
        <v>107</v>
      </c>
    </row>
    <row r="53" spans="1:7" x14ac:dyDescent="0.2">
      <c r="A53" s="19" t="s">
        <v>116</v>
      </c>
    </row>
    <row r="54" spans="1:7" x14ac:dyDescent="0.2">
      <c r="A54" t="s">
        <v>50</v>
      </c>
      <c r="B54">
        <v>6.3</v>
      </c>
      <c r="E54" t="s">
        <v>50</v>
      </c>
    </row>
    <row r="55" spans="1:7" x14ac:dyDescent="0.2">
      <c r="A55" t="s">
        <v>51</v>
      </c>
      <c r="B55">
        <v>12.79</v>
      </c>
      <c r="E55" t="s">
        <v>51</v>
      </c>
    </row>
    <row r="56" spans="1:7" x14ac:dyDescent="0.2">
      <c r="A56" t="s">
        <v>52</v>
      </c>
      <c r="B56">
        <v>6.75</v>
      </c>
      <c r="E56" t="s">
        <v>52</v>
      </c>
    </row>
    <row r="57" spans="1:7" x14ac:dyDescent="0.2">
      <c r="A57" t="s">
        <v>53</v>
      </c>
      <c r="B57">
        <v>19.8</v>
      </c>
      <c r="C57" t="s">
        <v>107</v>
      </c>
      <c r="E57" t="s">
        <v>53</v>
      </c>
      <c r="F57">
        <v>19.8</v>
      </c>
      <c r="G57" t="s">
        <v>107</v>
      </c>
    </row>
    <row r="58" spans="1:7" x14ac:dyDescent="0.2">
      <c r="A58" t="s">
        <v>54</v>
      </c>
      <c r="B58">
        <v>20</v>
      </c>
      <c r="E58" t="s">
        <v>54</v>
      </c>
    </row>
    <row r="59" spans="1:7" x14ac:dyDescent="0.2">
      <c r="A59" t="s">
        <v>55</v>
      </c>
      <c r="B59">
        <v>8.81</v>
      </c>
      <c r="C59" t="s">
        <v>107</v>
      </c>
      <c r="E59" t="s">
        <v>55</v>
      </c>
      <c r="F59">
        <v>8.81</v>
      </c>
      <c r="G59" t="s">
        <v>107</v>
      </c>
    </row>
    <row r="60" spans="1:7" x14ac:dyDescent="0.2">
      <c r="A60" t="s">
        <v>56</v>
      </c>
      <c r="B60">
        <v>23.43</v>
      </c>
      <c r="C60" t="s">
        <v>107</v>
      </c>
      <c r="E60" t="s">
        <v>56</v>
      </c>
      <c r="F60">
        <v>23.43</v>
      </c>
      <c r="G60" t="s">
        <v>107</v>
      </c>
    </row>
    <row r="61" spans="1:7" x14ac:dyDescent="0.2">
      <c r="A61" t="s">
        <v>57</v>
      </c>
      <c r="B61">
        <v>19.600000000000001</v>
      </c>
      <c r="C61" t="s">
        <v>107</v>
      </c>
      <c r="E61" t="s">
        <v>57</v>
      </c>
      <c r="F61">
        <v>19.600000000000001</v>
      </c>
      <c r="G61" t="s">
        <v>107</v>
      </c>
    </row>
    <row r="62" spans="1:7" x14ac:dyDescent="0.2">
      <c r="A62" t="s">
        <v>58</v>
      </c>
      <c r="B62">
        <v>34</v>
      </c>
      <c r="C62" t="s">
        <v>107</v>
      </c>
      <c r="E62" t="s">
        <v>58</v>
      </c>
      <c r="F62">
        <v>34</v>
      </c>
      <c r="G62" t="s">
        <v>107</v>
      </c>
    </row>
    <row r="63" spans="1:7" x14ac:dyDescent="0.2">
      <c r="A63" s="19" t="s">
        <v>116</v>
      </c>
    </row>
    <row r="64" spans="1:7" x14ac:dyDescent="0.2">
      <c r="A64" t="s">
        <v>60</v>
      </c>
      <c r="B64">
        <v>26.98</v>
      </c>
      <c r="E64" t="s">
        <v>60</v>
      </c>
    </row>
    <row r="65" spans="1:7" x14ac:dyDescent="0.2">
      <c r="A65" t="s">
        <v>61</v>
      </c>
      <c r="B65">
        <v>16.350000000000001</v>
      </c>
      <c r="C65" t="s">
        <v>107</v>
      </c>
      <c r="E65" t="s">
        <v>61</v>
      </c>
      <c r="F65">
        <v>16.350000000000001</v>
      </c>
      <c r="G65" t="s">
        <v>107</v>
      </c>
    </row>
    <row r="66" spans="1:7" x14ac:dyDescent="0.2">
      <c r="A66" t="s">
        <v>62</v>
      </c>
      <c r="B66">
        <v>15</v>
      </c>
      <c r="C66" t="s">
        <v>107</v>
      </c>
      <c r="E66" t="s">
        <v>62</v>
      </c>
      <c r="F66">
        <v>15</v>
      </c>
      <c r="G66" t="s">
        <v>107</v>
      </c>
    </row>
    <row r="67" spans="1:7" x14ac:dyDescent="0.2">
      <c r="A67" t="s">
        <v>63</v>
      </c>
      <c r="B67">
        <v>23.12</v>
      </c>
      <c r="C67" t="s">
        <v>107</v>
      </c>
      <c r="E67" t="s">
        <v>63</v>
      </c>
      <c r="F67">
        <v>23.12</v>
      </c>
      <c r="G67" t="s">
        <v>107</v>
      </c>
    </row>
    <row r="68" spans="1:7" x14ac:dyDescent="0.2">
      <c r="A68" t="s">
        <v>64</v>
      </c>
      <c r="B68">
        <v>12.9</v>
      </c>
      <c r="E68" t="s">
        <v>64</v>
      </c>
    </row>
    <row r="69" spans="1:7" x14ac:dyDescent="0.2">
      <c r="A69" t="s">
        <v>65</v>
      </c>
      <c r="B69">
        <v>32.86</v>
      </c>
      <c r="E69" t="s">
        <v>65</v>
      </c>
    </row>
    <row r="70" spans="1:7" x14ac:dyDescent="0.2">
      <c r="A70" t="s">
        <v>66</v>
      </c>
      <c r="B70">
        <v>17.5</v>
      </c>
      <c r="C70" t="s">
        <v>107</v>
      </c>
      <c r="E70" t="s">
        <v>66</v>
      </c>
      <c r="F70">
        <v>17.5</v>
      </c>
      <c r="G70" t="s">
        <v>107</v>
      </c>
    </row>
    <row r="71" spans="1:7" x14ac:dyDescent="0.2">
      <c r="A71" t="s">
        <v>67</v>
      </c>
      <c r="B71">
        <v>16.73</v>
      </c>
      <c r="C71" t="s">
        <v>107</v>
      </c>
      <c r="E71" t="s">
        <v>67</v>
      </c>
      <c r="F71">
        <v>16.73</v>
      </c>
      <c r="G71" t="s">
        <v>107</v>
      </c>
    </row>
    <row r="72" spans="1:7" x14ac:dyDescent="0.2">
      <c r="A72" t="s">
        <v>68</v>
      </c>
      <c r="B72">
        <v>19.84</v>
      </c>
      <c r="C72" t="s">
        <v>107</v>
      </c>
      <c r="E72" t="s">
        <v>68</v>
      </c>
      <c r="F72">
        <v>19.84</v>
      </c>
      <c r="G72" t="s">
        <v>107</v>
      </c>
    </row>
    <row r="73" spans="1:7" x14ac:dyDescent="0.2">
      <c r="A73" t="s">
        <v>69</v>
      </c>
      <c r="B73">
        <v>26.02</v>
      </c>
      <c r="C73" t="s">
        <v>107</v>
      </c>
      <c r="E73" t="s">
        <v>69</v>
      </c>
      <c r="F73">
        <v>26.02</v>
      </c>
      <c r="G73" t="s">
        <v>107</v>
      </c>
    </row>
    <row r="74" spans="1:7" x14ac:dyDescent="0.2">
      <c r="A74" t="s">
        <v>70</v>
      </c>
      <c r="B74">
        <v>14.68</v>
      </c>
      <c r="C74" t="s">
        <v>107</v>
      </c>
      <c r="E74" t="s">
        <v>70</v>
      </c>
      <c r="F74">
        <v>14.68</v>
      </c>
      <c r="G74" t="s">
        <v>107</v>
      </c>
    </row>
    <row r="75" spans="1:7" x14ac:dyDescent="0.2">
      <c r="A75" s="19" t="s">
        <v>116</v>
      </c>
    </row>
    <row r="76" spans="1:7" x14ac:dyDescent="0.2">
      <c r="A76" s="19" t="s">
        <v>116</v>
      </c>
    </row>
    <row r="77" spans="1:7" x14ac:dyDescent="0.2">
      <c r="A77" t="s">
        <v>73</v>
      </c>
      <c r="B77">
        <v>20.25</v>
      </c>
      <c r="C77" t="s">
        <v>107</v>
      </c>
      <c r="E77" t="s">
        <v>73</v>
      </c>
      <c r="F77">
        <v>20.25</v>
      </c>
      <c r="G77" t="s">
        <v>107</v>
      </c>
    </row>
    <row r="78" spans="1:7" x14ac:dyDescent="0.2">
      <c r="A78" t="s">
        <v>74</v>
      </c>
      <c r="B78">
        <v>11.84</v>
      </c>
      <c r="C78" t="s">
        <v>107</v>
      </c>
      <c r="E78" t="s">
        <v>74</v>
      </c>
      <c r="F78">
        <v>11.84</v>
      </c>
      <c r="G78" t="s">
        <v>107</v>
      </c>
    </row>
    <row r="79" spans="1:7" x14ac:dyDescent="0.2">
      <c r="A79" t="s">
        <v>75</v>
      </c>
      <c r="B79">
        <v>11.79</v>
      </c>
      <c r="C79" t="s">
        <v>107</v>
      </c>
      <c r="E79" t="s">
        <v>75</v>
      </c>
      <c r="F79">
        <v>11.79</v>
      </c>
      <c r="G79" t="s">
        <v>107</v>
      </c>
    </row>
    <row r="80" spans="1:7" x14ac:dyDescent="0.2">
      <c r="A80" s="19" t="s">
        <v>116</v>
      </c>
    </row>
    <row r="81" spans="1:7" x14ac:dyDescent="0.2">
      <c r="A81" t="s">
        <v>77</v>
      </c>
      <c r="B81">
        <v>15.25</v>
      </c>
      <c r="C81" t="s">
        <v>107</v>
      </c>
      <c r="E81" t="s">
        <v>77</v>
      </c>
      <c r="F81">
        <v>15.25</v>
      </c>
      <c r="G81" t="s">
        <v>107</v>
      </c>
    </row>
    <row r="82" spans="1:7" x14ac:dyDescent="0.2">
      <c r="A82" t="s">
        <v>78</v>
      </c>
      <c r="B82">
        <v>25.04</v>
      </c>
      <c r="C82" t="s">
        <v>107</v>
      </c>
      <c r="E82" t="s">
        <v>78</v>
      </c>
      <c r="F82">
        <v>25.04</v>
      </c>
      <c r="G82" t="s">
        <v>107</v>
      </c>
    </row>
    <row r="83" spans="1:7" x14ac:dyDescent="0.2">
      <c r="A83" t="s">
        <v>79</v>
      </c>
      <c r="B83">
        <v>23.13</v>
      </c>
      <c r="C83" t="s">
        <v>107</v>
      </c>
      <c r="E83" t="s">
        <v>79</v>
      </c>
      <c r="F83">
        <v>23.13</v>
      </c>
      <c r="G83" t="s">
        <v>107</v>
      </c>
    </row>
    <row r="84" spans="1:7" x14ac:dyDescent="0.2">
      <c r="A84" t="s">
        <v>80</v>
      </c>
      <c r="B84">
        <v>35.729999999999997</v>
      </c>
      <c r="E84" t="s">
        <v>80</v>
      </c>
    </row>
    <row r="85" spans="1:7" x14ac:dyDescent="0.2">
      <c r="A85" t="s">
        <v>81</v>
      </c>
      <c r="B85">
        <v>23.9</v>
      </c>
      <c r="C85" t="s">
        <v>107</v>
      </c>
      <c r="E85" t="s">
        <v>81</v>
      </c>
      <c r="F85">
        <v>23.9</v>
      </c>
      <c r="G85" t="s">
        <v>107</v>
      </c>
    </row>
    <row r="86" spans="1:7" x14ac:dyDescent="0.2">
      <c r="A86" t="s">
        <v>82</v>
      </c>
      <c r="B86">
        <v>20</v>
      </c>
      <c r="E86" t="s">
        <v>82</v>
      </c>
    </row>
    <row r="87" spans="1:7" x14ac:dyDescent="0.2">
      <c r="A87" t="s">
        <v>83</v>
      </c>
      <c r="B87">
        <v>28</v>
      </c>
      <c r="C87" t="s">
        <v>107</v>
      </c>
      <c r="E87" t="s">
        <v>83</v>
      </c>
      <c r="F87">
        <v>28</v>
      </c>
      <c r="G87" t="s">
        <v>107</v>
      </c>
    </row>
    <row r="88" spans="1:7" x14ac:dyDescent="0.2">
      <c r="A88" t="s">
        <v>84</v>
      </c>
      <c r="B88">
        <v>28</v>
      </c>
      <c r="E88" t="s">
        <v>84</v>
      </c>
    </row>
    <row r="89" spans="1:7" x14ac:dyDescent="0.2">
      <c r="A89" t="s">
        <v>85</v>
      </c>
      <c r="B89">
        <v>33</v>
      </c>
      <c r="E89" t="s">
        <v>85</v>
      </c>
    </row>
    <row r="90" spans="1:7" x14ac:dyDescent="0.2">
      <c r="A90" t="s">
        <v>86</v>
      </c>
      <c r="B90">
        <v>15</v>
      </c>
      <c r="E90" t="s">
        <v>86</v>
      </c>
    </row>
    <row r="91" spans="1:7" x14ac:dyDescent="0.2">
      <c r="A91" t="s">
        <v>87</v>
      </c>
      <c r="B91">
        <v>20</v>
      </c>
      <c r="E91" t="s">
        <v>87</v>
      </c>
    </row>
    <row r="92" spans="1:7" x14ac:dyDescent="0.2">
      <c r="A92" t="s">
        <v>88</v>
      </c>
      <c r="B92">
        <v>9.8000000000000007</v>
      </c>
      <c r="E92" t="s">
        <v>88</v>
      </c>
    </row>
    <row r="93" spans="1:7" x14ac:dyDescent="0.2">
      <c r="A93" t="s">
        <v>89</v>
      </c>
      <c r="B93">
        <v>18.75</v>
      </c>
      <c r="E93" t="s">
        <v>89</v>
      </c>
    </row>
    <row r="94" spans="1:7" x14ac:dyDescent="0.2">
      <c r="A94" t="s">
        <v>90</v>
      </c>
      <c r="B94">
        <v>18.760000000000002</v>
      </c>
      <c r="E94" t="s">
        <v>90</v>
      </c>
    </row>
    <row r="95" spans="1:7" x14ac:dyDescent="0.2">
      <c r="A95" t="s">
        <v>91</v>
      </c>
      <c r="B95">
        <v>19.02</v>
      </c>
      <c r="E95" t="s">
        <v>91</v>
      </c>
    </row>
    <row r="96" spans="1:7" x14ac:dyDescent="0.2">
      <c r="A96" t="s">
        <v>100</v>
      </c>
      <c r="B96">
        <v>47.2</v>
      </c>
      <c r="C96" t="s">
        <v>107</v>
      </c>
      <c r="E96" t="s">
        <v>100</v>
      </c>
      <c r="F96">
        <v>47.2</v>
      </c>
      <c r="G96" t="s">
        <v>107</v>
      </c>
    </row>
    <row r="97" spans="1:7" x14ac:dyDescent="0.2">
      <c r="A97" t="s">
        <v>92</v>
      </c>
      <c r="B97">
        <v>35</v>
      </c>
      <c r="E97" t="s">
        <v>92</v>
      </c>
    </row>
    <row r="98" spans="1:7" x14ac:dyDescent="0.2">
      <c r="A98" t="s">
        <v>101</v>
      </c>
      <c r="B98">
        <v>37.5</v>
      </c>
      <c r="C98" t="s">
        <v>108</v>
      </c>
      <c r="E98" t="s">
        <v>101</v>
      </c>
      <c r="F98">
        <v>37.5</v>
      </c>
      <c r="G98" t="s">
        <v>108</v>
      </c>
    </row>
    <row r="99" spans="1:7" x14ac:dyDescent="0.2">
      <c r="A99" t="s">
        <v>102</v>
      </c>
      <c r="B99">
        <v>26.5</v>
      </c>
      <c r="C99" t="s">
        <v>107</v>
      </c>
      <c r="E99" t="s">
        <v>102</v>
      </c>
      <c r="F99">
        <v>26.5</v>
      </c>
      <c r="G99" t="s">
        <v>107</v>
      </c>
    </row>
    <row r="100" spans="1:7" x14ac:dyDescent="0.2">
      <c r="A100" t="s">
        <v>103</v>
      </c>
      <c r="B100">
        <v>36.4</v>
      </c>
      <c r="E100" t="s">
        <v>103</v>
      </c>
    </row>
    <row r="101" spans="1:7" x14ac:dyDescent="0.2">
      <c r="A101" t="s">
        <v>104</v>
      </c>
      <c r="B101">
        <v>35</v>
      </c>
      <c r="E101" t="s">
        <v>104</v>
      </c>
    </row>
    <row r="103" spans="1:7" x14ac:dyDescent="0.2">
      <c r="A103" s="16" t="s">
        <v>106</v>
      </c>
      <c r="B103" s="16">
        <v>46</v>
      </c>
      <c r="E103" s="16" t="s">
        <v>106</v>
      </c>
      <c r="F103" s="16"/>
    </row>
    <row r="104" spans="1:7" x14ac:dyDescent="0.2">
      <c r="A104" s="18" t="s">
        <v>109</v>
      </c>
      <c r="B104" s="18">
        <v>30</v>
      </c>
      <c r="E104" s="18" t="s">
        <v>109</v>
      </c>
      <c r="F104" s="18"/>
    </row>
    <row r="105" spans="1:7" x14ac:dyDescent="0.2">
      <c r="A105" s="18" t="s">
        <v>110</v>
      </c>
      <c r="B105" s="18">
        <v>28</v>
      </c>
      <c r="E105" s="18" t="s">
        <v>110</v>
      </c>
      <c r="F105" s="18"/>
    </row>
    <row r="106" spans="1:7" x14ac:dyDescent="0.2">
      <c r="A106" s="18" t="s">
        <v>111</v>
      </c>
      <c r="B106" s="21" t="s">
        <v>120</v>
      </c>
      <c r="E106" s="18" t="s">
        <v>111</v>
      </c>
      <c r="F106" s="21"/>
    </row>
    <row r="107" spans="1:7" x14ac:dyDescent="0.2">
      <c r="A107">
        <v>0</v>
      </c>
      <c r="B107">
        <f>SUM(B4:B106)</f>
        <v>1748.2450000000001</v>
      </c>
      <c r="C107" s="19" t="s">
        <v>131</v>
      </c>
      <c r="E107">
        <v>0</v>
      </c>
      <c r="F107">
        <f>SUM(F4:F106)</f>
        <v>831.42500000000007</v>
      </c>
      <c r="G107" s="19" t="s">
        <v>118</v>
      </c>
    </row>
    <row r="109" spans="1:7" x14ac:dyDescent="0.2">
      <c r="A109" s="21" t="s">
        <v>121</v>
      </c>
    </row>
    <row r="110" spans="1:7" x14ac:dyDescent="0.2">
      <c r="A110" s="20" t="s">
        <v>115</v>
      </c>
    </row>
    <row r="111" spans="1:7" x14ac:dyDescent="0.2">
      <c r="A111" s="19" t="s">
        <v>117</v>
      </c>
    </row>
  </sheetData>
  <phoneticPr fontId="0" type="noConversion"/>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heetViews>
  <sheetFormatPr defaultRowHeight="12.75" x14ac:dyDescent="0.2"/>
  <cols>
    <col min="1" max="1" width="118.42578125" bestFit="1" customWidth="1"/>
  </cols>
  <sheetData>
    <row r="1" spans="1:1" x14ac:dyDescent="0.2">
      <c r="A1" t="s">
        <v>135</v>
      </c>
    </row>
    <row r="3" spans="1:1" ht="25.5" x14ac:dyDescent="0.2">
      <c r="A3" s="28" t="s">
        <v>136</v>
      </c>
    </row>
    <row r="5" spans="1:1" ht="76.5" x14ac:dyDescent="0.2">
      <c r="A5" s="29" t="s">
        <v>137</v>
      </c>
    </row>
    <row r="7" spans="1:1" ht="25.5" x14ac:dyDescent="0.2">
      <c r="A7" s="28" t="s">
        <v>138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188"/>
  <sheetViews>
    <sheetView tabSelected="1" zoomScale="90" zoomScaleNormal="90" workbookViewId="0">
      <pane xSplit="10" ySplit="6" topLeftCell="Z15" activePane="bottomRight" state="frozenSplit"/>
      <selection pane="topRight" activeCell="AJ6" sqref="AJ6"/>
      <selection pane="bottomLeft" activeCell="K76" sqref="K76"/>
      <selection pane="bottomRight" activeCell="AL18" sqref="AL18"/>
    </sheetView>
  </sheetViews>
  <sheetFormatPr defaultRowHeight="12.75" x14ac:dyDescent="0.2"/>
  <cols>
    <col min="1" max="1" width="19.7109375" style="187" customWidth="1"/>
    <col min="2" max="2" width="18" style="61" customWidth="1"/>
    <col min="3" max="3" width="10.5703125" style="61" customWidth="1"/>
    <col min="4" max="4" width="8.28515625" customWidth="1"/>
    <col min="6" max="7" width="9.140625" hidden="1" customWidth="1"/>
    <col min="8" max="8" width="6.7109375" customWidth="1"/>
    <col min="9" max="10" width="11.5703125" hidden="1" customWidth="1"/>
    <col min="11" max="11" width="11.5703125" customWidth="1"/>
    <col min="12" max="12" width="7.140625" customWidth="1"/>
    <col min="13" max="13" width="9.140625" customWidth="1"/>
    <col min="15" max="15" width="9.140625" customWidth="1"/>
    <col min="21" max="25" width="11.5703125" customWidth="1"/>
    <col min="26" max="30" width="9.140625" customWidth="1"/>
    <col min="32" max="32" width="9.140625" style="105"/>
    <col min="33" max="35" width="9.140625" style="132" customWidth="1"/>
    <col min="36" max="36" width="9.140625" customWidth="1"/>
    <col min="41" max="41" width="9.140625" customWidth="1"/>
    <col min="47" max="47" width="14.85546875" bestFit="1" customWidth="1"/>
    <col min="48" max="48" width="13" bestFit="1" customWidth="1"/>
  </cols>
  <sheetData>
    <row r="1" spans="1:42" x14ac:dyDescent="0.2">
      <c r="M1" s="215" t="s">
        <v>548</v>
      </c>
      <c r="AK1" s="15">
        <f>MAX(AK7:AK63)</f>
        <v>1.1295581270038595</v>
      </c>
      <c r="AL1" s="234" t="s">
        <v>574</v>
      </c>
      <c r="AM1" s="234">
        <v>1.5</v>
      </c>
    </row>
    <row r="2" spans="1:42" x14ac:dyDescent="0.2">
      <c r="AK2" s="15">
        <f>MIN(AK7:AK63)</f>
        <v>0.21605151301893516</v>
      </c>
      <c r="AL2" s="159" t="s">
        <v>572</v>
      </c>
      <c r="AM2" s="159">
        <v>0.5</v>
      </c>
      <c r="AN2" s="244"/>
    </row>
    <row r="3" spans="1:42" x14ac:dyDescent="0.2">
      <c r="E3" s="61" t="s">
        <v>745</v>
      </c>
      <c r="AL3" s="159" t="s">
        <v>573</v>
      </c>
      <c r="AM3" s="159">
        <v>0.25</v>
      </c>
      <c r="AP3" s="234" t="s">
        <v>602</v>
      </c>
    </row>
    <row r="4" spans="1:42" x14ac:dyDescent="0.2">
      <c r="F4" s="61" t="s">
        <v>275</v>
      </c>
      <c r="G4" s="61" t="s">
        <v>276</v>
      </c>
      <c r="AC4" s="101"/>
      <c r="AD4" s="101"/>
      <c r="AE4" s="101"/>
      <c r="AF4" s="104" t="s">
        <v>287</v>
      </c>
      <c r="AG4" s="130"/>
      <c r="AH4" s="130"/>
      <c r="AI4" s="130"/>
      <c r="AJ4" s="101"/>
      <c r="AK4" s="101"/>
      <c r="AL4" s="245"/>
      <c r="AM4" s="245"/>
      <c r="AN4" s="160" t="s">
        <v>603</v>
      </c>
      <c r="AO4" s="160" t="s">
        <v>604</v>
      </c>
      <c r="AP4" s="234" t="s">
        <v>601</v>
      </c>
    </row>
    <row r="5" spans="1:42" x14ac:dyDescent="0.2">
      <c r="A5" s="187" t="s">
        <v>242</v>
      </c>
      <c r="E5" s="64" t="s">
        <v>677</v>
      </c>
      <c r="F5" s="212"/>
      <c r="G5" s="212"/>
      <c r="H5" s="212"/>
      <c r="I5" s="212"/>
      <c r="J5" s="212"/>
      <c r="K5" s="212"/>
      <c r="L5" s="212"/>
      <c r="M5" s="212"/>
      <c r="N5" s="212"/>
      <c r="O5" s="212"/>
      <c r="P5" s="212"/>
      <c r="Q5" s="212"/>
      <c r="R5" s="212"/>
      <c r="S5" s="212"/>
      <c r="T5" s="64"/>
      <c r="U5" s="66" t="s">
        <v>678</v>
      </c>
      <c r="V5" s="66"/>
      <c r="W5" s="82"/>
      <c r="X5" s="82"/>
      <c r="Y5" s="82"/>
      <c r="Z5" s="82"/>
      <c r="AA5" s="82"/>
      <c r="AB5" s="82"/>
      <c r="AC5" s="82"/>
      <c r="AD5" s="82"/>
      <c r="AE5" s="82"/>
      <c r="AF5" s="248" t="s">
        <v>816</v>
      </c>
      <c r="AG5" s="221"/>
      <c r="AH5" s="221"/>
      <c r="AI5" s="248" t="s">
        <v>686</v>
      </c>
      <c r="AJ5" s="65" t="s">
        <v>494</v>
      </c>
      <c r="AP5" s="212"/>
    </row>
    <row r="6" spans="1:42" x14ac:dyDescent="0.2">
      <c r="A6" s="188" t="s">
        <v>264</v>
      </c>
      <c r="B6" s="67"/>
      <c r="C6" s="67" t="s">
        <v>537</v>
      </c>
      <c r="D6" s="67" t="s">
        <v>265</v>
      </c>
      <c r="E6" s="64" t="s">
        <v>267</v>
      </c>
      <c r="F6" s="64" t="s">
        <v>317</v>
      </c>
      <c r="G6" s="64" t="s">
        <v>318</v>
      </c>
      <c r="H6" s="64" t="s">
        <v>271</v>
      </c>
      <c r="I6" s="64" t="s">
        <v>270</v>
      </c>
      <c r="J6" s="64" t="s">
        <v>283</v>
      </c>
      <c r="K6" s="64" t="s">
        <v>277</v>
      </c>
      <c r="L6" s="64" t="s">
        <v>273</v>
      </c>
      <c r="M6" s="64" t="s">
        <v>269</v>
      </c>
      <c r="N6" s="65" t="s">
        <v>279</v>
      </c>
      <c r="O6" s="65" t="s">
        <v>280</v>
      </c>
      <c r="P6" s="65" t="s">
        <v>323</v>
      </c>
      <c r="Q6" s="65" t="s">
        <v>268</v>
      </c>
      <c r="R6" s="65" t="s">
        <v>274</v>
      </c>
      <c r="S6" s="61" t="s">
        <v>667</v>
      </c>
      <c r="T6" s="65" t="s">
        <v>281</v>
      </c>
      <c r="U6" s="66" t="s">
        <v>464</v>
      </c>
      <c r="V6" s="66" t="s">
        <v>465</v>
      </c>
      <c r="W6" s="66" t="s">
        <v>282</v>
      </c>
      <c r="X6" s="66" t="s">
        <v>546</v>
      </c>
      <c r="Y6" s="66" t="s">
        <v>547</v>
      </c>
      <c r="Z6" s="66" t="s">
        <v>509</v>
      </c>
      <c r="AA6" s="66" t="s">
        <v>453</v>
      </c>
      <c r="AB6" s="66" t="s">
        <v>461</v>
      </c>
      <c r="AC6" s="65" t="s">
        <v>466</v>
      </c>
      <c r="AD6" s="65" t="s">
        <v>551</v>
      </c>
      <c r="AE6" s="65" t="s">
        <v>550</v>
      </c>
      <c r="AF6" s="106" t="s">
        <v>540</v>
      </c>
      <c r="AG6" s="134" t="s">
        <v>344</v>
      </c>
      <c r="AH6" s="134" t="s">
        <v>539</v>
      </c>
      <c r="AI6" s="224" t="s">
        <v>686</v>
      </c>
      <c r="AK6" s="61" t="s">
        <v>815</v>
      </c>
      <c r="AL6" s="61" t="s">
        <v>734</v>
      </c>
      <c r="AM6" s="61" t="s">
        <v>733</v>
      </c>
      <c r="AN6" s="61" t="s">
        <v>575</v>
      </c>
      <c r="AP6" s="212"/>
    </row>
    <row r="7" spans="1:42" ht="15.75" x14ac:dyDescent="0.2">
      <c r="A7" s="110" t="s">
        <v>243</v>
      </c>
      <c r="B7" s="109" t="s">
        <v>518</v>
      </c>
      <c r="C7" s="109" t="s">
        <v>538</v>
      </c>
      <c r="D7" s="65" t="s">
        <v>278</v>
      </c>
      <c r="E7">
        <f>G7/0.8</f>
        <v>60000</v>
      </c>
      <c r="F7">
        <v>24000</v>
      </c>
      <c r="G7">
        <f>2*F7</f>
        <v>48000</v>
      </c>
      <c r="H7">
        <v>0.2</v>
      </c>
      <c r="I7">
        <v>0.2</v>
      </c>
      <c r="J7">
        <v>0.2</v>
      </c>
      <c r="K7" t="s">
        <v>284</v>
      </c>
      <c r="L7" s="97">
        <v>1</v>
      </c>
      <c r="M7" s="215">
        <v>22</v>
      </c>
      <c r="N7">
        <v>10600</v>
      </c>
      <c r="O7">
        <v>0.34</v>
      </c>
      <c r="P7">
        <v>2008</v>
      </c>
      <c r="Q7" s="61">
        <v>41</v>
      </c>
      <c r="R7" s="61">
        <v>11</v>
      </c>
      <c r="S7" s="61" t="s">
        <v>663</v>
      </c>
      <c r="T7" s="61"/>
      <c r="Z7" s="24"/>
      <c r="AA7" s="24"/>
      <c r="AB7" s="24"/>
      <c r="AC7" s="15"/>
      <c r="AD7" s="15"/>
      <c r="AE7" s="15"/>
      <c r="AF7" s="136">
        <f>N7/E7</f>
        <v>0.17666666666666667</v>
      </c>
      <c r="AG7" s="137"/>
      <c r="AH7" s="137"/>
      <c r="AI7" s="137">
        <f>O7/H7</f>
        <v>1.7</v>
      </c>
      <c r="AJ7" s="24">
        <f>'landings Sylvie'!$B$72</f>
        <v>17067.339285714286</v>
      </c>
      <c r="AK7" s="186">
        <f>_xlfn.STDEV.S(AF7:AH10)/AVERAGE(AF7:AH10)</f>
        <v>0.21605151301893516</v>
      </c>
      <c r="AM7" s="15">
        <f>IF(AF7&gt;=0.95,IF(AF7&lt;=$AM$1,1,MAX(1-$AM$2*(AF7-$AM$1),$AM$3)),AF7)</f>
        <v>0.17666666666666667</v>
      </c>
      <c r="AN7" s="15">
        <f>AM7</f>
        <v>0.17666666666666667</v>
      </c>
      <c r="AO7" s="15">
        <f>AN7^(AJ7/1000)</f>
        <v>1.4155733650101887E-13</v>
      </c>
      <c r="AP7" s="212">
        <f>AN7*AJ7/$AJ$86</f>
        <v>1.6995591146410291E-2</v>
      </c>
    </row>
    <row r="8" spans="1:42" ht="15.75" x14ac:dyDescent="0.2">
      <c r="A8" s="110"/>
      <c r="B8" s="109"/>
      <c r="C8" s="109" t="s">
        <v>539</v>
      </c>
      <c r="D8" s="65" t="s">
        <v>278</v>
      </c>
      <c r="E8">
        <f>U8/2</f>
        <v>145071.5</v>
      </c>
      <c r="M8" s="61"/>
      <c r="Q8" s="61"/>
      <c r="R8" s="61"/>
      <c r="S8" s="61"/>
      <c r="T8" s="61"/>
      <c r="U8">
        <v>290143</v>
      </c>
      <c r="V8">
        <v>0.27100000000000002</v>
      </c>
      <c r="W8">
        <v>19667</v>
      </c>
      <c r="X8">
        <v>18262</v>
      </c>
      <c r="Y8">
        <v>21181</v>
      </c>
      <c r="Z8" s="24">
        <v>4132</v>
      </c>
      <c r="AA8" s="117">
        <v>2008</v>
      </c>
      <c r="AB8" s="120" t="s">
        <v>463</v>
      </c>
      <c r="AC8" s="15">
        <f>Z8/W8</f>
        <v>0.2100981339299334</v>
      </c>
      <c r="AD8" s="241">
        <f>1-(1-$AC8)^0.5</f>
        <v>0.11123576463154938</v>
      </c>
      <c r="AE8" s="140">
        <f>1+(1-$AC8)^0.5</f>
        <v>1.8887642353684506</v>
      </c>
      <c r="AF8" s="136"/>
      <c r="AG8" s="137"/>
      <c r="AH8" s="137">
        <f>AD8</f>
        <v>0.11123576463154938</v>
      </c>
      <c r="AJ8" s="24"/>
      <c r="AK8" s="186"/>
      <c r="AP8" s="212"/>
    </row>
    <row r="9" spans="1:42" ht="15.75" x14ac:dyDescent="0.2">
      <c r="A9" s="110"/>
      <c r="B9" s="109"/>
      <c r="C9" s="109" t="s">
        <v>344</v>
      </c>
      <c r="D9" s="65" t="s">
        <v>441</v>
      </c>
      <c r="E9">
        <f>AVERAGE('[1]assessment biomass'!$B$2:$B$40)</f>
        <v>22016.580977692305</v>
      </c>
      <c r="L9" s="61">
        <v>2</v>
      </c>
      <c r="M9" s="61">
        <v>23</v>
      </c>
      <c r="N9" s="84">
        <f>'[1]assessment biomass'!$B$40</f>
        <v>3277.6390899999997</v>
      </c>
      <c r="P9">
        <v>2008</v>
      </c>
      <c r="Q9" s="61">
        <v>2</v>
      </c>
      <c r="R9" s="61"/>
      <c r="S9" s="61" t="s">
        <v>664</v>
      </c>
      <c r="T9" s="61"/>
      <c r="Z9" s="24"/>
      <c r="AA9" s="24"/>
      <c r="AB9" s="24"/>
      <c r="AC9" s="15"/>
      <c r="AD9" s="15"/>
      <c r="AE9" s="140"/>
      <c r="AF9" s="136"/>
      <c r="AG9" s="136">
        <f>N9/E9</f>
        <v>0.1488713934884339</v>
      </c>
      <c r="AH9" s="137"/>
      <c r="AI9" s="137"/>
      <c r="AJ9" s="24"/>
      <c r="AK9" s="186"/>
      <c r="AP9" s="212"/>
    </row>
    <row r="10" spans="1:42" ht="15.75" x14ac:dyDescent="0.2">
      <c r="A10" s="110"/>
      <c r="B10" s="109"/>
      <c r="C10" s="109" t="s">
        <v>344</v>
      </c>
      <c r="D10" s="65" t="s">
        <v>441</v>
      </c>
      <c r="L10" s="61">
        <v>2</v>
      </c>
      <c r="M10" s="61">
        <v>23</v>
      </c>
      <c r="N10" s="84">
        <f>AVERAGE('[1]assessment biomass'!$B$44:$B$46)</f>
        <v>2612.753792449203</v>
      </c>
      <c r="P10" s="61" t="s">
        <v>492</v>
      </c>
      <c r="Q10" s="61">
        <v>2</v>
      </c>
      <c r="R10" s="61"/>
      <c r="S10" s="61" t="s">
        <v>664</v>
      </c>
      <c r="T10" s="61"/>
      <c r="Z10" s="24"/>
      <c r="AA10" s="24"/>
      <c r="AB10" s="24"/>
      <c r="AC10" s="15"/>
      <c r="AD10" s="15"/>
      <c r="AE10" s="140"/>
      <c r="AF10" s="136"/>
      <c r="AG10" s="136">
        <f>N10/E9</f>
        <v>0.11867209514031737</v>
      </c>
      <c r="AH10" s="137"/>
      <c r="AI10" s="137"/>
      <c r="AJ10" s="24"/>
      <c r="AK10" s="186"/>
      <c r="AP10" s="212"/>
    </row>
    <row r="11" spans="1:42" ht="15.75" x14ac:dyDescent="0.2">
      <c r="A11" s="189"/>
      <c r="B11" s="122"/>
      <c r="C11" s="122"/>
      <c r="D11" s="97"/>
      <c r="L11" s="61"/>
      <c r="M11" s="61"/>
      <c r="P11" s="61"/>
      <c r="Q11" s="61"/>
      <c r="R11" s="61"/>
      <c r="S11" s="61"/>
      <c r="T11" s="61"/>
      <c r="Z11" s="24"/>
      <c r="AA11" s="24"/>
      <c r="AB11" s="24"/>
      <c r="AC11" s="15"/>
      <c r="AD11" s="15"/>
      <c r="AE11" s="140"/>
      <c r="AF11" s="136"/>
      <c r="AG11" s="137"/>
      <c r="AH11" s="137"/>
      <c r="AI11" s="137"/>
      <c r="AJ11" s="24"/>
      <c r="AK11" s="186"/>
      <c r="AP11" s="212"/>
    </row>
    <row r="12" spans="1:42" ht="15.75" x14ac:dyDescent="0.2">
      <c r="A12" s="110" t="s">
        <v>249</v>
      </c>
      <c r="B12" s="109" t="s">
        <v>525</v>
      </c>
      <c r="C12" s="109" t="s">
        <v>554</v>
      </c>
      <c r="D12" t="s">
        <v>250</v>
      </c>
      <c r="E12">
        <v>39000</v>
      </c>
      <c r="F12" s="61" t="s">
        <v>571</v>
      </c>
      <c r="H12" s="61" t="s">
        <v>449</v>
      </c>
      <c r="K12" s="61"/>
      <c r="L12" s="61">
        <v>3</v>
      </c>
      <c r="M12" s="61">
        <v>24</v>
      </c>
      <c r="N12">
        <f>AVERAGE('[1]assessment biomass'!$AL$42:$AL$46)</f>
        <v>11426.220710066262</v>
      </c>
      <c r="O12" s="61" t="s">
        <v>656</v>
      </c>
      <c r="P12" s="61" t="s">
        <v>492</v>
      </c>
      <c r="Q12" s="61">
        <v>2</v>
      </c>
      <c r="S12" s="61" t="s">
        <v>664</v>
      </c>
      <c r="T12" s="61">
        <v>52</v>
      </c>
      <c r="Z12" s="24"/>
      <c r="AA12" s="24"/>
      <c r="AB12" s="24"/>
      <c r="AC12" s="15"/>
      <c r="AD12" s="15"/>
      <c r="AE12" s="140"/>
      <c r="AF12" s="141">
        <f>N12/E12</f>
        <v>0.29298001820682723</v>
      </c>
      <c r="AG12" s="142"/>
      <c r="AH12" s="142"/>
      <c r="AI12" s="142" t="s">
        <v>656</v>
      </c>
      <c r="AJ12" s="121">
        <f>'landings Sylvie'!F72</f>
        <v>10643.172413793103</v>
      </c>
      <c r="AK12" s="186">
        <f>_xlfn.STDEV.S(AF12:AH13)/AVERAGE(AF12:AH13)</f>
        <v>0.52942209487754655</v>
      </c>
      <c r="AM12" s="15">
        <f>IF(AF12&gt;=0.95,IF(AF12&lt;=$AM$1,1,MAX(1-$AM$2*(AF12-$AM$1),$AM$3)),AF12)</f>
        <v>0.29298001820682723</v>
      </c>
      <c r="AN12" s="15">
        <f>AM12</f>
        <v>0.29298001820682723</v>
      </c>
      <c r="AO12" s="15">
        <f>AN12^(AJ12/1000)</f>
        <v>2.1157528138893181E-6</v>
      </c>
      <c r="AP12" s="212">
        <f>AN12*AJ12/$AJ$86</f>
        <v>1.7576198036368326E-2</v>
      </c>
    </row>
    <row r="13" spans="1:42" ht="15.75" x14ac:dyDescent="0.2">
      <c r="A13" s="110"/>
      <c r="B13" s="109"/>
      <c r="C13" s="109" t="s">
        <v>539</v>
      </c>
      <c r="D13" t="s">
        <v>250</v>
      </c>
      <c r="P13" s="61"/>
      <c r="Q13" s="61"/>
      <c r="R13" s="61"/>
      <c r="S13" s="61"/>
      <c r="U13">
        <v>172243</v>
      </c>
      <c r="V13">
        <v>0.3</v>
      </c>
      <c r="W13">
        <v>12926</v>
      </c>
      <c r="X13">
        <v>10272</v>
      </c>
      <c r="Y13">
        <v>16267</v>
      </c>
      <c r="Z13" s="24">
        <v>3218</v>
      </c>
      <c r="AA13" s="24">
        <v>2010</v>
      </c>
      <c r="AB13" s="121" t="s">
        <v>463</v>
      </c>
      <c r="AC13" s="15">
        <f>Z13/W13</f>
        <v>0.24895559337768838</v>
      </c>
      <c r="AD13" s="239">
        <f>1-(1-$AC13)^0.5</f>
        <v>0.13337181754669913</v>
      </c>
      <c r="AE13" s="140">
        <f>1+(1-$AC13)^0.5</f>
        <v>1.8666281824533009</v>
      </c>
      <c r="AF13" s="136"/>
      <c r="AG13" s="137"/>
      <c r="AH13" s="137">
        <f>AD13</f>
        <v>0.13337181754669913</v>
      </c>
      <c r="AI13" s="137"/>
      <c r="AJ13" s="24"/>
      <c r="AK13" s="186"/>
      <c r="AP13" s="212"/>
    </row>
    <row r="14" spans="1:42" ht="15.75" x14ac:dyDescent="0.2">
      <c r="A14" s="189"/>
      <c r="B14" s="122"/>
      <c r="C14" s="122"/>
      <c r="P14" s="61"/>
      <c r="Q14" s="61"/>
      <c r="R14" s="61"/>
      <c r="S14" s="61"/>
      <c r="Z14" s="24"/>
      <c r="AA14" s="24"/>
      <c r="AB14" s="121"/>
      <c r="AC14" s="15"/>
      <c r="AD14" s="17"/>
      <c r="AE14" s="140"/>
      <c r="AF14" s="136"/>
      <c r="AG14" s="137"/>
      <c r="AH14" s="137"/>
      <c r="AI14" s="137"/>
      <c r="AJ14" s="24"/>
      <c r="AK14" s="186"/>
      <c r="AP14" s="212"/>
    </row>
    <row r="15" spans="1:42" ht="15.75" x14ac:dyDescent="0.2">
      <c r="A15" s="110" t="s">
        <v>346</v>
      </c>
      <c r="B15" s="109" t="s">
        <v>521</v>
      </c>
      <c r="C15" s="109" t="s">
        <v>538</v>
      </c>
      <c r="D15" s="65" t="s">
        <v>347</v>
      </c>
      <c r="E15">
        <f>G15/0.8</f>
        <v>33.25</v>
      </c>
      <c r="F15" s="61"/>
      <c r="G15">
        <v>26.6</v>
      </c>
      <c r="L15" s="61" t="s">
        <v>610</v>
      </c>
      <c r="M15" s="61">
        <v>25</v>
      </c>
      <c r="N15">
        <v>18.2</v>
      </c>
      <c r="O15" s="61" t="s">
        <v>656</v>
      </c>
      <c r="P15" s="61" t="s">
        <v>348</v>
      </c>
      <c r="Q15" s="61">
        <v>42</v>
      </c>
      <c r="R15">
        <v>1</v>
      </c>
      <c r="S15" s="61" t="s">
        <v>665</v>
      </c>
      <c r="T15" s="61"/>
      <c r="Z15" s="24"/>
      <c r="AA15" s="24"/>
      <c r="AB15" s="24"/>
      <c r="AC15" s="15"/>
      <c r="AD15" s="15"/>
      <c r="AE15" s="140"/>
      <c r="AF15" s="146">
        <f>N15/E15</f>
        <v>0.5473684210526315</v>
      </c>
      <c r="AG15" s="147"/>
      <c r="AH15" s="147"/>
      <c r="AI15" s="142" t="s">
        <v>656</v>
      </c>
      <c r="AJ15" s="24">
        <f>'landings Sylvie'!$C$72</f>
        <v>2894.5135135135133</v>
      </c>
      <c r="AK15" s="186">
        <f>_xlfn.STDEV.S(AF15:AH16)/AVERAGE(AF15:AH16)</f>
        <v>1.1295581270038595</v>
      </c>
      <c r="AM15" s="15">
        <f>IF(AF15&gt;=0.95,IF(AF15&lt;=$AM$1,1,MAX(1-$AM$2*(AF15-$AM$1),$AM$3)),AF15)</f>
        <v>0.5473684210526315</v>
      </c>
      <c r="AN15" s="15">
        <f>AM15</f>
        <v>0.5473684210526315</v>
      </c>
      <c r="AO15" s="15">
        <f>AN15^(AJ15/1000)</f>
        <v>0.17476206426045587</v>
      </c>
      <c r="AP15" s="212">
        <f>AN15*AJ15/$AJ$86</f>
        <v>8.9304050617346458E-3</v>
      </c>
    </row>
    <row r="16" spans="1:42" ht="15.75" x14ac:dyDescent="0.2">
      <c r="A16" s="110"/>
      <c r="B16" s="109"/>
      <c r="C16" s="109" t="s">
        <v>539</v>
      </c>
      <c r="D16" s="65" t="s">
        <v>692</v>
      </c>
      <c r="F16" s="61"/>
      <c r="M16" s="61"/>
      <c r="O16" s="61"/>
      <c r="P16" s="61"/>
      <c r="Q16" s="61"/>
      <c r="T16" s="61"/>
      <c r="U16">
        <v>98748</v>
      </c>
      <c r="V16">
        <v>0.12</v>
      </c>
      <c r="W16">
        <v>2955</v>
      </c>
      <c r="X16">
        <v>1897</v>
      </c>
      <c r="Y16">
        <v>4605</v>
      </c>
      <c r="Z16" s="24">
        <v>181</v>
      </c>
      <c r="AA16" s="24">
        <v>2006</v>
      </c>
      <c r="AB16" s="121" t="s">
        <v>522</v>
      </c>
      <c r="AC16" s="15">
        <f>Z16/W16</f>
        <v>6.1252115059221658E-2</v>
      </c>
      <c r="AD16" s="241">
        <f>1-(1-$AC16)^0.5</f>
        <v>3.1109972731281355E-2</v>
      </c>
      <c r="AE16" s="140"/>
      <c r="AF16" s="146"/>
      <c r="AG16" s="147"/>
      <c r="AH16" s="147">
        <f>AC16</f>
        <v>6.1252115059221658E-2</v>
      </c>
      <c r="AI16" s="147"/>
      <c r="AJ16" s="24"/>
      <c r="AK16" s="186"/>
      <c r="AP16" s="212"/>
    </row>
    <row r="17" spans="1:42" s="101" customFormat="1" ht="15.75" x14ac:dyDescent="0.2">
      <c r="A17" s="189"/>
      <c r="B17" s="122"/>
      <c r="C17" s="122"/>
      <c r="D17" s="97"/>
      <c r="F17" s="97"/>
      <c r="M17" s="97"/>
      <c r="O17" s="97"/>
      <c r="P17" s="97"/>
      <c r="Q17" s="97"/>
      <c r="T17" s="97"/>
      <c r="Z17" s="102"/>
      <c r="AA17" s="102"/>
      <c r="AB17" s="123"/>
      <c r="AC17" s="140"/>
      <c r="AD17" s="140"/>
      <c r="AE17" s="140"/>
      <c r="AF17" s="148"/>
      <c r="AG17" s="149"/>
      <c r="AH17" s="149"/>
      <c r="AI17" s="149"/>
      <c r="AJ17" s="102"/>
      <c r="AK17" s="269"/>
      <c r="AP17" s="212"/>
    </row>
    <row r="18" spans="1:42" ht="15.75" x14ac:dyDescent="0.2">
      <c r="A18" s="190" t="s">
        <v>245</v>
      </c>
      <c r="B18" s="61" t="s">
        <v>519</v>
      </c>
      <c r="C18" s="61" t="s">
        <v>538</v>
      </c>
      <c r="D18" t="s">
        <v>246</v>
      </c>
      <c r="E18">
        <f>G18/0.8</f>
        <v>4900</v>
      </c>
      <c r="F18">
        <v>1960</v>
      </c>
      <c r="G18">
        <v>3920</v>
      </c>
      <c r="H18">
        <v>0.36</v>
      </c>
      <c r="I18">
        <v>0.2</v>
      </c>
      <c r="K18" s="61" t="s">
        <v>285</v>
      </c>
      <c r="L18">
        <v>1</v>
      </c>
      <c r="M18" s="215">
        <v>26</v>
      </c>
      <c r="N18">
        <f>6527</f>
        <v>6527</v>
      </c>
      <c r="O18">
        <v>0.2</v>
      </c>
      <c r="P18">
        <v>2009</v>
      </c>
      <c r="Q18" s="61">
        <v>43</v>
      </c>
      <c r="R18" s="61">
        <v>12</v>
      </c>
      <c r="S18" s="61" t="s">
        <v>663</v>
      </c>
      <c r="T18" s="61">
        <v>53</v>
      </c>
      <c r="W18">
        <v>1945</v>
      </c>
      <c r="Z18" s="24"/>
      <c r="AA18" s="24"/>
      <c r="AB18" s="24"/>
      <c r="AC18" s="15"/>
      <c r="AD18" s="15"/>
      <c r="AE18" s="140"/>
      <c r="AF18" s="136">
        <f>N18/E18</f>
        <v>1.3320408163265307</v>
      </c>
      <c r="AG18" s="137"/>
      <c r="AH18" s="137"/>
      <c r="AI18" s="137">
        <f>O18/H18</f>
        <v>0.55555555555555558</v>
      </c>
      <c r="AJ18" s="24">
        <f>'landings Sylvie'!$S$72</f>
        <v>507.73469387755102</v>
      </c>
      <c r="AK18" s="186"/>
      <c r="AM18" s="15">
        <f>IF(AF18&gt;=0.95,IF(AF18&lt;=$AM$1,1,MAX(1-$AM$2*(AF18-$AM$1),$AM$3)),AF18)</f>
        <v>1</v>
      </c>
      <c r="AN18" s="15">
        <f>AM18</f>
        <v>1</v>
      </c>
      <c r="AO18" s="15">
        <f>AN18^(AJ18/1000)</f>
        <v>1</v>
      </c>
      <c r="AP18" s="212">
        <f>AN18*AJ18/$AJ$86</f>
        <v>2.861888293211841E-3</v>
      </c>
    </row>
    <row r="19" spans="1:42" ht="15.75" x14ac:dyDescent="0.2">
      <c r="A19" s="190"/>
      <c r="B19" s="108"/>
      <c r="C19" s="108" t="s">
        <v>539</v>
      </c>
      <c r="D19" s="61" t="s">
        <v>441</v>
      </c>
      <c r="E19" s="67"/>
      <c r="F19" s="68"/>
      <c r="G19" s="68"/>
      <c r="H19" s="68"/>
      <c r="I19" s="101"/>
      <c r="J19" s="68"/>
      <c r="K19" s="67"/>
      <c r="L19" s="68"/>
      <c r="M19" s="67"/>
      <c r="N19" s="68"/>
      <c r="O19" s="68"/>
      <c r="P19" s="68"/>
      <c r="Q19" s="67"/>
      <c r="R19" s="68"/>
      <c r="S19" s="61"/>
      <c r="T19" s="67"/>
      <c r="U19" s="101">
        <v>26110</v>
      </c>
      <c r="V19" s="101">
        <v>6.2100000000000002E-2</v>
      </c>
      <c r="W19" s="101">
        <v>406</v>
      </c>
      <c r="X19" s="101">
        <v>213</v>
      </c>
      <c r="Y19" s="101">
        <v>773</v>
      </c>
      <c r="Z19">
        <v>474</v>
      </c>
      <c r="AA19">
        <v>2008</v>
      </c>
      <c r="AB19" s="61" t="s">
        <v>520</v>
      </c>
      <c r="AC19" s="15">
        <f>Z19/W19</f>
        <v>1.1674876847290641</v>
      </c>
      <c r="AD19" s="140" t="e">
        <f>1-(1-$AC19)^0.5</f>
        <v>#NUM!</v>
      </c>
      <c r="AE19" s="140" t="e">
        <f>1+(1-$AC19)^0.5</f>
        <v>#NUM!</v>
      </c>
      <c r="AF19" s="148"/>
      <c r="AG19" s="149"/>
      <c r="AH19" s="150" t="s">
        <v>502</v>
      </c>
      <c r="AI19" s="150"/>
      <c r="AK19" s="186"/>
      <c r="AP19" s="212"/>
    </row>
    <row r="20" spans="1:42" x14ac:dyDescent="0.2">
      <c r="AC20" s="15"/>
      <c r="AD20" s="15"/>
      <c r="AE20" s="140"/>
      <c r="AF20" s="136"/>
      <c r="AG20" s="137"/>
      <c r="AH20" s="137"/>
      <c r="AI20" s="137"/>
      <c r="AK20" s="186"/>
      <c r="AP20" s="212"/>
    </row>
    <row r="21" spans="1:42" ht="15.75" x14ac:dyDescent="0.2">
      <c r="A21" s="191" t="s">
        <v>312</v>
      </c>
      <c r="B21" s="216" t="s">
        <v>526</v>
      </c>
      <c r="C21" s="216" t="s">
        <v>683</v>
      </c>
      <c r="D21" s="61" t="s">
        <v>441</v>
      </c>
      <c r="E21">
        <v>17167</v>
      </c>
      <c r="F21">
        <v>6867</v>
      </c>
      <c r="H21" s="61" t="s">
        <v>656</v>
      </c>
      <c r="L21" s="61">
        <v>5</v>
      </c>
      <c r="M21" s="61">
        <v>27</v>
      </c>
      <c r="N21" s="84">
        <f>'[2]4X ypr dc'!$AV$114</f>
        <v>8426</v>
      </c>
      <c r="O21" s="61" t="s">
        <v>656</v>
      </c>
      <c r="P21">
        <v>2014</v>
      </c>
      <c r="Q21" s="61">
        <v>44</v>
      </c>
      <c r="R21">
        <v>5</v>
      </c>
      <c r="S21" s="61" t="s">
        <v>663</v>
      </c>
      <c r="T21" s="61">
        <v>44</v>
      </c>
      <c r="AC21" s="15"/>
      <c r="AD21" s="15"/>
      <c r="AE21" s="140"/>
      <c r="AF21" s="136">
        <f>N21/E21</f>
        <v>0.49082542086561426</v>
      </c>
      <c r="AG21" s="137"/>
      <c r="AH21" s="137"/>
      <c r="AI21" s="144" t="s">
        <v>656</v>
      </c>
      <c r="AJ21" s="24">
        <f>'landings Sylvie'!$G$72</f>
        <v>4809.0522818431364</v>
      </c>
      <c r="AK21" s="186">
        <f>_xlfn.STDEV.S(AF21:AH23)/AVERAGE(AF21:AH23)</f>
        <v>0.5582346737215933</v>
      </c>
      <c r="AM21" s="15">
        <f>IF(AF21&gt;=0.95,IF(AF21&lt;=$AM$1,1,MAX(1-$AM$2*(AF21-$AM$1),$AM$3)),AF21)</f>
        <v>0.49082542086561426</v>
      </c>
      <c r="AN21" s="15">
        <f>AM21</f>
        <v>0.49082542086561426</v>
      </c>
      <c r="AO21" s="15">
        <f>AN21^(AJ21/1000)</f>
        <v>3.2632625223631875E-2</v>
      </c>
      <c r="AP21" s="212">
        <f>AN21*AJ21/$AJ$86</f>
        <v>1.3304617221507158E-2</v>
      </c>
    </row>
    <row r="22" spans="1:42" ht="15.75" x14ac:dyDescent="0.2">
      <c r="A22" s="191"/>
      <c r="B22" s="216"/>
      <c r="C22" s="216" t="s">
        <v>344</v>
      </c>
      <c r="D22" s="61" t="s">
        <v>441</v>
      </c>
      <c r="N22" s="84">
        <f>AVERAGE('[2]4X ypr dc'!$AV$112:$AV$114)</f>
        <v>7207.028133051982</v>
      </c>
      <c r="P22" s="61" t="s">
        <v>491</v>
      </c>
      <c r="Q22" s="61"/>
      <c r="S22" s="61" t="s">
        <v>664</v>
      </c>
      <c r="T22" s="61"/>
      <c r="AC22" s="15"/>
      <c r="AD22" s="15"/>
      <c r="AE22" s="140"/>
      <c r="AF22" s="136">
        <f>N22/E21</f>
        <v>0.41981872971701417</v>
      </c>
      <c r="AG22" s="137"/>
      <c r="AH22" s="137"/>
      <c r="AI22" s="137"/>
      <c r="AK22" s="186"/>
      <c r="AP22" s="212"/>
    </row>
    <row r="23" spans="1:42" ht="15.75" x14ac:dyDescent="0.2">
      <c r="A23" s="191"/>
      <c r="B23" s="216"/>
      <c r="C23" s="216" t="s">
        <v>539</v>
      </c>
      <c r="D23" s="61" t="s">
        <v>689</v>
      </c>
      <c r="N23" s="84"/>
      <c r="P23" s="61"/>
      <c r="Q23" s="61"/>
      <c r="S23" s="61"/>
      <c r="T23" s="61"/>
      <c r="U23">
        <v>154396</v>
      </c>
      <c r="V23">
        <v>0.11700000000000001</v>
      </c>
      <c r="W23">
        <v>4499</v>
      </c>
      <c r="X23">
        <v>3097</v>
      </c>
      <c r="Y23">
        <v>6535</v>
      </c>
      <c r="Z23">
        <v>570</v>
      </c>
      <c r="AA23">
        <v>2013</v>
      </c>
      <c r="AB23" s="61" t="s">
        <v>522</v>
      </c>
      <c r="AC23" s="15">
        <f>Z23/W23</f>
        <v>0.12669482107134919</v>
      </c>
      <c r="AD23" s="239">
        <f>1-(1-$AC23)^0.5</f>
        <v>6.5492012378358111E-2</v>
      </c>
      <c r="AE23" s="140">
        <f>1+(1-$AC23)^0.5</f>
        <v>1.9345079876216418</v>
      </c>
      <c r="AF23" s="136"/>
      <c r="AG23" s="137"/>
      <c r="AH23" s="137">
        <f>AC23</f>
        <v>0.12669482107134919</v>
      </c>
      <c r="AI23" s="137"/>
      <c r="AK23" s="186"/>
      <c r="AP23" s="212"/>
    </row>
    <row r="24" spans="1:42" s="101" customFormat="1" ht="15.75" x14ac:dyDescent="0.2">
      <c r="A24" s="189"/>
      <c r="B24" s="122"/>
      <c r="C24" s="122"/>
      <c r="E24" s="97"/>
      <c r="K24" s="97"/>
      <c r="M24" s="97"/>
      <c r="Q24" s="97"/>
      <c r="S24" s="97"/>
      <c r="T24" s="97"/>
      <c r="AB24" s="97"/>
      <c r="AC24" s="140"/>
      <c r="AD24" s="140"/>
      <c r="AE24" s="140"/>
      <c r="AF24" s="148"/>
      <c r="AG24" s="149"/>
      <c r="AH24" s="149"/>
      <c r="AI24" s="149"/>
      <c r="AK24" s="269"/>
      <c r="AP24" s="212"/>
    </row>
    <row r="25" spans="1:42" ht="15.75" x14ac:dyDescent="0.2">
      <c r="A25" s="192" t="s">
        <v>248</v>
      </c>
      <c r="B25" s="118" t="s">
        <v>523</v>
      </c>
      <c r="C25" s="118" t="s">
        <v>538</v>
      </c>
      <c r="D25" t="s">
        <v>244</v>
      </c>
      <c r="E25">
        <v>52000</v>
      </c>
      <c r="F25">
        <f>0.4*E25</f>
        <v>20800</v>
      </c>
      <c r="G25">
        <f>0.8*E25</f>
        <v>41600</v>
      </c>
      <c r="H25">
        <v>0.43</v>
      </c>
      <c r="I25">
        <v>0.25</v>
      </c>
      <c r="K25" s="61" t="s">
        <v>322</v>
      </c>
      <c r="L25" s="61">
        <v>6</v>
      </c>
      <c r="M25" s="215">
        <v>26</v>
      </c>
      <c r="N25" s="84">
        <f>AVERAGE(23581,38269,38088)</f>
        <v>33312.666666666664</v>
      </c>
      <c r="O25">
        <f>AVERAGE(0.09,0.13,0.14)</f>
        <v>0.12</v>
      </c>
      <c r="P25" s="61" t="s">
        <v>324</v>
      </c>
      <c r="Q25" s="61">
        <v>45</v>
      </c>
      <c r="R25" s="61">
        <v>13</v>
      </c>
      <c r="S25" s="61" t="s">
        <v>663</v>
      </c>
      <c r="T25" s="61">
        <v>54</v>
      </c>
      <c r="W25">
        <v>14700</v>
      </c>
      <c r="Z25" s="24"/>
      <c r="AA25" s="24"/>
      <c r="AB25" s="24"/>
      <c r="AC25" s="15"/>
      <c r="AD25" s="15"/>
      <c r="AE25" s="140"/>
      <c r="AF25" s="136">
        <f>N25/E25</f>
        <v>0.64062820512820506</v>
      </c>
      <c r="AG25" s="137"/>
      <c r="AH25" s="137"/>
      <c r="AI25" s="137">
        <f>O25/H25</f>
        <v>0.27906976744186046</v>
      </c>
      <c r="AJ25" s="24">
        <f>'landings Sylvie'!D72</f>
        <v>12348.926829268292</v>
      </c>
      <c r="AK25" s="186">
        <f>_xlfn.STDEV.S(AF25:AH28)/AVERAGE(AF25:AH28)</f>
        <v>0.46310255865771704</v>
      </c>
      <c r="AM25" s="15">
        <f>IF(AF25&gt;=0.95,IF(AF25&lt;=$AM$1,1,MAX(1-$AM$2*(AF25-$AM$1),$AM$3)),AF25)</f>
        <v>0.64062820512820506</v>
      </c>
      <c r="AN25" s="15">
        <f>AM25</f>
        <v>0.64062820512820506</v>
      </c>
      <c r="AO25" s="15">
        <f>AN25^(AJ25/1000)</f>
        <v>4.0906500797640681E-3</v>
      </c>
      <c r="AP25" s="243">
        <f>AN25*AJ25/$AJ$86</f>
        <v>4.4591400327476112E-2</v>
      </c>
    </row>
    <row r="26" spans="1:42" ht="15.75" x14ac:dyDescent="0.2">
      <c r="A26" s="192"/>
      <c r="B26" s="118"/>
      <c r="C26" s="118" t="s">
        <v>344</v>
      </c>
      <c r="D26" s="61" t="s">
        <v>441</v>
      </c>
      <c r="K26" s="61"/>
      <c r="M26" s="61">
        <v>28</v>
      </c>
      <c r="N26" s="84">
        <f>AVERAGE('[1]assessment biomass'!$V$38:$V$40)</f>
        <v>48269.923666666669</v>
      </c>
      <c r="P26" s="61" t="s">
        <v>490</v>
      </c>
      <c r="Q26" s="61">
        <v>2</v>
      </c>
      <c r="S26" s="61" t="s">
        <v>664</v>
      </c>
      <c r="T26" s="61"/>
      <c r="Z26" s="24"/>
      <c r="AA26" s="24"/>
      <c r="AB26" s="24"/>
      <c r="AC26" s="15"/>
      <c r="AD26" s="15"/>
      <c r="AE26" s="140"/>
      <c r="AF26" s="136"/>
      <c r="AG26" s="136">
        <f>N26/E27</f>
        <v>0.82113267733443374</v>
      </c>
      <c r="AH26" s="137"/>
      <c r="AI26" s="137"/>
      <c r="AJ26" s="24"/>
      <c r="AK26" s="186"/>
      <c r="AP26" s="212"/>
    </row>
    <row r="27" spans="1:42" ht="15.75" x14ac:dyDescent="0.2">
      <c r="A27" s="192"/>
      <c r="B27" s="118"/>
      <c r="C27" s="118" t="s">
        <v>344</v>
      </c>
      <c r="D27" s="61" t="s">
        <v>441</v>
      </c>
      <c r="E27" s="84">
        <f>AVERAGE('[1]assessment biomass'!$V$2:$V$35)</f>
        <v>58784.560642941178</v>
      </c>
      <c r="K27" s="61"/>
      <c r="L27" s="61"/>
      <c r="M27" s="61">
        <v>28</v>
      </c>
      <c r="N27" s="84">
        <f>AVERAGE('[1]assessment biomass'!$V$44:$V$46)</f>
        <v>36147.773183979938</v>
      </c>
      <c r="P27" s="61" t="s">
        <v>491</v>
      </c>
      <c r="Q27" s="61">
        <v>2</v>
      </c>
      <c r="S27" s="61" t="s">
        <v>664</v>
      </c>
      <c r="T27" s="61"/>
      <c r="Z27" s="24"/>
      <c r="AA27" s="24"/>
      <c r="AB27" s="24"/>
      <c r="AC27" s="15"/>
      <c r="AD27" s="15"/>
      <c r="AE27" s="140"/>
      <c r="AF27" s="136"/>
      <c r="AG27" s="136">
        <f>N27/E27</f>
        <v>0.61491950928309858</v>
      </c>
      <c r="AH27" s="137"/>
      <c r="AI27" s="137"/>
      <c r="AJ27" s="24"/>
      <c r="AK27" s="186"/>
      <c r="AP27" s="212"/>
    </row>
    <row r="28" spans="1:42" ht="15.75" x14ac:dyDescent="0.2">
      <c r="A28" s="192"/>
      <c r="B28" s="118"/>
      <c r="C28" s="118" t="s">
        <v>552</v>
      </c>
      <c r="D28" s="61" t="s">
        <v>693</v>
      </c>
      <c r="K28" s="61"/>
      <c r="L28" s="61"/>
      <c r="M28" s="61"/>
      <c r="P28" s="61"/>
      <c r="Q28" s="61"/>
      <c r="S28" s="61"/>
      <c r="T28" s="61"/>
      <c r="U28">
        <v>234871</v>
      </c>
      <c r="V28">
        <v>0.27</v>
      </c>
      <c r="W28">
        <v>15842</v>
      </c>
      <c r="X28">
        <v>13495</v>
      </c>
      <c r="Y28">
        <v>18598</v>
      </c>
      <c r="Z28" s="24">
        <v>5663</v>
      </c>
      <c r="AA28">
        <v>2010</v>
      </c>
      <c r="AB28" s="121" t="s">
        <v>463</v>
      </c>
      <c r="AC28" s="15">
        <f>Z28/W28</f>
        <v>0.35746749147834872</v>
      </c>
      <c r="AD28" s="239">
        <f>1-(1-$AC28)^0.5</f>
        <v>0.19841874490376754</v>
      </c>
      <c r="AE28" s="140">
        <f>1+(1-$AC28)^0.5</f>
        <v>1.8015812550962325</v>
      </c>
      <c r="AF28" s="136"/>
      <c r="AG28" s="137"/>
      <c r="AH28" s="137">
        <f>AD28</f>
        <v>0.19841874490376754</v>
      </c>
      <c r="AI28" s="137"/>
      <c r="AJ28" s="24"/>
      <c r="AK28" s="186"/>
      <c r="AP28" s="212"/>
    </row>
    <row r="29" spans="1:42" ht="15.75" x14ac:dyDescent="0.2">
      <c r="A29" s="189"/>
      <c r="B29" s="122"/>
      <c r="C29" s="122"/>
      <c r="K29" s="61"/>
      <c r="L29" s="61"/>
      <c r="M29" s="61"/>
      <c r="P29" s="61"/>
      <c r="Q29" s="61"/>
      <c r="S29" s="61"/>
      <c r="T29" s="61"/>
      <c r="Z29" s="24"/>
      <c r="AB29" s="121"/>
      <c r="AC29" s="15"/>
      <c r="AD29" s="15"/>
      <c r="AE29" s="140"/>
      <c r="AF29" s="136"/>
      <c r="AG29" s="137"/>
      <c r="AH29" s="137"/>
      <c r="AI29" s="137"/>
      <c r="AJ29" s="24"/>
      <c r="AK29" s="186"/>
      <c r="AP29" s="212"/>
    </row>
    <row r="30" spans="1:42" ht="15.75" x14ac:dyDescent="0.2">
      <c r="A30" s="193" t="s">
        <v>262</v>
      </c>
      <c r="B30" s="107" t="s">
        <v>820</v>
      </c>
      <c r="C30" s="107" t="s">
        <v>540</v>
      </c>
      <c r="D30" s="61" t="s">
        <v>266</v>
      </c>
      <c r="E30">
        <f>27945</f>
        <v>27945</v>
      </c>
      <c r="H30" s="61" t="s">
        <v>658</v>
      </c>
      <c r="L30" s="61">
        <v>7</v>
      </c>
      <c r="M30" s="215">
        <v>29</v>
      </c>
      <c r="N30">
        <v>11339</v>
      </c>
      <c r="O30" s="61" t="s">
        <v>657</v>
      </c>
      <c r="P30">
        <v>2009</v>
      </c>
      <c r="Q30" s="61">
        <v>46</v>
      </c>
      <c r="R30">
        <v>7</v>
      </c>
      <c r="S30" s="61" t="s">
        <v>829</v>
      </c>
      <c r="AC30" s="15"/>
      <c r="AD30" s="240"/>
      <c r="AE30" s="140"/>
      <c r="AF30" s="136">
        <f>N30/E30</f>
        <v>0.405761316872428</v>
      </c>
      <c r="AG30" s="137"/>
      <c r="AH30" s="137"/>
      <c r="AI30" s="178">
        <f>0.01/(AVERAGE(0.036,0.075))</f>
        <v>0.1801801801801802</v>
      </c>
      <c r="AJ30" s="112">
        <f>'landings Sylvie'!H72</f>
        <v>105.62771478603756</v>
      </c>
      <c r="AK30" s="186"/>
      <c r="AM30" s="15">
        <f>IF(AF30&gt;=0.95,IF(AF30&lt;=$AM$1,1,MAX(1-$AM$2*(AF30-$AM$1),$AM$3)),AF30)</f>
        <v>0.405761316872428</v>
      </c>
      <c r="AN30" s="15">
        <f>AM30</f>
        <v>0.405761316872428</v>
      </c>
      <c r="AO30" s="15">
        <f>AN30^(AJ30/1000)</f>
        <v>0.90912274432879803</v>
      </c>
      <c r="AP30" s="212">
        <f>AN30*AJ30/$AJ$86</f>
        <v>2.415818838185063E-4</v>
      </c>
    </row>
    <row r="31" spans="1:42" ht="15.75" x14ac:dyDescent="0.2">
      <c r="A31" s="193"/>
      <c r="B31" s="107"/>
      <c r="C31" s="107"/>
      <c r="D31" s="61"/>
      <c r="M31" s="61"/>
      <c r="Q31" s="61"/>
      <c r="AC31" s="15"/>
      <c r="AD31" s="15"/>
      <c r="AE31" s="140"/>
      <c r="AF31" s="136"/>
      <c r="AG31" s="137"/>
      <c r="AH31" s="137"/>
      <c r="AI31" s="137"/>
      <c r="AJ31" s="112"/>
      <c r="AK31" s="186"/>
      <c r="AP31" s="212"/>
    </row>
    <row r="32" spans="1:42" ht="15.75" hidden="1" x14ac:dyDescent="0.2">
      <c r="A32" s="193" t="s">
        <v>255</v>
      </c>
      <c r="C32" s="107"/>
      <c r="D32" t="s">
        <v>256</v>
      </c>
      <c r="F32">
        <f>(45+326)*1000</f>
        <v>371000</v>
      </c>
      <c r="L32" s="61">
        <v>8</v>
      </c>
      <c r="M32" s="61" t="s">
        <v>507</v>
      </c>
      <c r="N32" s="61">
        <f>(AVERAGE(54,141,185)+AVERAGE(254,300,280))*1000</f>
        <v>404666.66666666669</v>
      </c>
      <c r="O32" s="61"/>
      <c r="P32" s="61" t="s">
        <v>506</v>
      </c>
      <c r="Q32" s="61" t="s">
        <v>359</v>
      </c>
      <c r="R32">
        <v>8</v>
      </c>
      <c r="AC32" s="15"/>
      <c r="AD32" s="15"/>
      <c r="AE32" s="140"/>
      <c r="AF32" s="143" t="s">
        <v>508</v>
      </c>
      <c r="AG32" s="144"/>
      <c r="AH32" s="144"/>
      <c r="AI32" s="144"/>
      <c r="AJ32" s="24"/>
      <c r="AK32" s="186"/>
      <c r="AP32" s="212"/>
    </row>
    <row r="33" spans="1:42" ht="15.75" x14ac:dyDescent="0.2">
      <c r="A33" s="194" t="s">
        <v>255</v>
      </c>
      <c r="B33" s="107" t="s">
        <v>527</v>
      </c>
      <c r="C33" s="107" t="s">
        <v>540</v>
      </c>
      <c r="D33" t="s">
        <v>257</v>
      </c>
      <c r="E33">
        <f>survey!$I$2</f>
        <v>292803.87355762039</v>
      </c>
      <c r="H33">
        <v>0.22800000000000001</v>
      </c>
      <c r="L33">
        <v>14</v>
      </c>
      <c r="M33" s="61" t="s">
        <v>688</v>
      </c>
      <c r="N33" s="84">
        <f>survey!G42</f>
        <v>63471.841390371606</v>
      </c>
      <c r="O33">
        <v>0.7</v>
      </c>
      <c r="P33">
        <v>2009</v>
      </c>
      <c r="Q33" s="61" t="s">
        <v>737</v>
      </c>
      <c r="R33" s="61">
        <v>14</v>
      </c>
      <c r="S33" s="61" t="s">
        <v>663</v>
      </c>
      <c r="AD33" s="15"/>
      <c r="AE33" s="140"/>
      <c r="AF33" s="136">
        <f>N33/E33</f>
        <v>0.21677254682179295</v>
      </c>
      <c r="AG33" s="137"/>
      <c r="AH33" s="137"/>
      <c r="AI33" s="137">
        <f>O33/H33</f>
        <v>3.070175438596491</v>
      </c>
      <c r="AJ33" s="24">
        <v>105873.98897435897</v>
      </c>
      <c r="AK33" s="186"/>
      <c r="AM33" s="15">
        <f>IF(AF33&gt;=0.95,IF(AF33&lt;=$AM$1,1,MAX(1-$AM$2*(AF33-$AM$1),$AM$3)),AF33)</f>
        <v>0.21677254682179295</v>
      </c>
      <c r="AN33" s="15">
        <f>AM33</f>
        <v>0.21677254682179295</v>
      </c>
      <c r="AO33" s="15">
        <f>AN33^(AJ33/1000)</f>
        <v>5.0133089680320606E-71</v>
      </c>
      <c r="AP33" s="243">
        <f>AN33*AJ33/$AJ$86</f>
        <v>0.12936279617979354</v>
      </c>
    </row>
    <row r="34" spans="1:42" ht="15.75" x14ac:dyDescent="0.2">
      <c r="A34" s="189"/>
      <c r="B34" s="107"/>
      <c r="C34" s="107"/>
      <c r="U34" s="61" t="s">
        <v>536</v>
      </c>
      <c r="AB34" s="61" t="s">
        <v>528</v>
      </c>
      <c r="AC34" s="151" t="s">
        <v>449</v>
      </c>
      <c r="AD34" s="15"/>
      <c r="AE34" s="140"/>
      <c r="AF34" s="136"/>
      <c r="AG34" s="137"/>
      <c r="AH34" s="137"/>
      <c r="AI34" s="137"/>
      <c r="AK34" s="186"/>
      <c r="AP34" s="212"/>
    </row>
    <row r="35" spans="1:42" ht="15.75" x14ac:dyDescent="0.2">
      <c r="A35" s="189"/>
      <c r="B35" s="122"/>
      <c r="C35" s="122"/>
      <c r="N35" s="84"/>
      <c r="P35" s="61"/>
      <c r="Q35" s="61"/>
      <c r="S35" s="61"/>
      <c r="T35" s="61"/>
      <c r="AC35" s="15"/>
      <c r="AD35" s="15"/>
      <c r="AE35" s="140"/>
      <c r="AF35" s="136"/>
      <c r="AG35" s="137"/>
      <c r="AH35" s="137"/>
      <c r="AI35" s="137"/>
      <c r="AK35" s="186"/>
      <c r="AP35" s="212"/>
    </row>
    <row r="36" spans="1:42" ht="15.75" x14ac:dyDescent="0.2">
      <c r="A36" s="192" t="s">
        <v>331</v>
      </c>
      <c r="B36" s="118" t="s">
        <v>524</v>
      </c>
      <c r="C36" s="227" t="s">
        <v>540</v>
      </c>
      <c r="D36" s="249" t="s">
        <v>332</v>
      </c>
      <c r="E36" s="250">
        <v>32381</v>
      </c>
      <c r="F36" s="251">
        <f>0.4*E36</f>
        <v>12952.400000000001</v>
      </c>
      <c r="G36" s="251">
        <f>0.8*E36</f>
        <v>25904.800000000003</v>
      </c>
      <c r="H36" s="250">
        <v>0.16</v>
      </c>
      <c r="I36" s="250">
        <v>0.16</v>
      </c>
      <c r="J36" s="250"/>
      <c r="K36" s="250"/>
      <c r="L36" s="252">
        <v>9</v>
      </c>
      <c r="M36" s="252">
        <v>31</v>
      </c>
      <c r="N36" s="252" t="s">
        <v>336</v>
      </c>
      <c r="O36" s="252" t="s">
        <v>656</v>
      </c>
      <c r="P36" s="250"/>
      <c r="Q36" s="250"/>
      <c r="R36" s="250"/>
      <c r="S36" s="252" t="s">
        <v>669</v>
      </c>
      <c r="T36" s="252">
        <v>55</v>
      </c>
      <c r="U36" s="250"/>
      <c r="V36" s="250"/>
      <c r="W36" s="250"/>
      <c r="X36" s="250"/>
      <c r="Y36" s="250"/>
      <c r="Z36" s="253"/>
      <c r="AA36" s="253"/>
      <c r="AB36" s="253"/>
      <c r="AC36" s="254"/>
      <c r="AD36" s="254"/>
      <c r="AE36" s="254"/>
      <c r="AF36" s="225">
        <f>16/32.38</f>
        <v>0.4941321803582458</v>
      </c>
      <c r="AG36" s="255"/>
      <c r="AH36" s="255"/>
      <c r="AI36" s="256" t="s">
        <v>656</v>
      </c>
      <c r="AK36" s="186">
        <f>_xlfn.STDEV.S(AF36:AH38)/AVERAGE(AF36:AH38)</f>
        <v>0.619857767174121</v>
      </c>
      <c r="AM36" s="15"/>
      <c r="AN36" s="15"/>
      <c r="AO36" s="15"/>
      <c r="AP36" s="212"/>
    </row>
    <row r="37" spans="1:42" x14ac:dyDescent="0.2">
      <c r="A37" s="195"/>
      <c r="B37" s="95"/>
      <c r="C37" s="95" t="s">
        <v>344</v>
      </c>
      <c r="D37" s="116" t="s">
        <v>441</v>
      </c>
      <c r="E37" s="61">
        <f>AVERAGE('[1]assessment biomass'!$DF$2:$DF$32)</f>
        <v>2414.4139419354847</v>
      </c>
      <c r="M37" s="61">
        <v>32</v>
      </c>
      <c r="N37" s="61">
        <f>AVERAGE('[1]assessment biomass'!$DF$44:$DF$46)</f>
        <v>534.5705412843987</v>
      </c>
      <c r="P37" s="61" t="s">
        <v>491</v>
      </c>
      <c r="Q37" s="61"/>
      <c r="S37" s="61" t="s">
        <v>664</v>
      </c>
      <c r="Z37" s="24"/>
      <c r="AA37" s="24"/>
      <c r="AB37" s="24"/>
      <c r="AC37" s="15"/>
      <c r="AD37" s="15"/>
      <c r="AE37" s="140"/>
      <c r="AF37" s="136"/>
      <c r="AG37" s="152">
        <f>N37/E37</f>
        <v>0.22140799139681364</v>
      </c>
      <c r="AH37" s="145"/>
      <c r="AI37" s="145" t="s">
        <v>449</v>
      </c>
      <c r="AJ37" s="24">
        <v>1044.1282051282051</v>
      </c>
      <c r="AK37" s="186"/>
      <c r="AM37" s="15">
        <f>IF(AG37&gt;=0.95,IF(AG37&lt;=$AM$1,1,MAX(1-$AM$2*(AG37-$AM$1),$AM$3)),AG37)</f>
        <v>0.22140799139681364</v>
      </c>
      <c r="AN37" s="15">
        <f>AM37</f>
        <v>0.22140799139681364</v>
      </c>
      <c r="AO37" s="15">
        <f>AN37^(AJ37/1000)</f>
        <v>0.2071561577600344</v>
      </c>
      <c r="AP37" s="212">
        <f>AN37*AJ37/$AJ$86</f>
        <v>1.3030556320240915E-3</v>
      </c>
    </row>
    <row r="38" spans="1:42" x14ac:dyDescent="0.2">
      <c r="A38" s="195"/>
      <c r="B38" s="95"/>
      <c r="C38" s="95" t="s">
        <v>539</v>
      </c>
      <c r="D38" s="116" t="s">
        <v>689</v>
      </c>
      <c r="E38" s="61"/>
      <c r="N38" s="61"/>
      <c r="Q38" s="61"/>
      <c r="S38" s="61"/>
      <c r="U38">
        <v>29856</v>
      </c>
      <c r="V38">
        <v>0.112</v>
      </c>
      <c r="W38">
        <v>837</v>
      </c>
      <c r="X38">
        <v>578</v>
      </c>
      <c r="Y38">
        <v>1211</v>
      </c>
      <c r="Z38" s="24">
        <v>239</v>
      </c>
      <c r="AA38" s="24">
        <v>2010</v>
      </c>
      <c r="AB38" s="121" t="s">
        <v>522</v>
      </c>
      <c r="AC38" s="15">
        <f>Z38/W38</f>
        <v>0.28554360812425328</v>
      </c>
      <c r="AD38" s="239">
        <f>1-(1-$AC38)^0.5</f>
        <v>0.15474477707869394</v>
      </c>
      <c r="AE38" s="140">
        <f>1+(1-$AC38)^0.5</f>
        <v>1.8452552229213062</v>
      </c>
      <c r="AF38" s="152"/>
      <c r="AG38" s="145"/>
      <c r="AH38" s="145">
        <f>AD38</f>
        <v>0.15474477707869394</v>
      </c>
      <c r="AI38" s="145" t="s">
        <v>449</v>
      </c>
      <c r="AJ38" s="113"/>
      <c r="AK38" s="186"/>
      <c r="AP38" s="212"/>
    </row>
    <row r="39" spans="1:42" ht="15.75" x14ac:dyDescent="0.2">
      <c r="A39" s="189"/>
      <c r="B39" s="122"/>
      <c r="C39" s="122"/>
      <c r="P39" s="61"/>
      <c r="Q39" s="61"/>
      <c r="R39" s="61"/>
      <c r="S39" s="61"/>
      <c r="Z39" s="24"/>
      <c r="AA39" s="24"/>
      <c r="AB39" s="24"/>
      <c r="AC39" s="15"/>
      <c r="AD39" s="15"/>
      <c r="AE39" s="140"/>
      <c r="AF39" s="136"/>
      <c r="AG39" s="137"/>
      <c r="AH39" s="137"/>
      <c r="AI39" s="137"/>
      <c r="AJ39" s="24"/>
      <c r="AK39" s="186"/>
      <c r="AP39" s="212"/>
    </row>
    <row r="40" spans="1:42" s="80" customFormat="1" ht="15.75" hidden="1" x14ac:dyDescent="0.2">
      <c r="A40" s="110" t="s">
        <v>253</v>
      </c>
      <c r="B40" s="109" t="s">
        <v>533</v>
      </c>
      <c r="C40" s="229" t="s">
        <v>555</v>
      </c>
      <c r="D40" s="230" t="s">
        <v>254</v>
      </c>
      <c r="E40" s="80">
        <f>G40/0.8</f>
        <v>72500</v>
      </c>
      <c r="F40" s="80">
        <v>29000</v>
      </c>
      <c r="G40" s="80">
        <v>58000</v>
      </c>
      <c r="H40" s="80">
        <v>6.8000000000000005E-2</v>
      </c>
      <c r="I40" s="80">
        <v>6.8000000000000005E-2</v>
      </c>
      <c r="L40">
        <v>1</v>
      </c>
      <c r="M40" s="65" t="s">
        <v>690</v>
      </c>
      <c r="N40" s="80">
        <v>2250000</v>
      </c>
      <c r="P40" s="80">
        <v>2010</v>
      </c>
      <c r="R40" s="61">
        <v>16</v>
      </c>
      <c r="S40" s="65" t="s">
        <v>664</v>
      </c>
      <c r="AC40" s="154"/>
      <c r="AD40" s="154"/>
      <c r="AE40" s="140"/>
      <c r="AF40" s="231">
        <f>N40/E40</f>
        <v>31.03448275862069</v>
      </c>
      <c r="AG40" s="232">
        <f>2250/E40</f>
        <v>3.1034482758620689E-2</v>
      </c>
      <c r="AH40" s="153"/>
      <c r="AI40" s="153"/>
      <c r="AK40" s="270"/>
      <c r="AM40" s="15"/>
      <c r="AN40" s="15"/>
      <c r="AP40" s="212"/>
    </row>
    <row r="41" spans="1:42" s="80" customFormat="1" ht="15.75" hidden="1" x14ac:dyDescent="0.2">
      <c r="A41" s="110" t="s">
        <v>446</v>
      </c>
      <c r="B41" s="109"/>
      <c r="C41" s="109" t="s">
        <v>344</v>
      </c>
      <c r="D41" s="65" t="s">
        <v>343</v>
      </c>
      <c r="E41" s="80">
        <f>AVERAGE('[1]assessment biomass'!$AT$2:$AT$11)</f>
        <v>191545.43799999999</v>
      </c>
      <c r="M41" s="65"/>
      <c r="N41" s="80">
        <f>AVERAGE('[1]assessment biomass'!$AT$44:$AT$46)</f>
        <v>119327.5368413242</v>
      </c>
      <c r="P41" s="65" t="s">
        <v>491</v>
      </c>
      <c r="Q41" s="65" t="s">
        <v>344</v>
      </c>
      <c r="R41" s="65" t="s">
        <v>447</v>
      </c>
      <c r="S41" s="65" t="s">
        <v>664</v>
      </c>
      <c r="Z41" s="103"/>
      <c r="AA41" s="103"/>
      <c r="AB41" s="103"/>
      <c r="AC41" s="154"/>
      <c r="AD41" s="154"/>
      <c r="AE41" s="140"/>
      <c r="AF41" s="155">
        <f>N41/E41</f>
        <v>0.62297248155460738</v>
      </c>
      <c r="AG41" s="156"/>
      <c r="AH41" s="156"/>
      <c r="AI41" s="156"/>
      <c r="AJ41" s="103"/>
      <c r="AK41" s="270"/>
      <c r="AP41" s="212"/>
    </row>
    <row r="42" spans="1:42" s="80" customFormat="1" ht="15.75" hidden="1" x14ac:dyDescent="0.2">
      <c r="A42" s="110" t="s">
        <v>446</v>
      </c>
      <c r="B42" s="109" t="s">
        <v>533</v>
      </c>
      <c r="C42" s="109" t="s">
        <v>344</v>
      </c>
      <c r="D42" s="65"/>
      <c r="E42" s="80">
        <f>AVERAGE('[1]assessment biomass'!$AT$2:$AT$11)</f>
        <v>191545.43799999999</v>
      </c>
      <c r="M42" s="65"/>
      <c r="N42" s="80">
        <v>82900</v>
      </c>
      <c r="P42" s="65">
        <v>2010</v>
      </c>
      <c r="Q42" s="65" t="s">
        <v>344</v>
      </c>
      <c r="R42" s="65" t="s">
        <v>447</v>
      </c>
      <c r="S42" s="65" t="s">
        <v>664</v>
      </c>
      <c r="AC42" s="154"/>
      <c r="AD42" s="154"/>
      <c r="AE42" s="140"/>
      <c r="AF42" s="157">
        <f>N42/E41</f>
        <v>0.43279548114322619</v>
      </c>
      <c r="AG42" s="158"/>
      <c r="AH42" s="158"/>
      <c r="AI42" s="158"/>
      <c r="AK42" s="270"/>
      <c r="AP42" s="212"/>
    </row>
    <row r="43" spans="1:42" s="80" customFormat="1" ht="15.75" hidden="1" x14ac:dyDescent="0.2">
      <c r="A43" s="110" t="s">
        <v>446</v>
      </c>
      <c r="B43" s="109"/>
      <c r="C43" s="109" t="s">
        <v>344</v>
      </c>
      <c r="D43" s="230" t="s">
        <v>343</v>
      </c>
      <c r="E43" s="138">
        <f>0.5*AVERAGE('[1]assessment biomass'!$AT$2:$AT$46)</f>
        <v>57444.696894710803</v>
      </c>
      <c r="M43" s="65">
        <v>34</v>
      </c>
      <c r="P43" s="65"/>
      <c r="Q43" s="65" t="s">
        <v>344</v>
      </c>
      <c r="R43" s="65">
        <v>2</v>
      </c>
      <c r="S43" s="65" t="s">
        <v>664</v>
      </c>
      <c r="AC43" s="154"/>
      <c r="AD43" s="154"/>
      <c r="AE43" s="140"/>
      <c r="AG43" s="233">
        <f>N41/E43</f>
        <v>2.0772594041193595</v>
      </c>
      <c r="AH43" s="150"/>
      <c r="AI43" s="150"/>
      <c r="AK43" s="270"/>
      <c r="AM43" s="15">
        <f>IF(AG43&gt;=0.95,IF(AG43&lt;=$AM$1,1,MAX(1-$AM$2*(AG43-$AM$1),$AM$3)),AG43)</f>
        <v>0.71137029794032025</v>
      </c>
      <c r="AN43" s="15"/>
      <c r="AO43" s="15">
        <f>AM43^(AJ43/1000)</f>
        <v>1</v>
      </c>
      <c r="AP43" s="212">
        <f>AM43*AJ43/$AJ$86</f>
        <v>0</v>
      </c>
    </row>
    <row r="44" spans="1:42" s="80" customFormat="1" ht="15.75" x14ac:dyDescent="0.2">
      <c r="A44" s="110" t="s">
        <v>253</v>
      </c>
      <c r="B44" s="109" t="s">
        <v>533</v>
      </c>
      <c r="C44" s="109" t="s">
        <v>539</v>
      </c>
      <c r="D44" s="65"/>
      <c r="M44" s="65"/>
      <c r="P44" s="65"/>
      <c r="Q44" s="65"/>
      <c r="R44" s="65"/>
      <c r="U44" s="80">
        <v>104476</v>
      </c>
      <c r="V44" s="80">
        <v>0.24099999999999999</v>
      </c>
      <c r="W44" s="80">
        <v>6292</v>
      </c>
      <c r="X44" s="80">
        <v>5463</v>
      </c>
      <c r="Y44" s="80">
        <v>7248</v>
      </c>
      <c r="Z44" s="80">
        <v>3850</v>
      </c>
      <c r="AA44" s="80">
        <v>2008</v>
      </c>
      <c r="AB44" s="65" t="s">
        <v>463</v>
      </c>
      <c r="AC44" s="15">
        <f>Z44/W44</f>
        <v>0.61188811188811187</v>
      </c>
      <c r="AD44" s="239">
        <f>1-(1-$AC44)^0.5</f>
        <v>0.37701373360892765</v>
      </c>
      <c r="AE44" s="140">
        <f>1+(1-$AC44)^0.5</f>
        <v>1.6229862663910724</v>
      </c>
      <c r="AF44" s="155"/>
      <c r="AG44" s="156"/>
      <c r="AH44" s="156">
        <f>AC44</f>
        <v>0.61188811188811187</v>
      </c>
      <c r="AI44" s="156"/>
      <c r="AJ44" s="103">
        <f>'landings Sylvie'!V72</f>
        <v>5047.7755102040819</v>
      </c>
      <c r="AK44" s="270"/>
      <c r="AM44" s="15">
        <f>IF(AH44&gt;=0.95,IF(AH44&lt;=$AM$1,1,MAX(1-$AM$2*(AH44-$AM$1),$AM$3)),AH44)</f>
        <v>0.61188811188811187</v>
      </c>
      <c r="AN44" s="15">
        <f>AM44</f>
        <v>0.61188811188811187</v>
      </c>
      <c r="AO44" s="15">
        <f>AN44^(AJ44/1000)</f>
        <v>8.3785376293926545E-2</v>
      </c>
      <c r="AP44" s="212">
        <f>AN44*AJ44/$AJ$86</f>
        <v>1.7409563638778016E-2</v>
      </c>
    </row>
    <row r="45" spans="1:42" ht="15.75" x14ac:dyDescent="0.2">
      <c r="A45" s="193"/>
      <c r="B45" s="107"/>
      <c r="C45" s="107"/>
      <c r="AC45" s="15"/>
      <c r="AD45" s="15"/>
      <c r="AE45" s="15"/>
      <c r="AF45" s="136"/>
      <c r="AG45" s="137"/>
      <c r="AH45" s="137"/>
      <c r="AI45" s="137"/>
      <c r="AK45" s="186"/>
      <c r="AP45" s="212"/>
    </row>
    <row r="46" spans="1:42" ht="15.75" x14ac:dyDescent="0.2">
      <c r="A46" s="193" t="s">
        <v>258</v>
      </c>
      <c r="B46" s="107" t="s">
        <v>535</v>
      </c>
      <c r="C46" s="107" t="s">
        <v>538</v>
      </c>
      <c r="D46" s="61" t="s">
        <v>371</v>
      </c>
      <c r="E46">
        <v>11071</v>
      </c>
      <c r="H46" s="61" t="s">
        <v>656</v>
      </c>
      <c r="L46">
        <v>1</v>
      </c>
      <c r="M46" s="99">
        <v>35</v>
      </c>
      <c r="N46" s="100">
        <v>19620</v>
      </c>
      <c r="O46" s="61" t="s">
        <v>443</v>
      </c>
      <c r="R46" s="61">
        <v>17</v>
      </c>
      <c r="S46" s="61" t="s">
        <v>664</v>
      </c>
      <c r="T46" s="65" t="s">
        <v>654</v>
      </c>
      <c r="Z46" s="24"/>
      <c r="AA46" s="24"/>
      <c r="AB46" s="24"/>
      <c r="AC46" s="151" t="s">
        <v>553</v>
      </c>
      <c r="AD46" s="15"/>
      <c r="AE46" s="15"/>
      <c r="AF46" s="146">
        <f>N46/E46</f>
        <v>1.7721976334567791</v>
      </c>
      <c r="AG46" s="147"/>
      <c r="AH46" s="147"/>
      <c r="AI46" s="61" t="s">
        <v>656</v>
      </c>
      <c r="AJ46" s="24">
        <f>'landings Sylvie'!BE72</f>
        <v>7560.2758620689656</v>
      </c>
      <c r="AK46" s="186"/>
      <c r="AM46" s="15">
        <f>IF(AF46&gt;=0.95,IF(AF46&lt;=$AM$1,1,MAX(1-$AM$2*(AF46-$AM$1),$AM$3)),AF46)</f>
        <v>0.86390118327161047</v>
      </c>
      <c r="AN46" s="15">
        <f>AM46</f>
        <v>0.86390118327161047</v>
      </c>
      <c r="AO46" s="15">
        <f>AN46^(AJ46/1000)</f>
        <v>0.33086500372370187</v>
      </c>
      <c r="AP46" s="212">
        <f>AN46*AJ46/$AJ$86</f>
        <v>3.6814384965912217E-2</v>
      </c>
    </row>
    <row r="47" spans="1:42" ht="15.75" x14ac:dyDescent="0.2">
      <c r="A47" s="193"/>
      <c r="B47" s="107"/>
      <c r="C47" s="107" t="s">
        <v>538</v>
      </c>
      <c r="D47" s="61" t="s">
        <v>372</v>
      </c>
      <c r="E47">
        <v>731</v>
      </c>
      <c r="H47" s="61" t="s">
        <v>656</v>
      </c>
      <c r="L47">
        <v>1</v>
      </c>
      <c r="M47" s="99">
        <v>35</v>
      </c>
      <c r="N47" s="100">
        <v>1982</v>
      </c>
      <c r="R47" s="61">
        <v>17</v>
      </c>
      <c r="S47" s="61" t="s">
        <v>664</v>
      </c>
      <c r="T47" s="65" t="s">
        <v>654</v>
      </c>
      <c r="Z47" s="24"/>
      <c r="AA47" s="24"/>
      <c r="AB47" s="24"/>
      <c r="AC47" s="151" t="s">
        <v>553</v>
      </c>
      <c r="AD47" s="15"/>
      <c r="AE47" s="15"/>
      <c r="AF47" s="146">
        <f>N47/E47</f>
        <v>2.7113543091655266</v>
      </c>
      <c r="AG47" s="147"/>
      <c r="AH47" s="147"/>
      <c r="AI47" s="61" t="s">
        <v>656</v>
      </c>
      <c r="AJ47" s="24">
        <f>'landings Sylvie'!BF72</f>
        <v>428.43103448275861</v>
      </c>
      <c r="AK47" s="186"/>
      <c r="AM47" s="15">
        <f>IF(AF47&gt;=0.95,IF(AF47&lt;=$AM$1,1,MAX(1-$AM$2*(AF47-$AM$1),$AM$3)),AF47)</f>
        <v>0.39432284541723672</v>
      </c>
      <c r="AN47" s="15">
        <f>AM47</f>
        <v>0.39432284541723672</v>
      </c>
      <c r="AO47" s="15">
        <f t="shared" ref="AO47:AO51" si="0">AN47^(AJ47/1000)</f>
        <v>0.6711976513534007</v>
      </c>
      <c r="AP47" s="212">
        <f>AN47*AJ47/$AJ$86</f>
        <v>9.5224499697114994E-4</v>
      </c>
    </row>
    <row r="48" spans="1:42" ht="15.75" x14ac:dyDescent="0.2">
      <c r="A48" s="193"/>
      <c r="B48" s="107"/>
      <c r="C48" s="107" t="s">
        <v>538</v>
      </c>
      <c r="D48" s="61" t="s">
        <v>373</v>
      </c>
      <c r="E48">
        <v>666</v>
      </c>
      <c r="H48" s="61" t="s">
        <v>656</v>
      </c>
      <c r="L48">
        <v>1</v>
      </c>
      <c r="M48" s="99">
        <v>35</v>
      </c>
      <c r="N48" s="100">
        <v>1506</v>
      </c>
      <c r="R48" s="61">
        <v>17</v>
      </c>
      <c r="S48" s="61" t="s">
        <v>664</v>
      </c>
      <c r="T48" s="65" t="s">
        <v>654</v>
      </c>
      <c r="Z48" s="24"/>
      <c r="AA48" s="24"/>
      <c r="AB48" s="24"/>
      <c r="AC48" s="151" t="s">
        <v>553</v>
      </c>
      <c r="AD48" s="15"/>
      <c r="AE48" s="15"/>
      <c r="AF48" s="146">
        <f>N48/E48</f>
        <v>2.2612612612612613</v>
      </c>
      <c r="AG48" s="147"/>
      <c r="AH48" s="147"/>
      <c r="AI48" s="61" t="s">
        <v>656</v>
      </c>
      <c r="AJ48" s="24">
        <f>'landings Sylvie'!BG72</f>
        <v>446.5</v>
      </c>
      <c r="AK48" s="186"/>
      <c r="AM48" s="15">
        <f>IF(AF48&gt;=0.95,IF(AF48&lt;=$AM$1,1,MAX(1-$AM$2*(AF48-$AM$1),$AM$3)),AF48)</f>
        <v>0.61936936936936937</v>
      </c>
      <c r="AN48" s="15">
        <f>AM48</f>
        <v>0.61936936936936937</v>
      </c>
      <c r="AO48" s="15">
        <f t="shared" si="0"/>
        <v>0.8074312458101619</v>
      </c>
      <c r="AP48" s="212">
        <f>AN48*AJ48/$AJ$86</f>
        <v>1.5587878966028638E-3</v>
      </c>
    </row>
    <row r="49" spans="1:42" ht="15.75" x14ac:dyDescent="0.2">
      <c r="A49" s="193"/>
      <c r="B49" s="107"/>
      <c r="C49" s="107" t="s">
        <v>538</v>
      </c>
      <c r="D49" s="61" t="s">
        <v>448</v>
      </c>
      <c r="E49">
        <v>648</v>
      </c>
      <c r="H49" s="61" t="s">
        <v>656</v>
      </c>
      <c r="L49">
        <v>1</v>
      </c>
      <c r="M49" s="99">
        <v>35</v>
      </c>
      <c r="N49" s="100">
        <v>1851</v>
      </c>
      <c r="R49" s="61">
        <v>17</v>
      </c>
      <c r="S49" s="61" t="s">
        <v>664</v>
      </c>
      <c r="T49" s="65" t="s">
        <v>654</v>
      </c>
      <c r="Z49" s="24"/>
      <c r="AA49" s="24"/>
      <c r="AB49" s="24"/>
      <c r="AC49" s="151" t="s">
        <v>553</v>
      </c>
      <c r="AD49" s="15"/>
      <c r="AE49" s="15"/>
      <c r="AF49" s="146">
        <f>N49/E49</f>
        <v>2.8564814814814814</v>
      </c>
      <c r="AG49" s="147"/>
      <c r="AH49" s="147"/>
      <c r="AI49" s="61" t="s">
        <v>656</v>
      </c>
      <c r="AJ49" s="24">
        <f>'landings Sylvie'!BH72</f>
        <v>559.41379310344826</v>
      </c>
      <c r="AK49" s="186"/>
      <c r="AM49" s="15">
        <f>IF(AF49&gt;=0.95,IF(AF49&lt;=$AM$1,1,MAX(1-$AM$2*(AF49-$AM$1),$AM$3)),AF49)</f>
        <v>0.3217592592592593</v>
      </c>
      <c r="AN49" s="15">
        <f>AM49</f>
        <v>0.3217592592592593</v>
      </c>
      <c r="AO49" s="15">
        <f t="shared" si="0"/>
        <v>0.53028101467507749</v>
      </c>
      <c r="AP49" s="212">
        <f>AN49*AJ49/$AJ$86</f>
        <v>1.0145654336749231E-3</v>
      </c>
    </row>
    <row r="50" spans="1:42" ht="15.75" x14ac:dyDescent="0.2">
      <c r="A50" s="193"/>
      <c r="B50" s="107"/>
      <c r="C50" s="107"/>
      <c r="D50" s="61"/>
      <c r="AB50" s="61"/>
      <c r="AC50" s="15"/>
      <c r="AD50" s="15"/>
      <c r="AE50" s="15"/>
      <c r="AF50" s="136"/>
      <c r="AG50" s="137"/>
      <c r="AH50" s="137"/>
      <c r="AI50" s="137"/>
      <c r="AJ50" s="24"/>
      <c r="AK50" s="186"/>
      <c r="AN50" s="15"/>
      <c r="AP50" s="212"/>
    </row>
    <row r="51" spans="1:42" ht="15.75" x14ac:dyDescent="0.2">
      <c r="A51" s="196" t="s">
        <v>247</v>
      </c>
      <c r="B51" s="217" t="s">
        <v>702</v>
      </c>
      <c r="C51" s="217" t="s">
        <v>540</v>
      </c>
      <c r="D51" s="61" t="s">
        <v>705</v>
      </c>
      <c r="E51">
        <v>159288</v>
      </c>
      <c r="H51">
        <v>0.20699999999999999</v>
      </c>
      <c r="L51" s="61">
        <v>10</v>
      </c>
      <c r="M51" s="215">
        <v>36</v>
      </c>
      <c r="N51">
        <v>163256</v>
      </c>
      <c r="O51">
        <v>0.11</v>
      </c>
      <c r="P51">
        <v>2009</v>
      </c>
      <c r="Q51" s="61">
        <v>49</v>
      </c>
      <c r="R51" s="61" t="s">
        <v>648</v>
      </c>
      <c r="S51" s="61" t="s">
        <v>669</v>
      </c>
      <c r="AC51" s="15"/>
      <c r="AD51" s="15"/>
      <c r="AE51" s="15"/>
      <c r="AF51" s="136">
        <f>N51/E51</f>
        <v>1.0249108532971725</v>
      </c>
      <c r="AG51" s="137"/>
      <c r="AH51" s="137"/>
      <c r="AI51" s="137">
        <f>O51/H51</f>
        <v>0.53140096618357491</v>
      </c>
      <c r="AJ51" s="24">
        <f>'landings Sylvie'!$X$72</f>
        <v>821.20512820512818</v>
      </c>
      <c r="AK51" s="186"/>
      <c r="AM51" s="15">
        <f>IF(AF51&gt;=0.95,IF(AF51&lt;=$AM$1,1,MAX(1-$AM$2*(AF51-$AM$1),$AM$3)),AF51)</f>
        <v>1</v>
      </c>
      <c r="AN51" s="15">
        <f>AM51</f>
        <v>1</v>
      </c>
      <c r="AO51" s="15">
        <f t="shared" si="0"/>
        <v>1</v>
      </c>
      <c r="AP51" s="212">
        <f>AN51*AJ51/$AJ$86</f>
        <v>4.6287901360204785E-3</v>
      </c>
    </row>
    <row r="52" spans="1:42" s="101" customFormat="1" ht="15.75" x14ac:dyDescent="0.2">
      <c r="A52" s="189"/>
      <c r="B52" s="122"/>
      <c r="C52" s="122"/>
      <c r="D52" s="97"/>
      <c r="Q52" s="97"/>
      <c r="S52" s="97"/>
      <c r="AC52" s="140"/>
      <c r="AD52" s="140"/>
      <c r="AE52" s="140"/>
      <c r="AF52" s="148"/>
      <c r="AG52" s="149"/>
      <c r="AH52" s="149"/>
      <c r="AI52" s="149"/>
      <c r="AK52" s="269"/>
      <c r="AN52" s="15"/>
      <c r="AP52" s="212"/>
    </row>
    <row r="53" spans="1:42" ht="15.75" x14ac:dyDescent="0.2">
      <c r="A53" s="197" t="s">
        <v>261</v>
      </c>
      <c r="B53" s="129" t="s">
        <v>744</v>
      </c>
      <c r="C53" s="129"/>
      <c r="D53" s="97" t="s">
        <v>704</v>
      </c>
      <c r="E53" s="184">
        <v>65</v>
      </c>
      <c r="H53">
        <v>0.21</v>
      </c>
      <c r="L53" s="101">
        <v>19</v>
      </c>
      <c r="M53" s="222">
        <v>60</v>
      </c>
      <c r="Q53" s="61">
        <v>46</v>
      </c>
      <c r="R53" s="61">
        <v>19</v>
      </c>
      <c r="S53" s="61" t="s">
        <v>666</v>
      </c>
      <c r="AC53" s="15"/>
      <c r="AD53" s="15"/>
      <c r="AE53" s="15"/>
      <c r="AF53" s="136">
        <v>1.1359999999999999</v>
      </c>
      <c r="AG53" s="144"/>
      <c r="AI53" s="144">
        <v>0.8115</v>
      </c>
      <c r="AJ53" s="24">
        <f>'landings Sylvie'!$Y$72</f>
        <v>87.994693750000025</v>
      </c>
      <c r="AK53" s="186"/>
      <c r="AM53" s="15">
        <f>IF(AF53&gt;=0.95,IF(AF53&lt;=$AM$1,1,MAX(1-$AM$2*(AF53-$AM$1),$AM$3)),AF53)</f>
        <v>1</v>
      </c>
      <c r="AN53" s="15">
        <f>AM53</f>
        <v>1</v>
      </c>
      <c r="AO53" s="15">
        <f>AN53^(AJ53/1000)</f>
        <v>1</v>
      </c>
      <c r="AP53" s="212">
        <f>AN53*AJ53/$AJ$86</f>
        <v>4.959893167525393E-4</v>
      </c>
    </row>
    <row r="54" spans="1:42" x14ac:dyDescent="0.2">
      <c r="A54" s="198"/>
      <c r="B54" s="89"/>
      <c r="C54" s="89"/>
      <c r="AD54" s="15"/>
      <c r="AE54" s="15"/>
      <c r="AG54" s="137"/>
      <c r="AH54" s="137"/>
      <c r="AI54" s="137"/>
      <c r="AK54" s="186"/>
    </row>
    <row r="55" spans="1:42" ht="15.75" x14ac:dyDescent="0.2">
      <c r="A55" s="193"/>
      <c r="B55" s="107"/>
      <c r="C55" s="107"/>
      <c r="AJ55" s="24"/>
      <c r="AK55" s="186"/>
      <c r="AM55" s="15"/>
      <c r="AN55" s="15"/>
    </row>
    <row r="56" spans="1:42" ht="15.75" x14ac:dyDescent="0.2">
      <c r="A56" s="194" t="s">
        <v>501</v>
      </c>
      <c r="B56" s="172" t="s">
        <v>699</v>
      </c>
      <c r="C56" s="107" t="s">
        <v>727</v>
      </c>
      <c r="D56" s="61" t="s">
        <v>726</v>
      </c>
      <c r="E56">
        <v>13226</v>
      </c>
      <c r="H56">
        <v>0.2</v>
      </c>
      <c r="L56" s="61" t="s">
        <v>732</v>
      </c>
      <c r="M56" s="215" t="s">
        <v>740</v>
      </c>
      <c r="N56">
        <v>27966</v>
      </c>
      <c r="Q56">
        <v>47</v>
      </c>
      <c r="R56" s="61" t="s">
        <v>732</v>
      </c>
      <c r="S56" s="61" t="s">
        <v>663</v>
      </c>
      <c r="AF56" s="106">
        <f>2+1*3/23</f>
        <v>2.1304347826086958</v>
      </c>
      <c r="AG56" s="134"/>
      <c r="AH56" s="134"/>
      <c r="AI56" s="134">
        <f>4/12.5</f>
        <v>0.32</v>
      </c>
      <c r="AJ56" s="24">
        <f>'landings Sylvie'!$J$72</f>
        <v>184.34053677353336</v>
      </c>
      <c r="AK56" s="186"/>
      <c r="AL56" s="246">
        <f>AI56/0.8</f>
        <v>0.39999999999999997</v>
      </c>
      <c r="AM56" s="140">
        <f>IF(AF56&gt;=0.95,IF(AF56&lt;=$AM$1,1,MAX(1-$AM$2*(AF56-$AM$1),$AM$3)),AF56)</f>
        <v>0.68478260869565211</v>
      </c>
      <c r="AN56" s="154">
        <f>AVERAGE(AL56:AM56)</f>
        <v>0.54239130434782601</v>
      </c>
      <c r="AO56" s="15"/>
      <c r="AP56" s="212"/>
    </row>
    <row r="57" spans="1:42" ht="15.75" x14ac:dyDescent="0.2">
      <c r="A57" s="194"/>
      <c r="B57" s="172"/>
      <c r="C57" s="107" t="s">
        <v>728</v>
      </c>
      <c r="D57" s="61" t="s">
        <v>726</v>
      </c>
      <c r="E57">
        <v>63102</v>
      </c>
      <c r="H57">
        <v>0.08</v>
      </c>
      <c r="L57" s="61" t="s">
        <v>732</v>
      </c>
      <c r="M57" s="61" t="s">
        <v>741</v>
      </c>
      <c r="Q57">
        <v>47</v>
      </c>
      <c r="R57" s="61" t="s">
        <v>732</v>
      </c>
      <c r="S57" s="61" t="s">
        <v>663</v>
      </c>
      <c r="AF57" s="106">
        <f>1-13/23</f>
        <v>0.43478260869565222</v>
      </c>
      <c r="AG57" s="134"/>
      <c r="AH57" s="134"/>
      <c r="AI57" s="134">
        <f>1-2/12.5</f>
        <v>0.84</v>
      </c>
      <c r="AK57" s="186"/>
      <c r="AL57" s="246">
        <f>(AF57+1.5-AI57)/1.5</f>
        <v>0.72985507246376835</v>
      </c>
      <c r="AM57" s="140">
        <f>IF(AF57&gt;=0.95,IF(AF57&lt;=$AM$1,1,MAX(1-$AM$2*(AF57-$AM$1),$AM$3)),AF57)</f>
        <v>0.43478260869565222</v>
      </c>
      <c r="AN57" s="274">
        <f>AVERAGE(AL57:AM57)</f>
        <v>0.58231884057971028</v>
      </c>
      <c r="AO57" s="15">
        <f>AN57^(AJ56/1000)</f>
        <v>0.90512721545152808</v>
      </c>
      <c r="AP57" s="212">
        <f>AN57*AJ56/$AJ$86</f>
        <v>6.0505872445821695E-4</v>
      </c>
    </row>
    <row r="58" spans="1:42" x14ac:dyDescent="0.2">
      <c r="AC58" s="15"/>
      <c r="AD58" s="15"/>
      <c r="AE58" s="15"/>
      <c r="AF58" s="136"/>
      <c r="AG58" s="137"/>
      <c r="AH58" s="137"/>
      <c r="AI58" s="137"/>
      <c r="AK58" s="186"/>
      <c r="AP58" s="212"/>
    </row>
    <row r="59" spans="1:42" ht="15.75" x14ac:dyDescent="0.2">
      <c r="A59" s="110" t="s">
        <v>482</v>
      </c>
      <c r="B59" s="65" t="s">
        <v>534</v>
      </c>
      <c r="C59" s="61" t="s">
        <v>548</v>
      </c>
      <c r="D59" s="61" t="s">
        <v>706</v>
      </c>
      <c r="E59">
        <v>440021</v>
      </c>
      <c r="H59">
        <v>0.217</v>
      </c>
      <c r="L59">
        <v>20</v>
      </c>
      <c r="M59" s="222">
        <v>50</v>
      </c>
      <c r="N59">
        <v>103504</v>
      </c>
      <c r="O59">
        <v>0.66500000000000004</v>
      </c>
      <c r="P59">
        <v>2008</v>
      </c>
      <c r="Q59" s="61" t="s">
        <v>684</v>
      </c>
      <c r="R59" s="61">
        <v>20</v>
      </c>
      <c r="S59" s="61" t="s">
        <v>669</v>
      </c>
      <c r="AC59" s="15"/>
      <c r="AD59" s="15"/>
      <c r="AE59" s="15"/>
      <c r="AF59" s="136">
        <v>0.23499999999999999</v>
      </c>
      <c r="AG59" s="137"/>
      <c r="AH59" s="137"/>
      <c r="AI59" s="137">
        <f>O59/H59</f>
        <v>3.0645161290322585</v>
      </c>
      <c r="AK59" s="186"/>
      <c r="AM59" s="15">
        <f>IF(AF59&gt;=0.95,IF(AF59&lt;=$AM$1,1,MAX(1-$AM$2*(AF59-$AM$1),$AM$3)),AF59)</f>
        <v>0.23499999999999999</v>
      </c>
      <c r="AN59" s="15">
        <f>AM59</f>
        <v>0.23499999999999999</v>
      </c>
      <c r="AO59" s="139">
        <f>AN59^(AJ60/1000)</f>
        <v>6.2646830120562814E-3</v>
      </c>
      <c r="AP59" s="212">
        <f>AN59*AJ60/$AJ$86</f>
        <v>4.6399606855447246E-3</v>
      </c>
    </row>
    <row r="60" spans="1:42" s="132" customFormat="1" x14ac:dyDescent="0.2">
      <c r="A60" s="200"/>
      <c r="B60" s="131"/>
      <c r="C60" s="134" t="s">
        <v>539</v>
      </c>
      <c r="D60" s="134" t="s">
        <v>441</v>
      </c>
      <c r="U60" s="132">
        <v>56743</v>
      </c>
      <c r="V60" s="132">
        <v>0.26900000000000002</v>
      </c>
      <c r="W60" s="132">
        <v>3817</v>
      </c>
      <c r="X60" s="132">
        <v>3507</v>
      </c>
      <c r="Y60" s="132">
        <v>4154</v>
      </c>
      <c r="Z60" s="132">
        <v>366</v>
      </c>
      <c r="AA60" s="132">
        <v>2011</v>
      </c>
      <c r="AB60" s="134" t="s">
        <v>463</v>
      </c>
      <c r="AC60" s="137">
        <f>Z60/W60</f>
        <v>9.5886822111605971E-2</v>
      </c>
      <c r="AD60" s="238">
        <f>1-(1-$AC60)^0.5</f>
        <v>4.915133807298544E-2</v>
      </c>
      <c r="AE60" s="178">
        <f>1+(1-$AC60)^0.5</f>
        <v>1.9508486619270147</v>
      </c>
      <c r="AF60" s="137"/>
      <c r="AG60" s="137"/>
      <c r="AH60" s="137">
        <f>AD60</f>
        <v>4.915133807298544E-2</v>
      </c>
      <c r="AI60" s="137"/>
      <c r="AJ60" s="24">
        <f>'landings Sylvie'!AH72</f>
        <v>3502.9230769230771</v>
      </c>
      <c r="AK60" s="271"/>
      <c r="AP60" s="213"/>
    </row>
    <row r="61" spans="1:42" ht="15.75" x14ac:dyDescent="0.2">
      <c r="A61" s="201"/>
      <c r="B61" s="111"/>
      <c r="C61" s="111"/>
      <c r="P61" s="61"/>
      <c r="R61" s="61"/>
      <c r="S61" s="61"/>
      <c r="AC61" s="15"/>
      <c r="AD61" s="15"/>
      <c r="AE61" s="15"/>
      <c r="AG61" s="145"/>
      <c r="AH61" s="145"/>
      <c r="AI61" s="145"/>
      <c r="AJ61" s="113"/>
      <c r="AM61" s="15"/>
      <c r="AN61" s="15"/>
      <c r="AO61" s="15"/>
      <c r="AP61" s="212"/>
    </row>
    <row r="62" spans="1:42" ht="15.75" x14ac:dyDescent="0.2">
      <c r="A62" s="192" t="s">
        <v>582</v>
      </c>
      <c r="B62" s="61" t="s">
        <v>594</v>
      </c>
      <c r="C62" s="118" t="s">
        <v>821</v>
      </c>
      <c r="D62" s="95" t="s">
        <v>360</v>
      </c>
      <c r="E62">
        <v>7281</v>
      </c>
      <c r="F62">
        <f>0.3*E62</f>
        <v>2184.2999999999997</v>
      </c>
      <c r="G62">
        <f>0.8*E62</f>
        <v>5824.8</v>
      </c>
      <c r="H62" s="61" t="s">
        <v>656</v>
      </c>
      <c r="I62">
        <v>0.1</v>
      </c>
      <c r="L62">
        <v>1</v>
      </c>
      <c r="M62" s="61">
        <v>37</v>
      </c>
      <c r="N62">
        <v>9096</v>
      </c>
      <c r="O62" s="186">
        <f>4*0.1/17</f>
        <v>2.3529411764705882E-2</v>
      </c>
      <c r="P62">
        <v>2010</v>
      </c>
      <c r="R62">
        <v>21</v>
      </c>
      <c r="S62" s="61" t="s">
        <v>673</v>
      </c>
      <c r="T62">
        <v>53</v>
      </c>
      <c r="AF62" s="105">
        <f>N62/E62</f>
        <v>1.2492789451998352</v>
      </c>
      <c r="AJ62" s="24">
        <f>'landings Sylvie'!$L$72</f>
        <v>592.6</v>
      </c>
      <c r="AM62" s="15">
        <f>IF(AF62&gt;=0.95,IF(AF62&lt;=$AM$1,1,MAX(1-$AM$2*(AF62-$AM$1),$AM$3)),AF62)</f>
        <v>1</v>
      </c>
      <c r="AN62" s="15">
        <f>AM62</f>
        <v>1</v>
      </c>
      <c r="AO62" s="139">
        <f>AN62^(AJ62/1000)</f>
        <v>1</v>
      </c>
      <c r="AP62" s="212">
        <f>AN62*AJ62/$AJ$86</f>
        <v>3.3402385596410433E-3</v>
      </c>
    </row>
    <row r="63" spans="1:42" s="180" customFormat="1" x14ac:dyDescent="0.2">
      <c r="A63" s="202"/>
      <c r="B63" s="179"/>
      <c r="C63" s="179"/>
      <c r="Q63" s="179"/>
      <c r="R63" s="179"/>
      <c r="AC63" s="182"/>
      <c r="AD63" s="182"/>
      <c r="AE63" s="182"/>
      <c r="AF63" s="181"/>
      <c r="AG63" s="182"/>
      <c r="AH63" s="182"/>
      <c r="AI63" s="182"/>
      <c r="AJ63" s="183"/>
      <c r="AP63" s="214"/>
    </row>
    <row r="64" spans="1:42" ht="15.75" x14ac:dyDescent="0.2">
      <c r="A64" s="203" t="s">
        <v>472</v>
      </c>
      <c r="B64" s="185" t="s">
        <v>532</v>
      </c>
      <c r="C64" s="185"/>
      <c r="D64" s="61" t="s">
        <v>761</v>
      </c>
      <c r="E64" s="235">
        <f>AVERAGE('[1]assessment biomass'!$ET$2:$ET$46)</f>
        <v>3556.6626140822882</v>
      </c>
      <c r="H64" s="61" t="s">
        <v>656</v>
      </c>
      <c r="L64">
        <v>2</v>
      </c>
      <c r="M64">
        <v>38</v>
      </c>
      <c r="N64">
        <f>AVERAGE('[1]assessment biomass'!$ET$44:$ET$46)</f>
        <v>5138.7404387010129</v>
      </c>
      <c r="P64" s="61" t="s">
        <v>491</v>
      </c>
      <c r="S64" s="61" t="s">
        <v>664</v>
      </c>
      <c r="AC64" s="15"/>
      <c r="AD64" s="15"/>
      <c r="AE64" s="15"/>
      <c r="AG64" s="136">
        <f>N64/E64</f>
        <v>1.4448208886484282</v>
      </c>
      <c r="AH64" s="137"/>
      <c r="AI64" s="137"/>
      <c r="AJ64" s="24">
        <f>'landings Sylvie'!AC72</f>
        <v>901.81632653061229</v>
      </c>
      <c r="AM64" s="15">
        <f>IF(AG64&gt;=0.95,IF(AG64&lt;=$AM$1,1,MAX(1-$AM$2*(AG64-$AM$1),$AM$3)),AG64)</f>
        <v>1</v>
      </c>
      <c r="AN64" s="15">
        <f>AM64</f>
        <v>1</v>
      </c>
      <c r="AO64" s="139">
        <f>AN64^(AJ64/1000)</f>
        <v>1</v>
      </c>
      <c r="AP64" s="212">
        <f>AN64*AJ64/$AJ$86</f>
        <v>5.0831617745382869E-3</v>
      </c>
    </row>
    <row r="65" spans="1:42" ht="15.75" x14ac:dyDescent="0.2">
      <c r="A65" s="203"/>
      <c r="B65" s="185"/>
      <c r="C65" s="185"/>
      <c r="D65" s="61"/>
      <c r="E65" s="235"/>
      <c r="P65" s="61"/>
      <c r="U65" s="61" t="s">
        <v>544</v>
      </c>
      <c r="Z65">
        <v>890</v>
      </c>
      <c r="AA65">
        <v>2008</v>
      </c>
      <c r="AB65" s="61" t="s">
        <v>528</v>
      </c>
      <c r="AC65" s="15"/>
      <c r="AD65" s="15"/>
      <c r="AE65" s="15"/>
      <c r="AF65" s="136"/>
      <c r="AG65" s="137"/>
      <c r="AH65" s="137"/>
      <c r="AI65" s="137"/>
      <c r="AJ65" s="24"/>
      <c r="AP65" s="212"/>
    </row>
    <row r="66" spans="1:42" ht="15.75" x14ac:dyDescent="0.2">
      <c r="A66" s="204" t="s">
        <v>475</v>
      </c>
      <c r="B66" s="127" t="s">
        <v>531</v>
      </c>
      <c r="C66" s="127"/>
      <c r="D66" s="61" t="s">
        <v>761</v>
      </c>
      <c r="E66" s="84">
        <f>AVERAGE('[1]assessment biomass'!$CP$2:$CP$46)</f>
        <v>1796.5989011197316</v>
      </c>
      <c r="H66" s="61" t="s">
        <v>656</v>
      </c>
      <c r="L66">
        <v>2</v>
      </c>
      <c r="M66">
        <v>38</v>
      </c>
      <c r="N66">
        <f>AVERAGE('[1]assessment biomass'!$CP$44:$CP$46)</f>
        <v>1064.1921167959733</v>
      </c>
      <c r="P66" s="61" t="s">
        <v>491</v>
      </c>
      <c r="S66" s="61" t="s">
        <v>664</v>
      </c>
      <c r="AC66" s="15"/>
      <c r="AD66" s="15"/>
      <c r="AE66" s="15"/>
      <c r="AG66" s="136">
        <f>N66/E66</f>
        <v>0.59233706317682522</v>
      </c>
      <c r="AH66" s="137"/>
      <c r="AI66" s="137"/>
      <c r="AJ66" s="24">
        <f>'landings Sylvie'!AB72</f>
        <v>420.08163265306121</v>
      </c>
      <c r="AM66" s="15">
        <f>IF(AG66&gt;=0.95,IF(AG66&lt;=$AM$1,1,MAX(1-$AM$2*(AG66-$AM$1),$AM$3)),AG66)</f>
        <v>0.59233706317682522</v>
      </c>
      <c r="AN66" s="15">
        <f>AM66</f>
        <v>0.59233706317682522</v>
      </c>
      <c r="AO66" s="139">
        <f>AN66^(AJ66/1000)</f>
        <v>0.80252833575033877</v>
      </c>
      <c r="AP66" s="212">
        <f>AN66*AJ66/$AJ$86</f>
        <v>1.4025502793022894E-3</v>
      </c>
    </row>
    <row r="67" spans="1:42" ht="15.75" x14ac:dyDescent="0.2">
      <c r="A67" s="204"/>
      <c r="B67" s="127"/>
      <c r="C67" s="127" t="s">
        <v>539</v>
      </c>
      <c r="D67" s="67" t="s">
        <v>474</v>
      </c>
      <c r="E67" s="84"/>
      <c r="M67" s="61"/>
      <c r="P67" s="61"/>
      <c r="U67" s="61">
        <v>11442</v>
      </c>
      <c r="V67">
        <v>0.124</v>
      </c>
      <c r="W67">
        <v>356</v>
      </c>
      <c r="X67">
        <v>256</v>
      </c>
      <c r="Y67">
        <v>496</v>
      </c>
      <c r="Z67">
        <v>126</v>
      </c>
      <c r="AA67">
        <v>2008</v>
      </c>
      <c r="AB67" s="61" t="s">
        <v>528</v>
      </c>
      <c r="AC67" s="151" t="s">
        <v>541</v>
      </c>
      <c r="AD67" s="15"/>
      <c r="AE67" s="15"/>
      <c r="AF67" s="136"/>
      <c r="AG67" s="137"/>
      <c r="AH67" s="137"/>
      <c r="AI67" s="137"/>
      <c r="AJ67" s="24"/>
      <c r="AP67" s="212"/>
    </row>
    <row r="68" spans="1:42" ht="15.75" x14ac:dyDescent="0.2">
      <c r="A68" s="205"/>
      <c r="B68" s="119"/>
      <c r="C68" s="119"/>
      <c r="D68" s="97"/>
      <c r="E68" s="84"/>
      <c r="M68" s="61"/>
      <c r="P68" s="61"/>
      <c r="U68" s="61"/>
      <c r="AB68" s="61"/>
      <c r="AC68" s="151"/>
      <c r="AD68" s="15"/>
      <c r="AE68" s="15"/>
      <c r="AF68" s="136"/>
      <c r="AG68" s="137"/>
      <c r="AH68" s="137"/>
      <c r="AI68" s="137"/>
      <c r="AJ68" s="24"/>
      <c r="AP68" s="212"/>
    </row>
    <row r="69" spans="1:42" ht="15.75" x14ac:dyDescent="0.2">
      <c r="A69" s="206" t="s">
        <v>473</v>
      </c>
      <c r="B69" s="126" t="s">
        <v>529</v>
      </c>
      <c r="C69" s="126" t="s">
        <v>344</v>
      </c>
      <c r="D69" s="61" t="s">
        <v>761</v>
      </c>
      <c r="E69" s="84">
        <f>AVERAGE('[1]assessment biomass'!$CX$2:$CX$46)</f>
        <v>650.65457661993401</v>
      </c>
      <c r="H69" s="61" t="s">
        <v>656</v>
      </c>
      <c r="L69">
        <v>2</v>
      </c>
      <c r="M69">
        <v>38</v>
      </c>
      <c r="N69">
        <f>AVERAGE('[1]assessment biomass'!$CX$44:$CX$46)</f>
        <v>184.28114235233957</v>
      </c>
      <c r="P69" s="61" t="s">
        <v>491</v>
      </c>
      <c r="S69" s="61" t="s">
        <v>664</v>
      </c>
      <c r="AC69" s="15"/>
      <c r="AD69" s="15"/>
      <c r="AE69" s="15"/>
      <c r="AG69" s="136">
        <f>N69/E69</f>
        <v>0.28322423137274494</v>
      </c>
      <c r="AH69" s="137"/>
      <c r="AI69" s="137"/>
      <c r="AJ69" s="24">
        <f>'landings Sylvie'!$AA$72</f>
        <v>133.61224489795919</v>
      </c>
      <c r="AM69" s="15">
        <f>IF(AG69&gt;=0.95,IF(AG69&lt;=$AM$1,1,MAX(1-$AM$2*(AG69-$AM$1),$AM$3)),AG69)</f>
        <v>0.28322423137274494</v>
      </c>
      <c r="AN69" s="15">
        <f>AM69</f>
        <v>0.28322423137274494</v>
      </c>
      <c r="AO69" s="139">
        <f>AN69^(AJ69/1000)</f>
        <v>0.84488561083901859</v>
      </c>
      <c r="AP69" s="212">
        <f>AN69*AJ69/$AJ$86</f>
        <v>2.1330081056501044E-4</v>
      </c>
    </row>
    <row r="70" spans="1:42" ht="15.75" x14ac:dyDescent="0.2">
      <c r="A70" s="206"/>
      <c r="B70" s="126"/>
      <c r="C70" s="126" t="s">
        <v>542</v>
      </c>
      <c r="D70" s="99" t="s">
        <v>474</v>
      </c>
      <c r="E70" s="84"/>
      <c r="M70" s="61"/>
      <c r="P70" s="61"/>
      <c r="U70" s="61" t="s">
        <v>543</v>
      </c>
      <c r="Z70">
        <v>5</v>
      </c>
      <c r="AA70">
        <v>2008</v>
      </c>
      <c r="AB70" s="61" t="s">
        <v>528</v>
      </c>
      <c r="AC70" s="151" t="s">
        <v>541</v>
      </c>
      <c r="AD70" s="15"/>
      <c r="AE70" s="15"/>
      <c r="AF70" s="136"/>
      <c r="AG70" s="137"/>
      <c r="AH70" s="137"/>
      <c r="AI70" s="137"/>
      <c r="AJ70" s="24"/>
      <c r="AP70" s="212"/>
    </row>
    <row r="71" spans="1:42" ht="15.75" x14ac:dyDescent="0.2">
      <c r="A71" s="205"/>
      <c r="B71" s="119"/>
      <c r="C71" s="119"/>
      <c r="D71" s="61"/>
      <c r="E71" s="84"/>
      <c r="M71" s="61"/>
      <c r="P71" s="61"/>
      <c r="AC71" s="15"/>
      <c r="AD71" s="15"/>
      <c r="AE71" s="15"/>
      <c r="AF71" s="136"/>
      <c r="AG71" s="137"/>
      <c r="AH71" s="137"/>
      <c r="AI71" s="137"/>
      <c r="AJ71" s="24"/>
      <c r="AP71" s="212"/>
    </row>
    <row r="72" spans="1:42" ht="15.75" x14ac:dyDescent="0.2">
      <c r="A72" s="207" t="s">
        <v>517</v>
      </c>
      <c r="B72" s="128" t="s">
        <v>545</v>
      </c>
      <c r="C72" s="128" t="s">
        <v>344</v>
      </c>
      <c r="D72" s="61" t="s">
        <v>761</v>
      </c>
      <c r="E72" s="84">
        <f>AVERAGE('[1]assessment biomass'!$DJ$2:$DJ$46)</f>
        <v>2016.8975846939863</v>
      </c>
      <c r="H72" s="61" t="s">
        <v>656</v>
      </c>
      <c r="L72">
        <v>2</v>
      </c>
      <c r="M72">
        <v>38</v>
      </c>
      <c r="N72">
        <f>AVERAGE('[1]assessment biomass'!$DJ$44:$DJ$46)</f>
        <v>114.48226118244996</v>
      </c>
      <c r="P72" s="61" t="s">
        <v>491</v>
      </c>
      <c r="S72" s="61" t="s">
        <v>664</v>
      </c>
      <c r="AC72" s="15"/>
      <c r="AD72" s="15"/>
      <c r="AE72" s="15"/>
      <c r="AG72" s="136">
        <f>N72/E72</f>
        <v>5.676156392433767E-2</v>
      </c>
      <c r="AH72" s="137"/>
      <c r="AI72" s="137"/>
      <c r="AJ72" s="121">
        <f>'landings Sylvie'!AF72</f>
        <v>674.16326530612241</v>
      </c>
      <c r="AM72" s="15">
        <f>IF(AG72&gt;=0.95,IF(AG72&lt;=$AM$1,1,MAX(1-$AM$2*(AG72-$AM$1),$AM$3)),AG72)</f>
        <v>5.676156392433767E-2</v>
      </c>
      <c r="AN72" s="15">
        <f>AM72</f>
        <v>5.676156392433767E-2</v>
      </c>
      <c r="AO72" s="139">
        <f>AN72^(AJ72/1000)</f>
        <v>0.14455370058869979</v>
      </c>
      <c r="AP72" s="212">
        <f>AN72*AJ72/$AJ$86</f>
        <v>2.1569261479811405E-4</v>
      </c>
    </row>
    <row r="73" spans="1:42" ht="15.75" x14ac:dyDescent="0.2">
      <c r="A73" s="207"/>
      <c r="B73" s="128"/>
      <c r="C73" s="128" t="s">
        <v>539</v>
      </c>
      <c r="D73" s="95" t="s">
        <v>476</v>
      </c>
      <c r="E73" s="84"/>
      <c r="M73" s="61"/>
      <c r="P73" s="61"/>
      <c r="U73">
        <v>26196</v>
      </c>
      <c r="V73">
        <v>0.108</v>
      </c>
      <c r="W73">
        <v>709</v>
      </c>
      <c r="X73" s="61">
        <v>508</v>
      </c>
      <c r="Y73" s="61">
        <v>989</v>
      </c>
      <c r="Z73">
        <v>28</v>
      </c>
      <c r="AA73">
        <v>2008</v>
      </c>
      <c r="AB73" s="61" t="s">
        <v>522</v>
      </c>
      <c r="AC73" s="15">
        <f>Z73/W73</f>
        <v>3.9492242595204514E-2</v>
      </c>
      <c r="AD73" s="17">
        <f>1-(1-$AC73)^0.5</f>
        <v>1.9945023274308693E-2</v>
      </c>
      <c r="AE73" s="17">
        <f>1+(1-$AC73)^0.5</f>
        <v>1.9800549767256914</v>
      </c>
      <c r="AF73" s="136"/>
      <c r="AG73" s="137"/>
      <c r="AH73" s="137">
        <f>AD73</f>
        <v>1.9945023274308693E-2</v>
      </c>
      <c r="AI73" s="137"/>
      <c r="AJ73" s="61"/>
      <c r="AP73" s="212"/>
    </row>
    <row r="74" spans="1:42" ht="15.75" x14ac:dyDescent="0.2">
      <c r="A74" s="205"/>
      <c r="B74" s="119"/>
      <c r="C74" s="119"/>
      <c r="D74" s="61"/>
      <c r="E74" s="84"/>
      <c r="M74" s="61"/>
      <c r="P74" s="61"/>
      <c r="AC74" s="15"/>
      <c r="AD74" s="15"/>
      <c r="AE74" s="15"/>
      <c r="AF74" s="136"/>
      <c r="AG74" s="137"/>
      <c r="AH74" s="137"/>
      <c r="AI74" s="137"/>
      <c r="AJ74" s="61"/>
      <c r="AP74" s="212"/>
    </row>
    <row r="75" spans="1:42" ht="15.75" x14ac:dyDescent="0.2">
      <c r="A75" s="205" t="s">
        <v>477</v>
      </c>
      <c r="B75" s="119" t="s">
        <v>709</v>
      </c>
      <c r="C75" s="119"/>
      <c r="D75" s="61" t="s">
        <v>761</v>
      </c>
      <c r="E75" s="84">
        <f>AVERAGE('[1]assessment biomass'!$ED$2:$ED$46)</f>
        <v>2181.3163265823064</v>
      </c>
      <c r="H75" s="61" t="s">
        <v>656</v>
      </c>
      <c r="L75">
        <v>2</v>
      </c>
      <c r="M75">
        <v>38</v>
      </c>
      <c r="N75">
        <f>AVERAGE('[1]assessment biomass'!$ED$44:$ED$46)</f>
        <v>683.72839773458543</v>
      </c>
      <c r="P75" s="61" t="s">
        <v>491</v>
      </c>
      <c r="S75" s="61" t="s">
        <v>664</v>
      </c>
      <c r="T75" s="61"/>
      <c r="AC75" s="15"/>
      <c r="AD75" s="15"/>
      <c r="AE75" s="15"/>
      <c r="AG75" s="136">
        <f>N75/E75</f>
        <v>0.31344761390286446</v>
      </c>
      <c r="AH75" s="137"/>
      <c r="AI75" s="137"/>
      <c r="AJ75" s="24">
        <f>'landings Sylvie'!$Z$72</f>
        <v>537.62790697674416</v>
      </c>
      <c r="AM75" s="15">
        <f>IF(AG75&gt;=0.95,IF(AG75&lt;=$AM$1,1,MAX(1-$AM$2*(AG75-$AM$1),$AM$3)),AG75)</f>
        <v>0.31344761390286446</v>
      </c>
      <c r="AN75" s="15">
        <f>AM75</f>
        <v>0.31344761390286446</v>
      </c>
      <c r="AO75" s="139">
        <f>AN75^(AJ75/1000)</f>
        <v>0.53594993966397209</v>
      </c>
      <c r="AP75" s="212">
        <f>AN75*AJ75/$AJ$86</f>
        <v>9.4986658493621009E-4</v>
      </c>
    </row>
    <row r="76" spans="1:42" ht="15.75" x14ac:dyDescent="0.2">
      <c r="A76" s="205"/>
      <c r="B76" s="119"/>
      <c r="C76" s="119"/>
      <c r="E76" s="84"/>
      <c r="P76" s="61"/>
      <c r="T76" s="61"/>
      <c r="AC76" s="15"/>
      <c r="AD76" s="15"/>
      <c r="AE76" s="15"/>
      <c r="AG76" s="136"/>
      <c r="AH76" s="137"/>
      <c r="AI76" s="137"/>
      <c r="AJ76" s="24"/>
      <c r="AM76" s="15"/>
      <c r="AN76" s="15"/>
      <c r="AO76" s="15"/>
      <c r="AP76" s="212"/>
    </row>
    <row r="77" spans="1:42" ht="15.75" x14ac:dyDescent="0.2">
      <c r="A77" s="205" t="s">
        <v>489</v>
      </c>
      <c r="B77" s="119" t="s">
        <v>710</v>
      </c>
      <c r="C77" s="119"/>
      <c r="D77" s="61" t="s">
        <v>761</v>
      </c>
      <c r="E77" s="84">
        <f>AVERAGE('[1]assessment biomass'!$EP$2:$EP$46)</f>
        <v>2797.8731344293719</v>
      </c>
      <c r="H77" s="61" t="s">
        <v>656</v>
      </c>
      <c r="L77">
        <v>2</v>
      </c>
      <c r="M77">
        <v>38</v>
      </c>
      <c r="N77">
        <f>AVERAGE('[1]assessment biomass'!$EP$44:$EP$46)</f>
        <v>1314.0279931072521</v>
      </c>
      <c r="P77" s="61" t="s">
        <v>491</v>
      </c>
      <c r="S77" s="61" t="s">
        <v>664</v>
      </c>
      <c r="AC77" s="15"/>
      <c r="AD77" s="15"/>
      <c r="AE77" s="15"/>
      <c r="AG77" s="136">
        <f>N77/E77</f>
        <v>0.46965245741038542</v>
      </c>
      <c r="AH77" s="137"/>
      <c r="AI77" s="137"/>
      <c r="AJ77" s="24">
        <f>'landings Sylvie'!$AG$72</f>
        <v>94.94736842105263</v>
      </c>
      <c r="AM77" s="15">
        <f>IF(AG77&gt;=0.95,IF(AG77&lt;=$AM$1,1,MAX(1-$AM$2*(AG77-$AM$1),$AM$3)),AG77)</f>
        <v>0.46965245741038542</v>
      </c>
      <c r="AN77" s="15">
        <f>AM77</f>
        <v>0.46965245741038542</v>
      </c>
      <c r="AO77" s="139">
        <f>AN77^(AJ77/1000)</f>
        <v>0.93075644428496007</v>
      </c>
      <c r="AP77" s="212">
        <f>AN77*AJ77/$AJ$86</f>
        <v>2.5134796269443357E-4</v>
      </c>
    </row>
    <row r="78" spans="1:42" ht="15.75" x14ac:dyDescent="0.2">
      <c r="A78" s="205"/>
      <c r="B78" s="119"/>
      <c r="C78" s="119"/>
      <c r="AC78" s="15"/>
      <c r="AD78" s="15"/>
      <c r="AE78" s="15"/>
      <c r="AF78" s="136"/>
      <c r="AG78" s="137"/>
      <c r="AH78" s="137"/>
      <c r="AI78" s="137"/>
      <c r="AJ78" s="24"/>
      <c r="AP78" s="212"/>
    </row>
    <row r="79" spans="1:42" ht="15.75" x14ac:dyDescent="0.2">
      <c r="A79" s="205" t="s">
        <v>484</v>
      </c>
      <c r="B79" s="119" t="s">
        <v>711</v>
      </c>
      <c r="C79" s="119"/>
      <c r="D79" s="61" t="s">
        <v>441</v>
      </c>
      <c r="E79" s="84">
        <f>AVERAGE('[1]assessment biomass'!$BJ$2:$BJ$15)</f>
        <v>834.39432871428562</v>
      </c>
      <c r="F79" s="78">
        <f>AVERAGE('[1]assessment biomass'!$BJ$2:$BJ$46)</f>
        <v>474.24152603643518</v>
      </c>
      <c r="H79" s="61" t="s">
        <v>656</v>
      </c>
      <c r="L79">
        <v>2</v>
      </c>
      <c r="M79" s="61">
        <v>39</v>
      </c>
      <c r="N79" s="84">
        <f>AVERAGE('[1]assessment biomass'!$BJ$44:$BJ$46)</f>
        <v>258.88081547986189</v>
      </c>
      <c r="P79" s="61" t="s">
        <v>491</v>
      </c>
      <c r="Q79" s="61" t="s">
        <v>344</v>
      </c>
      <c r="S79" s="61" t="s">
        <v>664</v>
      </c>
      <c r="AC79" s="15"/>
      <c r="AD79" s="15"/>
      <c r="AE79" s="15"/>
      <c r="AG79" s="15">
        <f>N79/E79</f>
        <v>0.31026195477475277</v>
      </c>
      <c r="AH79" s="15"/>
      <c r="AI79" s="15"/>
      <c r="AJ79" s="101"/>
      <c r="AP79" s="212"/>
    </row>
    <row r="80" spans="1:42" ht="15.75" x14ac:dyDescent="0.2">
      <c r="A80" s="205" t="s">
        <v>485</v>
      </c>
      <c r="B80" s="119" t="s">
        <v>712</v>
      </c>
      <c r="C80" s="119"/>
      <c r="D80" s="61" t="s">
        <v>441</v>
      </c>
      <c r="E80" s="84">
        <f>AVERAGE('[1]assessment biomass'!$BR$2:$BR$16)</f>
        <v>7936.1468206666668</v>
      </c>
      <c r="F80" s="78">
        <f>AVERAGE('[1]assessment biomass'!$BR$2:$BR$46)</f>
        <v>3793.7729534744617</v>
      </c>
      <c r="H80" s="61" t="s">
        <v>656</v>
      </c>
      <c r="L80">
        <v>2</v>
      </c>
      <c r="M80" s="61">
        <v>40</v>
      </c>
      <c r="N80" s="84">
        <f>AVERAGE('[1]assessment biomass'!$BR$44:$BR$46)</f>
        <v>286.97004845027664</v>
      </c>
      <c r="P80" s="61" t="s">
        <v>491</v>
      </c>
      <c r="Q80" s="61" t="s">
        <v>344</v>
      </c>
      <c r="S80" s="61" t="s">
        <v>664</v>
      </c>
      <c r="AC80" s="15"/>
      <c r="AD80" s="15"/>
      <c r="AE80" s="15"/>
      <c r="AG80" s="15">
        <f>N80/E80</f>
        <v>3.6159871400434855E-2</v>
      </c>
      <c r="AH80" s="15"/>
      <c r="AI80" s="15"/>
      <c r="AJ80" s="101"/>
      <c r="AP80" s="212"/>
    </row>
    <row r="81" spans="1:42" ht="15.75" x14ac:dyDescent="0.2">
      <c r="A81" s="205" t="s">
        <v>486</v>
      </c>
      <c r="B81" s="119" t="s">
        <v>715</v>
      </c>
      <c r="C81" s="61" t="s">
        <v>498</v>
      </c>
      <c r="D81" s="61" t="s">
        <v>441</v>
      </c>
      <c r="E81" s="84">
        <f>0.5*MAX('[1]assessment biomass'!$DV$2:$DV$46)</f>
        <v>1763.5876030000002</v>
      </c>
      <c r="F81" s="78">
        <f>AVERAGE('[1]assessment biomass'!$DV$2:$DV$46)</f>
        <v>511.3290792310242</v>
      </c>
      <c r="H81" s="61" t="s">
        <v>656</v>
      </c>
      <c r="L81">
        <v>2</v>
      </c>
      <c r="M81" s="61">
        <v>34</v>
      </c>
      <c r="N81" s="84">
        <f>AVERAGE(survey!B45:B47)</f>
        <v>1699.5761733053635</v>
      </c>
      <c r="P81" s="61" t="s">
        <v>491</v>
      </c>
      <c r="Q81" s="61" t="s">
        <v>344</v>
      </c>
      <c r="S81" s="61" t="s">
        <v>664</v>
      </c>
      <c r="AC81" s="15"/>
      <c r="AD81" s="15"/>
      <c r="AE81" s="15"/>
      <c r="AG81" s="15">
        <f>N81/E81</f>
        <v>0.96370385594356167</v>
      </c>
      <c r="AH81" s="15"/>
      <c r="AI81" s="15"/>
      <c r="AJ81" s="101"/>
      <c r="AP81" s="212"/>
    </row>
    <row r="82" spans="1:42" ht="15.75" x14ac:dyDescent="0.2">
      <c r="A82" s="205" t="s">
        <v>487</v>
      </c>
      <c r="B82" s="223" t="s">
        <v>713</v>
      </c>
      <c r="C82" s="119"/>
      <c r="D82" s="61" t="s">
        <v>441</v>
      </c>
      <c r="E82" s="84">
        <f>0.5*MAX('[1]assessment biomass'!$CH$2:$CH$46)</f>
        <v>1130.545255</v>
      </c>
      <c r="F82" s="78">
        <f>AVERAGE('[1]assessment biomass'!$CH$2:$CH$46)</f>
        <v>984.79446668017317</v>
      </c>
      <c r="H82" s="61" t="s">
        <v>656</v>
      </c>
      <c r="L82">
        <v>2</v>
      </c>
      <c r="M82" s="61">
        <v>34</v>
      </c>
      <c r="N82" s="84">
        <f>AVERAGE(survey!C45:C47)</f>
        <v>1035.0007312025937</v>
      </c>
      <c r="P82" s="61" t="s">
        <v>491</v>
      </c>
      <c r="S82" s="61" t="s">
        <v>664</v>
      </c>
      <c r="AC82" s="15"/>
      <c r="AD82" s="15"/>
      <c r="AE82" s="15"/>
      <c r="AG82" s="15">
        <f>N82/E82</f>
        <v>0.91548810330692487</v>
      </c>
      <c r="AH82" s="15"/>
      <c r="AI82" s="15"/>
      <c r="AJ82" s="101"/>
      <c r="AP82" s="212"/>
    </row>
    <row r="83" spans="1:42" ht="15.75" x14ac:dyDescent="0.2">
      <c r="A83" s="205" t="s">
        <v>488</v>
      </c>
      <c r="B83" s="119" t="s">
        <v>714</v>
      </c>
      <c r="C83" s="119"/>
      <c r="D83" s="61" t="s">
        <v>441</v>
      </c>
      <c r="E83" s="84">
        <f>0.5*MAX('[1]assessment biomass'!$AD$2:$AD$46)</f>
        <v>903.81770499999993</v>
      </c>
      <c r="F83" s="78">
        <f>AVERAGE('[1]assessment biomass'!$AD$2:$AD$46)</f>
        <v>857.89710077341965</v>
      </c>
      <c r="H83" s="61" t="s">
        <v>656</v>
      </c>
      <c r="L83">
        <v>2</v>
      </c>
      <c r="M83" s="61">
        <v>34</v>
      </c>
      <c r="N83" s="84">
        <f>AVERAGE('[1]assessment biomass'!$AD$44:$AD$46)</f>
        <v>1086.5250628612064</v>
      </c>
      <c r="P83" s="61" t="s">
        <v>491</v>
      </c>
      <c r="R83" s="61" t="s">
        <v>344</v>
      </c>
      <c r="S83" s="61" t="s">
        <v>664</v>
      </c>
      <c r="AC83" s="15"/>
      <c r="AD83" s="15"/>
      <c r="AE83" s="15"/>
      <c r="AG83" s="15">
        <f>N83/E83</f>
        <v>1.2021506735821317</v>
      </c>
      <c r="AH83" s="15"/>
      <c r="AI83" s="15"/>
      <c r="AJ83" s="101"/>
      <c r="AP83" s="212"/>
    </row>
    <row r="84" spans="1:42" ht="15.75" x14ac:dyDescent="0.2">
      <c r="A84" s="201" t="s">
        <v>493</v>
      </c>
      <c r="B84" s="111"/>
      <c r="C84" s="111"/>
      <c r="D84" s="61" t="s">
        <v>761</v>
      </c>
      <c r="P84" s="61"/>
      <c r="R84" s="61"/>
      <c r="S84" s="61"/>
      <c r="AC84" s="15"/>
      <c r="AD84" s="15"/>
      <c r="AE84" s="15"/>
      <c r="AG84" s="152">
        <f>GEOMEAN(AG79:AG83)</f>
        <v>0.41219443252166726</v>
      </c>
      <c r="AH84" s="145"/>
      <c r="AI84" s="145"/>
      <c r="AJ84" s="113">
        <f>'landings Sylvie'!AE72</f>
        <v>124.28571428571429</v>
      </c>
      <c r="AM84" s="15">
        <f>IF(AG84&gt;=0.95,IF(AG84&lt;=$AM$1,1,MAX(1-$AM$2*(AG84-$AM$1),$AM$3)),AG84)</f>
        <v>0.41219443252166726</v>
      </c>
      <c r="AN84" s="15">
        <f>AM84</f>
        <v>0.41219443252166726</v>
      </c>
      <c r="AO84" s="139">
        <f>AN84^(AJ84/1000)</f>
        <v>0.8957002434264828</v>
      </c>
      <c r="AP84" s="212">
        <f>AN84*AJ84/$AJ$86</f>
        <v>2.8876142222965647E-4</v>
      </c>
    </row>
    <row r="85" spans="1:42" ht="15.75" x14ac:dyDescent="0.2">
      <c r="A85" s="201"/>
      <c r="B85" s="111"/>
      <c r="C85" s="111"/>
      <c r="P85" s="61"/>
      <c r="R85" s="61"/>
      <c r="S85" s="61"/>
      <c r="AC85" s="15"/>
      <c r="AD85" s="15"/>
      <c r="AE85" s="15"/>
      <c r="AF85" s="152"/>
      <c r="AG85" s="145"/>
      <c r="AH85" s="145"/>
      <c r="AI85" s="145"/>
      <c r="AJ85" s="113"/>
      <c r="AP85" s="212"/>
    </row>
    <row r="86" spans="1:42" s="161" customFormat="1" ht="15.75" x14ac:dyDescent="0.2">
      <c r="A86" s="208"/>
      <c r="B86" s="218"/>
      <c r="C86" s="218"/>
      <c r="AF86" s="162"/>
      <c r="AG86" s="163"/>
      <c r="AH86" s="163" t="s">
        <v>660</v>
      </c>
      <c r="AI86" s="163"/>
      <c r="AJ86" s="164">
        <f>SUM(AJ7:AJ85)</f>
        <v>177412.47800686531</v>
      </c>
      <c r="AM86" s="161">
        <f>PRODUCT(AO7:AO85)^(1/(AJ86/1000))</f>
        <v>0.27352282241175335</v>
      </c>
      <c r="AP86" s="211">
        <f>SUM(AP7:AP84)</f>
        <v>0.31503179958576472</v>
      </c>
    </row>
    <row r="87" spans="1:42" s="101" customFormat="1" ht="15.75" x14ac:dyDescent="0.2">
      <c r="A87" s="205"/>
      <c r="B87" s="119"/>
      <c r="C87" s="119"/>
      <c r="P87" s="97"/>
      <c r="AF87" s="124"/>
      <c r="AG87" s="133"/>
      <c r="AH87" s="133"/>
      <c r="AI87" s="133"/>
      <c r="AJ87" s="102">
        <f>AJ86-AJ33</f>
        <v>71538.489032506332</v>
      </c>
    </row>
    <row r="88" spans="1:42" s="101" customFormat="1" ht="15.75" x14ac:dyDescent="0.2">
      <c r="A88" s="201" t="s">
        <v>659</v>
      </c>
      <c r="B88" s="119"/>
      <c r="C88" s="119"/>
      <c r="P88" s="97"/>
      <c r="AF88" s="124"/>
      <c r="AG88" s="133"/>
      <c r="AH88" s="133"/>
      <c r="AI88" s="133"/>
      <c r="AJ88" s="102"/>
      <c r="AO88" s="97" t="s">
        <v>748</v>
      </c>
    </row>
    <row r="90" spans="1:42" ht="15.75" x14ac:dyDescent="0.2">
      <c r="A90" s="192" t="s">
        <v>259</v>
      </c>
      <c r="B90" s="61" t="s">
        <v>594</v>
      </c>
      <c r="C90" s="118"/>
      <c r="D90" s="61" t="s">
        <v>583</v>
      </c>
      <c r="AG90" s="168"/>
      <c r="AH90" s="134"/>
      <c r="AI90" s="134"/>
      <c r="AJ90" s="87">
        <f>'landings Sylvie'!AM72-AJ62</f>
        <v>14397.583673469388</v>
      </c>
      <c r="AM90" s="15"/>
      <c r="AN90" s="15"/>
      <c r="AO90" s="15"/>
    </row>
    <row r="91" spans="1:42" ht="15.75" x14ac:dyDescent="0.2">
      <c r="A91" s="192"/>
      <c r="B91" s="118"/>
      <c r="C91" s="118"/>
      <c r="D91" s="96" t="s">
        <v>260</v>
      </c>
    </row>
    <row r="92" spans="1:42" ht="15.75" x14ac:dyDescent="0.2">
      <c r="A92" s="192"/>
      <c r="B92" s="118"/>
      <c r="C92" s="118"/>
      <c r="D92" s="95" t="s">
        <v>361</v>
      </c>
      <c r="E92" s="61" t="s">
        <v>362</v>
      </c>
    </row>
    <row r="93" spans="1:42" x14ac:dyDescent="0.2">
      <c r="A93" s="210"/>
      <c r="B93" s="97"/>
      <c r="C93" s="97"/>
      <c r="D93" s="125"/>
      <c r="E93" s="61"/>
      <c r="N93" s="61"/>
      <c r="Q93" s="61"/>
      <c r="S93" s="61"/>
      <c r="Z93" s="24"/>
      <c r="AA93" s="24"/>
      <c r="AB93" s="24"/>
      <c r="AD93" s="24"/>
      <c r="AE93" s="24"/>
      <c r="AF93" s="114"/>
      <c r="AG93" s="135"/>
      <c r="AH93" s="135"/>
      <c r="AI93" s="135"/>
      <c r="AJ93" s="113"/>
    </row>
    <row r="94" spans="1:42" ht="15.75" hidden="1" x14ac:dyDescent="0.2">
      <c r="A94" s="194" t="s">
        <v>251</v>
      </c>
      <c r="B94" s="172" t="s">
        <v>530</v>
      </c>
      <c r="C94" s="172"/>
      <c r="D94" t="s">
        <v>252</v>
      </c>
      <c r="N94" s="61" t="s">
        <v>467</v>
      </c>
      <c r="R94" t="s">
        <v>468</v>
      </c>
    </row>
    <row r="95" spans="1:42" ht="15.75" x14ac:dyDescent="0.2">
      <c r="A95" s="194" t="s">
        <v>251</v>
      </c>
      <c r="B95" s="172" t="s">
        <v>530</v>
      </c>
      <c r="C95" s="172" t="s">
        <v>539</v>
      </c>
      <c r="D95" s="61" t="s">
        <v>700</v>
      </c>
      <c r="U95">
        <v>81399</v>
      </c>
      <c r="V95">
        <v>0.26200000000000001</v>
      </c>
      <c r="W95">
        <v>5323</v>
      </c>
      <c r="X95">
        <v>4675</v>
      </c>
      <c r="Y95">
        <v>6060</v>
      </c>
      <c r="Z95">
        <v>1006</v>
      </c>
      <c r="AA95">
        <v>2008</v>
      </c>
      <c r="AB95" s="61" t="s">
        <v>463</v>
      </c>
      <c r="AC95">
        <f>Z95/W95</f>
        <v>0.18899117039263574</v>
      </c>
      <c r="AD95" s="16">
        <f>1-(1-$AC95)^0.5</f>
        <v>9.9439713507549654E-2</v>
      </c>
      <c r="AE95" s="16">
        <f>1+(1-$AC95)^0.5</f>
        <v>1.9005602864924502</v>
      </c>
      <c r="AH95" s="132">
        <f>AD95</f>
        <v>9.9439713507549654E-2</v>
      </c>
      <c r="AJ95" s="121">
        <f>'landings Sylvie'!W72</f>
        <v>4325.408163265306</v>
      </c>
    </row>
    <row r="98" spans="1:36" s="96" customFormat="1" x14ac:dyDescent="0.2">
      <c r="A98" s="195" t="s">
        <v>584</v>
      </c>
      <c r="B98" s="95" t="s">
        <v>592</v>
      </c>
      <c r="C98" s="95"/>
      <c r="AF98" s="169"/>
      <c r="AG98" s="170"/>
      <c r="AH98" s="170"/>
      <c r="AI98" s="170"/>
      <c r="AJ98" s="171">
        <f>'landings Sylvie'!AN72</f>
        <v>466.17391304347825</v>
      </c>
    </row>
    <row r="99" spans="1:36" s="96" customFormat="1" ht="15.75" x14ac:dyDescent="0.2">
      <c r="A99" s="192" t="s">
        <v>325</v>
      </c>
      <c r="B99" s="118" t="s">
        <v>694</v>
      </c>
      <c r="C99" s="95"/>
      <c r="R99" s="96" t="s">
        <v>327</v>
      </c>
      <c r="S99" s="95" t="s">
        <v>328</v>
      </c>
      <c r="Z99" s="171"/>
      <c r="AA99" s="171"/>
      <c r="AB99" s="171"/>
      <c r="AD99" s="171"/>
      <c r="AE99" s="171"/>
      <c r="AF99" s="169"/>
      <c r="AG99" s="170"/>
      <c r="AH99" s="170"/>
      <c r="AI99" s="170"/>
      <c r="AJ99" s="171">
        <f>'landings Sylvie'!$K$73</f>
        <v>253.93333333333334</v>
      </c>
    </row>
    <row r="100" spans="1:36" ht="15.75" x14ac:dyDescent="0.2">
      <c r="A100" s="193" t="s">
        <v>311</v>
      </c>
      <c r="B100" s="61" t="s">
        <v>695</v>
      </c>
      <c r="C100" s="107"/>
    </row>
    <row r="101" spans="1:36" ht="15.75" x14ac:dyDescent="0.2">
      <c r="A101" s="193" t="s">
        <v>444</v>
      </c>
      <c r="B101" s="107" t="s">
        <v>696</v>
      </c>
      <c r="C101" s="107"/>
      <c r="E101" s="61" t="s">
        <v>445</v>
      </c>
      <c r="L101" t="s">
        <v>272</v>
      </c>
    </row>
    <row r="102" spans="1:36" ht="15.75" x14ac:dyDescent="0.2">
      <c r="A102" s="193" t="s">
        <v>263</v>
      </c>
      <c r="B102" s="107" t="s">
        <v>697</v>
      </c>
      <c r="C102" s="107"/>
      <c r="H102" s="61" t="s">
        <v>451</v>
      </c>
      <c r="O102" s="61" t="s">
        <v>724</v>
      </c>
      <c r="R102" s="61" t="s">
        <v>450</v>
      </c>
      <c r="AJ102" s="84">
        <f>'landings Sylvie'!M72/2</f>
        <v>39.458750000000002</v>
      </c>
    </row>
    <row r="103" spans="1:36" s="132" customFormat="1" ht="15.75" x14ac:dyDescent="0.2">
      <c r="A103" s="209" t="s">
        <v>241</v>
      </c>
      <c r="B103" s="219" t="s">
        <v>698</v>
      </c>
      <c r="C103" s="219"/>
    </row>
    <row r="104" spans="1:36" x14ac:dyDescent="0.2">
      <c r="A104" s="187" t="s">
        <v>589</v>
      </c>
      <c r="B104" s="61" t="s">
        <v>701</v>
      </c>
      <c r="AJ104" s="24">
        <f>'landings Sylvie'!AS72</f>
        <v>2.3673469387755102</v>
      </c>
    </row>
    <row r="105" spans="1:36" ht="15.75" x14ac:dyDescent="0.2">
      <c r="A105" s="193" t="s">
        <v>580</v>
      </c>
      <c r="B105" s="107"/>
      <c r="C105" s="107"/>
      <c r="D105" s="61"/>
      <c r="AB105" s="61"/>
      <c r="AD105" s="16"/>
      <c r="AE105" s="16"/>
      <c r="AJ105" s="24">
        <f>'landings Sylvie'!AD72</f>
        <v>1138.953488372093</v>
      </c>
    </row>
    <row r="106" spans="1:36" x14ac:dyDescent="0.2">
      <c r="A106" s="187" t="s">
        <v>579</v>
      </c>
      <c r="AJ106" s="24">
        <f>'landings Sylvie'!AJ72</f>
        <v>998.64583333333337</v>
      </c>
    </row>
    <row r="107" spans="1:36" x14ac:dyDescent="0.2">
      <c r="A107" s="187" t="s">
        <v>581</v>
      </c>
      <c r="AJ107" s="24">
        <f>'landings Sylvie'!AL72</f>
        <v>2701.2608695652175</v>
      </c>
    </row>
    <row r="108" spans="1:36" x14ac:dyDescent="0.2">
      <c r="A108" s="187" t="s">
        <v>308</v>
      </c>
      <c r="AJ108" s="24">
        <f>'landings Sylvie'!AK72</f>
        <v>1069.3461538461538</v>
      </c>
    </row>
    <row r="109" spans="1:36" x14ac:dyDescent="0.2">
      <c r="A109" s="187" t="s">
        <v>585</v>
      </c>
      <c r="AJ109" s="24">
        <f>'landings Sylvie'!AO72</f>
        <v>866.16326530612241</v>
      </c>
    </row>
    <row r="110" spans="1:36" x14ac:dyDescent="0.2">
      <c r="A110" s="187" t="s">
        <v>586</v>
      </c>
      <c r="AJ110" s="24">
        <f>'landings Sylvie'!AP72</f>
        <v>1709.591836734694</v>
      </c>
    </row>
    <row r="111" spans="1:36" x14ac:dyDescent="0.2">
      <c r="A111" s="187" t="s">
        <v>587</v>
      </c>
      <c r="AJ111" s="24">
        <f>'landings Sylvie'!AQ72</f>
        <v>88.62222222222222</v>
      </c>
    </row>
    <row r="112" spans="1:36" x14ac:dyDescent="0.2">
      <c r="A112" s="187" t="s">
        <v>588</v>
      </c>
      <c r="B112" s="61" t="s">
        <v>591</v>
      </c>
      <c r="AJ112" s="24">
        <f>'landings Sylvie'!AR72</f>
        <v>59.224489795918366</v>
      </c>
    </row>
    <row r="114" spans="1:42" s="175" customFormat="1" x14ac:dyDescent="0.2">
      <c r="A114" s="242" t="s">
        <v>595</v>
      </c>
      <c r="B114" s="220"/>
      <c r="C114" s="220"/>
      <c r="AF114" s="176"/>
      <c r="AG114" s="177"/>
      <c r="AH114" s="177"/>
      <c r="AI114" s="177"/>
      <c r="AJ114" s="174">
        <f>SUM(AJ100:AJ112,AJ90:AJ98)</f>
        <v>27862.800005892706</v>
      </c>
    </row>
    <row r="115" spans="1:42" x14ac:dyDescent="0.2">
      <c r="AJ115" s="15">
        <f>AJ114/SUM(AJ86,AJ114)</f>
        <v>0.13573383154381119</v>
      </c>
    </row>
    <row r="118" spans="1:42" x14ac:dyDescent="0.2">
      <c r="AK118">
        <f>AJ33/SUM(AJ114,AJ86)</f>
        <v>0.51576590225238339</v>
      </c>
    </row>
    <row r="119" spans="1:42" x14ac:dyDescent="0.2">
      <c r="A119" s="187" t="s">
        <v>605</v>
      </c>
    </row>
    <row r="120" spans="1:42" x14ac:dyDescent="0.2">
      <c r="A120" s="187" t="s">
        <v>606</v>
      </c>
    </row>
    <row r="121" spans="1:42" x14ac:dyDescent="0.2">
      <c r="A121" s="187" t="s">
        <v>607</v>
      </c>
    </row>
    <row r="122" spans="1:42" x14ac:dyDescent="0.2">
      <c r="A122" s="187" t="s">
        <v>608</v>
      </c>
    </row>
    <row r="123" spans="1:42" x14ac:dyDescent="0.2">
      <c r="A123" s="187" t="s">
        <v>609</v>
      </c>
    </row>
    <row r="124" spans="1:42" s="61" customFormat="1" x14ac:dyDescent="0.2">
      <c r="A124" s="187" t="s">
        <v>611</v>
      </c>
      <c r="D124"/>
      <c r="E124"/>
      <c r="F124"/>
      <c r="G124"/>
      <c r="H124"/>
      <c r="I124"/>
      <c r="J124"/>
      <c r="K124"/>
      <c r="L124"/>
      <c r="M124"/>
      <c r="N124"/>
      <c r="O124"/>
      <c r="P124"/>
      <c r="Q124"/>
      <c r="R124"/>
      <c r="S124"/>
      <c r="T124"/>
      <c r="U124"/>
      <c r="V124"/>
      <c r="W124"/>
      <c r="X124"/>
      <c r="Y124"/>
      <c r="Z124"/>
      <c r="AA124"/>
      <c r="AB124"/>
      <c r="AC124"/>
      <c r="AD124"/>
      <c r="AE124"/>
      <c r="AF124" s="105"/>
      <c r="AG124" s="132"/>
      <c r="AH124" s="132"/>
      <c r="AI124" s="132"/>
      <c r="AJ124"/>
      <c r="AK124"/>
      <c r="AL124"/>
      <c r="AM124"/>
      <c r="AN124"/>
      <c r="AO124"/>
      <c r="AP124"/>
    </row>
    <row r="125" spans="1:42" s="61" customFormat="1" x14ac:dyDescent="0.2">
      <c r="A125" s="187" t="s">
        <v>612</v>
      </c>
      <c r="D125"/>
      <c r="E125"/>
      <c r="F125"/>
      <c r="G125"/>
      <c r="H125"/>
      <c r="I125"/>
      <c r="J125"/>
      <c r="K125"/>
      <c r="L125"/>
      <c r="M125"/>
      <c r="N125"/>
      <c r="O125"/>
      <c r="P125"/>
      <c r="Q125"/>
      <c r="R125"/>
      <c r="S125"/>
      <c r="T125"/>
      <c r="U125"/>
      <c r="V125"/>
      <c r="W125"/>
      <c r="X125"/>
      <c r="Y125"/>
      <c r="Z125"/>
      <c r="AA125"/>
      <c r="AB125"/>
      <c r="AC125"/>
      <c r="AD125"/>
      <c r="AE125"/>
      <c r="AF125" s="105"/>
      <c r="AG125" s="132"/>
      <c r="AH125" s="132"/>
      <c r="AI125" s="132"/>
      <c r="AJ125"/>
      <c r="AK125"/>
      <c r="AL125"/>
      <c r="AM125"/>
      <c r="AN125"/>
      <c r="AO125"/>
      <c r="AP125"/>
    </row>
    <row r="126" spans="1:42" s="61" customFormat="1" x14ac:dyDescent="0.2">
      <c r="A126" s="187" t="s">
        <v>613</v>
      </c>
      <c r="D126"/>
      <c r="E126"/>
      <c r="F126"/>
      <c r="G126"/>
      <c r="H126"/>
      <c r="I126"/>
      <c r="J126"/>
      <c r="K126"/>
      <c r="L126"/>
      <c r="M126"/>
      <c r="N126"/>
      <c r="O126"/>
      <c r="P126"/>
      <c r="Q126"/>
      <c r="R126"/>
      <c r="S126"/>
      <c r="T126"/>
      <c r="U126"/>
      <c r="V126"/>
      <c r="W126"/>
      <c r="X126"/>
      <c r="Y126"/>
      <c r="Z126"/>
      <c r="AA126"/>
      <c r="AB126"/>
      <c r="AC126"/>
      <c r="AD126"/>
      <c r="AE126"/>
      <c r="AF126" s="105"/>
      <c r="AG126" s="132"/>
      <c r="AH126" s="132"/>
      <c r="AI126" s="132"/>
      <c r="AJ126"/>
      <c r="AK126"/>
      <c r="AL126"/>
      <c r="AM126"/>
      <c r="AN126"/>
      <c r="AO126"/>
      <c r="AP126"/>
    </row>
    <row r="127" spans="1:42" s="61" customFormat="1" x14ac:dyDescent="0.2">
      <c r="A127" s="187" t="s">
        <v>614</v>
      </c>
      <c r="D127"/>
      <c r="E127"/>
      <c r="F127"/>
      <c r="G127"/>
      <c r="H127"/>
      <c r="I127"/>
      <c r="J127"/>
      <c r="K127"/>
      <c r="L127"/>
      <c r="M127"/>
      <c r="N127"/>
      <c r="O127"/>
      <c r="P127"/>
      <c r="Q127"/>
      <c r="R127"/>
      <c r="S127"/>
      <c r="T127"/>
      <c r="U127"/>
      <c r="V127"/>
      <c r="W127"/>
      <c r="X127"/>
      <c r="Y127"/>
      <c r="Z127"/>
      <c r="AA127"/>
      <c r="AB127"/>
      <c r="AC127"/>
      <c r="AD127"/>
      <c r="AE127"/>
      <c r="AF127" s="105"/>
      <c r="AG127" s="132"/>
      <c r="AH127" s="132"/>
      <c r="AI127" s="132"/>
      <c r="AJ127"/>
      <c r="AK127"/>
      <c r="AL127"/>
      <c r="AM127"/>
      <c r="AN127"/>
      <c r="AO127"/>
      <c r="AP127"/>
    </row>
    <row r="128" spans="1:42" s="61" customFormat="1" x14ac:dyDescent="0.2">
      <c r="A128" s="187" t="s">
        <v>615</v>
      </c>
      <c r="D128"/>
      <c r="E128"/>
      <c r="F128"/>
      <c r="G128"/>
      <c r="H128"/>
      <c r="I128"/>
      <c r="J128"/>
      <c r="K128"/>
      <c r="L128"/>
      <c r="M128"/>
      <c r="N128"/>
      <c r="O128"/>
      <c r="P128"/>
      <c r="Q128"/>
      <c r="R128"/>
      <c r="S128"/>
      <c r="T128"/>
      <c r="U128"/>
      <c r="V128"/>
      <c r="W128"/>
      <c r="X128"/>
      <c r="Y128"/>
      <c r="Z128"/>
      <c r="AA128"/>
      <c r="AB128"/>
      <c r="AC128"/>
      <c r="AD128"/>
      <c r="AE128"/>
      <c r="AF128" s="105"/>
      <c r="AG128" s="132"/>
      <c r="AH128" s="132"/>
      <c r="AI128" s="132"/>
      <c r="AJ128"/>
      <c r="AK128"/>
      <c r="AL128"/>
      <c r="AM128"/>
      <c r="AN128"/>
      <c r="AO128"/>
      <c r="AP128"/>
    </row>
    <row r="129" spans="1:42" s="61" customFormat="1" x14ac:dyDescent="0.2">
      <c r="A129" s="187" t="s">
        <v>616</v>
      </c>
      <c r="D129"/>
      <c r="E129"/>
      <c r="F129"/>
      <c r="G129"/>
      <c r="H129"/>
      <c r="I129"/>
      <c r="J129"/>
      <c r="K129"/>
      <c r="L129"/>
      <c r="M129"/>
      <c r="N129"/>
      <c r="O129"/>
      <c r="P129"/>
      <c r="Q129"/>
      <c r="R129"/>
      <c r="S129"/>
      <c r="T129"/>
      <c r="U129"/>
      <c r="V129"/>
      <c r="W129"/>
      <c r="X129"/>
      <c r="Y129"/>
      <c r="Z129"/>
      <c r="AA129"/>
      <c r="AB129"/>
      <c r="AC129"/>
      <c r="AD129"/>
      <c r="AE129"/>
      <c r="AF129" s="105"/>
      <c r="AG129" s="132"/>
      <c r="AH129" s="132"/>
      <c r="AI129" s="132"/>
      <c r="AJ129"/>
      <c r="AK129"/>
      <c r="AL129"/>
      <c r="AM129"/>
      <c r="AN129"/>
      <c r="AO129"/>
      <c r="AP129"/>
    </row>
    <row r="130" spans="1:42" s="61" customFormat="1" x14ac:dyDescent="0.2">
      <c r="A130" s="187" t="s">
        <v>617</v>
      </c>
      <c r="D130"/>
      <c r="E130"/>
      <c r="F130"/>
      <c r="G130"/>
      <c r="H130"/>
      <c r="I130"/>
      <c r="J130"/>
      <c r="K130"/>
      <c r="L130"/>
      <c r="M130"/>
      <c r="N130"/>
      <c r="O130"/>
      <c r="P130"/>
      <c r="Q130"/>
      <c r="R130"/>
      <c r="S130"/>
      <c r="T130"/>
      <c r="U130"/>
      <c r="V130"/>
      <c r="W130"/>
      <c r="X130"/>
      <c r="Y130"/>
      <c r="Z130"/>
      <c r="AA130"/>
      <c r="AB130"/>
      <c r="AC130"/>
      <c r="AD130"/>
      <c r="AE130"/>
      <c r="AF130" s="105"/>
      <c r="AG130" s="132"/>
      <c r="AH130" s="132"/>
      <c r="AI130" s="132"/>
      <c r="AJ130"/>
      <c r="AK130"/>
      <c r="AL130"/>
      <c r="AM130"/>
      <c r="AN130"/>
      <c r="AO130"/>
      <c r="AP130"/>
    </row>
    <row r="131" spans="1:42" s="61" customFormat="1" x14ac:dyDescent="0.2">
      <c r="A131" s="187" t="s">
        <v>618</v>
      </c>
      <c r="D131"/>
      <c r="E131"/>
      <c r="F131"/>
      <c r="G131"/>
      <c r="H131"/>
      <c r="I131"/>
      <c r="J131"/>
      <c r="K131"/>
      <c r="L131"/>
      <c r="M131"/>
      <c r="N131"/>
      <c r="O131"/>
      <c r="P131"/>
      <c r="Q131"/>
      <c r="R131"/>
      <c r="S131"/>
      <c r="T131"/>
      <c r="U131"/>
      <c r="V131"/>
      <c r="W131"/>
      <c r="X131"/>
      <c r="Y131"/>
      <c r="Z131"/>
      <c r="AA131"/>
      <c r="AB131"/>
      <c r="AC131"/>
      <c r="AD131"/>
      <c r="AE131"/>
      <c r="AF131" s="105"/>
      <c r="AG131" s="132"/>
      <c r="AH131" s="132"/>
      <c r="AI131" s="132"/>
      <c r="AJ131"/>
      <c r="AK131"/>
      <c r="AL131"/>
      <c r="AM131"/>
      <c r="AN131"/>
      <c r="AO131"/>
      <c r="AP131"/>
    </row>
    <row r="132" spans="1:42" s="61" customFormat="1" x14ac:dyDescent="0.2">
      <c r="A132" s="187" t="s">
        <v>619</v>
      </c>
      <c r="D132"/>
      <c r="E132"/>
      <c r="F132"/>
      <c r="G132"/>
      <c r="H132"/>
      <c r="I132"/>
      <c r="J132"/>
      <c r="K132"/>
      <c r="L132"/>
      <c r="M132"/>
      <c r="N132"/>
      <c r="O132"/>
      <c r="P132"/>
      <c r="Q132"/>
      <c r="R132"/>
      <c r="S132"/>
      <c r="T132"/>
      <c r="U132"/>
      <c r="V132"/>
      <c r="W132"/>
      <c r="X132"/>
      <c r="Y132"/>
      <c r="Z132"/>
      <c r="AA132"/>
      <c r="AB132"/>
      <c r="AC132"/>
      <c r="AD132"/>
      <c r="AE132"/>
      <c r="AF132" s="105"/>
      <c r="AG132" s="132"/>
      <c r="AH132" s="132"/>
      <c r="AI132" s="132"/>
      <c r="AJ132"/>
      <c r="AK132"/>
      <c r="AL132"/>
      <c r="AM132"/>
      <c r="AN132"/>
      <c r="AO132"/>
      <c r="AP132"/>
    </row>
    <row r="133" spans="1:42" s="61" customFormat="1" x14ac:dyDescent="0.2">
      <c r="A133" s="187" t="s">
        <v>620</v>
      </c>
      <c r="D133"/>
      <c r="E133"/>
      <c r="F133"/>
      <c r="G133"/>
      <c r="H133"/>
      <c r="I133"/>
      <c r="J133"/>
      <c r="K133"/>
      <c r="L133"/>
      <c r="M133"/>
      <c r="N133"/>
      <c r="O133"/>
      <c r="P133"/>
      <c r="Q133"/>
      <c r="R133"/>
      <c r="S133"/>
      <c r="T133"/>
      <c r="U133"/>
      <c r="V133"/>
      <c r="W133"/>
      <c r="X133"/>
      <c r="Y133"/>
      <c r="Z133"/>
      <c r="AA133"/>
      <c r="AB133"/>
      <c r="AC133"/>
      <c r="AD133"/>
      <c r="AE133"/>
      <c r="AF133" s="105"/>
      <c r="AG133" s="132"/>
      <c r="AH133" s="132"/>
      <c r="AI133" s="132"/>
      <c r="AJ133"/>
      <c r="AK133"/>
      <c r="AL133"/>
      <c r="AM133"/>
      <c r="AN133"/>
      <c r="AO133"/>
      <c r="AP133"/>
    </row>
    <row r="134" spans="1:42" s="61" customFormat="1" x14ac:dyDescent="0.2">
      <c r="A134" s="187" t="s">
        <v>621</v>
      </c>
      <c r="D134"/>
      <c r="E134"/>
      <c r="F134"/>
      <c r="G134"/>
      <c r="H134"/>
      <c r="I134"/>
      <c r="J134"/>
      <c r="K134"/>
      <c r="L134"/>
      <c r="M134"/>
      <c r="N134"/>
      <c r="O134"/>
      <c r="P134"/>
      <c r="Q134"/>
      <c r="R134"/>
      <c r="S134"/>
      <c r="T134"/>
      <c r="U134"/>
      <c r="V134"/>
      <c r="W134"/>
      <c r="X134"/>
      <c r="Y134"/>
      <c r="Z134"/>
      <c r="AA134"/>
      <c r="AB134"/>
      <c r="AC134"/>
      <c r="AD134"/>
      <c r="AE134"/>
      <c r="AF134" s="105"/>
      <c r="AG134" s="132"/>
      <c r="AH134" s="132"/>
      <c r="AI134" s="132"/>
      <c r="AJ134"/>
      <c r="AK134"/>
      <c r="AL134"/>
      <c r="AM134"/>
      <c r="AN134"/>
      <c r="AO134"/>
      <c r="AP134"/>
    </row>
    <row r="135" spans="1:42" s="61" customFormat="1" x14ac:dyDescent="0.2">
      <c r="A135" s="187" t="s">
        <v>622</v>
      </c>
      <c r="D135"/>
      <c r="E135"/>
      <c r="F135"/>
      <c r="G135"/>
      <c r="H135"/>
      <c r="I135"/>
      <c r="J135"/>
      <c r="K135"/>
      <c r="L135"/>
      <c r="M135"/>
      <c r="N135"/>
      <c r="O135"/>
      <c r="P135"/>
      <c r="Q135"/>
      <c r="R135"/>
      <c r="S135"/>
      <c r="T135"/>
      <c r="U135"/>
      <c r="V135"/>
      <c r="W135"/>
      <c r="X135"/>
      <c r="Y135"/>
      <c r="Z135"/>
      <c r="AA135"/>
      <c r="AB135"/>
      <c r="AC135"/>
      <c r="AD135"/>
      <c r="AE135"/>
      <c r="AF135" s="105"/>
      <c r="AG135" s="132"/>
      <c r="AH135" s="132"/>
      <c r="AI135" s="132"/>
      <c r="AJ135"/>
      <c r="AK135"/>
      <c r="AL135"/>
      <c r="AM135"/>
      <c r="AN135"/>
      <c r="AO135"/>
      <c r="AP135"/>
    </row>
    <row r="136" spans="1:42" s="61" customFormat="1" x14ac:dyDescent="0.2">
      <c r="A136" s="187" t="s">
        <v>623</v>
      </c>
      <c r="D136"/>
      <c r="E136"/>
      <c r="F136"/>
      <c r="G136"/>
      <c r="H136"/>
      <c r="I136"/>
      <c r="J136"/>
      <c r="K136"/>
      <c r="L136"/>
      <c r="M136"/>
      <c r="N136"/>
      <c r="O136"/>
      <c r="P136"/>
      <c r="Q136"/>
      <c r="R136"/>
      <c r="S136"/>
      <c r="T136"/>
      <c r="U136"/>
      <c r="V136"/>
      <c r="W136"/>
      <c r="X136"/>
      <c r="Y136"/>
      <c r="Z136"/>
      <c r="AA136"/>
      <c r="AB136"/>
      <c r="AC136"/>
      <c r="AD136"/>
      <c r="AE136"/>
      <c r="AF136" s="105"/>
      <c r="AG136" s="132"/>
      <c r="AH136" s="132"/>
      <c r="AI136" s="132"/>
      <c r="AJ136"/>
      <c r="AK136"/>
      <c r="AL136"/>
      <c r="AM136"/>
      <c r="AN136"/>
      <c r="AO136"/>
      <c r="AP136"/>
    </row>
    <row r="137" spans="1:42" s="61" customFormat="1" x14ac:dyDescent="0.2">
      <c r="A137" s="187" t="s">
        <v>624</v>
      </c>
      <c r="D137"/>
      <c r="E137"/>
      <c r="F137"/>
      <c r="G137"/>
      <c r="H137"/>
      <c r="I137"/>
      <c r="J137"/>
      <c r="K137"/>
      <c r="L137"/>
      <c r="M137"/>
      <c r="N137"/>
      <c r="O137"/>
      <c r="P137"/>
      <c r="Q137"/>
      <c r="R137"/>
      <c r="S137"/>
      <c r="T137"/>
      <c r="U137"/>
      <c r="V137"/>
      <c r="W137"/>
      <c r="X137"/>
      <c r="Y137"/>
      <c r="Z137"/>
      <c r="AA137"/>
      <c r="AB137"/>
      <c r="AC137"/>
      <c r="AD137"/>
      <c r="AE137"/>
      <c r="AF137" s="105"/>
      <c r="AG137" s="132"/>
      <c r="AH137" s="132"/>
      <c r="AI137" s="132"/>
      <c r="AJ137"/>
      <c r="AK137"/>
      <c r="AL137"/>
      <c r="AM137"/>
      <c r="AN137"/>
      <c r="AO137"/>
      <c r="AP137"/>
    </row>
    <row r="138" spans="1:42" s="61" customFormat="1" x14ac:dyDescent="0.2">
      <c r="A138" s="187" t="s">
        <v>625</v>
      </c>
      <c r="D138"/>
      <c r="E138"/>
      <c r="F138"/>
      <c r="G138"/>
      <c r="H138"/>
      <c r="I138"/>
      <c r="J138"/>
      <c r="K138"/>
      <c r="L138"/>
      <c r="M138"/>
      <c r="N138"/>
      <c r="O138"/>
      <c r="P138"/>
      <c r="Q138"/>
      <c r="R138"/>
      <c r="S138"/>
      <c r="T138"/>
      <c r="U138"/>
      <c r="V138"/>
      <c r="W138"/>
      <c r="X138"/>
      <c r="Y138"/>
      <c r="Z138"/>
      <c r="AA138"/>
      <c r="AB138"/>
      <c r="AC138"/>
      <c r="AD138"/>
      <c r="AE138"/>
      <c r="AF138" s="105"/>
      <c r="AG138" s="132"/>
      <c r="AH138" s="132"/>
      <c r="AI138" s="132"/>
      <c r="AJ138"/>
      <c r="AK138"/>
      <c r="AL138"/>
      <c r="AM138"/>
      <c r="AN138"/>
      <c r="AO138"/>
      <c r="AP138"/>
    </row>
    <row r="139" spans="1:42" s="61" customFormat="1" x14ac:dyDescent="0.2">
      <c r="A139" s="187" t="s">
        <v>731</v>
      </c>
      <c r="D139"/>
      <c r="E139"/>
      <c r="F139"/>
      <c r="G139"/>
      <c r="H139"/>
      <c r="I139"/>
      <c r="J139"/>
      <c r="K139"/>
      <c r="L139"/>
      <c r="M139"/>
      <c r="N139"/>
      <c r="O139"/>
      <c r="P139"/>
      <c r="Q139"/>
      <c r="R139"/>
      <c r="S139"/>
      <c r="T139"/>
      <c r="U139"/>
      <c r="V139"/>
      <c r="W139"/>
      <c r="X139"/>
      <c r="Y139"/>
      <c r="Z139"/>
      <c r="AA139"/>
      <c r="AB139"/>
      <c r="AC139"/>
      <c r="AD139"/>
      <c r="AE139"/>
      <c r="AF139" s="105"/>
      <c r="AG139" s="132"/>
      <c r="AH139" s="132"/>
      <c r="AI139" s="132"/>
      <c r="AJ139"/>
      <c r="AK139"/>
      <c r="AL139"/>
      <c r="AM139"/>
      <c r="AN139"/>
      <c r="AO139"/>
      <c r="AP139"/>
    </row>
    <row r="140" spans="1:42" s="61" customFormat="1" x14ac:dyDescent="0.2">
      <c r="A140" s="187" t="s">
        <v>626</v>
      </c>
      <c r="D140"/>
      <c r="E140"/>
      <c r="F140"/>
      <c r="G140"/>
      <c r="H140"/>
      <c r="I140"/>
      <c r="J140"/>
      <c r="K140"/>
      <c r="L140"/>
      <c r="M140"/>
      <c r="N140"/>
      <c r="O140"/>
      <c r="P140"/>
      <c r="Q140"/>
      <c r="R140"/>
      <c r="S140"/>
      <c r="T140"/>
      <c r="U140"/>
      <c r="V140"/>
      <c r="W140"/>
      <c r="X140"/>
      <c r="Y140"/>
      <c r="Z140"/>
      <c r="AA140"/>
      <c r="AB140"/>
      <c r="AC140"/>
      <c r="AD140"/>
      <c r="AE140"/>
      <c r="AF140" s="105"/>
      <c r="AG140" s="132"/>
      <c r="AH140" s="132"/>
      <c r="AI140" s="132"/>
      <c r="AJ140"/>
      <c r="AK140"/>
      <c r="AL140"/>
      <c r="AM140"/>
      <c r="AN140"/>
      <c r="AO140"/>
      <c r="AP140"/>
    </row>
    <row r="141" spans="1:42" s="61" customFormat="1" x14ac:dyDescent="0.2">
      <c r="A141" s="187" t="s">
        <v>627</v>
      </c>
      <c r="D141"/>
      <c r="E141"/>
      <c r="F141"/>
      <c r="G141"/>
      <c r="H141"/>
      <c r="I141"/>
      <c r="J141"/>
      <c r="K141"/>
      <c r="L141"/>
      <c r="M141"/>
      <c r="N141"/>
      <c r="O141"/>
      <c r="P141"/>
      <c r="Q141"/>
      <c r="R141"/>
      <c r="S141"/>
      <c r="T141"/>
      <c r="U141"/>
      <c r="V141"/>
      <c r="W141"/>
      <c r="X141"/>
      <c r="Y141"/>
      <c r="Z141"/>
      <c r="AA141"/>
      <c r="AB141"/>
      <c r="AC141"/>
      <c r="AD141"/>
      <c r="AE141"/>
      <c r="AF141" s="105"/>
      <c r="AG141" s="132"/>
      <c r="AH141" s="132"/>
      <c r="AI141" s="132"/>
      <c r="AJ141"/>
      <c r="AK141"/>
      <c r="AL141"/>
      <c r="AM141"/>
      <c r="AN141"/>
      <c r="AO141"/>
      <c r="AP141"/>
    </row>
    <row r="142" spans="1:42" s="61" customFormat="1" x14ac:dyDescent="0.2">
      <c r="A142" s="187" t="s">
        <v>628</v>
      </c>
      <c r="D142"/>
      <c r="E142"/>
      <c r="F142"/>
      <c r="G142"/>
      <c r="H142"/>
      <c r="I142"/>
      <c r="J142"/>
      <c r="K142"/>
      <c r="L142"/>
      <c r="M142"/>
      <c r="N142"/>
      <c r="O142"/>
      <c r="P142"/>
      <c r="Q142"/>
      <c r="R142"/>
      <c r="S142"/>
      <c r="T142"/>
      <c r="U142"/>
      <c r="V142"/>
      <c r="W142"/>
      <c r="X142"/>
      <c r="Y142"/>
      <c r="Z142"/>
      <c r="AA142"/>
      <c r="AB142"/>
      <c r="AC142"/>
      <c r="AD142"/>
      <c r="AE142"/>
      <c r="AF142" s="105"/>
      <c r="AG142" s="132"/>
      <c r="AH142" s="132"/>
      <c r="AI142" s="132"/>
      <c r="AJ142"/>
      <c r="AK142"/>
      <c r="AL142"/>
      <c r="AM142"/>
      <c r="AN142"/>
      <c r="AO142"/>
      <c r="AP142"/>
    </row>
    <row r="143" spans="1:42" s="61" customFormat="1" x14ac:dyDescent="0.2">
      <c r="A143" s="187" t="s">
        <v>662</v>
      </c>
      <c r="D143"/>
      <c r="E143"/>
      <c r="F143"/>
      <c r="G143"/>
      <c r="H143"/>
      <c r="I143"/>
      <c r="J143"/>
      <c r="K143"/>
      <c r="L143"/>
      <c r="M143"/>
      <c r="N143"/>
      <c r="O143"/>
      <c r="P143"/>
      <c r="Q143"/>
      <c r="R143"/>
      <c r="S143"/>
      <c r="T143"/>
      <c r="U143"/>
      <c r="V143"/>
      <c r="W143"/>
      <c r="X143"/>
      <c r="Y143"/>
      <c r="Z143"/>
      <c r="AA143"/>
      <c r="AB143"/>
      <c r="AC143"/>
      <c r="AD143"/>
      <c r="AE143"/>
      <c r="AF143" s="105"/>
      <c r="AG143" s="132"/>
      <c r="AH143" s="132"/>
      <c r="AI143" s="132"/>
      <c r="AJ143"/>
      <c r="AK143"/>
      <c r="AL143"/>
      <c r="AM143"/>
      <c r="AN143"/>
      <c r="AO143"/>
      <c r="AP143"/>
    </row>
    <row r="144" spans="1:42" s="61" customFormat="1" x14ac:dyDescent="0.2">
      <c r="A144" s="187" t="s">
        <v>629</v>
      </c>
      <c r="D144"/>
      <c r="E144"/>
      <c r="F144"/>
      <c r="G144"/>
      <c r="H144"/>
      <c r="I144"/>
      <c r="J144"/>
      <c r="K144"/>
      <c r="L144"/>
      <c r="M144"/>
      <c r="N144"/>
      <c r="O144"/>
      <c r="P144"/>
      <c r="Q144"/>
      <c r="R144"/>
      <c r="S144"/>
      <c r="T144"/>
      <c r="U144"/>
      <c r="V144"/>
      <c r="W144"/>
      <c r="X144"/>
      <c r="Y144"/>
      <c r="Z144"/>
      <c r="AA144"/>
      <c r="AB144"/>
      <c r="AC144"/>
      <c r="AD144"/>
      <c r="AE144"/>
      <c r="AF144" s="105"/>
      <c r="AG144" s="132"/>
      <c r="AH144" s="132"/>
      <c r="AI144" s="132"/>
      <c r="AJ144"/>
      <c r="AK144"/>
      <c r="AL144"/>
      <c r="AM144"/>
      <c r="AN144"/>
      <c r="AO144"/>
      <c r="AP144"/>
    </row>
    <row r="145" spans="1:42" s="61" customFormat="1" x14ac:dyDescent="0.2">
      <c r="A145" s="187" t="s">
        <v>661</v>
      </c>
      <c r="D145"/>
      <c r="E145"/>
      <c r="F145"/>
      <c r="G145"/>
      <c r="H145"/>
      <c r="I145"/>
      <c r="J145"/>
      <c r="K145"/>
      <c r="L145"/>
      <c r="M145"/>
      <c r="N145"/>
      <c r="O145"/>
      <c r="P145"/>
      <c r="Q145"/>
      <c r="R145"/>
      <c r="S145"/>
      <c r="T145"/>
      <c r="U145"/>
      <c r="V145"/>
      <c r="W145"/>
      <c r="X145"/>
      <c r="Y145"/>
      <c r="Z145"/>
      <c r="AA145"/>
      <c r="AB145"/>
      <c r="AC145"/>
      <c r="AD145"/>
      <c r="AE145"/>
      <c r="AF145" s="105"/>
      <c r="AG145" s="132"/>
      <c r="AH145" s="132"/>
      <c r="AI145" s="132"/>
      <c r="AJ145"/>
      <c r="AK145"/>
      <c r="AL145"/>
      <c r="AM145"/>
      <c r="AN145"/>
      <c r="AO145"/>
      <c r="AP145"/>
    </row>
    <row r="146" spans="1:42" s="61" customFormat="1" x14ac:dyDescent="0.2">
      <c r="A146" s="187" t="s">
        <v>630</v>
      </c>
      <c r="D146"/>
      <c r="E146"/>
      <c r="F146"/>
      <c r="G146"/>
      <c r="H146"/>
      <c r="I146"/>
      <c r="J146"/>
      <c r="K146"/>
      <c r="L146"/>
      <c r="M146"/>
      <c r="N146"/>
      <c r="O146"/>
      <c r="P146"/>
      <c r="Q146"/>
      <c r="R146"/>
      <c r="S146"/>
      <c r="T146"/>
      <c r="U146"/>
      <c r="V146"/>
      <c r="W146"/>
      <c r="X146"/>
      <c r="Y146"/>
      <c r="Z146"/>
      <c r="AA146"/>
      <c r="AB146"/>
      <c r="AC146"/>
      <c r="AD146"/>
      <c r="AE146"/>
      <c r="AF146" s="105"/>
      <c r="AG146" s="132"/>
      <c r="AH146" s="132"/>
      <c r="AI146" s="132"/>
      <c r="AJ146"/>
      <c r="AK146"/>
      <c r="AL146"/>
      <c r="AM146"/>
      <c r="AN146"/>
      <c r="AO146"/>
      <c r="AP146"/>
    </row>
    <row r="147" spans="1:42" s="61" customFormat="1" x14ac:dyDescent="0.2">
      <c r="A147" s="187" t="s">
        <v>631</v>
      </c>
      <c r="D147"/>
      <c r="E147"/>
      <c r="F147"/>
      <c r="G147"/>
      <c r="H147"/>
      <c r="I147"/>
      <c r="J147"/>
      <c r="K147"/>
      <c r="L147"/>
      <c r="M147"/>
      <c r="N147"/>
      <c r="O147"/>
      <c r="P147"/>
      <c r="Q147"/>
      <c r="R147"/>
      <c r="S147"/>
      <c r="T147"/>
      <c r="U147"/>
      <c r="V147"/>
      <c r="W147"/>
      <c r="X147"/>
      <c r="Y147"/>
      <c r="Z147"/>
      <c r="AA147"/>
      <c r="AB147"/>
      <c r="AC147"/>
      <c r="AD147"/>
      <c r="AE147"/>
      <c r="AF147" s="105"/>
      <c r="AG147" s="132"/>
      <c r="AH147" s="132"/>
      <c r="AI147" s="132"/>
      <c r="AJ147"/>
      <c r="AK147"/>
      <c r="AL147"/>
      <c r="AM147"/>
      <c r="AN147"/>
      <c r="AO147"/>
      <c r="AP147"/>
    </row>
    <row r="148" spans="1:42" s="61" customFormat="1" x14ac:dyDescent="0.2">
      <c r="A148" s="187" t="s">
        <v>679</v>
      </c>
      <c r="D148"/>
      <c r="E148"/>
      <c r="F148"/>
      <c r="G148"/>
      <c r="H148"/>
      <c r="I148"/>
      <c r="J148"/>
      <c r="K148"/>
      <c r="L148"/>
      <c r="M148"/>
      <c r="N148"/>
      <c r="O148"/>
      <c r="P148"/>
      <c r="Q148"/>
      <c r="R148"/>
      <c r="S148"/>
      <c r="T148"/>
      <c r="U148"/>
      <c r="V148"/>
      <c r="W148"/>
      <c r="X148"/>
      <c r="Y148"/>
      <c r="Z148"/>
      <c r="AA148"/>
      <c r="AB148"/>
      <c r="AC148"/>
      <c r="AD148"/>
      <c r="AE148"/>
      <c r="AF148" s="105"/>
      <c r="AG148" s="132"/>
      <c r="AH148" s="132"/>
      <c r="AI148" s="132"/>
      <c r="AJ148"/>
      <c r="AK148"/>
      <c r="AL148"/>
      <c r="AM148"/>
      <c r="AN148"/>
      <c r="AO148"/>
      <c r="AP148"/>
    </row>
    <row r="149" spans="1:42" s="61" customFormat="1" x14ac:dyDescent="0.2">
      <c r="A149" s="187" t="s">
        <v>632</v>
      </c>
      <c r="D149"/>
      <c r="E149"/>
      <c r="F149"/>
      <c r="G149"/>
      <c r="H149"/>
      <c r="I149"/>
      <c r="J149"/>
      <c r="K149"/>
      <c r="L149"/>
      <c r="M149"/>
      <c r="N149"/>
      <c r="O149"/>
      <c r="P149"/>
      <c r="Q149"/>
      <c r="R149"/>
      <c r="S149"/>
      <c r="T149"/>
      <c r="U149"/>
      <c r="V149"/>
      <c r="W149"/>
      <c r="X149"/>
      <c r="Y149"/>
      <c r="Z149"/>
      <c r="AA149"/>
      <c r="AB149"/>
      <c r="AC149"/>
      <c r="AD149"/>
      <c r="AE149"/>
      <c r="AF149" s="105"/>
      <c r="AG149" s="132"/>
      <c r="AH149" s="132"/>
      <c r="AI149" s="132"/>
      <c r="AJ149"/>
      <c r="AK149"/>
      <c r="AL149"/>
      <c r="AM149"/>
      <c r="AN149"/>
      <c r="AO149"/>
      <c r="AP149"/>
    </row>
    <row r="150" spans="1:42" s="61" customFormat="1" x14ac:dyDescent="0.2">
      <c r="A150" s="187" t="s">
        <v>738</v>
      </c>
      <c r="D150"/>
      <c r="E150"/>
      <c r="F150"/>
      <c r="G150"/>
      <c r="H150"/>
      <c r="I150"/>
      <c r="J150"/>
      <c r="K150"/>
      <c r="L150"/>
      <c r="M150"/>
      <c r="N150"/>
      <c r="O150"/>
      <c r="P150"/>
      <c r="Q150"/>
      <c r="R150"/>
      <c r="S150"/>
      <c r="T150"/>
      <c r="U150"/>
      <c r="V150"/>
      <c r="W150"/>
      <c r="X150"/>
      <c r="Y150"/>
      <c r="Z150"/>
      <c r="AA150"/>
      <c r="AB150"/>
      <c r="AC150"/>
      <c r="AD150"/>
      <c r="AE150"/>
      <c r="AF150" s="105"/>
      <c r="AG150" s="132"/>
      <c r="AH150" s="132"/>
      <c r="AI150" s="132"/>
      <c r="AJ150"/>
      <c r="AK150"/>
      <c r="AL150"/>
      <c r="AM150"/>
      <c r="AN150"/>
      <c r="AO150"/>
      <c r="AP150"/>
    </row>
    <row r="151" spans="1:42" s="61" customFormat="1" x14ac:dyDescent="0.2">
      <c r="A151" s="187" t="s">
        <v>739</v>
      </c>
      <c r="D151"/>
      <c r="E151"/>
      <c r="F151"/>
      <c r="G151"/>
      <c r="H151"/>
      <c r="I151"/>
      <c r="J151"/>
      <c r="K151"/>
      <c r="L151"/>
      <c r="M151"/>
      <c r="N151"/>
      <c r="O151"/>
      <c r="P151"/>
      <c r="Q151"/>
      <c r="R151"/>
      <c r="S151"/>
      <c r="T151"/>
      <c r="U151"/>
      <c r="V151"/>
      <c r="W151"/>
      <c r="X151"/>
      <c r="Y151"/>
      <c r="Z151"/>
      <c r="AA151"/>
      <c r="AB151"/>
      <c r="AC151"/>
      <c r="AD151"/>
      <c r="AE151"/>
      <c r="AF151" s="105"/>
      <c r="AG151" s="132"/>
      <c r="AH151" s="132"/>
      <c r="AI151" s="132"/>
      <c r="AJ151"/>
      <c r="AK151"/>
      <c r="AL151"/>
      <c r="AM151"/>
      <c r="AN151"/>
      <c r="AO151"/>
      <c r="AP151"/>
    </row>
    <row r="152" spans="1:42" s="61" customFormat="1" x14ac:dyDescent="0.2">
      <c r="A152" s="187" t="s">
        <v>682</v>
      </c>
      <c r="D152"/>
      <c r="E152"/>
      <c r="F152"/>
      <c r="G152"/>
      <c r="H152"/>
      <c r="I152"/>
      <c r="J152"/>
      <c r="K152"/>
      <c r="L152"/>
      <c r="M152"/>
      <c r="N152"/>
      <c r="O152"/>
      <c r="P152"/>
      <c r="Q152"/>
      <c r="R152"/>
      <c r="S152"/>
      <c r="T152"/>
      <c r="U152"/>
      <c r="V152"/>
      <c r="W152"/>
      <c r="X152"/>
      <c r="Y152"/>
      <c r="Z152"/>
      <c r="AA152"/>
      <c r="AB152"/>
      <c r="AC152"/>
      <c r="AD152"/>
      <c r="AE152"/>
      <c r="AF152" s="105"/>
      <c r="AG152" s="132"/>
      <c r="AH152" s="132"/>
      <c r="AI152" s="132"/>
      <c r="AJ152"/>
      <c r="AK152"/>
      <c r="AL152"/>
      <c r="AM152"/>
      <c r="AN152"/>
      <c r="AO152"/>
      <c r="AP152"/>
    </row>
    <row r="153" spans="1:42" s="61" customFormat="1" x14ac:dyDescent="0.2">
      <c r="A153" s="187" t="s">
        <v>674</v>
      </c>
      <c r="D153"/>
      <c r="E153"/>
      <c r="F153"/>
      <c r="G153"/>
      <c r="H153"/>
      <c r="I153"/>
      <c r="J153"/>
      <c r="K153"/>
      <c r="L153"/>
      <c r="M153"/>
      <c r="N153"/>
      <c r="O153"/>
      <c r="P153"/>
      <c r="Q153"/>
      <c r="R153"/>
      <c r="S153"/>
      <c r="T153"/>
      <c r="U153"/>
      <c r="V153"/>
      <c r="W153"/>
      <c r="X153"/>
      <c r="Y153"/>
      <c r="Z153"/>
      <c r="AA153"/>
      <c r="AB153"/>
      <c r="AC153"/>
      <c r="AD153"/>
      <c r="AE153"/>
      <c r="AF153" s="105"/>
      <c r="AG153" s="132"/>
      <c r="AH153" s="132"/>
      <c r="AI153" s="132"/>
      <c r="AJ153"/>
      <c r="AK153"/>
      <c r="AL153"/>
      <c r="AM153"/>
      <c r="AN153"/>
      <c r="AO153"/>
      <c r="AP153"/>
    </row>
    <row r="154" spans="1:42" s="61" customFormat="1" x14ac:dyDescent="0.2">
      <c r="A154" s="187" t="s">
        <v>680</v>
      </c>
      <c r="D154"/>
      <c r="E154"/>
      <c r="F154"/>
      <c r="G154"/>
      <c r="H154"/>
      <c r="I154"/>
      <c r="J154"/>
      <c r="K154"/>
      <c r="L154"/>
      <c r="M154"/>
      <c r="N154"/>
      <c r="O154"/>
      <c r="P154"/>
      <c r="Q154"/>
      <c r="R154"/>
      <c r="S154"/>
      <c r="T154"/>
      <c r="U154"/>
      <c r="V154"/>
      <c r="W154"/>
      <c r="X154"/>
      <c r="Y154"/>
      <c r="Z154"/>
      <c r="AA154"/>
      <c r="AB154"/>
      <c r="AC154"/>
      <c r="AD154"/>
      <c r="AE154"/>
      <c r="AF154" s="105"/>
      <c r="AG154" s="132"/>
      <c r="AH154" s="132"/>
      <c r="AI154" s="132"/>
      <c r="AJ154"/>
      <c r="AK154"/>
      <c r="AL154"/>
      <c r="AM154"/>
      <c r="AN154"/>
      <c r="AO154"/>
      <c r="AP154"/>
    </row>
    <row r="155" spans="1:42" s="61" customFormat="1" x14ac:dyDescent="0.2">
      <c r="A155" s="199" t="s">
        <v>633</v>
      </c>
      <c r="D155"/>
      <c r="E155"/>
      <c r="F155"/>
      <c r="G155"/>
      <c r="H155"/>
      <c r="I155"/>
      <c r="J155"/>
      <c r="K155"/>
      <c r="L155"/>
      <c r="M155"/>
      <c r="N155"/>
      <c r="O155"/>
      <c r="P155"/>
      <c r="Q155"/>
      <c r="R155"/>
      <c r="S155"/>
      <c r="T155"/>
      <c r="U155"/>
      <c r="V155"/>
      <c r="W155"/>
      <c r="X155"/>
      <c r="Y155"/>
      <c r="Z155"/>
      <c r="AA155"/>
      <c r="AB155"/>
      <c r="AC155"/>
      <c r="AD155"/>
      <c r="AE155"/>
      <c r="AF155" s="105"/>
      <c r="AG155" s="132"/>
      <c r="AH155" s="132"/>
      <c r="AI155" s="132"/>
      <c r="AJ155"/>
      <c r="AK155"/>
      <c r="AL155"/>
      <c r="AM155"/>
      <c r="AN155"/>
      <c r="AO155"/>
      <c r="AP155"/>
    </row>
    <row r="156" spans="1:42" s="61" customFormat="1" x14ac:dyDescent="0.2">
      <c r="A156" s="199" t="s">
        <v>634</v>
      </c>
      <c r="D156"/>
      <c r="E156"/>
      <c r="F156"/>
      <c r="G156"/>
      <c r="H156"/>
      <c r="I156"/>
      <c r="J156"/>
      <c r="K156"/>
      <c r="L156"/>
      <c r="M156"/>
      <c r="N156"/>
      <c r="O156"/>
      <c r="P156"/>
      <c r="Q156"/>
      <c r="R156"/>
      <c r="S156"/>
      <c r="T156"/>
      <c r="U156"/>
      <c r="V156"/>
      <c r="W156"/>
      <c r="X156"/>
      <c r="Y156"/>
      <c r="Z156"/>
      <c r="AA156"/>
      <c r="AB156"/>
      <c r="AC156"/>
      <c r="AD156"/>
      <c r="AE156"/>
      <c r="AF156" s="105"/>
      <c r="AG156" s="132"/>
      <c r="AH156" s="132"/>
      <c r="AI156" s="132"/>
      <c r="AJ156"/>
      <c r="AK156"/>
      <c r="AL156"/>
      <c r="AM156"/>
      <c r="AN156"/>
      <c r="AO156"/>
      <c r="AP156"/>
    </row>
    <row r="157" spans="1:42" s="61" customFormat="1" x14ac:dyDescent="0.2">
      <c r="A157" s="187" t="s">
        <v>635</v>
      </c>
      <c r="D157"/>
      <c r="E157"/>
      <c r="F157"/>
      <c r="G157"/>
      <c r="H157"/>
      <c r="I157"/>
      <c r="J157"/>
      <c r="K157"/>
      <c r="L157"/>
      <c r="M157"/>
      <c r="N157"/>
      <c r="O157"/>
      <c r="P157"/>
      <c r="Q157"/>
      <c r="R157"/>
      <c r="S157"/>
      <c r="T157"/>
      <c r="U157"/>
      <c r="V157"/>
      <c r="W157"/>
      <c r="X157"/>
      <c r="Y157"/>
      <c r="Z157"/>
      <c r="AA157"/>
      <c r="AB157"/>
      <c r="AC157"/>
      <c r="AD157"/>
      <c r="AE157"/>
      <c r="AF157" s="105"/>
      <c r="AG157" s="132"/>
      <c r="AH157" s="132"/>
      <c r="AI157" s="132"/>
      <c r="AJ157"/>
      <c r="AK157"/>
      <c r="AL157"/>
      <c r="AM157"/>
      <c r="AN157"/>
      <c r="AO157"/>
      <c r="AP157"/>
    </row>
    <row r="158" spans="1:42" s="61" customFormat="1" x14ac:dyDescent="0.2">
      <c r="A158" s="187" t="s">
        <v>636</v>
      </c>
      <c r="D158"/>
      <c r="E158"/>
      <c r="F158"/>
      <c r="G158"/>
      <c r="H158"/>
      <c r="I158"/>
      <c r="J158"/>
      <c r="K158"/>
      <c r="L158"/>
      <c r="M158"/>
      <c r="N158"/>
      <c r="O158"/>
      <c r="P158"/>
      <c r="Q158"/>
      <c r="R158"/>
      <c r="S158"/>
      <c r="T158"/>
      <c r="U158"/>
      <c r="V158"/>
      <c r="W158"/>
      <c r="X158"/>
      <c r="Y158"/>
      <c r="Z158"/>
      <c r="AA158"/>
      <c r="AB158"/>
      <c r="AC158"/>
      <c r="AD158"/>
      <c r="AE158"/>
      <c r="AF158" s="105"/>
      <c r="AG158" s="132"/>
      <c r="AH158" s="132"/>
      <c r="AI158" s="132"/>
      <c r="AJ158"/>
      <c r="AK158"/>
      <c r="AL158"/>
      <c r="AM158"/>
      <c r="AN158"/>
      <c r="AO158"/>
      <c r="AP158"/>
    </row>
    <row r="159" spans="1:42" s="61" customFormat="1" x14ac:dyDescent="0.2">
      <c r="A159" s="187" t="s">
        <v>637</v>
      </c>
      <c r="D159"/>
      <c r="E159"/>
      <c r="F159"/>
      <c r="G159"/>
      <c r="H159"/>
      <c r="I159"/>
      <c r="J159"/>
      <c r="K159"/>
      <c r="L159"/>
      <c r="M159"/>
      <c r="N159"/>
      <c r="O159"/>
      <c r="P159"/>
      <c r="Q159"/>
      <c r="R159"/>
      <c r="S159"/>
      <c r="T159"/>
      <c r="U159"/>
      <c r="V159"/>
      <c r="W159"/>
      <c r="X159"/>
      <c r="Y159"/>
      <c r="Z159"/>
      <c r="AA159"/>
      <c r="AB159"/>
      <c r="AC159"/>
      <c r="AD159"/>
      <c r="AE159"/>
      <c r="AF159" s="105"/>
      <c r="AG159" s="132"/>
      <c r="AH159" s="132"/>
      <c r="AI159" s="132"/>
      <c r="AJ159"/>
      <c r="AK159"/>
      <c r="AL159"/>
      <c r="AM159"/>
      <c r="AN159"/>
      <c r="AO159"/>
      <c r="AP159"/>
    </row>
    <row r="160" spans="1:42" s="61" customFormat="1" x14ac:dyDescent="0.2">
      <c r="A160" s="187" t="s">
        <v>638</v>
      </c>
      <c r="D160"/>
      <c r="E160"/>
      <c r="F160"/>
      <c r="G160"/>
      <c r="H160"/>
      <c r="I160"/>
      <c r="J160"/>
      <c r="K160"/>
      <c r="L160"/>
      <c r="M160"/>
      <c r="N160"/>
      <c r="O160"/>
      <c r="P160"/>
      <c r="Q160"/>
      <c r="R160"/>
      <c r="S160"/>
      <c r="T160"/>
      <c r="U160"/>
      <c r="V160"/>
      <c r="W160"/>
      <c r="X160"/>
      <c r="Y160"/>
      <c r="Z160"/>
      <c r="AA160"/>
      <c r="AB160"/>
      <c r="AC160"/>
      <c r="AD160"/>
      <c r="AE160"/>
      <c r="AF160" s="105"/>
      <c r="AG160" s="132"/>
      <c r="AH160" s="132"/>
      <c r="AI160" s="132"/>
      <c r="AJ160"/>
      <c r="AK160"/>
      <c r="AL160"/>
      <c r="AM160"/>
      <c r="AN160"/>
      <c r="AO160"/>
      <c r="AP160"/>
    </row>
    <row r="161" spans="1:42" s="61" customFormat="1" x14ac:dyDescent="0.2">
      <c r="A161" s="187" t="s">
        <v>639</v>
      </c>
      <c r="D161"/>
      <c r="E161"/>
      <c r="F161"/>
      <c r="G161"/>
      <c r="H161"/>
      <c r="I161"/>
      <c r="J161"/>
      <c r="K161"/>
      <c r="L161"/>
      <c r="M161"/>
      <c r="N161"/>
      <c r="O161"/>
      <c r="P161"/>
      <c r="Q161"/>
      <c r="R161"/>
      <c r="S161"/>
      <c r="T161"/>
      <c r="U161"/>
      <c r="V161"/>
      <c r="W161"/>
      <c r="X161"/>
      <c r="Y161"/>
      <c r="Z161"/>
      <c r="AA161"/>
      <c r="AB161"/>
      <c r="AC161"/>
      <c r="AD161"/>
      <c r="AE161"/>
      <c r="AF161" s="105"/>
      <c r="AG161" s="132"/>
      <c r="AH161" s="132"/>
      <c r="AI161" s="132"/>
      <c r="AJ161"/>
      <c r="AK161"/>
      <c r="AL161"/>
      <c r="AM161"/>
      <c r="AN161"/>
      <c r="AO161"/>
      <c r="AP161"/>
    </row>
    <row r="162" spans="1:42" s="61" customFormat="1" x14ac:dyDescent="0.2">
      <c r="A162" s="187" t="s">
        <v>640</v>
      </c>
      <c r="D162"/>
      <c r="E162"/>
      <c r="F162"/>
      <c r="G162"/>
      <c r="H162"/>
      <c r="I162"/>
      <c r="J162"/>
      <c r="K162"/>
      <c r="L162"/>
      <c r="M162"/>
      <c r="N162"/>
      <c r="O162"/>
      <c r="P162"/>
      <c r="Q162"/>
      <c r="R162"/>
      <c r="S162"/>
      <c r="T162"/>
      <c r="U162"/>
      <c r="V162"/>
      <c r="W162"/>
      <c r="X162"/>
      <c r="Y162"/>
      <c r="Z162"/>
      <c r="AA162"/>
      <c r="AB162"/>
      <c r="AC162"/>
      <c r="AD162"/>
      <c r="AE162"/>
      <c r="AF162" s="105"/>
      <c r="AG162" s="132"/>
      <c r="AH162" s="132"/>
      <c r="AI162" s="132"/>
      <c r="AJ162"/>
      <c r="AK162"/>
      <c r="AL162"/>
      <c r="AM162"/>
      <c r="AN162"/>
      <c r="AO162"/>
      <c r="AP162"/>
    </row>
    <row r="163" spans="1:42" s="61" customFormat="1" x14ac:dyDescent="0.2">
      <c r="A163" s="187" t="s">
        <v>641</v>
      </c>
      <c r="D163"/>
      <c r="E163"/>
      <c r="F163"/>
      <c r="G163"/>
      <c r="H163"/>
      <c r="I163"/>
      <c r="J163"/>
      <c r="K163"/>
      <c r="L163"/>
      <c r="M163"/>
      <c r="N163"/>
      <c r="O163"/>
      <c r="P163"/>
      <c r="Q163"/>
      <c r="R163"/>
      <c r="S163"/>
      <c r="T163"/>
      <c r="U163"/>
      <c r="V163"/>
      <c r="W163"/>
      <c r="X163"/>
      <c r="Y163"/>
      <c r="Z163"/>
      <c r="AA163"/>
      <c r="AB163"/>
      <c r="AC163"/>
      <c r="AD163"/>
      <c r="AE163"/>
      <c r="AF163" s="105"/>
      <c r="AG163" s="132"/>
      <c r="AH163" s="132"/>
      <c r="AI163" s="132"/>
      <c r="AJ163"/>
      <c r="AK163"/>
      <c r="AL163"/>
      <c r="AM163"/>
      <c r="AN163"/>
      <c r="AO163"/>
      <c r="AP163"/>
    </row>
    <row r="164" spans="1:42" s="61" customFormat="1" x14ac:dyDescent="0.2">
      <c r="A164" s="187" t="s">
        <v>642</v>
      </c>
      <c r="D164"/>
      <c r="E164"/>
      <c r="F164"/>
      <c r="G164"/>
      <c r="H164"/>
      <c r="I164"/>
      <c r="J164"/>
      <c r="K164"/>
      <c r="L164"/>
      <c r="M164"/>
      <c r="N164"/>
      <c r="O164"/>
      <c r="P164"/>
      <c r="Q164"/>
      <c r="R164"/>
      <c r="S164"/>
      <c r="T164"/>
      <c r="U164"/>
      <c r="V164"/>
      <c r="W164"/>
      <c r="X164"/>
      <c r="Y164"/>
      <c r="Z164"/>
      <c r="AA164"/>
      <c r="AB164"/>
      <c r="AC164"/>
      <c r="AD164"/>
      <c r="AE164"/>
      <c r="AF164" s="105"/>
      <c r="AG164" s="132"/>
      <c r="AH164" s="132"/>
      <c r="AI164" s="132"/>
      <c r="AJ164"/>
      <c r="AK164"/>
      <c r="AL164"/>
      <c r="AM164"/>
      <c r="AN164"/>
      <c r="AO164"/>
      <c r="AP164"/>
    </row>
    <row r="165" spans="1:42" s="61" customFormat="1" x14ac:dyDescent="0.2">
      <c r="A165" s="187" t="s">
        <v>643</v>
      </c>
      <c r="D165"/>
      <c r="E165"/>
      <c r="F165"/>
      <c r="G165"/>
      <c r="H165"/>
      <c r="I165"/>
      <c r="J165"/>
      <c r="K165"/>
      <c r="L165"/>
      <c r="M165"/>
      <c r="N165"/>
      <c r="O165"/>
      <c r="P165"/>
      <c r="Q165"/>
      <c r="R165"/>
      <c r="S165"/>
      <c r="T165"/>
      <c r="U165"/>
      <c r="V165"/>
      <c r="W165"/>
      <c r="X165"/>
      <c r="Y165"/>
      <c r="Z165"/>
      <c r="AA165"/>
      <c r="AB165"/>
      <c r="AC165"/>
      <c r="AD165"/>
      <c r="AE165"/>
      <c r="AF165" s="105"/>
      <c r="AG165" s="132"/>
      <c r="AH165" s="132"/>
      <c r="AI165" s="132"/>
      <c r="AJ165"/>
      <c r="AK165"/>
      <c r="AL165"/>
      <c r="AM165"/>
      <c r="AN165"/>
      <c r="AO165"/>
      <c r="AP165"/>
    </row>
    <row r="166" spans="1:42" s="61" customFormat="1" x14ac:dyDescent="0.2">
      <c r="A166" s="187" t="s">
        <v>644</v>
      </c>
      <c r="D166"/>
      <c r="E166"/>
      <c r="F166"/>
      <c r="G166"/>
      <c r="H166"/>
      <c r="I166"/>
      <c r="J166"/>
      <c r="K166"/>
      <c r="L166"/>
      <c r="M166"/>
      <c r="N166"/>
      <c r="O166"/>
      <c r="P166"/>
      <c r="Q166"/>
      <c r="R166"/>
      <c r="S166"/>
      <c r="T166"/>
      <c r="U166"/>
      <c r="V166"/>
      <c r="W166"/>
      <c r="X166"/>
      <c r="Y166"/>
      <c r="Z166"/>
      <c r="AA166"/>
      <c r="AB166"/>
      <c r="AC166"/>
      <c r="AD166"/>
      <c r="AE166"/>
      <c r="AF166" s="105"/>
      <c r="AG166" s="132"/>
      <c r="AH166" s="132"/>
      <c r="AI166" s="132"/>
      <c r="AJ166"/>
      <c r="AK166"/>
      <c r="AL166"/>
      <c r="AM166"/>
      <c r="AN166"/>
      <c r="AO166"/>
      <c r="AP166"/>
    </row>
    <row r="167" spans="1:42" s="61" customFormat="1" x14ac:dyDescent="0.2">
      <c r="A167" s="187" t="s">
        <v>645</v>
      </c>
      <c r="D167"/>
      <c r="E167"/>
      <c r="F167"/>
      <c r="G167"/>
      <c r="H167"/>
      <c r="I167"/>
      <c r="J167"/>
      <c r="K167"/>
      <c r="L167"/>
      <c r="M167"/>
      <c r="N167"/>
      <c r="O167"/>
      <c r="P167"/>
      <c r="Q167"/>
      <c r="R167"/>
      <c r="S167"/>
      <c r="T167"/>
      <c r="U167"/>
      <c r="V167"/>
      <c r="W167"/>
      <c r="X167"/>
      <c r="Y167"/>
      <c r="Z167"/>
      <c r="AA167"/>
      <c r="AB167"/>
      <c r="AC167"/>
      <c r="AD167"/>
      <c r="AE167"/>
      <c r="AF167" s="105"/>
      <c r="AG167" s="132"/>
      <c r="AH167" s="132"/>
      <c r="AI167" s="132"/>
      <c r="AJ167"/>
      <c r="AK167"/>
      <c r="AL167"/>
      <c r="AM167"/>
      <c r="AN167"/>
      <c r="AO167"/>
      <c r="AP167"/>
    </row>
    <row r="168" spans="1:42" s="61" customFormat="1" x14ac:dyDescent="0.2">
      <c r="A168" s="187" t="s">
        <v>649</v>
      </c>
      <c r="D168"/>
      <c r="E168"/>
      <c r="F168"/>
      <c r="G168"/>
      <c r="H168"/>
      <c r="I168"/>
      <c r="J168"/>
      <c r="K168"/>
      <c r="L168"/>
      <c r="M168"/>
      <c r="N168"/>
      <c r="O168"/>
      <c r="P168"/>
      <c r="Q168"/>
      <c r="R168"/>
      <c r="S168"/>
      <c r="T168"/>
      <c r="U168"/>
      <c r="V168"/>
      <c r="W168"/>
      <c r="X168"/>
      <c r="Y168"/>
      <c r="Z168"/>
      <c r="AA168"/>
      <c r="AB168"/>
      <c r="AC168"/>
      <c r="AD168"/>
      <c r="AE168"/>
      <c r="AF168" s="105"/>
      <c r="AG168" s="132"/>
      <c r="AH168" s="132"/>
      <c r="AI168" s="132"/>
      <c r="AJ168"/>
      <c r="AK168"/>
      <c r="AL168"/>
      <c r="AM168"/>
      <c r="AN168"/>
      <c r="AO168"/>
      <c r="AP168"/>
    </row>
    <row r="169" spans="1:42" s="61" customFormat="1" x14ac:dyDescent="0.2">
      <c r="A169" s="187" t="s">
        <v>736</v>
      </c>
      <c r="D169"/>
      <c r="E169"/>
      <c r="F169"/>
      <c r="G169"/>
      <c r="H169"/>
      <c r="I169"/>
      <c r="J169"/>
      <c r="K169"/>
      <c r="L169"/>
      <c r="M169"/>
      <c r="N169"/>
      <c r="O169"/>
      <c r="P169"/>
      <c r="Q169"/>
      <c r="R169"/>
      <c r="S169"/>
      <c r="T169"/>
      <c r="U169"/>
      <c r="V169"/>
      <c r="W169"/>
      <c r="X169"/>
      <c r="Y169"/>
      <c r="Z169"/>
      <c r="AA169"/>
      <c r="AB169"/>
      <c r="AC169"/>
      <c r="AD169"/>
      <c r="AE169"/>
      <c r="AF169" s="105"/>
      <c r="AG169" s="132"/>
      <c r="AH169" s="132"/>
      <c r="AI169" s="132"/>
      <c r="AJ169"/>
      <c r="AK169"/>
      <c r="AL169"/>
      <c r="AM169"/>
      <c r="AN169"/>
      <c r="AO169"/>
      <c r="AP169"/>
    </row>
    <row r="170" spans="1:42" s="61" customFormat="1" x14ac:dyDescent="0.2">
      <c r="A170" s="187" t="s">
        <v>646</v>
      </c>
      <c r="D170"/>
      <c r="E170"/>
      <c r="F170"/>
      <c r="G170"/>
      <c r="H170"/>
      <c r="I170"/>
      <c r="J170"/>
      <c r="K170"/>
      <c r="L170"/>
      <c r="M170"/>
      <c r="N170"/>
      <c r="O170"/>
      <c r="P170"/>
      <c r="Q170"/>
      <c r="R170"/>
      <c r="S170"/>
      <c r="T170"/>
      <c r="U170"/>
      <c r="V170"/>
      <c r="W170"/>
      <c r="X170"/>
      <c r="Y170"/>
      <c r="Z170"/>
      <c r="AA170"/>
      <c r="AB170"/>
      <c r="AC170"/>
      <c r="AD170"/>
      <c r="AE170"/>
      <c r="AF170" s="105"/>
      <c r="AG170" s="132"/>
      <c r="AH170" s="132"/>
      <c r="AI170" s="132"/>
      <c r="AJ170"/>
      <c r="AK170"/>
      <c r="AL170"/>
      <c r="AM170"/>
      <c r="AN170"/>
      <c r="AO170"/>
      <c r="AP170"/>
    </row>
    <row r="171" spans="1:42" s="61" customFormat="1" x14ac:dyDescent="0.2">
      <c r="A171" s="187" t="s">
        <v>647</v>
      </c>
      <c r="D171"/>
      <c r="E171"/>
      <c r="F171"/>
      <c r="G171"/>
      <c r="H171"/>
      <c r="I171"/>
      <c r="J171"/>
      <c r="K171"/>
      <c r="L171"/>
      <c r="M171"/>
      <c r="N171"/>
      <c r="O171"/>
      <c r="P171"/>
      <c r="Q171"/>
      <c r="R171"/>
      <c r="S171"/>
      <c r="T171"/>
      <c r="U171"/>
      <c r="V171"/>
      <c r="W171"/>
      <c r="X171"/>
      <c r="Y171"/>
      <c r="Z171"/>
      <c r="AA171"/>
      <c r="AB171"/>
      <c r="AC171"/>
      <c r="AD171"/>
      <c r="AE171"/>
      <c r="AF171" s="105"/>
      <c r="AG171" s="132"/>
      <c r="AH171" s="132"/>
      <c r="AI171" s="132"/>
      <c r="AJ171"/>
      <c r="AK171"/>
      <c r="AL171"/>
      <c r="AM171"/>
      <c r="AN171"/>
      <c r="AO171"/>
      <c r="AP171"/>
    </row>
    <row r="172" spans="1:42" s="61" customFormat="1" x14ac:dyDescent="0.2">
      <c r="A172" s="187" t="s">
        <v>685</v>
      </c>
      <c r="D172"/>
      <c r="E172"/>
      <c r="F172"/>
      <c r="G172"/>
      <c r="H172"/>
      <c r="I172"/>
      <c r="J172"/>
      <c r="K172"/>
      <c r="L172"/>
      <c r="M172"/>
      <c r="N172"/>
      <c r="O172"/>
      <c r="P172"/>
      <c r="Q172"/>
      <c r="R172"/>
      <c r="S172"/>
      <c r="T172"/>
      <c r="U172"/>
      <c r="V172"/>
      <c r="W172"/>
      <c r="X172"/>
      <c r="Y172"/>
      <c r="Z172"/>
      <c r="AA172"/>
      <c r="AB172"/>
      <c r="AC172"/>
      <c r="AD172"/>
      <c r="AE172"/>
      <c r="AF172" s="105"/>
      <c r="AG172" s="132"/>
      <c r="AH172" s="132"/>
      <c r="AI172" s="132"/>
      <c r="AJ172"/>
      <c r="AK172"/>
      <c r="AL172"/>
      <c r="AM172"/>
      <c r="AN172"/>
      <c r="AO172"/>
      <c r="AP172"/>
    </row>
    <row r="173" spans="1:42" s="61" customFormat="1" x14ac:dyDescent="0.2">
      <c r="A173" s="187" t="s">
        <v>650</v>
      </c>
      <c r="D173"/>
      <c r="E173"/>
      <c r="F173"/>
      <c r="G173"/>
      <c r="H173"/>
      <c r="I173"/>
      <c r="J173"/>
      <c r="K173"/>
      <c r="L173"/>
      <c r="M173"/>
      <c r="N173"/>
      <c r="O173"/>
      <c r="P173"/>
      <c r="Q173"/>
      <c r="R173"/>
      <c r="S173"/>
      <c r="T173"/>
      <c r="U173"/>
      <c r="V173"/>
      <c r="W173"/>
      <c r="X173"/>
      <c r="Y173"/>
      <c r="Z173"/>
      <c r="AA173"/>
      <c r="AB173"/>
      <c r="AC173"/>
      <c r="AD173"/>
      <c r="AE173"/>
      <c r="AF173" s="105"/>
      <c r="AG173" s="132"/>
      <c r="AH173" s="132"/>
      <c r="AI173" s="132"/>
      <c r="AJ173"/>
      <c r="AK173"/>
      <c r="AL173"/>
      <c r="AM173"/>
      <c r="AN173"/>
      <c r="AO173"/>
      <c r="AP173"/>
    </row>
    <row r="174" spans="1:42" s="61" customFormat="1" x14ac:dyDescent="0.2">
      <c r="A174" s="187" t="s">
        <v>651</v>
      </c>
      <c r="D174"/>
      <c r="E174"/>
      <c r="F174"/>
      <c r="G174"/>
      <c r="H174"/>
      <c r="I174"/>
      <c r="J174"/>
      <c r="K174"/>
      <c r="L174"/>
      <c r="M174"/>
      <c r="N174"/>
      <c r="O174"/>
      <c r="P174"/>
      <c r="Q174"/>
      <c r="R174"/>
      <c r="S174"/>
      <c r="T174"/>
      <c r="U174"/>
      <c r="V174"/>
      <c r="W174"/>
      <c r="X174"/>
      <c r="Y174"/>
      <c r="Z174"/>
      <c r="AA174"/>
      <c r="AB174"/>
      <c r="AC174"/>
      <c r="AD174"/>
      <c r="AE174"/>
      <c r="AF174" s="105"/>
      <c r="AG174" s="132"/>
      <c r="AH174" s="132"/>
      <c r="AI174" s="132"/>
      <c r="AJ174"/>
      <c r="AK174"/>
      <c r="AL174"/>
      <c r="AM174"/>
      <c r="AN174"/>
      <c r="AO174"/>
      <c r="AP174"/>
    </row>
    <row r="175" spans="1:42" s="61" customFormat="1" x14ac:dyDescent="0.2">
      <c r="A175" s="187" t="s">
        <v>652</v>
      </c>
      <c r="D175"/>
      <c r="E175"/>
      <c r="F175"/>
      <c r="G175"/>
      <c r="H175"/>
      <c r="I175"/>
      <c r="J175"/>
      <c r="K175"/>
      <c r="L175"/>
      <c r="M175"/>
      <c r="N175"/>
      <c r="O175"/>
      <c r="P175"/>
      <c r="Q175"/>
      <c r="R175"/>
      <c r="S175"/>
      <c r="T175"/>
      <c r="U175"/>
      <c r="V175"/>
      <c r="W175"/>
      <c r="X175"/>
      <c r="Y175"/>
      <c r="Z175"/>
      <c r="AA175"/>
      <c r="AB175"/>
      <c r="AC175"/>
      <c r="AD175"/>
      <c r="AE175"/>
      <c r="AF175" s="105"/>
      <c r="AG175" s="132"/>
      <c r="AH175" s="132"/>
      <c r="AI175" s="132"/>
      <c r="AJ175"/>
      <c r="AK175"/>
      <c r="AL175"/>
      <c r="AM175"/>
      <c r="AN175"/>
      <c r="AO175"/>
      <c r="AP175"/>
    </row>
    <row r="176" spans="1:42" s="61" customFormat="1" x14ac:dyDescent="0.2">
      <c r="A176" s="187" t="s">
        <v>655</v>
      </c>
      <c r="D176"/>
      <c r="E176"/>
      <c r="F176"/>
      <c r="G176"/>
      <c r="H176"/>
      <c r="I176"/>
      <c r="J176"/>
      <c r="K176"/>
      <c r="L176"/>
      <c r="M176"/>
      <c r="N176"/>
      <c r="O176"/>
      <c r="P176"/>
      <c r="Q176"/>
      <c r="R176"/>
      <c r="S176"/>
      <c r="T176"/>
      <c r="U176"/>
      <c r="V176"/>
      <c r="W176"/>
      <c r="X176"/>
      <c r="Y176"/>
      <c r="Z176"/>
      <c r="AA176"/>
      <c r="AB176"/>
      <c r="AC176"/>
      <c r="AD176"/>
      <c r="AE176"/>
      <c r="AF176" s="105"/>
      <c r="AG176" s="132"/>
      <c r="AH176" s="132"/>
      <c r="AI176" s="132"/>
      <c r="AJ176"/>
      <c r="AK176"/>
      <c r="AL176"/>
      <c r="AM176"/>
      <c r="AN176"/>
      <c r="AO176"/>
      <c r="AP176"/>
    </row>
    <row r="177" spans="1:42" s="61" customFormat="1" x14ac:dyDescent="0.2">
      <c r="A177" s="187" t="s">
        <v>653</v>
      </c>
      <c r="D177"/>
      <c r="E177"/>
      <c r="F177"/>
      <c r="G177"/>
      <c r="H177"/>
      <c r="I177"/>
      <c r="J177"/>
      <c r="K177"/>
      <c r="L177"/>
      <c r="M177"/>
      <c r="N177"/>
      <c r="O177"/>
      <c r="P177"/>
      <c r="Q177"/>
      <c r="R177"/>
      <c r="S177"/>
      <c r="T177"/>
      <c r="U177"/>
      <c r="V177"/>
      <c r="W177"/>
      <c r="X177"/>
      <c r="Y177"/>
      <c r="Z177"/>
      <c r="AA177"/>
      <c r="AB177"/>
      <c r="AC177"/>
      <c r="AD177"/>
      <c r="AE177"/>
      <c r="AF177" s="105"/>
      <c r="AG177" s="132"/>
      <c r="AH177" s="132"/>
      <c r="AI177" s="132"/>
      <c r="AJ177"/>
      <c r="AK177"/>
      <c r="AL177"/>
      <c r="AM177"/>
      <c r="AN177"/>
      <c r="AO177"/>
      <c r="AP177"/>
    </row>
    <row r="178" spans="1:42" s="61" customFormat="1" x14ac:dyDescent="0.2">
      <c r="A178" s="187" t="s">
        <v>675</v>
      </c>
      <c r="D178"/>
      <c r="E178"/>
      <c r="F178"/>
      <c r="G178"/>
      <c r="H178"/>
      <c r="I178"/>
      <c r="J178"/>
      <c r="K178"/>
      <c r="L178"/>
      <c r="M178"/>
      <c r="N178"/>
      <c r="O178"/>
      <c r="P178"/>
      <c r="Q178"/>
      <c r="R178"/>
      <c r="S178"/>
      <c r="T178"/>
      <c r="U178"/>
      <c r="V178"/>
      <c r="W178"/>
      <c r="X178"/>
      <c r="Y178"/>
      <c r="Z178"/>
      <c r="AA178"/>
      <c r="AB178"/>
      <c r="AC178"/>
      <c r="AD178"/>
      <c r="AE178"/>
      <c r="AF178" s="105"/>
      <c r="AG178" s="132"/>
      <c r="AH178" s="132"/>
      <c r="AI178" s="132"/>
      <c r="AJ178"/>
      <c r="AK178"/>
      <c r="AL178"/>
      <c r="AM178"/>
      <c r="AN178"/>
      <c r="AO178"/>
      <c r="AP178"/>
    </row>
    <row r="179" spans="1:42" s="61" customFormat="1" x14ac:dyDescent="0.2">
      <c r="A179" s="187" t="s">
        <v>668</v>
      </c>
      <c r="D179"/>
      <c r="E179"/>
      <c r="F179"/>
      <c r="G179"/>
      <c r="H179"/>
      <c r="I179"/>
      <c r="J179"/>
      <c r="K179"/>
      <c r="L179"/>
      <c r="M179"/>
      <c r="N179"/>
      <c r="O179"/>
      <c r="P179"/>
      <c r="Q179"/>
      <c r="R179"/>
      <c r="S179"/>
      <c r="T179"/>
      <c r="U179"/>
      <c r="V179"/>
      <c r="W179"/>
      <c r="X179"/>
      <c r="Y179"/>
      <c r="Z179"/>
      <c r="AA179"/>
      <c r="AB179"/>
      <c r="AC179"/>
      <c r="AD179"/>
      <c r="AE179"/>
      <c r="AF179" s="105"/>
      <c r="AG179" s="132"/>
      <c r="AH179" s="132"/>
      <c r="AI179" s="132"/>
      <c r="AJ179"/>
      <c r="AK179"/>
      <c r="AL179"/>
      <c r="AM179"/>
      <c r="AN179"/>
      <c r="AO179"/>
      <c r="AP179"/>
    </row>
    <row r="180" spans="1:42" s="61" customFormat="1" x14ac:dyDescent="0.2">
      <c r="A180" s="187" t="s">
        <v>670</v>
      </c>
      <c r="D180"/>
      <c r="E180"/>
      <c r="F180"/>
      <c r="G180"/>
      <c r="H180"/>
      <c r="I180"/>
      <c r="J180"/>
      <c r="K180"/>
      <c r="L180"/>
      <c r="M180"/>
      <c r="N180"/>
      <c r="O180"/>
      <c r="P180"/>
      <c r="Q180"/>
      <c r="R180"/>
      <c r="S180"/>
      <c r="T180"/>
      <c r="U180"/>
      <c r="V180"/>
      <c r="W180"/>
      <c r="X180"/>
      <c r="Y180"/>
      <c r="Z180"/>
      <c r="AA180"/>
      <c r="AB180"/>
      <c r="AC180"/>
      <c r="AD180"/>
      <c r="AE180"/>
      <c r="AF180" s="105"/>
      <c r="AG180" s="132"/>
      <c r="AH180" s="132"/>
      <c r="AI180" s="132"/>
      <c r="AJ180"/>
      <c r="AK180"/>
      <c r="AL180"/>
      <c r="AM180"/>
      <c r="AN180"/>
      <c r="AO180"/>
      <c r="AP180"/>
    </row>
    <row r="181" spans="1:42" s="61" customFormat="1" x14ac:dyDescent="0.2">
      <c r="A181" s="187" t="s">
        <v>672</v>
      </c>
      <c r="D181"/>
      <c r="E181"/>
      <c r="F181"/>
      <c r="G181"/>
      <c r="H181"/>
      <c r="I181"/>
      <c r="J181"/>
      <c r="K181"/>
      <c r="L181"/>
      <c r="M181"/>
      <c r="N181"/>
      <c r="O181"/>
      <c r="P181"/>
      <c r="Q181"/>
      <c r="R181"/>
      <c r="S181"/>
      <c r="T181"/>
      <c r="U181"/>
      <c r="V181"/>
      <c r="W181"/>
      <c r="X181"/>
      <c r="Y181"/>
      <c r="Z181"/>
      <c r="AA181"/>
      <c r="AB181"/>
      <c r="AC181"/>
      <c r="AD181"/>
      <c r="AE181"/>
      <c r="AF181" s="105"/>
      <c r="AG181" s="132"/>
      <c r="AH181" s="132"/>
      <c r="AI181" s="132"/>
      <c r="AJ181"/>
      <c r="AK181"/>
      <c r="AL181"/>
      <c r="AM181"/>
      <c r="AN181"/>
      <c r="AO181"/>
      <c r="AP181"/>
    </row>
    <row r="182" spans="1:42" s="61" customFormat="1" x14ac:dyDescent="0.2">
      <c r="A182" s="187" t="s">
        <v>676</v>
      </c>
      <c r="D182"/>
      <c r="E182"/>
      <c r="F182"/>
      <c r="G182"/>
      <c r="H182"/>
      <c r="I182"/>
      <c r="J182"/>
      <c r="K182"/>
      <c r="L182"/>
      <c r="M182"/>
      <c r="N182"/>
      <c r="O182"/>
      <c r="P182"/>
      <c r="Q182"/>
      <c r="R182"/>
      <c r="S182"/>
      <c r="T182"/>
      <c r="U182"/>
      <c r="V182"/>
      <c r="W182"/>
      <c r="X182"/>
      <c r="Y182"/>
      <c r="Z182"/>
      <c r="AA182"/>
      <c r="AB182"/>
      <c r="AC182"/>
      <c r="AD182"/>
      <c r="AE182"/>
      <c r="AF182" s="105"/>
      <c r="AG182" s="132"/>
      <c r="AH182" s="132"/>
      <c r="AI182" s="132"/>
      <c r="AJ182"/>
      <c r="AK182"/>
      <c r="AL182"/>
      <c r="AM182"/>
      <c r="AN182"/>
      <c r="AO182"/>
      <c r="AP182"/>
    </row>
    <row r="183" spans="1:42" s="61" customFormat="1" x14ac:dyDescent="0.2">
      <c r="A183" s="187" t="s">
        <v>681</v>
      </c>
      <c r="D183"/>
      <c r="E183"/>
      <c r="F183"/>
      <c r="G183"/>
      <c r="H183"/>
      <c r="I183"/>
      <c r="J183"/>
      <c r="K183"/>
      <c r="L183"/>
      <c r="M183"/>
      <c r="N183"/>
      <c r="O183"/>
      <c r="P183"/>
      <c r="Q183"/>
      <c r="R183"/>
      <c r="S183"/>
      <c r="T183"/>
      <c r="U183"/>
      <c r="V183"/>
      <c r="W183"/>
      <c r="X183"/>
      <c r="Y183"/>
      <c r="Z183"/>
      <c r="AA183"/>
      <c r="AB183"/>
      <c r="AC183"/>
      <c r="AD183"/>
      <c r="AE183"/>
      <c r="AF183" s="105"/>
      <c r="AG183" s="132"/>
      <c r="AH183" s="132"/>
      <c r="AI183" s="132"/>
      <c r="AJ183"/>
      <c r="AK183"/>
      <c r="AL183"/>
      <c r="AM183"/>
      <c r="AN183"/>
      <c r="AO183"/>
      <c r="AP183"/>
    </row>
    <row r="184" spans="1:42" s="61" customFormat="1" x14ac:dyDescent="0.2">
      <c r="A184" s="187" t="s">
        <v>687</v>
      </c>
      <c r="D184"/>
      <c r="E184"/>
      <c r="F184"/>
      <c r="G184"/>
      <c r="H184"/>
      <c r="I184"/>
      <c r="J184"/>
      <c r="K184"/>
      <c r="L184"/>
      <c r="M184"/>
      <c r="N184"/>
      <c r="O184"/>
      <c r="P184"/>
      <c r="Q184"/>
      <c r="R184"/>
      <c r="S184"/>
      <c r="T184"/>
      <c r="U184"/>
      <c r="V184"/>
      <c r="W184"/>
      <c r="X184"/>
      <c r="Y184"/>
      <c r="Z184"/>
      <c r="AA184"/>
      <c r="AB184"/>
      <c r="AC184"/>
      <c r="AD184"/>
      <c r="AE184"/>
      <c r="AF184" s="105"/>
      <c r="AG184" s="132"/>
      <c r="AH184" s="132"/>
      <c r="AI184" s="132"/>
      <c r="AJ184"/>
      <c r="AK184"/>
      <c r="AL184"/>
      <c r="AM184"/>
      <c r="AN184"/>
      <c r="AO184"/>
      <c r="AP184"/>
    </row>
    <row r="185" spans="1:42" s="61" customFormat="1" x14ac:dyDescent="0.2">
      <c r="A185" s="187" t="s">
        <v>691</v>
      </c>
      <c r="D185"/>
      <c r="E185"/>
      <c r="F185"/>
      <c r="G185"/>
      <c r="H185"/>
      <c r="I185"/>
      <c r="J185"/>
      <c r="K185"/>
      <c r="L185"/>
      <c r="M185"/>
      <c r="N185"/>
      <c r="O185"/>
      <c r="P185"/>
      <c r="Q185"/>
      <c r="R185"/>
      <c r="S185"/>
      <c r="T185"/>
      <c r="U185"/>
      <c r="V185"/>
      <c r="W185"/>
      <c r="X185"/>
      <c r="Y185"/>
      <c r="Z185"/>
      <c r="AA185"/>
      <c r="AB185"/>
      <c r="AC185"/>
      <c r="AD185"/>
      <c r="AE185"/>
      <c r="AF185" s="105"/>
      <c r="AG185" s="132"/>
      <c r="AH185" s="132"/>
      <c r="AI185" s="132"/>
      <c r="AJ185"/>
      <c r="AK185"/>
      <c r="AL185"/>
      <c r="AM185"/>
      <c r="AN185"/>
      <c r="AO185"/>
      <c r="AP185"/>
    </row>
    <row r="186" spans="1:42" s="61" customFormat="1" x14ac:dyDescent="0.2">
      <c r="A186" s="187" t="s">
        <v>735</v>
      </c>
      <c r="D186"/>
      <c r="E186"/>
      <c r="F186"/>
      <c r="G186"/>
      <c r="H186"/>
      <c r="I186"/>
      <c r="J186"/>
      <c r="K186"/>
      <c r="L186"/>
      <c r="M186"/>
      <c r="N186"/>
      <c r="O186"/>
      <c r="P186"/>
      <c r="Q186"/>
      <c r="R186"/>
      <c r="S186"/>
      <c r="T186"/>
      <c r="U186"/>
      <c r="V186"/>
      <c r="W186"/>
      <c r="X186"/>
      <c r="Y186"/>
      <c r="Z186"/>
      <c r="AA186"/>
      <c r="AB186"/>
      <c r="AC186"/>
      <c r="AD186"/>
      <c r="AE186"/>
      <c r="AF186" s="105"/>
      <c r="AG186" s="132"/>
      <c r="AH186" s="132"/>
      <c r="AI186" s="132"/>
      <c r="AJ186"/>
      <c r="AK186"/>
      <c r="AL186"/>
      <c r="AM186"/>
      <c r="AN186"/>
      <c r="AO186"/>
      <c r="AP186"/>
    </row>
    <row r="187" spans="1:42" s="61" customFormat="1" x14ac:dyDescent="0.2">
      <c r="A187" s="247" t="s">
        <v>742</v>
      </c>
      <c r="D187"/>
      <c r="E187"/>
      <c r="F187"/>
      <c r="G187"/>
      <c r="H187"/>
      <c r="I187"/>
      <c r="J187"/>
      <c r="K187"/>
      <c r="L187"/>
      <c r="M187"/>
      <c r="N187"/>
      <c r="O187"/>
      <c r="P187"/>
      <c r="Q187"/>
      <c r="R187"/>
      <c r="S187"/>
      <c r="T187"/>
      <c r="U187"/>
      <c r="V187"/>
      <c r="W187"/>
      <c r="X187"/>
      <c r="Y187"/>
      <c r="Z187"/>
      <c r="AA187"/>
      <c r="AB187"/>
      <c r="AC187"/>
      <c r="AD187"/>
      <c r="AE187"/>
      <c r="AF187" s="105"/>
      <c r="AG187" s="132"/>
      <c r="AH187" s="132"/>
      <c r="AI187" s="132"/>
      <c r="AJ187"/>
      <c r="AK187"/>
      <c r="AL187"/>
      <c r="AM187"/>
      <c r="AN187"/>
      <c r="AO187"/>
      <c r="AP187"/>
    </row>
    <row r="188" spans="1:42" s="61" customFormat="1" x14ac:dyDescent="0.2">
      <c r="A188" s="247" t="s">
        <v>743</v>
      </c>
      <c r="D188"/>
      <c r="E188"/>
      <c r="F188"/>
      <c r="G188"/>
      <c r="H188"/>
      <c r="I188"/>
      <c r="J188"/>
      <c r="K188"/>
      <c r="L188"/>
      <c r="M188"/>
      <c r="N188"/>
      <c r="O188"/>
      <c r="P188"/>
      <c r="Q188"/>
      <c r="R188"/>
      <c r="S188"/>
      <c r="T188"/>
      <c r="U188"/>
      <c r="V188"/>
      <c r="W188"/>
      <c r="X188"/>
      <c r="Y188"/>
      <c r="Z188"/>
      <c r="AA188"/>
      <c r="AB188"/>
      <c r="AC188"/>
      <c r="AD188"/>
      <c r="AE188"/>
      <c r="AF188" s="105"/>
      <c r="AG188" s="132"/>
      <c r="AH188" s="132"/>
      <c r="AI188" s="132"/>
      <c r="AJ188"/>
      <c r="AK188"/>
      <c r="AL188"/>
      <c r="AM188"/>
      <c r="AN188"/>
      <c r="AO188"/>
      <c r="AP188"/>
    </row>
  </sheetData>
  <pageMargins left="0.7" right="0.7" top="0.75" bottom="0.75" header="0.3" footer="0.3"/>
  <pageSetup orientation="portrait" horizontalDpi="4294967294" verticalDpi="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7"/>
  <sheetViews>
    <sheetView topLeftCell="K1" workbookViewId="0">
      <selection activeCell="AF17" sqref="AF17"/>
    </sheetView>
  </sheetViews>
  <sheetFormatPr defaultRowHeight="12.75" x14ac:dyDescent="0.2"/>
  <cols>
    <col min="9" max="9" width="3" style="262" customWidth="1"/>
    <col min="18" max="18" width="11.42578125" bestFit="1" customWidth="1"/>
    <col min="27" max="27" width="12.5703125" customWidth="1"/>
  </cols>
  <sheetData>
    <row r="1" spans="1:33" x14ac:dyDescent="0.2">
      <c r="B1" s="61" t="s">
        <v>749</v>
      </c>
      <c r="J1" s="61" t="s">
        <v>785</v>
      </c>
    </row>
    <row r="2" spans="1:33" x14ac:dyDescent="0.2">
      <c r="B2" s="61" t="s">
        <v>750</v>
      </c>
      <c r="J2" s="61" t="s">
        <v>768</v>
      </c>
    </row>
    <row r="3" spans="1:33" x14ac:dyDescent="0.2">
      <c r="A3" s="62" t="s">
        <v>784</v>
      </c>
      <c r="B3" s="61" t="s">
        <v>751</v>
      </c>
      <c r="N3" s="95" t="s">
        <v>783</v>
      </c>
      <c r="O3" s="96"/>
      <c r="P3" s="61" t="s">
        <v>808</v>
      </c>
      <c r="Q3" s="61" t="s">
        <v>822</v>
      </c>
      <c r="T3" s="61" t="s">
        <v>809</v>
      </c>
      <c r="U3" s="61" t="s">
        <v>780</v>
      </c>
      <c r="V3" s="61" t="s">
        <v>807</v>
      </c>
      <c r="W3" s="61" t="s">
        <v>806</v>
      </c>
    </row>
    <row r="4" spans="1:33" x14ac:dyDescent="0.2">
      <c r="A4" s="61" t="s">
        <v>457</v>
      </c>
      <c r="B4" s="61" t="s">
        <v>766</v>
      </c>
      <c r="C4" s="61" t="s">
        <v>767</v>
      </c>
      <c r="D4" s="61" t="s">
        <v>752</v>
      </c>
      <c r="E4" s="61" t="s">
        <v>764</v>
      </c>
      <c r="F4" s="61" t="s">
        <v>765</v>
      </c>
      <c r="G4" s="61" t="s">
        <v>810</v>
      </c>
      <c r="K4" t="s">
        <v>457</v>
      </c>
      <c r="L4" t="s">
        <v>752</v>
      </c>
      <c r="M4" s="61" t="s">
        <v>811</v>
      </c>
      <c r="N4" s="61" t="s">
        <v>812</v>
      </c>
      <c r="O4" t="s">
        <v>767</v>
      </c>
      <c r="P4" s="61" t="s">
        <v>813</v>
      </c>
      <c r="Q4" s="61" t="s">
        <v>814</v>
      </c>
      <c r="R4" s="62" t="s">
        <v>786</v>
      </c>
      <c r="S4" s="61" t="s">
        <v>734</v>
      </c>
      <c r="T4" t="s">
        <v>769</v>
      </c>
      <c r="U4" t="s">
        <v>770</v>
      </c>
      <c r="V4" t="s">
        <v>771</v>
      </c>
      <c r="W4" t="s">
        <v>772</v>
      </c>
      <c r="Z4" s="64" t="s">
        <v>817</v>
      </c>
      <c r="AA4" s="64"/>
      <c r="AB4" s="212"/>
      <c r="AC4" s="212"/>
      <c r="AD4" s="212"/>
      <c r="AE4" s="212"/>
      <c r="AF4" s="212"/>
      <c r="AG4" s="212"/>
    </row>
    <row r="5" spans="1:33" x14ac:dyDescent="0.2">
      <c r="A5" s="61" t="s">
        <v>452</v>
      </c>
      <c r="B5">
        <v>0.18</v>
      </c>
      <c r="C5">
        <v>1.7</v>
      </c>
      <c r="D5">
        <v>17067</v>
      </c>
      <c r="E5">
        <v>0.15</v>
      </c>
      <c r="F5">
        <v>0.11</v>
      </c>
      <c r="G5" s="265">
        <f>D5/$D$33</f>
        <v>9.6199263864542056E-2</v>
      </c>
      <c r="J5">
        <v>1</v>
      </c>
      <c r="K5" t="s">
        <v>452</v>
      </c>
      <c r="L5">
        <v>17067</v>
      </c>
      <c r="M5" s="265">
        <f>L5/$L$33</f>
        <v>9.6199263864542056E-2</v>
      </c>
      <c r="N5">
        <v>0.18</v>
      </c>
      <c r="O5">
        <v>1.7</v>
      </c>
      <c r="P5">
        <v>0.15</v>
      </c>
      <c r="Q5">
        <v>0.11</v>
      </c>
      <c r="R5" s="62">
        <v>0.18</v>
      </c>
      <c r="S5">
        <v>0</v>
      </c>
      <c r="T5">
        <v>0.09</v>
      </c>
      <c r="U5">
        <v>0.18</v>
      </c>
      <c r="V5">
        <v>0.09</v>
      </c>
      <c r="W5">
        <v>0.09</v>
      </c>
      <c r="Z5" s="212"/>
      <c r="AA5" s="212"/>
      <c r="AB5" s="212"/>
      <c r="AC5" s="212"/>
      <c r="AD5" s="212"/>
      <c r="AE5" s="212"/>
      <c r="AF5" s="212"/>
      <c r="AG5" s="212"/>
    </row>
    <row r="6" spans="1:33" x14ac:dyDescent="0.2">
      <c r="A6" s="61" t="s">
        <v>511</v>
      </c>
      <c r="B6">
        <v>0.28999999999999998</v>
      </c>
      <c r="D6">
        <v>10643</v>
      </c>
      <c r="F6">
        <v>0.13</v>
      </c>
      <c r="G6" s="265">
        <f t="shared" ref="G6:G30" si="0">D6/$D$33</f>
        <v>5.9989966913360351E-2</v>
      </c>
      <c r="J6">
        <v>2</v>
      </c>
      <c r="K6" t="s">
        <v>511</v>
      </c>
      <c r="L6">
        <v>10643</v>
      </c>
      <c r="M6" s="265">
        <f t="shared" ref="M6:M30" si="1">L6/$L$33</f>
        <v>5.9989966913360351E-2</v>
      </c>
      <c r="N6">
        <v>0.28999999999999998</v>
      </c>
      <c r="Q6">
        <v>0.13</v>
      </c>
      <c r="R6" s="62">
        <v>0.28999999999999998</v>
      </c>
      <c r="U6">
        <v>0.28999999999999998</v>
      </c>
      <c r="V6">
        <v>0.13</v>
      </c>
      <c r="W6">
        <v>0.28999999999999998</v>
      </c>
      <c r="Z6" s="212"/>
      <c r="AA6" s="212"/>
      <c r="AB6" s="64" t="s">
        <v>794</v>
      </c>
      <c r="AC6" s="212"/>
      <c r="AD6" s="212"/>
      <c r="AE6" s="212"/>
      <c r="AF6" s="212"/>
      <c r="AG6" s="212"/>
    </row>
    <row r="7" spans="1:33" x14ac:dyDescent="0.2">
      <c r="A7" s="61" t="s">
        <v>349</v>
      </c>
      <c r="B7">
        <v>0.55000000000000004</v>
      </c>
      <c r="D7">
        <v>2895</v>
      </c>
      <c r="F7">
        <v>0.06</v>
      </c>
      <c r="G7" s="186">
        <f t="shared" si="0"/>
        <v>1.6317857203248916E-2</v>
      </c>
      <c r="J7">
        <v>3</v>
      </c>
      <c r="K7" t="s">
        <v>349</v>
      </c>
      <c r="L7">
        <v>2895</v>
      </c>
      <c r="M7" s="268">
        <f t="shared" si="1"/>
        <v>1.6317857203248916E-2</v>
      </c>
      <c r="N7">
        <v>0.55000000000000004</v>
      </c>
      <c r="Q7">
        <v>0.06</v>
      </c>
      <c r="R7" s="62">
        <v>0.55000000000000004</v>
      </c>
      <c r="U7">
        <v>0.55000000000000004</v>
      </c>
      <c r="V7">
        <v>0.06</v>
      </c>
      <c r="W7">
        <v>0.55000000000000004</v>
      </c>
      <c r="Z7" s="212"/>
      <c r="AA7" s="64" t="s">
        <v>805</v>
      </c>
      <c r="AB7" s="64" t="s">
        <v>787</v>
      </c>
      <c r="AC7" s="64" t="s">
        <v>597</v>
      </c>
      <c r="AD7" s="64" t="s">
        <v>572</v>
      </c>
      <c r="AE7" s="267" t="s">
        <v>804</v>
      </c>
      <c r="AG7" s="212"/>
    </row>
    <row r="8" spans="1:33" x14ac:dyDescent="0.2">
      <c r="A8" s="61" t="s">
        <v>304</v>
      </c>
      <c r="B8">
        <v>1.33</v>
      </c>
      <c r="C8">
        <v>0.56000000000000005</v>
      </c>
      <c r="D8">
        <v>508</v>
      </c>
      <c r="G8" s="186">
        <f t="shared" si="0"/>
        <v>2.8633752881694124E-3</v>
      </c>
      <c r="J8">
        <v>4</v>
      </c>
      <c r="K8" t="s">
        <v>304</v>
      </c>
      <c r="L8">
        <v>508</v>
      </c>
      <c r="M8" s="268">
        <f t="shared" si="1"/>
        <v>2.8633752881694124E-3</v>
      </c>
      <c r="N8">
        <v>1.33</v>
      </c>
      <c r="O8">
        <v>0.56000000000000005</v>
      </c>
      <c r="R8" s="62">
        <v>1</v>
      </c>
      <c r="S8">
        <v>0.7</v>
      </c>
      <c r="T8">
        <v>0.85</v>
      </c>
      <c r="U8">
        <v>1</v>
      </c>
      <c r="V8">
        <v>0.85</v>
      </c>
      <c r="W8">
        <v>0.85</v>
      </c>
      <c r="Z8" s="212" t="s">
        <v>773</v>
      </c>
      <c r="AA8" s="64" t="s">
        <v>795</v>
      </c>
      <c r="AB8" s="212"/>
      <c r="AC8" s="212"/>
      <c r="AD8" s="212"/>
      <c r="AE8" s="275">
        <f>AF8*100</f>
        <v>31.715375987103499</v>
      </c>
      <c r="AF8" s="263">
        <v>0.317153759871035</v>
      </c>
      <c r="AG8" s="212"/>
    </row>
    <row r="9" spans="1:33" x14ac:dyDescent="0.2">
      <c r="A9" s="61" t="s">
        <v>512</v>
      </c>
      <c r="B9">
        <v>0.49</v>
      </c>
      <c r="D9">
        <v>4809</v>
      </c>
      <c r="E9">
        <v>0.42</v>
      </c>
      <c r="F9">
        <v>0.13</v>
      </c>
      <c r="G9" s="186">
        <f t="shared" si="0"/>
        <v>2.7106243623635246E-2</v>
      </c>
      <c r="J9">
        <v>5</v>
      </c>
      <c r="K9" t="s">
        <v>512</v>
      </c>
      <c r="L9">
        <v>4809</v>
      </c>
      <c r="M9" s="268">
        <f t="shared" si="1"/>
        <v>2.7106243623635246E-2</v>
      </c>
      <c r="N9">
        <v>0.49</v>
      </c>
      <c r="P9">
        <v>0.42</v>
      </c>
      <c r="Q9">
        <v>0.13</v>
      </c>
      <c r="R9" s="62">
        <v>0.49</v>
      </c>
      <c r="U9">
        <v>0.49</v>
      </c>
      <c r="V9">
        <v>0.13</v>
      </c>
      <c r="W9">
        <v>0.49</v>
      </c>
      <c r="Z9" s="212" t="s">
        <v>774</v>
      </c>
      <c r="AA9" s="64" t="s">
        <v>769</v>
      </c>
      <c r="AB9" s="212"/>
      <c r="AC9" s="212"/>
      <c r="AD9" s="212"/>
      <c r="AE9" s="272">
        <f t="shared" ref="AE9:AE25" si="2">AF9*100</f>
        <v>23.928121592455202</v>
      </c>
      <c r="AF9" s="263">
        <v>0.23928121592455201</v>
      </c>
      <c r="AG9" s="212"/>
    </row>
    <row r="10" spans="1:33" x14ac:dyDescent="0.2">
      <c r="A10" s="61" t="s">
        <v>307</v>
      </c>
      <c r="B10">
        <v>0.64</v>
      </c>
      <c r="C10">
        <v>0.28000000000000003</v>
      </c>
      <c r="D10">
        <v>12349</v>
      </c>
      <c r="E10">
        <v>0.82</v>
      </c>
      <c r="F10">
        <v>0.2</v>
      </c>
      <c r="G10" s="265">
        <f t="shared" si="0"/>
        <v>6.9605947703945029E-2</v>
      </c>
      <c r="J10">
        <v>6</v>
      </c>
      <c r="K10" t="s">
        <v>307</v>
      </c>
      <c r="L10">
        <v>12349</v>
      </c>
      <c r="M10" s="265">
        <f t="shared" si="1"/>
        <v>6.9605947703945029E-2</v>
      </c>
      <c r="N10">
        <v>0.64</v>
      </c>
      <c r="O10">
        <v>0.28000000000000003</v>
      </c>
      <c r="P10">
        <v>0.82</v>
      </c>
      <c r="Q10">
        <v>0.2</v>
      </c>
      <c r="R10" s="62">
        <v>0.64</v>
      </c>
      <c r="S10" s="15">
        <v>0.63636363636363602</v>
      </c>
      <c r="T10" s="15">
        <v>0.63818181818181796</v>
      </c>
      <c r="U10">
        <v>0.82</v>
      </c>
      <c r="V10">
        <v>0.2</v>
      </c>
      <c r="W10">
        <v>0.63818181818181796</v>
      </c>
      <c r="Z10" s="212" t="s">
        <v>775</v>
      </c>
      <c r="AA10" s="64" t="s">
        <v>770</v>
      </c>
      <c r="AB10" s="212"/>
      <c r="AC10" s="212"/>
      <c r="AD10" s="212"/>
      <c r="AE10" s="272">
        <f t="shared" si="2"/>
        <v>32.981881168851899</v>
      </c>
      <c r="AF10" s="263">
        <v>0.32981881168851901</v>
      </c>
      <c r="AG10" s="212"/>
    </row>
    <row r="11" spans="1:33" x14ac:dyDescent="0.2">
      <c r="A11" s="61" t="s">
        <v>499</v>
      </c>
      <c r="B11">
        <v>0.41</v>
      </c>
      <c r="C11">
        <v>0.18</v>
      </c>
      <c r="D11">
        <v>106</v>
      </c>
      <c r="G11" s="186">
        <f t="shared" si="0"/>
        <v>5.9747594595660968E-4</v>
      </c>
      <c r="J11">
        <v>7</v>
      </c>
      <c r="K11" t="s">
        <v>499</v>
      </c>
      <c r="L11">
        <v>106</v>
      </c>
      <c r="M11" s="268">
        <f t="shared" si="1"/>
        <v>5.9747594595660968E-4</v>
      </c>
      <c r="N11">
        <v>0.41</v>
      </c>
      <c r="O11">
        <v>0.18</v>
      </c>
      <c r="R11" s="62">
        <v>0.41</v>
      </c>
      <c r="S11" s="15">
        <v>0.85714285714285698</v>
      </c>
      <c r="T11" s="15">
        <v>0.63357142857142901</v>
      </c>
      <c r="U11">
        <v>0.63357142857142901</v>
      </c>
      <c r="V11">
        <v>0.41</v>
      </c>
      <c r="W11">
        <v>0.63357142857142901</v>
      </c>
      <c r="Z11" s="212" t="s">
        <v>776</v>
      </c>
      <c r="AA11" s="64" t="s">
        <v>771</v>
      </c>
      <c r="AB11" s="214"/>
      <c r="AC11" s="214"/>
      <c r="AD11" s="214"/>
      <c r="AE11" s="272">
        <f t="shared" si="2"/>
        <v>17.9196145547395</v>
      </c>
      <c r="AF11" s="263">
        <v>0.17919614554739499</v>
      </c>
      <c r="AG11" s="212"/>
    </row>
    <row r="12" spans="1:33" x14ac:dyDescent="0.2">
      <c r="A12" s="61" t="s">
        <v>505</v>
      </c>
      <c r="B12">
        <v>0.22</v>
      </c>
      <c r="C12">
        <v>3.07</v>
      </c>
      <c r="D12">
        <v>105874</v>
      </c>
      <c r="G12" s="265">
        <f t="shared" si="0"/>
        <v>0.59676573870009531</v>
      </c>
      <c r="J12">
        <v>8</v>
      </c>
      <c r="K12" t="s">
        <v>505</v>
      </c>
      <c r="L12">
        <v>105874</v>
      </c>
      <c r="M12" s="265">
        <f t="shared" si="1"/>
        <v>0.59676573870009531</v>
      </c>
      <c r="N12">
        <v>0.22</v>
      </c>
      <c r="O12">
        <v>3.07</v>
      </c>
      <c r="R12" s="62">
        <v>0.22</v>
      </c>
      <c r="S12">
        <v>0</v>
      </c>
      <c r="T12">
        <v>0.11</v>
      </c>
      <c r="U12">
        <v>0.22</v>
      </c>
      <c r="V12">
        <v>0.11</v>
      </c>
      <c r="W12">
        <v>0.11</v>
      </c>
      <c r="Z12" s="212" t="s">
        <v>788</v>
      </c>
      <c r="AA12" s="64" t="s">
        <v>748</v>
      </c>
      <c r="AE12" s="272">
        <f t="shared" si="2"/>
        <v>46.093627252268</v>
      </c>
      <c r="AF12" s="263">
        <v>0.46093627252267999</v>
      </c>
      <c r="AG12" s="212"/>
    </row>
    <row r="13" spans="1:33" x14ac:dyDescent="0.2">
      <c r="A13" s="61" t="s">
        <v>753</v>
      </c>
      <c r="D13">
        <v>1044</v>
      </c>
      <c r="E13">
        <v>0.22</v>
      </c>
      <c r="F13">
        <v>0.15</v>
      </c>
      <c r="G13" s="186">
        <f t="shared" si="0"/>
        <v>5.8845744111198162E-3</v>
      </c>
      <c r="J13">
        <v>9</v>
      </c>
      <c r="K13" t="s">
        <v>753</v>
      </c>
      <c r="L13">
        <v>1044</v>
      </c>
      <c r="M13" s="268">
        <f t="shared" si="1"/>
        <v>5.8845744111198162E-3</v>
      </c>
      <c r="P13">
        <v>0.22</v>
      </c>
      <c r="Q13">
        <v>0.15</v>
      </c>
      <c r="R13" s="62">
        <v>0.22</v>
      </c>
      <c r="U13">
        <v>0.22</v>
      </c>
      <c r="V13">
        <v>0.15</v>
      </c>
      <c r="W13">
        <v>0.22</v>
      </c>
      <c r="Z13" s="212" t="s">
        <v>789</v>
      </c>
      <c r="AA13" s="64" t="s">
        <v>796</v>
      </c>
      <c r="AE13" s="272">
        <f t="shared" si="2"/>
        <v>33.169165283169598</v>
      </c>
      <c r="AF13" s="263">
        <v>0.33169165283169599</v>
      </c>
      <c r="AG13" s="212"/>
    </row>
    <row r="14" spans="1:33" x14ac:dyDescent="0.2">
      <c r="A14" s="61" t="s">
        <v>310</v>
      </c>
      <c r="D14">
        <v>5048</v>
      </c>
      <c r="F14">
        <v>0.61</v>
      </c>
      <c r="G14" s="186">
        <f t="shared" si="0"/>
        <v>2.8453382784801563E-2</v>
      </c>
      <c r="J14">
        <v>10</v>
      </c>
      <c r="K14" t="s">
        <v>310</v>
      </c>
      <c r="L14">
        <v>5048</v>
      </c>
      <c r="M14" s="268">
        <f t="shared" si="1"/>
        <v>2.8453382784801563E-2</v>
      </c>
      <c r="Q14">
        <v>0.61</v>
      </c>
      <c r="R14" s="62">
        <v>0.61</v>
      </c>
      <c r="U14">
        <v>0.61</v>
      </c>
      <c r="V14">
        <v>0.61</v>
      </c>
      <c r="W14">
        <v>0.61</v>
      </c>
      <c r="Z14" s="212" t="s">
        <v>790</v>
      </c>
      <c r="AA14" s="64" t="s">
        <v>797</v>
      </c>
      <c r="AE14" s="272">
        <f t="shared" si="2"/>
        <v>31.233801070658799</v>
      </c>
      <c r="AF14" s="263">
        <v>0.31233801070658801</v>
      </c>
      <c r="AG14" s="212"/>
    </row>
    <row r="15" spans="1:33" x14ac:dyDescent="0.2">
      <c r="A15" s="61" t="s">
        <v>754</v>
      </c>
      <c r="B15">
        <v>1.77</v>
      </c>
      <c r="D15">
        <v>7560</v>
      </c>
      <c r="G15" s="186">
        <f t="shared" si="0"/>
        <v>4.2612435390867634E-2</v>
      </c>
      <c r="J15">
        <v>11</v>
      </c>
      <c r="K15" t="s">
        <v>754</v>
      </c>
      <c r="L15">
        <v>7560</v>
      </c>
      <c r="M15" s="268">
        <f t="shared" si="1"/>
        <v>4.2612435390867634E-2</v>
      </c>
      <c r="N15">
        <v>1.77</v>
      </c>
      <c r="R15" s="62">
        <v>0.86499999999999999</v>
      </c>
      <c r="U15">
        <v>0.86499999999999999</v>
      </c>
      <c r="V15">
        <v>0.86499999999999999</v>
      </c>
      <c r="W15">
        <v>0.86499999999999999</v>
      </c>
      <c r="Z15" s="212" t="s">
        <v>791</v>
      </c>
      <c r="AA15" s="64" t="s">
        <v>798</v>
      </c>
      <c r="AE15" s="272">
        <f t="shared" si="2"/>
        <v>31.888667026443603</v>
      </c>
      <c r="AF15" s="263">
        <v>0.31888667026443601</v>
      </c>
      <c r="AG15" s="212"/>
    </row>
    <row r="16" spans="1:33" x14ac:dyDescent="0.2">
      <c r="A16" s="61" t="s">
        <v>755</v>
      </c>
      <c r="B16">
        <v>2.71</v>
      </c>
      <c r="D16">
        <v>428</v>
      </c>
      <c r="G16" s="186">
        <f t="shared" si="0"/>
        <v>2.4124500459380091E-3</v>
      </c>
      <c r="J16">
        <v>12</v>
      </c>
      <c r="K16" t="s">
        <v>755</v>
      </c>
      <c r="L16">
        <v>428</v>
      </c>
      <c r="M16" s="268">
        <f t="shared" si="1"/>
        <v>2.4124500459380091E-3</v>
      </c>
      <c r="N16">
        <v>2.71</v>
      </c>
      <c r="R16" s="62">
        <v>0.39500000000000002</v>
      </c>
      <c r="U16">
        <v>0.39500000000000002</v>
      </c>
      <c r="V16">
        <v>0.39500000000000002</v>
      </c>
      <c r="W16">
        <v>0.39500000000000002</v>
      </c>
      <c r="AA16" s="64" t="s">
        <v>818</v>
      </c>
      <c r="AE16" s="272">
        <f t="shared" si="2"/>
        <v>24.554187122702402</v>
      </c>
      <c r="AF16" s="15">
        <v>0.24554187122702401</v>
      </c>
      <c r="AG16" s="212"/>
    </row>
    <row r="17" spans="1:33" x14ac:dyDescent="0.2">
      <c r="A17" s="61" t="s">
        <v>756</v>
      </c>
      <c r="B17">
        <v>2.2599999999999998</v>
      </c>
      <c r="D17">
        <v>447</v>
      </c>
      <c r="G17" s="186">
        <f t="shared" si="0"/>
        <v>2.5195447909679672E-3</v>
      </c>
      <c r="J17">
        <v>13</v>
      </c>
      <c r="K17" t="s">
        <v>756</v>
      </c>
      <c r="L17">
        <v>447</v>
      </c>
      <c r="M17" s="268">
        <f t="shared" si="1"/>
        <v>2.5195447909679672E-3</v>
      </c>
      <c r="N17">
        <v>2.2599999999999998</v>
      </c>
      <c r="R17" s="62">
        <v>0.62</v>
      </c>
      <c r="U17">
        <v>0.62</v>
      </c>
      <c r="V17">
        <v>0.62</v>
      </c>
      <c r="W17">
        <v>0.62</v>
      </c>
      <c r="AA17" s="64" t="s">
        <v>819</v>
      </c>
      <c r="AE17" s="272">
        <f t="shared" si="2"/>
        <v>54.392474057707197</v>
      </c>
      <c r="AF17" s="15">
        <v>0.54392474057707196</v>
      </c>
      <c r="AG17" s="212"/>
    </row>
    <row r="18" spans="1:33" x14ac:dyDescent="0.2">
      <c r="A18" s="61" t="s">
        <v>757</v>
      </c>
      <c r="B18">
        <v>2.86</v>
      </c>
      <c r="D18">
        <v>559</v>
      </c>
      <c r="G18" s="186">
        <f t="shared" si="0"/>
        <v>3.1508401300919323E-3</v>
      </c>
      <c r="J18">
        <v>14</v>
      </c>
      <c r="K18" t="s">
        <v>757</v>
      </c>
      <c r="L18">
        <v>559</v>
      </c>
      <c r="M18" s="268">
        <f t="shared" si="1"/>
        <v>3.1508401300919323E-3</v>
      </c>
      <c r="N18">
        <v>2.86</v>
      </c>
      <c r="R18" s="62">
        <v>0.32</v>
      </c>
      <c r="U18">
        <v>0.32</v>
      </c>
      <c r="V18">
        <v>0.32</v>
      </c>
      <c r="W18">
        <v>0.32</v>
      </c>
      <c r="Z18" s="212" t="s">
        <v>777</v>
      </c>
      <c r="AA18" s="64" t="s">
        <v>799</v>
      </c>
      <c r="AB18" s="212">
        <v>0.95</v>
      </c>
      <c r="AC18" s="212">
        <v>1.5</v>
      </c>
      <c r="AD18" s="212">
        <v>0.5</v>
      </c>
      <c r="AE18" s="272">
        <f t="shared" si="2"/>
        <v>31.700314813457904</v>
      </c>
      <c r="AF18" s="266">
        <v>0.31700314813457903</v>
      </c>
      <c r="AG18" s="212"/>
    </row>
    <row r="19" spans="1:33" x14ac:dyDescent="0.2">
      <c r="A19" s="61" t="s">
        <v>471</v>
      </c>
      <c r="B19">
        <v>1.02</v>
      </c>
      <c r="C19">
        <v>0.53</v>
      </c>
      <c r="D19">
        <v>821</v>
      </c>
      <c r="G19" s="186">
        <f t="shared" si="0"/>
        <v>4.6276202983997787E-3</v>
      </c>
      <c r="J19">
        <v>15</v>
      </c>
      <c r="K19" t="s">
        <v>471</v>
      </c>
      <c r="L19">
        <v>821</v>
      </c>
      <c r="M19" s="268">
        <f t="shared" si="1"/>
        <v>4.6276202983997787E-3</v>
      </c>
      <c r="N19">
        <v>1.02</v>
      </c>
      <c r="O19">
        <v>0.53</v>
      </c>
      <c r="R19" s="62">
        <v>1</v>
      </c>
      <c r="S19">
        <v>0.66249999999999998</v>
      </c>
      <c r="T19">
        <v>0.83125000000000004</v>
      </c>
      <c r="U19">
        <v>1</v>
      </c>
      <c r="V19">
        <v>0.83125000000000004</v>
      </c>
      <c r="W19">
        <v>0.83125000000000004</v>
      </c>
      <c r="Z19" s="212" t="s">
        <v>778</v>
      </c>
      <c r="AA19" s="64" t="s">
        <v>800</v>
      </c>
      <c r="AB19" s="212">
        <v>0.95</v>
      </c>
      <c r="AC19" s="243">
        <v>1.05</v>
      </c>
      <c r="AD19" s="212">
        <v>0.5</v>
      </c>
      <c r="AE19" s="272">
        <f t="shared" si="2"/>
        <v>31.700314813457904</v>
      </c>
      <c r="AF19" s="266">
        <v>0.31700314813457903</v>
      </c>
      <c r="AG19" s="212"/>
    </row>
    <row r="20" spans="1:33" x14ac:dyDescent="0.2">
      <c r="A20" s="61" t="s">
        <v>758</v>
      </c>
      <c r="B20">
        <v>1.1399999999999999</v>
      </c>
      <c r="C20" s="15">
        <v>0.8115</v>
      </c>
      <c r="D20">
        <v>88</v>
      </c>
      <c r="G20" s="186">
        <f t="shared" si="0"/>
        <v>4.9601776645454389E-4</v>
      </c>
      <c r="J20">
        <v>16</v>
      </c>
      <c r="K20" t="s">
        <v>758</v>
      </c>
      <c r="L20">
        <v>88</v>
      </c>
      <c r="M20" s="268">
        <f t="shared" si="1"/>
        <v>4.9601776645454389E-4</v>
      </c>
      <c r="N20">
        <v>1.1399999999999999</v>
      </c>
      <c r="O20">
        <v>0.8115</v>
      </c>
      <c r="R20" s="62">
        <v>1</v>
      </c>
      <c r="S20">
        <v>1</v>
      </c>
      <c r="T20">
        <v>1</v>
      </c>
      <c r="U20">
        <v>1</v>
      </c>
      <c r="V20">
        <v>1</v>
      </c>
      <c r="W20">
        <v>1</v>
      </c>
      <c r="Z20" s="212" t="s">
        <v>779</v>
      </c>
      <c r="AA20" s="64" t="s">
        <v>801</v>
      </c>
      <c r="AB20" s="212">
        <v>0.95</v>
      </c>
      <c r="AC20" s="243">
        <v>1.8</v>
      </c>
      <c r="AD20" s="212">
        <v>0.5</v>
      </c>
      <c r="AE20" s="272">
        <f t="shared" si="2"/>
        <v>31.700314813457904</v>
      </c>
      <c r="AF20" s="266">
        <v>0.31700314813457903</v>
      </c>
      <c r="AG20" s="212"/>
    </row>
    <row r="21" spans="1:33" x14ac:dyDescent="0.2">
      <c r="A21" s="61" t="s">
        <v>759</v>
      </c>
      <c r="B21" s="15">
        <v>0.43478</v>
      </c>
      <c r="C21">
        <v>0.84</v>
      </c>
      <c r="D21">
        <v>184</v>
      </c>
      <c r="G21" s="186">
        <f t="shared" si="0"/>
        <v>1.0371280571322282E-3</v>
      </c>
      <c r="J21">
        <v>17</v>
      </c>
      <c r="K21" s="61" t="s">
        <v>759</v>
      </c>
      <c r="L21">
        <v>184</v>
      </c>
      <c r="M21" s="268">
        <f t="shared" si="1"/>
        <v>1.0371280571322282E-3</v>
      </c>
      <c r="N21">
        <v>0.43478</v>
      </c>
      <c r="O21">
        <v>0.84</v>
      </c>
      <c r="R21" s="62">
        <v>0.57999999999999996</v>
      </c>
      <c r="S21">
        <v>0.72985333333333302</v>
      </c>
      <c r="T21">
        <v>0.58231666666666704</v>
      </c>
      <c r="U21">
        <v>0.58231666666666704</v>
      </c>
      <c r="V21">
        <v>0.43478</v>
      </c>
      <c r="W21">
        <v>0.58231666666666704</v>
      </c>
      <c r="Z21" s="212" t="s">
        <v>792</v>
      </c>
      <c r="AA21" s="64" t="s">
        <v>802</v>
      </c>
      <c r="AB21" s="212">
        <v>0.95</v>
      </c>
      <c r="AC21" s="212">
        <v>1.5</v>
      </c>
      <c r="AD21" s="243">
        <v>0.2</v>
      </c>
      <c r="AE21" s="272">
        <f t="shared" si="2"/>
        <v>32.319047375333298</v>
      </c>
      <c r="AF21" s="266">
        <v>0.32319047375333299</v>
      </c>
      <c r="AG21" s="212"/>
    </row>
    <row r="22" spans="1:33" x14ac:dyDescent="0.2">
      <c r="A22" s="61" t="s">
        <v>482</v>
      </c>
      <c r="B22">
        <v>0.24</v>
      </c>
      <c r="C22">
        <v>3.04</v>
      </c>
      <c r="D22">
        <v>3503</v>
      </c>
      <c r="F22">
        <v>0.05</v>
      </c>
      <c r="G22" s="186">
        <f t="shared" si="0"/>
        <v>1.9744889044207584E-2</v>
      </c>
      <c r="J22">
        <v>18</v>
      </c>
      <c r="K22" t="s">
        <v>482</v>
      </c>
      <c r="L22">
        <v>3503</v>
      </c>
      <c r="M22" s="268">
        <f t="shared" si="1"/>
        <v>1.9744889044207584E-2</v>
      </c>
      <c r="N22">
        <v>0.24</v>
      </c>
      <c r="O22">
        <v>3.04</v>
      </c>
      <c r="Q22">
        <v>0.05</v>
      </c>
      <c r="R22" s="62">
        <v>0.24</v>
      </c>
      <c r="S22">
        <v>0</v>
      </c>
      <c r="T22">
        <v>0.12</v>
      </c>
      <c r="U22">
        <v>0.24</v>
      </c>
      <c r="V22">
        <v>0.05</v>
      </c>
      <c r="W22">
        <v>0.12</v>
      </c>
      <c r="Z22" s="212" t="s">
        <v>793</v>
      </c>
      <c r="AA22" s="64" t="s">
        <v>803</v>
      </c>
      <c r="AB22" s="264">
        <v>0.85</v>
      </c>
      <c r="AC22" s="214">
        <v>1.5</v>
      </c>
      <c r="AD22" s="214">
        <v>0.5</v>
      </c>
      <c r="AE22" s="272">
        <f t="shared" si="2"/>
        <v>31.700314813457904</v>
      </c>
      <c r="AF22" s="266">
        <v>0.31700314813457903</v>
      </c>
      <c r="AG22" s="212"/>
    </row>
    <row r="23" spans="1:33" x14ac:dyDescent="0.2">
      <c r="A23" s="61" t="s">
        <v>582</v>
      </c>
      <c r="B23" s="15">
        <v>1.2492799999999999</v>
      </c>
      <c r="D23">
        <v>593</v>
      </c>
      <c r="G23" s="186">
        <f t="shared" si="0"/>
        <v>3.3424833580402791E-3</v>
      </c>
      <c r="J23">
        <v>19</v>
      </c>
      <c r="K23" t="s">
        <v>582</v>
      </c>
      <c r="L23">
        <v>593</v>
      </c>
      <c r="M23" s="268">
        <f t="shared" si="1"/>
        <v>3.3424833580402791E-3</v>
      </c>
      <c r="N23">
        <v>1.2492799999999999</v>
      </c>
      <c r="R23" s="62">
        <v>1</v>
      </c>
      <c r="U23">
        <v>1</v>
      </c>
      <c r="V23">
        <v>1</v>
      </c>
      <c r="W23">
        <v>1</v>
      </c>
      <c r="Z23" s="212"/>
      <c r="AA23" s="212"/>
      <c r="AB23" s="212"/>
      <c r="AC23" s="212"/>
      <c r="AD23" s="212"/>
      <c r="AE23" s="272"/>
      <c r="AF23" s="212"/>
      <c r="AG23" s="212"/>
    </row>
    <row r="24" spans="1:33" x14ac:dyDescent="0.2">
      <c r="A24" s="61" t="s">
        <v>760</v>
      </c>
      <c r="D24">
        <v>902</v>
      </c>
      <c r="E24">
        <v>1.44</v>
      </c>
      <c r="G24" s="186">
        <f t="shared" si="0"/>
        <v>5.084182106159075E-3</v>
      </c>
      <c r="J24">
        <v>20</v>
      </c>
      <c r="K24" t="s">
        <v>760</v>
      </c>
      <c r="L24">
        <v>902</v>
      </c>
      <c r="M24" s="268">
        <f t="shared" si="1"/>
        <v>5.084182106159075E-3</v>
      </c>
      <c r="P24">
        <v>1.44</v>
      </c>
      <c r="R24" s="62">
        <v>1</v>
      </c>
      <c r="U24">
        <v>1</v>
      </c>
      <c r="V24">
        <v>1</v>
      </c>
      <c r="W24">
        <v>1</v>
      </c>
      <c r="Z24" s="212"/>
      <c r="AA24" s="243" t="s">
        <v>781</v>
      </c>
      <c r="AB24" s="212"/>
      <c r="AC24" s="212"/>
      <c r="AD24" s="212"/>
      <c r="AE24" s="272">
        <f t="shared" si="2"/>
        <v>17.9196145547395</v>
      </c>
      <c r="AF24" s="261">
        <f>MIN(AF8:AF20)</f>
        <v>0.17919614554739499</v>
      </c>
      <c r="AG24" s="212"/>
    </row>
    <row r="25" spans="1:33" x14ac:dyDescent="0.2">
      <c r="A25" s="61" t="s">
        <v>762</v>
      </c>
      <c r="D25">
        <v>420</v>
      </c>
      <c r="E25">
        <v>0.59</v>
      </c>
      <c r="G25" s="186">
        <f t="shared" si="0"/>
        <v>2.3673575217148688E-3</v>
      </c>
      <c r="J25">
        <v>21</v>
      </c>
      <c r="K25" t="s">
        <v>762</v>
      </c>
      <c r="L25">
        <v>420</v>
      </c>
      <c r="M25" s="268">
        <f t="shared" si="1"/>
        <v>2.3673575217148688E-3</v>
      </c>
      <c r="P25">
        <v>0.59</v>
      </c>
      <c r="R25" s="62">
        <v>0.59</v>
      </c>
      <c r="U25">
        <v>0.59</v>
      </c>
      <c r="V25">
        <v>0.59</v>
      </c>
      <c r="W25">
        <v>0.59</v>
      </c>
      <c r="Z25" s="212"/>
      <c r="AA25" s="243" t="s">
        <v>782</v>
      </c>
      <c r="AB25" s="212"/>
      <c r="AC25" s="212"/>
      <c r="AD25" s="212"/>
      <c r="AE25" s="272">
        <f t="shared" si="2"/>
        <v>54.392474057707197</v>
      </c>
      <c r="AF25" s="261">
        <f>MAX(AF8:AF20)</f>
        <v>0.54392474057707196</v>
      </c>
    </row>
    <row r="26" spans="1:33" x14ac:dyDescent="0.2">
      <c r="A26" s="61" t="s">
        <v>513</v>
      </c>
      <c r="D26">
        <v>134</v>
      </c>
      <c r="E26">
        <v>0.28000000000000003</v>
      </c>
      <c r="G26" s="186">
        <f t="shared" si="0"/>
        <v>7.5529978073760095E-4</v>
      </c>
      <c r="J26">
        <v>22</v>
      </c>
      <c r="K26" t="s">
        <v>513</v>
      </c>
      <c r="L26">
        <v>134</v>
      </c>
      <c r="M26" s="268">
        <f t="shared" si="1"/>
        <v>7.5529978073760095E-4</v>
      </c>
      <c r="P26">
        <v>0.28000000000000003</v>
      </c>
      <c r="R26" s="62">
        <v>0.28000000000000003</v>
      </c>
      <c r="U26">
        <v>0.28000000000000003</v>
      </c>
      <c r="V26">
        <v>0.28000000000000003</v>
      </c>
      <c r="W26">
        <v>0.28000000000000003</v>
      </c>
    </row>
    <row r="27" spans="1:33" x14ac:dyDescent="0.2">
      <c r="A27" s="61" t="s">
        <v>517</v>
      </c>
      <c r="D27">
        <v>674</v>
      </c>
      <c r="E27">
        <v>0.06</v>
      </c>
      <c r="F27">
        <v>0.02</v>
      </c>
      <c r="G27" s="186">
        <f t="shared" si="0"/>
        <v>3.7990451657995751E-3</v>
      </c>
      <c r="J27">
        <v>23</v>
      </c>
      <c r="K27" t="s">
        <v>517</v>
      </c>
      <c r="L27">
        <v>674</v>
      </c>
      <c r="M27" s="268">
        <f t="shared" si="1"/>
        <v>3.7990451657995751E-3</v>
      </c>
      <c r="P27">
        <v>0.06</v>
      </c>
      <c r="Q27">
        <v>0.02</v>
      </c>
      <c r="R27" s="62">
        <v>0.06</v>
      </c>
      <c r="U27">
        <v>0.06</v>
      </c>
      <c r="V27">
        <v>0.02</v>
      </c>
      <c r="W27">
        <v>0.06</v>
      </c>
    </row>
    <row r="28" spans="1:33" x14ac:dyDescent="0.2">
      <c r="A28" s="61" t="s">
        <v>477</v>
      </c>
      <c r="D28">
        <v>538</v>
      </c>
      <c r="E28">
        <v>0.31</v>
      </c>
      <c r="G28" s="186">
        <f t="shared" si="0"/>
        <v>3.0324722540061889E-3</v>
      </c>
      <c r="J28">
        <v>24</v>
      </c>
      <c r="K28" t="s">
        <v>477</v>
      </c>
      <c r="L28">
        <v>538</v>
      </c>
      <c r="M28" s="268">
        <f t="shared" si="1"/>
        <v>3.0324722540061889E-3</v>
      </c>
      <c r="P28">
        <v>0.31</v>
      </c>
      <c r="R28" s="62">
        <v>0.31</v>
      </c>
      <c r="U28">
        <v>0.31</v>
      </c>
      <c r="V28">
        <v>0.31</v>
      </c>
      <c r="W28">
        <v>0.31</v>
      </c>
      <c r="AA28" s="64" t="s">
        <v>819</v>
      </c>
      <c r="AE28" s="272">
        <f>AF28*100</f>
        <v>42.457159283705295</v>
      </c>
      <c r="AF28" s="15">
        <v>0.42457159283705298</v>
      </c>
      <c r="AG28" s="212"/>
    </row>
    <row r="29" spans="1:33" x14ac:dyDescent="0.2">
      <c r="A29" s="61" t="s">
        <v>763</v>
      </c>
      <c r="D29">
        <v>95</v>
      </c>
      <c r="E29">
        <v>0.47</v>
      </c>
      <c r="G29" s="186">
        <f t="shared" si="0"/>
        <v>5.3547372514979174E-4</v>
      </c>
      <c r="J29">
        <v>25</v>
      </c>
      <c r="K29" t="s">
        <v>763</v>
      </c>
      <c r="L29">
        <v>95</v>
      </c>
      <c r="M29" s="268">
        <f t="shared" si="1"/>
        <v>5.3547372514979174E-4</v>
      </c>
      <c r="P29">
        <v>0.47</v>
      </c>
      <c r="R29" s="62">
        <v>0.47</v>
      </c>
      <c r="U29">
        <v>0.47</v>
      </c>
      <c r="V29">
        <v>0.47</v>
      </c>
      <c r="W29">
        <v>0.47</v>
      </c>
    </row>
    <row r="30" spans="1:33" x14ac:dyDescent="0.2">
      <c r="A30" s="61" t="s">
        <v>479</v>
      </c>
      <c r="D30">
        <v>124</v>
      </c>
      <c r="E30">
        <v>0.41</v>
      </c>
      <c r="G30" s="186">
        <f t="shared" si="0"/>
        <v>6.9893412545867547E-4</v>
      </c>
      <c r="J30">
        <v>26</v>
      </c>
      <c r="K30" t="s">
        <v>479</v>
      </c>
      <c r="L30">
        <v>124</v>
      </c>
      <c r="M30" s="268">
        <f t="shared" si="1"/>
        <v>6.9893412545867547E-4</v>
      </c>
      <c r="P30">
        <v>0.41</v>
      </c>
      <c r="R30" s="62">
        <v>0.41</v>
      </c>
      <c r="U30">
        <v>0.41</v>
      </c>
      <c r="V30">
        <v>0.41</v>
      </c>
      <c r="W30">
        <v>0.41</v>
      </c>
    </row>
    <row r="33" spans="4:22" x14ac:dyDescent="0.2">
      <c r="D33" s="62">
        <f>SUM(D5:D30)</f>
        <v>177413</v>
      </c>
      <c r="L33">
        <f>SUM(L5:L30)</f>
        <v>177413</v>
      </c>
      <c r="R33">
        <f>SUMPRODUCT(R5:R30,L5:L30)/L33</f>
        <v>0.31715375987103533</v>
      </c>
      <c r="U33">
        <f>SUMPRODUCT(U5:U30,$L5:$L30)/$L33</f>
        <v>0.32981881168851906</v>
      </c>
      <c r="V33">
        <f>SUMPRODUCT(V5:V30,$L5:$L30)/$L33</f>
        <v>0.17919614554739505</v>
      </c>
    </row>
    <row r="34" spans="4:22" x14ac:dyDescent="0.2">
      <c r="Q34" s="61" t="s">
        <v>748</v>
      </c>
      <c r="R34">
        <f>(SUMPRODUCT(R13:R30,L13:L30)+SUMPRODUCT(R5:R11,L5:L11))/(L33-L12)</f>
        <v>0.46093627252267994</v>
      </c>
    </row>
    <row r="55" spans="14:14" x14ac:dyDescent="0.2">
      <c r="N55" s="61"/>
    </row>
    <row r="56" spans="14:14" x14ac:dyDescent="0.2">
      <c r="N56" s="61"/>
    </row>
    <row r="57" spans="14:14" x14ac:dyDescent="0.2">
      <c r="N57" s="6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193"/>
  <sheetViews>
    <sheetView topLeftCell="A18" zoomScale="90" zoomScaleNormal="90" workbookViewId="0">
      <pane xSplit="7905" ySplit="5310" topLeftCell="Q81"/>
      <selection activeCell="H20" sqref="H20"/>
      <selection pane="topRight" activeCell="S33" sqref="S33"/>
      <selection pane="bottomLeft" activeCell="A12" sqref="A12"/>
      <selection pane="bottomRight" activeCell="AI86" sqref="AI86"/>
    </sheetView>
  </sheetViews>
  <sheetFormatPr defaultRowHeight="12.75" x14ac:dyDescent="0.2"/>
  <cols>
    <col min="1" max="1" width="19.7109375" style="187" customWidth="1"/>
    <col min="2" max="2" width="18" style="61" customWidth="1"/>
    <col min="3" max="3" width="10.5703125" style="61" customWidth="1"/>
    <col min="4" max="4" width="8.28515625" customWidth="1"/>
    <col min="6" max="7" width="9.140625" hidden="1" customWidth="1"/>
    <col min="8" max="8" width="6.7109375" customWidth="1"/>
    <col min="9" max="11" width="11.5703125" hidden="1" customWidth="1"/>
    <col min="12" max="12" width="7.140625" customWidth="1"/>
    <col min="13" max="13" width="9.140625" customWidth="1"/>
    <col min="15" max="15" width="9.140625" customWidth="1"/>
    <col min="21" max="25" width="11.5703125" customWidth="1"/>
    <col min="26" max="30" width="9.140625" customWidth="1"/>
    <col min="32" max="32" width="9.140625" style="105"/>
    <col min="33" max="35" width="9.140625" style="132" customWidth="1"/>
    <col min="36" max="36" width="9.140625" customWidth="1"/>
    <col min="41" max="41" width="9.140625" customWidth="1"/>
    <col min="43" max="46" width="11.140625" customWidth="1"/>
    <col min="55" max="55" width="14.85546875" bestFit="1" customWidth="1"/>
    <col min="56" max="56" width="13" bestFit="1" customWidth="1"/>
  </cols>
  <sheetData>
    <row r="1" spans="1:49" x14ac:dyDescent="0.2">
      <c r="M1" s="215" t="s">
        <v>548</v>
      </c>
      <c r="AM1" s="234" t="s">
        <v>574</v>
      </c>
      <c r="AN1" s="244"/>
    </row>
    <row r="2" spans="1:49" x14ac:dyDescent="0.2">
      <c r="B2" s="159" t="s">
        <v>572</v>
      </c>
      <c r="C2" s="159">
        <v>0.5</v>
      </c>
      <c r="AM2" s="234">
        <v>1.5</v>
      </c>
      <c r="AN2" s="244"/>
    </row>
    <row r="3" spans="1:49" x14ac:dyDescent="0.2">
      <c r="B3" s="159" t="s">
        <v>573</v>
      </c>
      <c r="C3" s="159">
        <v>0.25</v>
      </c>
      <c r="E3" s="61" t="s">
        <v>745</v>
      </c>
      <c r="AP3" s="234" t="s">
        <v>602</v>
      </c>
    </row>
    <row r="4" spans="1:49" x14ac:dyDescent="0.2">
      <c r="F4" s="61" t="s">
        <v>275</v>
      </c>
      <c r="G4" s="61" t="s">
        <v>276</v>
      </c>
      <c r="AC4" s="101"/>
      <c r="AD4" s="101"/>
      <c r="AE4" s="101"/>
      <c r="AF4" s="104" t="s">
        <v>287</v>
      </c>
      <c r="AG4" s="130"/>
      <c r="AH4" s="130"/>
      <c r="AI4" s="130"/>
      <c r="AJ4" s="69"/>
      <c r="AK4" s="69"/>
      <c r="AL4" s="245"/>
      <c r="AM4" s="245"/>
      <c r="AN4" s="160" t="s">
        <v>603</v>
      </c>
      <c r="AO4" s="160" t="s">
        <v>604</v>
      </c>
      <c r="AP4" s="234" t="s">
        <v>601</v>
      </c>
      <c r="AQ4" s="65" t="s">
        <v>746</v>
      </c>
      <c r="AR4" s="65"/>
      <c r="AS4" s="65" t="s">
        <v>747</v>
      </c>
      <c r="AT4" s="65"/>
      <c r="AU4" s="69"/>
      <c r="AV4" s="69"/>
    </row>
    <row r="5" spans="1:49" x14ac:dyDescent="0.2">
      <c r="A5" s="187" t="s">
        <v>242</v>
      </c>
      <c r="E5" s="64" t="s">
        <v>677</v>
      </c>
      <c r="F5" s="212"/>
      <c r="G5" s="212"/>
      <c r="H5" s="212"/>
      <c r="I5" s="212"/>
      <c r="J5" s="212"/>
      <c r="K5" s="212"/>
      <c r="L5" s="212"/>
      <c r="M5" s="212"/>
      <c r="N5" s="212"/>
      <c r="O5" s="212"/>
      <c r="P5" s="212"/>
      <c r="Q5" s="212"/>
      <c r="R5" s="212"/>
      <c r="S5" s="212"/>
      <c r="T5" s="64"/>
      <c r="U5" s="66" t="s">
        <v>678</v>
      </c>
      <c r="V5" s="66"/>
      <c r="W5" s="82"/>
      <c r="X5" s="82"/>
      <c r="Y5" s="82"/>
      <c r="Z5" s="82"/>
      <c r="AA5" s="82"/>
      <c r="AB5" s="82"/>
      <c r="AC5" s="82"/>
      <c r="AD5" s="82"/>
      <c r="AE5" s="82"/>
      <c r="AF5" s="248" t="s">
        <v>316</v>
      </c>
      <c r="AG5" s="221"/>
      <c r="AH5" s="221"/>
      <c r="AI5" s="248" t="s">
        <v>686</v>
      </c>
      <c r="AJ5" s="65" t="s">
        <v>494</v>
      </c>
      <c r="AP5" s="212"/>
      <c r="AU5" s="65" t="s">
        <v>357</v>
      </c>
      <c r="AW5" s="61" t="s">
        <v>339</v>
      </c>
    </row>
    <row r="6" spans="1:49" x14ac:dyDescent="0.2">
      <c r="A6" s="188" t="s">
        <v>264</v>
      </c>
      <c r="B6" s="67"/>
      <c r="C6" s="67" t="s">
        <v>537</v>
      </c>
      <c r="D6" s="67" t="s">
        <v>265</v>
      </c>
      <c r="E6" s="64" t="s">
        <v>267</v>
      </c>
      <c r="F6" s="64" t="s">
        <v>317</v>
      </c>
      <c r="G6" s="64" t="s">
        <v>318</v>
      </c>
      <c r="H6" s="64" t="s">
        <v>271</v>
      </c>
      <c r="I6" s="64" t="s">
        <v>270</v>
      </c>
      <c r="J6" s="64" t="s">
        <v>283</v>
      </c>
      <c r="K6" s="64" t="s">
        <v>277</v>
      </c>
      <c r="L6" s="64" t="s">
        <v>273</v>
      </c>
      <c r="M6" s="64" t="s">
        <v>269</v>
      </c>
      <c r="N6" s="65" t="s">
        <v>279</v>
      </c>
      <c r="O6" s="65" t="s">
        <v>280</v>
      </c>
      <c r="P6" s="65" t="s">
        <v>323</v>
      </c>
      <c r="Q6" s="65" t="s">
        <v>268</v>
      </c>
      <c r="R6" s="65" t="s">
        <v>274</v>
      </c>
      <c r="S6" s="61" t="s">
        <v>667</v>
      </c>
      <c r="T6" s="65" t="s">
        <v>281</v>
      </c>
      <c r="U6" s="66" t="s">
        <v>464</v>
      </c>
      <c r="V6" s="66" t="s">
        <v>465</v>
      </c>
      <c r="W6" s="66" t="s">
        <v>282</v>
      </c>
      <c r="X6" s="66" t="s">
        <v>546</v>
      </c>
      <c r="Y6" s="66" t="s">
        <v>547</v>
      </c>
      <c r="Z6" s="66" t="s">
        <v>509</v>
      </c>
      <c r="AA6" s="66" t="s">
        <v>453</v>
      </c>
      <c r="AB6" s="66" t="s">
        <v>461</v>
      </c>
      <c r="AC6" s="65" t="s">
        <v>466</v>
      </c>
      <c r="AD6" s="65" t="s">
        <v>551</v>
      </c>
      <c r="AE6" s="65" t="s">
        <v>550</v>
      </c>
      <c r="AF6" s="106" t="s">
        <v>540</v>
      </c>
      <c r="AG6" s="134" t="s">
        <v>344</v>
      </c>
      <c r="AH6" s="134" t="s">
        <v>539</v>
      </c>
      <c r="AI6" s="224" t="s">
        <v>686</v>
      </c>
      <c r="AL6" s="61" t="s">
        <v>734</v>
      </c>
      <c r="AM6" s="61" t="s">
        <v>733</v>
      </c>
      <c r="AN6" s="61" t="s">
        <v>575</v>
      </c>
      <c r="AP6" s="212"/>
      <c r="AQ6" s="61" t="s">
        <v>575</v>
      </c>
    </row>
    <row r="7" spans="1:49" ht="15.75" x14ac:dyDescent="0.2">
      <c r="A7" s="110" t="s">
        <v>243</v>
      </c>
      <c r="B7" s="109" t="s">
        <v>518</v>
      </c>
      <c r="C7" s="109" t="s">
        <v>538</v>
      </c>
      <c r="D7" s="65" t="s">
        <v>278</v>
      </c>
      <c r="E7">
        <f>G7/0.8</f>
        <v>60000</v>
      </c>
      <c r="F7">
        <v>24000</v>
      </c>
      <c r="G7">
        <f>2*F7</f>
        <v>48000</v>
      </c>
      <c r="H7">
        <v>0.2</v>
      </c>
      <c r="I7">
        <v>0.2</v>
      </c>
      <c r="J7">
        <v>0.2</v>
      </c>
      <c r="K7" t="s">
        <v>284</v>
      </c>
      <c r="L7" s="97">
        <v>1</v>
      </c>
      <c r="M7" s="215">
        <v>22</v>
      </c>
      <c r="N7">
        <v>10600</v>
      </c>
      <c r="O7">
        <v>0.34</v>
      </c>
      <c r="P7">
        <v>2008</v>
      </c>
      <c r="Q7" s="61">
        <v>41</v>
      </c>
      <c r="R7" s="61">
        <v>11</v>
      </c>
      <c r="S7" s="61" t="s">
        <v>663</v>
      </c>
      <c r="T7" s="61"/>
      <c r="Z7" s="24"/>
      <c r="AA7" s="24"/>
      <c r="AB7" s="24"/>
      <c r="AC7" s="15"/>
      <c r="AD7" s="15"/>
      <c r="AE7" s="15"/>
      <c r="AF7" s="136">
        <f>N7/E7</f>
        <v>0.17666666666666667</v>
      </c>
      <c r="AG7" s="137"/>
      <c r="AH7" s="137"/>
      <c r="AI7" s="137">
        <f>O7/H7</f>
        <v>1.7</v>
      </c>
      <c r="AJ7" s="24">
        <f>'landings Sylvie'!$B$72</f>
        <v>17067.339285714286</v>
      </c>
      <c r="AM7" s="15">
        <f>IF(AF7&gt;=0.95,IF(AF7&lt;=$AM$2,1,MAX(1-$C$2*(AF7-$AM$2),$C$3)),AF7)</f>
        <v>0.17666666666666667</v>
      </c>
      <c r="AN7" s="15">
        <f>AM7</f>
        <v>0.17666666666666667</v>
      </c>
      <c r="AO7" s="15">
        <f>AN7^(AJ7/1000)</f>
        <v>1.4155733650101887E-13</v>
      </c>
      <c r="AP7" s="212">
        <f>AN7*AJ7/$AJ$91</f>
        <v>1.6995591146410291E-2</v>
      </c>
      <c r="AQ7" s="15">
        <f>IF(AG9&gt;=0.95,IF(AG9&lt;=$AM$2,1,MAX(1-$C$2*(AG9-$AM$2),$C$3)),AG9)</f>
        <v>0.1488713934884339</v>
      </c>
      <c r="AR7" s="258">
        <f>AQ7*AJ7/$AJ$91</f>
        <v>1.4321645304485603E-2</v>
      </c>
      <c r="AS7" s="259">
        <f>IF(AH8&gt;=0.95,IF(AH8&lt;=$AM$2,1,MAX(1-$C$2*(AH8-$AM$2),$C$3)),AH8)</f>
        <v>0.11123576463154938</v>
      </c>
      <c r="AT7" s="258">
        <f>AS7*AJ7/$AJ$91</f>
        <v>1.0701042886053622E-2</v>
      </c>
      <c r="AW7" t="s">
        <v>301</v>
      </c>
    </row>
    <row r="8" spans="1:49" ht="15.75" x14ac:dyDescent="0.2">
      <c r="A8" s="110"/>
      <c r="B8" s="109"/>
      <c r="C8" s="109" t="s">
        <v>539</v>
      </c>
      <c r="D8" s="65" t="s">
        <v>278</v>
      </c>
      <c r="E8">
        <f>U8/2</f>
        <v>145071.5</v>
      </c>
      <c r="M8" s="61"/>
      <c r="Q8" s="61"/>
      <c r="R8" s="61"/>
      <c r="S8" s="61"/>
      <c r="T8" s="61"/>
      <c r="U8">
        <v>290143</v>
      </c>
      <c r="V8">
        <v>0.27100000000000002</v>
      </c>
      <c r="W8">
        <v>19667</v>
      </c>
      <c r="X8">
        <v>18262</v>
      </c>
      <c r="Y8">
        <v>21181</v>
      </c>
      <c r="Z8" s="24">
        <v>4132</v>
      </c>
      <c r="AA8" s="117">
        <v>2008</v>
      </c>
      <c r="AB8" s="120" t="s">
        <v>463</v>
      </c>
      <c r="AC8" s="15">
        <f>Z8/W8</f>
        <v>0.2100981339299334</v>
      </c>
      <c r="AD8" s="241">
        <f>1-(1-$AC8)^0.5</f>
        <v>0.11123576463154938</v>
      </c>
      <c r="AE8" s="140">
        <f>1+(1-$AC8)^0.5</f>
        <v>1.8887642353684506</v>
      </c>
      <c r="AF8" s="136"/>
      <c r="AG8" s="137"/>
      <c r="AH8" s="137">
        <f>AD8</f>
        <v>0.11123576463154938</v>
      </c>
      <c r="AJ8" s="24"/>
      <c r="AP8" s="212"/>
    </row>
    <row r="9" spans="1:49" ht="15.75" x14ac:dyDescent="0.2">
      <c r="A9" s="110"/>
      <c r="B9" s="109"/>
      <c r="C9" s="109" t="s">
        <v>344</v>
      </c>
      <c r="D9" s="65" t="s">
        <v>441</v>
      </c>
      <c r="E9">
        <f>AVERAGE('[1]assessment biomass'!$B$2:$B$40)</f>
        <v>22016.580977692305</v>
      </c>
      <c r="L9" s="61">
        <v>2</v>
      </c>
      <c r="M9" s="61">
        <v>23</v>
      </c>
      <c r="N9" s="84">
        <f>'[1]assessment biomass'!$B$40</f>
        <v>3277.6390899999997</v>
      </c>
      <c r="P9">
        <v>2008</v>
      </c>
      <c r="Q9" s="61">
        <v>2</v>
      </c>
      <c r="R9" s="61"/>
      <c r="S9" s="61" t="s">
        <v>664</v>
      </c>
      <c r="T9" s="61"/>
      <c r="Z9" s="24"/>
      <c r="AA9" s="24"/>
      <c r="AB9" s="24"/>
      <c r="AC9" s="15"/>
      <c r="AD9" s="15"/>
      <c r="AE9" s="140"/>
      <c r="AF9" s="136"/>
      <c r="AG9" s="136">
        <f>N9/E9</f>
        <v>0.1488713934884339</v>
      </c>
      <c r="AH9" s="137"/>
      <c r="AI9" s="137"/>
      <c r="AJ9" s="24"/>
      <c r="AP9" s="212"/>
    </row>
    <row r="10" spans="1:49" ht="15.75" x14ac:dyDescent="0.2">
      <c r="A10" s="110"/>
      <c r="B10" s="109"/>
      <c r="C10" s="109" t="s">
        <v>344</v>
      </c>
      <c r="D10" s="65" t="s">
        <v>441</v>
      </c>
      <c r="L10" s="61">
        <v>2</v>
      </c>
      <c r="M10" s="61">
        <v>23</v>
      </c>
      <c r="N10" s="84">
        <f>AVERAGE('[1]assessment biomass'!$B$44:$B$46)</f>
        <v>2612.753792449203</v>
      </c>
      <c r="P10" s="61" t="s">
        <v>492</v>
      </c>
      <c r="Q10" s="61">
        <v>2</v>
      </c>
      <c r="R10" s="61"/>
      <c r="S10" s="61" t="s">
        <v>664</v>
      </c>
      <c r="T10" s="61"/>
      <c r="Z10" s="24"/>
      <c r="AA10" s="24"/>
      <c r="AB10" s="24"/>
      <c r="AC10" s="15"/>
      <c r="AD10" s="15"/>
      <c r="AE10" s="140"/>
      <c r="AF10" s="136"/>
      <c r="AG10" s="136">
        <f>N10/E9</f>
        <v>0.11867209514031737</v>
      </c>
      <c r="AH10" s="137"/>
      <c r="AI10" s="137"/>
      <c r="AJ10" s="24"/>
      <c r="AP10" s="212"/>
    </row>
    <row r="11" spans="1:49" ht="15.75" x14ac:dyDescent="0.2">
      <c r="A11" s="189"/>
      <c r="B11" s="122"/>
      <c r="C11" s="122"/>
      <c r="D11" s="97"/>
      <c r="L11" s="61"/>
      <c r="M11" s="61"/>
      <c r="P11" s="61"/>
      <c r="Q11" s="61"/>
      <c r="R11" s="61"/>
      <c r="S11" s="61"/>
      <c r="T11" s="61"/>
      <c r="Z11" s="24"/>
      <c r="AA11" s="24"/>
      <c r="AB11" s="24"/>
      <c r="AC11" s="15"/>
      <c r="AD11" s="15"/>
      <c r="AE11" s="140"/>
      <c r="AF11" s="136"/>
      <c r="AG11" s="137"/>
      <c r="AH11" s="137"/>
      <c r="AI11" s="137"/>
      <c r="AJ11" s="24"/>
      <c r="AP11" s="212"/>
    </row>
    <row r="12" spans="1:49" ht="15.75" x14ac:dyDescent="0.2">
      <c r="A12" s="110" t="s">
        <v>249</v>
      </c>
      <c r="B12" s="109" t="s">
        <v>525</v>
      </c>
      <c r="C12" s="109" t="s">
        <v>554</v>
      </c>
      <c r="D12" t="s">
        <v>250</v>
      </c>
      <c r="E12">
        <v>39000</v>
      </c>
      <c r="F12" s="61" t="s">
        <v>571</v>
      </c>
      <c r="H12" s="61" t="s">
        <v>449</v>
      </c>
      <c r="K12" s="61"/>
      <c r="L12" s="61">
        <v>3</v>
      </c>
      <c r="M12" s="61">
        <v>24</v>
      </c>
      <c r="N12">
        <f>AVERAGE('[1]assessment biomass'!$AL$42:$AL$46)</f>
        <v>11426.220710066262</v>
      </c>
      <c r="O12" s="61" t="s">
        <v>656</v>
      </c>
      <c r="P12" s="61" t="s">
        <v>492</v>
      </c>
      <c r="Q12" s="61">
        <v>2</v>
      </c>
      <c r="S12" s="61" t="s">
        <v>664</v>
      </c>
      <c r="T12" s="61">
        <v>52</v>
      </c>
      <c r="Z12" s="24"/>
      <c r="AA12" s="24"/>
      <c r="AB12" s="24"/>
      <c r="AC12" s="15"/>
      <c r="AD12" s="15"/>
      <c r="AE12" s="140"/>
      <c r="AF12" s="141">
        <f>N12/E12</f>
        <v>0.29298001820682723</v>
      </c>
      <c r="AG12" s="142"/>
      <c r="AH12" s="142"/>
      <c r="AI12" s="142" t="s">
        <v>656</v>
      </c>
      <c r="AJ12" s="121">
        <f>'landings Sylvie'!F72</f>
        <v>10643.172413793103</v>
      </c>
      <c r="AM12" s="15">
        <f>IF(AF12&gt;=0.95,IF(AF12&lt;=$AM$2,1,MAX(1-$C$2*(AF12-$AM$2),$C$3)),AF12)</f>
        <v>0.29298001820682723</v>
      </c>
      <c r="AN12" s="15">
        <f>AM12</f>
        <v>0.29298001820682723</v>
      </c>
      <c r="AO12" s="15">
        <f>AN12^(AJ12/1000)</f>
        <v>2.1157528138893181E-6</v>
      </c>
      <c r="AP12" s="212">
        <f>AN12*AJ12/$AJ$91</f>
        <v>1.7576198036368326E-2</v>
      </c>
      <c r="AR12">
        <f>AP12</f>
        <v>1.7576198036368326E-2</v>
      </c>
      <c r="AS12" s="259">
        <f>IF(AH15&gt;=0.95,IF(AH15&lt;=$AM$2,1,MAX(1-$C$2*(AH15-$AM$2),$C$3)),AH15)</f>
        <v>0.13337181754669913</v>
      </c>
      <c r="AT12" s="258">
        <f>AS12*AJ12/$AJ$91</f>
        <v>8.0011240767154223E-3</v>
      </c>
      <c r="AW12" s="61" t="s">
        <v>340</v>
      </c>
    </row>
    <row r="13" spans="1:49" ht="15.75" hidden="1" x14ac:dyDescent="0.2">
      <c r="A13" s="110"/>
      <c r="B13" s="109"/>
      <c r="C13" s="109"/>
      <c r="D13" t="s">
        <v>250</v>
      </c>
      <c r="E13">
        <v>34000</v>
      </c>
      <c r="L13" t="s">
        <v>342</v>
      </c>
      <c r="Q13" s="61"/>
      <c r="S13" s="61" t="s">
        <v>341</v>
      </c>
      <c r="AC13" s="15"/>
      <c r="AD13" s="15"/>
      <c r="AE13" s="140"/>
      <c r="AF13" s="143" t="s">
        <v>139</v>
      </c>
      <c r="AG13" s="144"/>
      <c r="AH13" s="144"/>
      <c r="AI13" s="144"/>
      <c r="AP13" s="212"/>
    </row>
    <row r="14" spans="1:49" ht="15.75" hidden="1" x14ac:dyDescent="0.2">
      <c r="A14" s="110"/>
      <c r="B14" s="109"/>
      <c r="C14" s="109" t="s">
        <v>344</v>
      </c>
      <c r="D14" t="s">
        <v>250</v>
      </c>
      <c r="E14">
        <f>GEOMEAN('[1]assessment biomass'!$AL$16:$AL$25)</f>
        <v>44252.7006921184</v>
      </c>
      <c r="N14">
        <f>GEOMEAN('[1]assessment biomass'!$AL$42:$AL$46)</f>
        <v>9595.0024389249338</v>
      </c>
      <c r="P14" s="61" t="s">
        <v>492</v>
      </c>
      <c r="Q14" s="61"/>
      <c r="R14" s="61"/>
      <c r="S14" s="61"/>
      <c r="Z14" s="24"/>
      <c r="AA14" s="24"/>
      <c r="AB14" s="24"/>
      <c r="AC14" s="15"/>
      <c r="AD14" s="15"/>
      <c r="AE14" s="140"/>
      <c r="AF14" s="136">
        <f>N14/E14</f>
        <v>0.21682298004094122</v>
      </c>
      <c r="AG14" s="145"/>
      <c r="AH14" s="145"/>
      <c r="AI14" s="145"/>
      <c r="AJ14" s="24"/>
      <c r="AP14" s="212"/>
    </row>
    <row r="15" spans="1:49" ht="15.75" x14ac:dyDescent="0.2">
      <c r="A15" s="110"/>
      <c r="B15" s="109"/>
      <c r="C15" s="109" t="s">
        <v>539</v>
      </c>
      <c r="D15" t="s">
        <v>250</v>
      </c>
      <c r="P15" s="61"/>
      <c r="Q15" s="61"/>
      <c r="R15" s="61"/>
      <c r="S15" s="61"/>
      <c r="U15">
        <v>172243</v>
      </c>
      <c r="V15">
        <v>0.3</v>
      </c>
      <c r="W15">
        <v>12926</v>
      </c>
      <c r="X15">
        <v>10272</v>
      </c>
      <c r="Y15">
        <v>16267</v>
      </c>
      <c r="Z15" s="24">
        <v>3218</v>
      </c>
      <c r="AA15" s="24">
        <v>2010</v>
      </c>
      <c r="AB15" s="121" t="s">
        <v>463</v>
      </c>
      <c r="AC15" s="15">
        <f>Z15/W15</f>
        <v>0.24895559337768838</v>
      </c>
      <c r="AD15" s="239">
        <f>1-(1-$AC15)^0.5</f>
        <v>0.13337181754669913</v>
      </c>
      <c r="AE15" s="140">
        <f>1+(1-$AC15)^0.5</f>
        <v>1.8666281824533009</v>
      </c>
      <c r="AF15" s="136"/>
      <c r="AG15" s="137"/>
      <c r="AH15" s="137">
        <f>AD15</f>
        <v>0.13337181754669913</v>
      </c>
      <c r="AI15" s="137"/>
      <c r="AJ15" s="24"/>
      <c r="AP15" s="212"/>
    </row>
    <row r="16" spans="1:49" ht="15.75" x14ac:dyDescent="0.2">
      <c r="A16" s="189"/>
      <c r="B16" s="122"/>
      <c r="C16" s="122"/>
      <c r="P16" s="61"/>
      <c r="Q16" s="61"/>
      <c r="R16" s="61"/>
      <c r="S16" s="61"/>
      <c r="Z16" s="24"/>
      <c r="AA16" s="24"/>
      <c r="AB16" s="121"/>
      <c r="AC16" s="15"/>
      <c r="AD16" s="17"/>
      <c r="AE16" s="140"/>
      <c r="AF16" s="136"/>
      <c r="AG16" s="137"/>
      <c r="AH16" s="137"/>
      <c r="AI16" s="137"/>
      <c r="AJ16" s="24"/>
      <c r="AP16" s="212"/>
    </row>
    <row r="17" spans="1:47" ht="15.75" x14ac:dyDescent="0.2">
      <c r="A17" s="110" t="s">
        <v>346</v>
      </c>
      <c r="B17" s="109" t="s">
        <v>521</v>
      </c>
      <c r="C17" s="109" t="s">
        <v>538</v>
      </c>
      <c r="D17" s="65" t="s">
        <v>347</v>
      </c>
      <c r="E17">
        <f>G17/0.8</f>
        <v>33.25</v>
      </c>
      <c r="F17" s="61"/>
      <c r="G17">
        <v>26.6</v>
      </c>
      <c r="L17" s="61" t="s">
        <v>610</v>
      </c>
      <c r="M17" s="61">
        <v>25</v>
      </c>
      <c r="N17">
        <v>18.2</v>
      </c>
      <c r="O17" s="61" t="s">
        <v>656</v>
      </c>
      <c r="P17" s="61" t="s">
        <v>348</v>
      </c>
      <c r="Q17" s="61">
        <v>42</v>
      </c>
      <c r="R17">
        <v>1</v>
      </c>
      <c r="S17" s="61" t="s">
        <v>665</v>
      </c>
      <c r="T17" s="61"/>
      <c r="Z17" s="24"/>
      <c r="AA17" s="24"/>
      <c r="AB17" s="24"/>
      <c r="AC17" s="15"/>
      <c r="AD17" s="15"/>
      <c r="AE17" s="140"/>
      <c r="AF17" s="146">
        <f>N17/E17</f>
        <v>0.5473684210526315</v>
      </c>
      <c r="AG17" s="147"/>
      <c r="AH17" s="147"/>
      <c r="AI17" s="142" t="s">
        <v>656</v>
      </c>
      <c r="AJ17" s="24">
        <f>'landings Sylvie'!$C$72</f>
        <v>2894.5135135135133</v>
      </c>
      <c r="AK17" t="s">
        <v>355</v>
      </c>
      <c r="AM17" s="15">
        <f>IF(AF17&gt;=0.95,IF(AF17&lt;=$AM$2,1,MAX(1-$C$2*(AF17-$AM$2),$C$3)),AF17)</f>
        <v>0.5473684210526315</v>
      </c>
      <c r="AN17" s="15">
        <f>AM17</f>
        <v>0.5473684210526315</v>
      </c>
      <c r="AO17" s="15">
        <f>AN17^(AJ17/1000)</f>
        <v>0.17476206426045587</v>
      </c>
      <c r="AP17" s="212">
        <f>AN17*AJ17/$AJ$91</f>
        <v>8.9304050617346458E-3</v>
      </c>
      <c r="AR17">
        <f>AP17</f>
        <v>8.9304050617346458E-3</v>
      </c>
      <c r="AS17" s="259">
        <f>IF(AH18&gt;=0.95,IF(AH18&lt;=$AM$2,1,MAX(1-$C$2*(AH18-$AM$2),$C$3)),AH18)</f>
        <v>6.1252115059221658E-2</v>
      </c>
      <c r="AT17" s="258">
        <f>AS17*AJ17/$AJ$91</f>
        <v>9.9933824701631691E-4</v>
      </c>
      <c r="AU17" s="61" t="s">
        <v>358</v>
      </c>
    </row>
    <row r="18" spans="1:47" ht="15.75" x14ac:dyDescent="0.2">
      <c r="A18" s="110"/>
      <c r="B18" s="109"/>
      <c r="C18" s="109" t="s">
        <v>539</v>
      </c>
      <c r="D18" s="65" t="s">
        <v>692</v>
      </c>
      <c r="F18" s="61"/>
      <c r="M18" s="61"/>
      <c r="O18" s="61"/>
      <c r="P18" s="61"/>
      <c r="Q18" s="61"/>
      <c r="T18" s="61"/>
      <c r="U18">
        <v>98748</v>
      </c>
      <c r="V18">
        <v>0.12</v>
      </c>
      <c r="W18">
        <v>2955</v>
      </c>
      <c r="X18">
        <v>1897</v>
      </c>
      <c r="Y18">
        <v>4605</v>
      </c>
      <c r="Z18" s="24">
        <v>181</v>
      </c>
      <c r="AA18" s="24">
        <v>2006</v>
      </c>
      <c r="AB18" s="121" t="s">
        <v>522</v>
      </c>
      <c r="AC18" s="15">
        <f>Z18/W18</f>
        <v>6.1252115059221658E-2</v>
      </c>
      <c r="AD18" s="241">
        <f>1-(1-$AC18)^0.5</f>
        <v>3.1109972731281355E-2</v>
      </c>
      <c r="AE18" s="140"/>
      <c r="AF18" s="146"/>
      <c r="AG18" s="147"/>
      <c r="AH18" s="147">
        <f>AC18</f>
        <v>6.1252115059221658E-2</v>
      </c>
      <c r="AI18" s="147"/>
      <c r="AJ18" s="24"/>
      <c r="AP18" s="212"/>
      <c r="AU18" s="61"/>
    </row>
    <row r="19" spans="1:47" s="101" customFormat="1" ht="15.75" x14ac:dyDescent="0.2">
      <c r="A19" s="189"/>
      <c r="B19" s="122"/>
      <c r="C19" s="122"/>
      <c r="D19" s="97"/>
      <c r="F19" s="97"/>
      <c r="M19" s="97"/>
      <c r="O19" s="97"/>
      <c r="P19" s="97"/>
      <c r="Q19" s="97"/>
      <c r="T19" s="97"/>
      <c r="Z19" s="102"/>
      <c r="AA19" s="102"/>
      <c r="AB19" s="123"/>
      <c r="AC19" s="140"/>
      <c r="AD19" s="140"/>
      <c r="AE19" s="140"/>
      <c r="AF19" s="148"/>
      <c r="AG19" s="149"/>
      <c r="AH19" s="149"/>
      <c r="AI19" s="149"/>
      <c r="AJ19" s="102"/>
      <c r="AP19" s="212"/>
      <c r="AU19" s="97"/>
    </row>
    <row r="20" spans="1:47" ht="15.75" x14ac:dyDescent="0.2">
      <c r="A20" s="190" t="s">
        <v>245</v>
      </c>
      <c r="B20" s="61" t="s">
        <v>519</v>
      </c>
      <c r="C20" s="61" t="s">
        <v>538</v>
      </c>
      <c r="D20" t="s">
        <v>246</v>
      </c>
      <c r="E20">
        <f>G20/0.8</f>
        <v>4900</v>
      </c>
      <c r="F20">
        <v>1960</v>
      </c>
      <c r="G20">
        <v>3920</v>
      </c>
      <c r="H20">
        <v>0.36</v>
      </c>
      <c r="I20">
        <v>0.2</v>
      </c>
      <c r="K20" s="61" t="s">
        <v>285</v>
      </c>
      <c r="L20">
        <v>1</v>
      </c>
      <c r="M20" s="215">
        <v>26</v>
      </c>
      <c r="N20">
        <f>6527</f>
        <v>6527</v>
      </c>
      <c r="O20">
        <v>0.2</v>
      </c>
      <c r="P20">
        <v>2009</v>
      </c>
      <c r="Q20" s="61">
        <v>43</v>
      </c>
      <c r="R20" s="61">
        <v>12</v>
      </c>
      <c r="S20" s="61" t="s">
        <v>663</v>
      </c>
      <c r="T20" s="61">
        <v>53</v>
      </c>
      <c r="W20">
        <v>1945</v>
      </c>
      <c r="Z20" s="24"/>
      <c r="AA20" s="24"/>
      <c r="AB20" s="24"/>
      <c r="AC20" s="15"/>
      <c r="AD20" s="15"/>
      <c r="AE20" s="140"/>
      <c r="AF20" s="136">
        <f>N20/E20</f>
        <v>1.3320408163265307</v>
      </c>
      <c r="AG20" s="137"/>
      <c r="AH20" s="137"/>
      <c r="AI20" s="137">
        <f>O20/H20</f>
        <v>0.55555555555555558</v>
      </c>
      <c r="AJ20" s="24">
        <f>'landings Sylvie'!$S$72</f>
        <v>507.73469387755102</v>
      </c>
      <c r="AM20" s="15">
        <f>IF(AF20&gt;=0.95,IF(AF20&lt;=$AM$2,1,MAX(1-$C$2*(AF20-$AM$2),$C$3)),AF20)</f>
        <v>1</v>
      </c>
      <c r="AN20" s="15">
        <f>AM20</f>
        <v>1</v>
      </c>
      <c r="AO20" s="15">
        <f>AN20^(AJ20/1000)</f>
        <v>1</v>
      </c>
      <c r="AP20" s="212">
        <f>AN20*AJ20/$AJ$91</f>
        <v>2.861888293211841E-3</v>
      </c>
      <c r="AR20">
        <f>AP20</f>
        <v>2.861888293211841E-3</v>
      </c>
    </row>
    <row r="21" spans="1:47" ht="15.75" hidden="1" x14ac:dyDescent="0.2">
      <c r="A21" s="190"/>
      <c r="B21" s="108"/>
      <c r="C21" s="108" t="s">
        <v>344</v>
      </c>
      <c r="E21" s="67">
        <f>AVERAGE('[1]assessment biomass'!$DB$2:$DB$46)</f>
        <v>3631.1232647257898</v>
      </c>
      <c r="F21" s="68"/>
      <c r="G21" s="68"/>
      <c r="H21" s="68">
        <v>0.19</v>
      </c>
      <c r="I21" s="68"/>
      <c r="J21" s="68">
        <v>0.12</v>
      </c>
      <c r="K21" s="67" t="s">
        <v>286</v>
      </c>
      <c r="L21" s="68" t="s">
        <v>345</v>
      </c>
      <c r="M21" s="67"/>
      <c r="N21" s="68">
        <f>'[1]assessment biomass'!$DB$46</f>
        <v>8530.9241999999995</v>
      </c>
      <c r="O21" s="68"/>
      <c r="P21" s="68"/>
      <c r="Q21" s="67"/>
      <c r="R21" s="68"/>
      <c r="S21" s="61"/>
      <c r="T21" s="67"/>
      <c r="U21" s="68"/>
      <c r="V21" s="68"/>
      <c r="W21" s="68">
        <v>2011</v>
      </c>
      <c r="X21" s="68"/>
      <c r="Y21" s="68"/>
      <c r="AC21" s="15"/>
      <c r="AD21" s="15"/>
      <c r="AE21" s="140"/>
      <c r="AF21" s="136">
        <f>N21/E21</f>
        <v>2.3493898659053718</v>
      </c>
      <c r="AG21" s="137"/>
      <c r="AH21" s="137"/>
      <c r="AI21" s="137"/>
      <c r="AP21" s="212"/>
    </row>
    <row r="22" spans="1:47" ht="15.75" x14ac:dyDescent="0.2">
      <c r="A22" s="190"/>
      <c r="B22" s="108"/>
      <c r="C22" s="108" t="s">
        <v>539</v>
      </c>
      <c r="D22" s="61" t="s">
        <v>441</v>
      </c>
      <c r="E22" s="67"/>
      <c r="F22" s="68"/>
      <c r="G22" s="68"/>
      <c r="H22" s="68"/>
      <c r="I22" s="101"/>
      <c r="J22" s="68"/>
      <c r="K22" s="67"/>
      <c r="L22" s="68"/>
      <c r="M22" s="67"/>
      <c r="N22" s="68"/>
      <c r="O22" s="68"/>
      <c r="P22" s="68"/>
      <c r="Q22" s="67"/>
      <c r="R22" s="68"/>
      <c r="S22" s="61"/>
      <c r="T22" s="67"/>
      <c r="U22" s="101">
        <v>26110</v>
      </c>
      <c r="V22" s="101">
        <v>6.2100000000000002E-2</v>
      </c>
      <c r="W22" s="101">
        <v>406</v>
      </c>
      <c r="X22" s="101">
        <v>213</v>
      </c>
      <c r="Y22" s="101">
        <v>773</v>
      </c>
      <c r="Z22">
        <v>474</v>
      </c>
      <c r="AA22">
        <v>2008</v>
      </c>
      <c r="AB22" s="61" t="s">
        <v>520</v>
      </c>
      <c r="AC22" s="15">
        <f>Z22/W22</f>
        <v>1.1674876847290641</v>
      </c>
      <c r="AD22" s="140" t="e">
        <f>1-(1-$AC22)^0.5</f>
        <v>#NUM!</v>
      </c>
      <c r="AE22" s="140" t="e">
        <f>1+(1-$AC22)^0.5</f>
        <v>#NUM!</v>
      </c>
      <c r="AF22" s="148"/>
      <c r="AG22" s="149"/>
      <c r="AH22" s="150" t="s">
        <v>502</v>
      </c>
      <c r="AI22" s="150"/>
      <c r="AP22" s="212"/>
      <c r="AS22" s="259"/>
      <c r="AT22" s="258"/>
    </row>
    <row r="23" spans="1:47" x14ac:dyDescent="0.2">
      <c r="AC23" s="15"/>
      <c r="AD23" s="15"/>
      <c r="AE23" s="140"/>
      <c r="AF23" s="136"/>
      <c r="AG23" s="137"/>
      <c r="AH23" s="137"/>
      <c r="AI23" s="137"/>
      <c r="AP23" s="212"/>
    </row>
    <row r="24" spans="1:47" ht="15.75" x14ac:dyDescent="0.2">
      <c r="A24" s="191" t="s">
        <v>312</v>
      </c>
      <c r="B24" s="216" t="s">
        <v>526</v>
      </c>
      <c r="C24" s="216" t="s">
        <v>683</v>
      </c>
      <c r="D24" s="61" t="s">
        <v>441</v>
      </c>
      <c r="E24">
        <v>17167</v>
      </c>
      <c r="F24">
        <v>6867</v>
      </c>
      <c r="H24" s="61" t="s">
        <v>656</v>
      </c>
      <c r="L24" s="61">
        <v>5</v>
      </c>
      <c r="M24" s="61">
        <v>27</v>
      </c>
      <c r="N24" s="84">
        <f>'[2]4X ypr dc'!$AV$114</f>
        <v>8426</v>
      </c>
      <c r="O24" s="61" t="s">
        <v>656</v>
      </c>
      <c r="P24">
        <v>2014</v>
      </c>
      <c r="Q24" s="61">
        <v>44</v>
      </c>
      <c r="R24">
        <v>5</v>
      </c>
      <c r="S24" s="61" t="s">
        <v>663</v>
      </c>
      <c r="T24" s="61">
        <v>44</v>
      </c>
      <c r="AC24" s="15"/>
      <c r="AD24" s="15"/>
      <c r="AE24" s="140"/>
      <c r="AF24" s="136">
        <f>N24/E24</f>
        <v>0.49082542086561426</v>
      </c>
      <c r="AG24" s="137"/>
      <c r="AH24" s="137"/>
      <c r="AI24" s="144" t="s">
        <v>656</v>
      </c>
      <c r="AJ24" s="24">
        <f>'landings Sylvie'!$G$72</f>
        <v>4809.0522818431364</v>
      </c>
      <c r="AM24" s="15">
        <f>IF(AF24&gt;=0.95,IF(AF24&lt;=$AM$2,1,MAX(1-$C$2*(AF24-$AM$2),$C$3)),AF24)</f>
        <v>0.49082542086561426</v>
      </c>
      <c r="AN24" s="15">
        <f>AM24</f>
        <v>0.49082542086561426</v>
      </c>
      <c r="AO24" s="15">
        <f>AN24^(AJ24/1000)</f>
        <v>3.2632625223631875E-2</v>
      </c>
      <c r="AP24" s="212">
        <f>AN24*AJ24/$AJ$91</f>
        <v>1.3304617221507158E-2</v>
      </c>
      <c r="AR24">
        <f>AP24</f>
        <v>1.3304617221507158E-2</v>
      </c>
      <c r="AS24" s="259">
        <f>IF(AH26&gt;=0.95,IF(AH26&lt;=$AM$2,1,MAX(1-$C$2*(AH26-$AM$2),$C$3)),AH26)</f>
        <v>0.12669482107134919</v>
      </c>
      <c r="AT24" s="258">
        <f>AS24*AJ24/$AJ$91</f>
        <v>3.4342681259843647E-3</v>
      </c>
    </row>
    <row r="25" spans="1:47" ht="15.75" x14ac:dyDescent="0.2">
      <c r="A25" s="191"/>
      <c r="B25" s="216"/>
      <c r="C25" s="216" t="s">
        <v>344</v>
      </c>
      <c r="D25" s="61" t="s">
        <v>441</v>
      </c>
      <c r="N25" s="84">
        <f>AVERAGE('[2]4X ypr dc'!$AV$112:$AV$114)</f>
        <v>7207.028133051982</v>
      </c>
      <c r="P25" s="61" t="s">
        <v>491</v>
      </c>
      <c r="Q25" s="61"/>
      <c r="S25" s="61" t="s">
        <v>664</v>
      </c>
      <c r="T25" s="61"/>
      <c r="AC25" s="15"/>
      <c r="AD25" s="15"/>
      <c r="AE25" s="140"/>
      <c r="AF25" s="136">
        <f>N25/E24</f>
        <v>0.41981872971701417</v>
      </c>
      <c r="AG25" s="137"/>
      <c r="AH25" s="137"/>
      <c r="AI25" s="137"/>
      <c r="AP25" s="212"/>
    </row>
    <row r="26" spans="1:47" ht="15.75" x14ac:dyDescent="0.2">
      <c r="A26" s="191"/>
      <c r="B26" s="216"/>
      <c r="C26" s="216" t="s">
        <v>539</v>
      </c>
      <c r="D26" s="61" t="s">
        <v>689</v>
      </c>
      <c r="N26" s="84"/>
      <c r="P26" s="61"/>
      <c r="Q26" s="61"/>
      <c r="S26" s="61"/>
      <c r="T26" s="61"/>
      <c r="U26">
        <v>154396</v>
      </c>
      <c r="V26">
        <v>0.11700000000000001</v>
      </c>
      <c r="W26">
        <v>4499</v>
      </c>
      <c r="X26">
        <v>3097</v>
      </c>
      <c r="Y26">
        <v>6535</v>
      </c>
      <c r="Z26">
        <v>570</v>
      </c>
      <c r="AA26">
        <v>2013</v>
      </c>
      <c r="AB26" s="61" t="s">
        <v>522</v>
      </c>
      <c r="AC26" s="15">
        <f>Z26/W26</f>
        <v>0.12669482107134919</v>
      </c>
      <c r="AD26" s="239">
        <f>1-(1-$AC26)^0.5</f>
        <v>6.5492012378358111E-2</v>
      </c>
      <c r="AE26" s="140">
        <f>1+(1-$AC26)^0.5</f>
        <v>1.9345079876216418</v>
      </c>
      <c r="AF26" s="136"/>
      <c r="AG26" s="137"/>
      <c r="AH26" s="137">
        <f>AC26</f>
        <v>0.12669482107134919</v>
      </c>
      <c r="AI26" s="137"/>
      <c r="AP26" s="212"/>
    </row>
    <row r="27" spans="1:47" s="101" customFormat="1" ht="15.75" x14ac:dyDescent="0.2">
      <c r="A27" s="189"/>
      <c r="B27" s="122"/>
      <c r="C27" s="122"/>
      <c r="E27" s="97"/>
      <c r="K27" s="97"/>
      <c r="M27" s="97"/>
      <c r="Q27" s="97"/>
      <c r="S27" s="97"/>
      <c r="T27" s="97"/>
      <c r="AB27" s="97"/>
      <c r="AC27" s="140"/>
      <c r="AD27" s="140"/>
      <c r="AE27" s="140"/>
      <c r="AF27" s="148"/>
      <c r="AG27" s="149"/>
      <c r="AH27" s="149"/>
      <c r="AI27" s="149"/>
      <c r="AP27" s="212"/>
    </row>
    <row r="28" spans="1:47" ht="15.75" x14ac:dyDescent="0.2">
      <c r="A28" s="192" t="s">
        <v>248</v>
      </c>
      <c r="B28" s="118" t="s">
        <v>523</v>
      </c>
      <c r="C28" s="118" t="s">
        <v>538</v>
      </c>
      <c r="D28" t="s">
        <v>244</v>
      </c>
      <c r="E28">
        <v>52000</v>
      </c>
      <c r="F28">
        <f>0.4*E28</f>
        <v>20800</v>
      </c>
      <c r="G28">
        <f>0.8*E28</f>
        <v>41600</v>
      </c>
      <c r="H28">
        <v>0.43</v>
      </c>
      <c r="I28">
        <v>0.25</v>
      </c>
      <c r="K28" s="61" t="s">
        <v>322</v>
      </c>
      <c r="L28" s="61">
        <v>6</v>
      </c>
      <c r="M28" s="215">
        <v>26</v>
      </c>
      <c r="N28" s="84">
        <f>AVERAGE(23581,38269,38088)</f>
        <v>33312.666666666664</v>
      </c>
      <c r="O28">
        <f>AVERAGE(0.09,0.13,0.14)</f>
        <v>0.12</v>
      </c>
      <c r="P28" s="61" t="s">
        <v>324</v>
      </c>
      <c r="Q28" s="61">
        <v>45</v>
      </c>
      <c r="R28" s="61">
        <v>13</v>
      </c>
      <c r="S28" s="61" t="s">
        <v>663</v>
      </c>
      <c r="T28" s="61">
        <v>54</v>
      </c>
      <c r="W28">
        <v>14700</v>
      </c>
      <c r="Z28" s="24"/>
      <c r="AA28" s="24"/>
      <c r="AB28" s="24"/>
      <c r="AC28" s="15"/>
      <c r="AD28" s="15"/>
      <c r="AE28" s="140"/>
      <c r="AF28" s="136">
        <f>N28/E28</f>
        <v>0.64062820512820506</v>
      </c>
      <c r="AG28" s="137"/>
      <c r="AH28" s="137"/>
      <c r="AI28" s="137">
        <f>O28/H28</f>
        <v>0.27906976744186046</v>
      </c>
      <c r="AJ28" s="24">
        <f>'landings Sylvie'!D72</f>
        <v>12348.926829268292</v>
      </c>
      <c r="AM28" s="15">
        <f>IF(AF28&gt;=0.95,IF(AF28&lt;=$AM$2,1,MAX(1-$C$2*(AF28-$AM$2),$C$3)),AF28)</f>
        <v>0.64062820512820506</v>
      </c>
      <c r="AN28" s="15">
        <f>AM28</f>
        <v>0.64062820512820506</v>
      </c>
      <c r="AO28" s="15">
        <f>AN28^(AJ28/1000)</f>
        <v>4.0906500797640681E-3</v>
      </c>
      <c r="AP28" s="243">
        <f>AN28*AJ28/$AJ$91</f>
        <v>4.4591400327476112E-2</v>
      </c>
      <c r="AQ28" s="15">
        <f>IF(AG29&gt;=0.95,IF(AG29&lt;=$AM$2,1,MAX(1-$C$2*(AG29-$AM$2),$C$3)),AG29)</f>
        <v>0.82113267733443374</v>
      </c>
      <c r="AR28" s="258">
        <f>AQ28*AJ28/$AJ$91</f>
        <v>5.7155547701282332E-2</v>
      </c>
      <c r="AS28" s="259">
        <f>IF(AH31&gt;=0.95,IF(AH31&lt;=$AM$2,1,MAX(1-$C$2*(AH31-$AM$2),$C$3)),AH31)</f>
        <v>0.19841874490376754</v>
      </c>
      <c r="AT28" s="258">
        <f>AS28*AJ28/$AJ$91</f>
        <v>1.3811083582728936E-2</v>
      </c>
    </row>
    <row r="29" spans="1:47" ht="15.75" x14ac:dyDescent="0.2">
      <c r="A29" s="192"/>
      <c r="B29" s="118"/>
      <c r="C29" s="118" t="s">
        <v>344</v>
      </c>
      <c r="D29" s="61" t="s">
        <v>441</v>
      </c>
      <c r="K29" s="61"/>
      <c r="M29" s="61">
        <v>28</v>
      </c>
      <c r="N29" s="84">
        <f>AVERAGE('[1]assessment biomass'!$V$38:$V$40)</f>
        <v>48269.923666666669</v>
      </c>
      <c r="P29" s="61" t="s">
        <v>490</v>
      </c>
      <c r="Q29" s="61">
        <v>2</v>
      </c>
      <c r="S29" s="61" t="s">
        <v>664</v>
      </c>
      <c r="T29" s="61"/>
      <c r="Z29" s="24"/>
      <c r="AA29" s="24"/>
      <c r="AB29" s="24"/>
      <c r="AC29" s="15"/>
      <c r="AD29" s="15"/>
      <c r="AE29" s="140"/>
      <c r="AF29" s="136"/>
      <c r="AG29" s="136">
        <f>N29/E30</f>
        <v>0.82113267733443374</v>
      </c>
      <c r="AH29" s="137"/>
      <c r="AI29" s="137"/>
      <c r="AJ29" s="24"/>
      <c r="AP29" s="212"/>
      <c r="AQ29" s="15"/>
    </row>
    <row r="30" spans="1:47" ht="15.75" x14ac:dyDescent="0.2">
      <c r="A30" s="192"/>
      <c r="B30" s="118"/>
      <c r="C30" s="118" t="s">
        <v>344</v>
      </c>
      <c r="D30" s="61" t="s">
        <v>441</v>
      </c>
      <c r="E30" s="84">
        <f>AVERAGE('[1]assessment biomass'!$V$2:$V$35)</f>
        <v>58784.560642941178</v>
      </c>
      <c r="K30" s="61"/>
      <c r="L30" s="61"/>
      <c r="M30" s="61">
        <v>28</v>
      </c>
      <c r="N30" s="84">
        <f>AVERAGE('[1]assessment biomass'!$V$44:$V$46)</f>
        <v>36147.773183979938</v>
      </c>
      <c r="P30" s="61" t="s">
        <v>491</v>
      </c>
      <c r="Q30" s="61">
        <v>2</v>
      </c>
      <c r="S30" s="61" t="s">
        <v>664</v>
      </c>
      <c r="T30" s="61"/>
      <c r="Z30" s="24"/>
      <c r="AA30" s="24"/>
      <c r="AB30" s="24"/>
      <c r="AC30" s="15"/>
      <c r="AD30" s="15"/>
      <c r="AE30" s="140"/>
      <c r="AF30" s="136"/>
      <c r="AG30" s="136">
        <f>N30/E30</f>
        <v>0.61491950928309858</v>
      </c>
      <c r="AH30" s="137"/>
      <c r="AI30" s="137"/>
      <c r="AJ30" s="24"/>
      <c r="AP30" s="212"/>
    </row>
    <row r="31" spans="1:47" ht="15.75" x14ac:dyDescent="0.2">
      <c r="A31" s="192"/>
      <c r="B31" s="118"/>
      <c r="C31" s="118" t="s">
        <v>552</v>
      </c>
      <c r="D31" s="61" t="s">
        <v>693</v>
      </c>
      <c r="K31" s="61"/>
      <c r="L31" s="61"/>
      <c r="M31" s="61"/>
      <c r="P31" s="61"/>
      <c r="Q31" s="61"/>
      <c r="S31" s="61"/>
      <c r="T31" s="61"/>
      <c r="U31">
        <v>234871</v>
      </c>
      <c r="V31">
        <v>0.27</v>
      </c>
      <c r="W31">
        <v>15842</v>
      </c>
      <c r="X31">
        <v>13495</v>
      </c>
      <c r="Y31">
        <v>18598</v>
      </c>
      <c r="Z31" s="24">
        <v>5663</v>
      </c>
      <c r="AA31">
        <v>2010</v>
      </c>
      <c r="AB31" s="121" t="s">
        <v>463</v>
      </c>
      <c r="AC31" s="15">
        <f>Z31/W31</f>
        <v>0.35746749147834872</v>
      </c>
      <c r="AD31" s="239">
        <f>1-(1-$AC31)^0.5</f>
        <v>0.19841874490376754</v>
      </c>
      <c r="AE31" s="140">
        <f>1+(1-$AC31)^0.5</f>
        <v>1.8015812550962325</v>
      </c>
      <c r="AF31" s="136"/>
      <c r="AG31" s="137"/>
      <c r="AH31" s="137">
        <f>AD31</f>
        <v>0.19841874490376754</v>
      </c>
      <c r="AI31" s="137"/>
      <c r="AJ31" s="24"/>
      <c r="AP31" s="212"/>
    </row>
    <row r="32" spans="1:47" ht="15.75" x14ac:dyDescent="0.2">
      <c r="A32" s="189"/>
      <c r="B32" s="122"/>
      <c r="C32" s="122"/>
      <c r="K32" s="61"/>
      <c r="L32" s="61"/>
      <c r="M32" s="61"/>
      <c r="P32" s="61"/>
      <c r="Q32" s="61"/>
      <c r="S32" s="61"/>
      <c r="T32" s="61"/>
      <c r="Z32" s="24"/>
      <c r="AB32" s="121"/>
      <c r="AC32" s="15"/>
      <c r="AD32" s="15"/>
      <c r="AE32" s="140"/>
      <c r="AF32" s="136"/>
      <c r="AG32" s="137"/>
      <c r="AH32" s="137"/>
      <c r="AI32" s="137"/>
      <c r="AJ32" s="24"/>
      <c r="AP32" s="212"/>
    </row>
    <row r="33" spans="1:46" ht="15.75" x14ac:dyDescent="0.2">
      <c r="A33" s="193" t="s">
        <v>262</v>
      </c>
      <c r="B33" s="107" t="s">
        <v>820</v>
      </c>
      <c r="C33" s="107" t="s">
        <v>540</v>
      </c>
      <c r="D33" s="61" t="s">
        <v>266</v>
      </c>
      <c r="E33">
        <f>27945</f>
        <v>27945</v>
      </c>
      <c r="H33" s="61" t="s">
        <v>658</v>
      </c>
      <c r="L33" s="61">
        <v>7</v>
      </c>
      <c r="M33" s="215">
        <v>29</v>
      </c>
      <c r="N33">
        <v>11339</v>
      </c>
      <c r="O33" s="61" t="s">
        <v>657</v>
      </c>
      <c r="P33">
        <v>2009</v>
      </c>
      <c r="Q33" s="61">
        <v>46</v>
      </c>
      <c r="R33">
        <v>7</v>
      </c>
      <c r="S33" s="61" t="s">
        <v>829</v>
      </c>
      <c r="AC33" s="15"/>
      <c r="AD33" s="240"/>
      <c r="AE33" s="140"/>
      <c r="AF33" s="136">
        <f>N33/E33</f>
        <v>0.405761316872428</v>
      </c>
      <c r="AG33" s="137"/>
      <c r="AH33" s="137"/>
      <c r="AI33" s="178">
        <f>0.01/(AVERAGE(0.036,0.075))</f>
        <v>0.1801801801801802</v>
      </c>
      <c r="AJ33" s="112">
        <f>'landings Sylvie'!H72</f>
        <v>105.62771478603756</v>
      </c>
      <c r="AM33" s="15">
        <f>IF(AF33&gt;=0.95,IF(AF33&lt;=$AM$2,1,MAX(1-$C$2*(AF33-$AM$2),$C$3)),AF33)</f>
        <v>0.405761316872428</v>
      </c>
      <c r="AN33" s="15">
        <f>AM33</f>
        <v>0.405761316872428</v>
      </c>
      <c r="AO33" s="15">
        <f>AN33^(AJ33/1000)</f>
        <v>0.90912274432879803</v>
      </c>
      <c r="AP33" s="212">
        <f>AN33*AJ33/$AJ$91</f>
        <v>2.415818838185063E-4</v>
      </c>
      <c r="AR33">
        <f>AP33</f>
        <v>2.415818838185063E-4</v>
      </c>
    </row>
    <row r="34" spans="1:46" ht="15.75" x14ac:dyDescent="0.2">
      <c r="A34" s="193"/>
      <c r="B34" s="107"/>
      <c r="C34" s="107"/>
      <c r="D34" s="61"/>
      <c r="M34" s="61"/>
      <c r="Q34" s="61"/>
      <c r="AC34" s="15"/>
      <c r="AD34" s="15"/>
      <c r="AE34" s="140"/>
      <c r="AF34" s="136"/>
      <c r="AG34" s="137"/>
      <c r="AH34" s="137"/>
      <c r="AI34" s="137"/>
      <c r="AJ34" s="112"/>
      <c r="AP34" s="212"/>
    </row>
    <row r="35" spans="1:46" ht="15.75" hidden="1" x14ac:dyDescent="0.2">
      <c r="A35" s="193" t="s">
        <v>255</v>
      </c>
      <c r="C35" s="107"/>
      <c r="D35" t="s">
        <v>256</v>
      </c>
      <c r="F35">
        <f>(45+326)*1000</f>
        <v>371000</v>
      </c>
      <c r="L35" s="61">
        <v>8</v>
      </c>
      <c r="M35" s="61" t="s">
        <v>507</v>
      </c>
      <c r="N35" s="61">
        <f>(AVERAGE(54,141,185)+AVERAGE(254,300,280))*1000</f>
        <v>404666.66666666669</v>
      </c>
      <c r="O35" s="61"/>
      <c r="P35" s="61" t="s">
        <v>506</v>
      </c>
      <c r="Q35" s="61" t="s">
        <v>359</v>
      </c>
      <c r="R35">
        <v>8</v>
      </c>
      <c r="AC35" s="15"/>
      <c r="AD35" s="15"/>
      <c r="AE35" s="140"/>
      <c r="AF35" s="143" t="s">
        <v>508</v>
      </c>
      <c r="AG35" s="144"/>
      <c r="AH35" s="144"/>
      <c r="AI35" s="144"/>
      <c r="AJ35" s="24"/>
      <c r="AP35" s="212"/>
    </row>
    <row r="36" spans="1:46" ht="15.75" x14ac:dyDescent="0.2">
      <c r="A36" s="194" t="s">
        <v>255</v>
      </c>
      <c r="B36" s="107" t="s">
        <v>527</v>
      </c>
      <c r="C36" s="107" t="s">
        <v>540</v>
      </c>
      <c r="D36" t="s">
        <v>257</v>
      </c>
      <c r="E36">
        <f>survey!$I$2</f>
        <v>292803.87355762039</v>
      </c>
      <c r="H36">
        <v>0.22800000000000001</v>
      </c>
      <c r="L36">
        <v>14</v>
      </c>
      <c r="M36" s="61" t="s">
        <v>688</v>
      </c>
      <c r="N36" s="84">
        <f>survey!G42</f>
        <v>63471.841390371606</v>
      </c>
      <c r="O36">
        <v>0.7</v>
      </c>
      <c r="P36">
        <v>2009</v>
      </c>
      <c r="Q36" s="61" t="s">
        <v>737</v>
      </c>
      <c r="R36" s="61">
        <v>14</v>
      </c>
      <c r="S36" s="61" t="s">
        <v>663</v>
      </c>
      <c r="AC36" s="151" t="s">
        <v>449</v>
      </c>
      <c r="AD36" s="15"/>
      <c r="AE36" s="140"/>
      <c r="AF36" s="136">
        <f>N36/E36</f>
        <v>0.21677254682179295</v>
      </c>
      <c r="AG36" s="137"/>
      <c r="AH36" s="137"/>
      <c r="AI36" s="137">
        <f>O36/H36</f>
        <v>3.070175438596491</v>
      </c>
      <c r="AJ36" s="24">
        <v>105873.98897435897</v>
      </c>
      <c r="AM36" s="15">
        <f>IF(AF36&gt;=0.95,IF(AF36&lt;=$AM$2,1,MAX(1-$C$2*(AF36-$AM$2),$C$3)),AF36)</f>
        <v>0.21677254682179295</v>
      </c>
      <c r="AN36" s="15">
        <f>AM36</f>
        <v>0.21677254682179295</v>
      </c>
      <c r="AO36" s="15">
        <f>AN36^(AJ36/1000)</f>
        <v>5.0133089680320606E-71</v>
      </c>
      <c r="AP36" s="243">
        <f>AN36*AJ36/$AJ$91</f>
        <v>0.12936279617979354</v>
      </c>
      <c r="AR36">
        <f>AP36</f>
        <v>0.12936279617979354</v>
      </c>
    </row>
    <row r="37" spans="1:46" ht="15.75" x14ac:dyDescent="0.2">
      <c r="A37" s="194"/>
      <c r="B37" s="107"/>
      <c r="C37" s="107"/>
      <c r="U37" s="61" t="s">
        <v>536</v>
      </c>
      <c r="AB37" s="61" t="s">
        <v>528</v>
      </c>
      <c r="AC37" s="15"/>
      <c r="AD37" s="15"/>
      <c r="AE37" s="140"/>
      <c r="AF37" s="136"/>
      <c r="AG37" s="137"/>
      <c r="AH37" s="137"/>
      <c r="AI37" s="137"/>
      <c r="AP37" s="212"/>
    </row>
    <row r="38" spans="1:46" ht="15.75" x14ac:dyDescent="0.2">
      <c r="A38" s="189"/>
      <c r="B38" s="122"/>
      <c r="C38" s="122"/>
      <c r="N38" s="84"/>
      <c r="P38" s="61"/>
      <c r="Q38" s="61"/>
      <c r="S38" s="61"/>
      <c r="T38" s="61"/>
      <c r="AC38" s="15"/>
      <c r="AD38" s="15"/>
      <c r="AE38" s="140"/>
      <c r="AF38" s="136"/>
      <c r="AG38" s="137"/>
      <c r="AH38" s="137"/>
      <c r="AI38" s="137"/>
      <c r="AP38" s="212"/>
    </row>
    <row r="39" spans="1:46" ht="15.75" x14ac:dyDescent="0.2">
      <c r="A39" s="192" t="s">
        <v>331</v>
      </c>
      <c r="B39" s="118" t="s">
        <v>524</v>
      </c>
      <c r="C39" s="227" t="s">
        <v>540</v>
      </c>
      <c r="D39" s="249" t="s">
        <v>332</v>
      </c>
      <c r="E39" s="250">
        <v>32381</v>
      </c>
      <c r="F39" s="251">
        <f>0.4*E39</f>
        <v>12952.400000000001</v>
      </c>
      <c r="G39" s="251">
        <f>0.8*E39</f>
        <v>25904.800000000003</v>
      </c>
      <c r="H39" s="250">
        <v>0.16</v>
      </c>
      <c r="I39" s="250">
        <v>0.16</v>
      </c>
      <c r="J39" s="250"/>
      <c r="K39" s="250"/>
      <c r="L39" s="252">
        <v>9</v>
      </c>
      <c r="M39" s="252">
        <v>31</v>
      </c>
      <c r="N39" s="252" t="s">
        <v>336</v>
      </c>
      <c r="O39" s="252" t="s">
        <v>656</v>
      </c>
      <c r="P39" s="250"/>
      <c r="Q39" s="250"/>
      <c r="R39" s="250"/>
      <c r="S39" s="252" t="s">
        <v>669</v>
      </c>
      <c r="T39" s="252">
        <v>55</v>
      </c>
      <c r="U39" s="250"/>
      <c r="V39" s="250"/>
      <c r="W39" s="250"/>
      <c r="X39" s="250"/>
      <c r="Y39" s="250"/>
      <c r="Z39" s="253"/>
      <c r="AA39" s="253"/>
      <c r="AB39" s="253"/>
      <c r="AC39" s="254"/>
      <c r="AD39" s="254"/>
      <c r="AE39" s="254"/>
      <c r="AF39" s="225">
        <f>16/32.38</f>
        <v>0.4941321803582458</v>
      </c>
      <c r="AG39" s="255"/>
      <c r="AH39" s="255"/>
      <c r="AI39" s="256" t="s">
        <v>656</v>
      </c>
      <c r="AM39" s="15"/>
      <c r="AN39" s="15"/>
      <c r="AO39" s="15"/>
      <c r="AP39" s="212"/>
      <c r="AQ39" s="15"/>
    </row>
    <row r="40" spans="1:46" x14ac:dyDescent="0.2">
      <c r="A40" s="195"/>
      <c r="B40" s="95"/>
      <c r="C40" s="228" t="s">
        <v>540</v>
      </c>
      <c r="D40" s="249" t="s">
        <v>333</v>
      </c>
      <c r="E40" s="252" t="s">
        <v>335</v>
      </c>
      <c r="F40" s="250"/>
      <c r="G40" s="250"/>
      <c r="H40" s="250">
        <v>0.16</v>
      </c>
      <c r="I40" s="250"/>
      <c r="J40" s="250"/>
      <c r="K40" s="250"/>
      <c r="L40" s="250">
        <v>9</v>
      </c>
      <c r="M40" s="252">
        <v>31</v>
      </c>
      <c r="N40" s="252" t="s">
        <v>334</v>
      </c>
      <c r="O40" s="252" t="s">
        <v>656</v>
      </c>
      <c r="P40" s="250">
        <v>2009</v>
      </c>
      <c r="Q40" s="252">
        <v>48</v>
      </c>
      <c r="R40" s="252">
        <v>15</v>
      </c>
      <c r="S40" s="252" t="s">
        <v>671</v>
      </c>
      <c r="T40" s="252">
        <v>59</v>
      </c>
      <c r="U40" s="250"/>
      <c r="V40" s="250"/>
      <c r="W40" s="250"/>
      <c r="X40" s="250"/>
      <c r="Y40" s="250"/>
      <c r="Z40" s="253"/>
      <c r="AA40" s="253"/>
      <c r="AB40" s="253"/>
      <c r="AC40" s="254"/>
      <c r="AD40" s="254"/>
      <c r="AE40" s="254"/>
      <c r="AF40" s="226">
        <f>48/51</f>
        <v>0.94117647058823528</v>
      </c>
      <c r="AG40" s="255"/>
      <c r="AH40" s="255"/>
      <c r="AI40" s="256" t="s">
        <v>656</v>
      </c>
      <c r="AJ40" s="24"/>
      <c r="AM40" s="15"/>
      <c r="AP40" s="212"/>
    </row>
    <row r="41" spans="1:46" x14ac:dyDescent="0.2">
      <c r="A41" s="195"/>
      <c r="B41" s="95"/>
      <c r="C41" s="95" t="s">
        <v>344</v>
      </c>
      <c r="D41" s="116" t="s">
        <v>441</v>
      </c>
      <c r="E41" s="61">
        <f>AVERAGE('[1]assessment biomass'!$DF$2:$DF$32)</f>
        <v>2414.4139419354847</v>
      </c>
      <c r="M41" s="61">
        <v>32</v>
      </c>
      <c r="N41" s="61">
        <f>AVERAGE('[1]assessment biomass'!$DF$44:$DF$46)</f>
        <v>534.5705412843987</v>
      </c>
      <c r="P41" s="61" t="s">
        <v>491</v>
      </c>
      <c r="Q41" s="61"/>
      <c r="S41" s="61" t="s">
        <v>664</v>
      </c>
      <c r="Z41" s="24"/>
      <c r="AA41" s="24"/>
      <c r="AB41" s="24"/>
      <c r="AC41" s="15"/>
      <c r="AD41" s="15"/>
      <c r="AE41" s="140"/>
      <c r="AF41" s="136"/>
      <c r="AG41" s="152">
        <f>N41/E41</f>
        <v>0.22140799139681364</v>
      </c>
      <c r="AH41" s="145"/>
      <c r="AI41" s="145" t="s">
        <v>449</v>
      </c>
      <c r="AJ41" s="24">
        <v>1044.1282051282051</v>
      </c>
      <c r="AM41" s="15">
        <f>IF(AG41&gt;=0.95,IF(AG41&lt;=$AM$2,1,MAX(1-$C$2*(AG41-$AM$2),$C$3)),AG41)</f>
        <v>0.22140799139681364</v>
      </c>
      <c r="AN41" s="15">
        <f>AM41</f>
        <v>0.22140799139681364</v>
      </c>
      <c r="AO41" s="15">
        <f>AN41^(AJ41/1000)</f>
        <v>0.2071561577600344</v>
      </c>
      <c r="AP41" s="212">
        <f>AN41*AJ41/$AJ$91</f>
        <v>1.3030556320240915E-3</v>
      </c>
      <c r="AR41">
        <f>AP41</f>
        <v>1.3030556320240915E-3</v>
      </c>
      <c r="AS41" s="259">
        <f>IF(AH42&gt;=0.95,IF(AH42&lt;=$AM$2,1,MAX(1-$C$2*(AH42-$AM$2),$C$3)),AH42)</f>
        <v>0.15474477707869394</v>
      </c>
      <c r="AT41" s="258">
        <f>AS41*AJ41/$AJ$91</f>
        <v>9.1072165926169262E-4</v>
      </c>
    </row>
    <row r="42" spans="1:46" x14ac:dyDescent="0.2">
      <c r="A42" s="195"/>
      <c r="B42" s="95"/>
      <c r="C42" s="95" t="s">
        <v>539</v>
      </c>
      <c r="D42" s="116" t="s">
        <v>689</v>
      </c>
      <c r="E42" s="61"/>
      <c r="N42" s="61"/>
      <c r="Q42" s="61"/>
      <c r="S42" s="61"/>
      <c r="U42">
        <v>29856</v>
      </c>
      <c r="V42">
        <v>0.112</v>
      </c>
      <c r="W42">
        <v>837</v>
      </c>
      <c r="X42">
        <v>578</v>
      </c>
      <c r="Y42">
        <v>1211</v>
      </c>
      <c r="Z42" s="24">
        <v>239</v>
      </c>
      <c r="AA42" s="24">
        <v>2010</v>
      </c>
      <c r="AB42" s="121" t="s">
        <v>522</v>
      </c>
      <c r="AC42" s="15">
        <f>Z42/W42</f>
        <v>0.28554360812425328</v>
      </c>
      <c r="AD42" s="239">
        <f>1-(1-$AC42)^0.5</f>
        <v>0.15474477707869394</v>
      </c>
      <c r="AE42" s="140">
        <f>1+(1-$AC42)^0.5</f>
        <v>1.8452552229213062</v>
      </c>
      <c r="AF42" s="152"/>
      <c r="AG42" s="145"/>
      <c r="AH42" s="145">
        <f>AD42</f>
        <v>0.15474477707869394</v>
      </c>
      <c r="AI42" s="145" t="s">
        <v>449</v>
      </c>
      <c r="AJ42" s="113"/>
      <c r="AP42" s="212"/>
    </row>
    <row r="43" spans="1:46" ht="15.75" x14ac:dyDescent="0.2">
      <c r="A43" s="189"/>
      <c r="B43" s="122"/>
      <c r="C43" s="122"/>
      <c r="P43" s="61"/>
      <c r="Q43" s="61"/>
      <c r="R43" s="61"/>
      <c r="S43" s="61"/>
      <c r="Z43" s="24"/>
      <c r="AA43" s="24"/>
      <c r="AB43" s="24"/>
      <c r="AC43" s="15"/>
      <c r="AD43" s="15"/>
      <c r="AE43" s="140"/>
      <c r="AF43" s="136"/>
      <c r="AG43" s="137"/>
      <c r="AH43" s="137"/>
      <c r="AI43" s="137"/>
      <c r="AJ43" s="24"/>
      <c r="AP43" s="212"/>
    </row>
    <row r="44" spans="1:46" s="80" customFormat="1" ht="15.75" hidden="1" x14ac:dyDescent="0.2">
      <c r="A44" s="110" t="s">
        <v>253</v>
      </c>
      <c r="B44" s="109" t="s">
        <v>533</v>
      </c>
      <c r="C44" s="229" t="s">
        <v>555</v>
      </c>
      <c r="D44" s="230" t="s">
        <v>254</v>
      </c>
      <c r="E44" s="80">
        <f>G44/0.8</f>
        <v>72500</v>
      </c>
      <c r="F44" s="80">
        <v>29000</v>
      </c>
      <c r="G44" s="80">
        <v>58000</v>
      </c>
      <c r="H44" s="80">
        <v>6.8000000000000005E-2</v>
      </c>
      <c r="I44" s="80">
        <v>6.8000000000000005E-2</v>
      </c>
      <c r="L44">
        <v>1</v>
      </c>
      <c r="M44" s="65" t="s">
        <v>690</v>
      </c>
      <c r="N44" s="80">
        <v>2250000</v>
      </c>
      <c r="P44" s="80">
        <v>2010</v>
      </c>
      <c r="R44" s="61">
        <v>16</v>
      </c>
      <c r="S44" s="65" t="s">
        <v>664</v>
      </c>
      <c r="AC44" s="154"/>
      <c r="AD44" s="154"/>
      <c r="AE44" s="140"/>
      <c r="AF44" s="231">
        <f>N44/E44</f>
        <v>31.03448275862069</v>
      </c>
      <c r="AG44" s="232">
        <f>2250/E44</f>
        <v>3.1034482758620689E-2</v>
      </c>
      <c r="AH44" s="153"/>
      <c r="AI44" s="153"/>
      <c r="AM44" s="15"/>
      <c r="AN44" s="15"/>
      <c r="AP44" s="212"/>
    </row>
    <row r="45" spans="1:46" s="80" customFormat="1" ht="15.75" hidden="1" x14ac:dyDescent="0.2">
      <c r="A45" s="110" t="s">
        <v>446</v>
      </c>
      <c r="B45" s="109"/>
      <c r="C45" s="109" t="s">
        <v>344</v>
      </c>
      <c r="D45" s="65" t="s">
        <v>343</v>
      </c>
      <c r="E45" s="80">
        <f>AVERAGE('[1]assessment biomass'!$AT$2:$AT$11)</f>
        <v>191545.43799999999</v>
      </c>
      <c r="M45" s="65"/>
      <c r="N45" s="80">
        <f>AVERAGE('[1]assessment biomass'!$AT$44:$AT$46)</f>
        <v>119327.5368413242</v>
      </c>
      <c r="P45" s="65" t="s">
        <v>491</v>
      </c>
      <c r="Q45" s="65" t="s">
        <v>344</v>
      </c>
      <c r="R45" s="65" t="s">
        <v>447</v>
      </c>
      <c r="S45" s="65" t="s">
        <v>664</v>
      </c>
      <c r="Z45" s="103"/>
      <c r="AA45" s="103"/>
      <c r="AB45" s="103"/>
      <c r="AC45" s="154"/>
      <c r="AD45" s="154"/>
      <c r="AE45" s="140"/>
      <c r="AF45" s="155">
        <f>N45/E45</f>
        <v>0.62297248155460738</v>
      </c>
      <c r="AG45" s="156"/>
      <c r="AH45" s="156"/>
      <c r="AI45" s="156"/>
      <c r="AJ45" s="103"/>
      <c r="AP45" s="212"/>
    </row>
    <row r="46" spans="1:46" s="80" customFormat="1" ht="15.75" hidden="1" x14ac:dyDescent="0.2">
      <c r="A46" s="110" t="s">
        <v>446</v>
      </c>
      <c r="B46" s="109" t="s">
        <v>533</v>
      </c>
      <c r="C46" s="109" t="s">
        <v>344</v>
      </c>
      <c r="D46" s="65"/>
      <c r="E46" s="80">
        <f>AVERAGE('[1]assessment biomass'!$AT$2:$AT$11)</f>
        <v>191545.43799999999</v>
      </c>
      <c r="M46" s="65"/>
      <c r="N46" s="80">
        <v>82900</v>
      </c>
      <c r="P46" s="65">
        <v>2010</v>
      </c>
      <c r="Q46" s="65" t="s">
        <v>344</v>
      </c>
      <c r="R46" s="65" t="s">
        <v>447</v>
      </c>
      <c r="S46" s="65" t="s">
        <v>664</v>
      </c>
      <c r="AC46" s="154"/>
      <c r="AD46" s="154"/>
      <c r="AE46" s="140"/>
      <c r="AF46" s="157">
        <f>N46/E45</f>
        <v>0.43279548114322619</v>
      </c>
      <c r="AG46" s="158"/>
      <c r="AH46" s="158"/>
      <c r="AI46" s="158"/>
      <c r="AP46" s="212"/>
    </row>
    <row r="47" spans="1:46" s="80" customFormat="1" ht="15.75" hidden="1" x14ac:dyDescent="0.2">
      <c r="A47" s="110" t="s">
        <v>446</v>
      </c>
      <c r="B47" s="109"/>
      <c r="C47" s="109" t="s">
        <v>344</v>
      </c>
      <c r="D47" s="230" t="s">
        <v>343</v>
      </c>
      <c r="E47" s="138">
        <f>0.5*AVERAGE('[1]assessment biomass'!$AT$2:$AT$46)</f>
        <v>57444.696894710803</v>
      </c>
      <c r="M47" s="65">
        <v>34</v>
      </c>
      <c r="P47" s="65"/>
      <c r="Q47" s="65" t="s">
        <v>344</v>
      </c>
      <c r="R47" s="65">
        <v>2</v>
      </c>
      <c r="S47" s="65" t="s">
        <v>664</v>
      </c>
      <c r="AC47" s="154"/>
      <c r="AD47" s="154"/>
      <c r="AE47" s="140"/>
      <c r="AG47" s="233">
        <f>N45/E47</f>
        <v>2.0772594041193595</v>
      </c>
      <c r="AH47" s="150"/>
      <c r="AI47" s="150"/>
      <c r="AM47" s="15">
        <f>IF(AG47&gt;=0.95,IF(AG47&lt;=$AM$2,1,MAX(1-$C$2*(AG47-$AM$2),$C$3)),AG47)</f>
        <v>0.71137029794032025</v>
      </c>
      <c r="AN47" s="15"/>
      <c r="AO47" s="15">
        <f>AM47^(AJ47/1000)</f>
        <v>1</v>
      </c>
      <c r="AP47" s="212">
        <f>AM47*AJ47/$AJ$91</f>
        <v>0</v>
      </c>
    </row>
    <row r="48" spans="1:46" s="80" customFormat="1" ht="15.75" x14ac:dyDescent="0.2">
      <c r="A48" s="110" t="s">
        <v>253</v>
      </c>
      <c r="B48" s="109" t="s">
        <v>533</v>
      </c>
      <c r="C48" s="109" t="s">
        <v>539</v>
      </c>
      <c r="D48" s="65"/>
      <c r="M48" s="65"/>
      <c r="P48" s="65"/>
      <c r="Q48" s="65"/>
      <c r="R48" s="65"/>
      <c r="U48" s="80">
        <v>104476</v>
      </c>
      <c r="V48" s="80">
        <v>0.24099999999999999</v>
      </c>
      <c r="W48" s="80">
        <v>6292</v>
      </c>
      <c r="X48" s="80">
        <v>5463</v>
      </c>
      <c r="Y48" s="80">
        <v>7248</v>
      </c>
      <c r="Z48" s="80">
        <v>3850</v>
      </c>
      <c r="AA48" s="80">
        <v>2008</v>
      </c>
      <c r="AB48" s="65" t="s">
        <v>463</v>
      </c>
      <c r="AC48" s="15">
        <f>Z48/W48</f>
        <v>0.61188811188811187</v>
      </c>
      <c r="AD48" s="239">
        <f>1-(1-$AC48)^0.5</f>
        <v>0.37701373360892765</v>
      </c>
      <c r="AE48" s="140">
        <f>1+(1-$AC48)^0.5</f>
        <v>1.6229862663910724</v>
      </c>
      <c r="AF48" s="155"/>
      <c r="AG48" s="156"/>
      <c r="AH48" s="156">
        <f>AC48</f>
        <v>0.61188811188811187</v>
      </c>
      <c r="AI48" s="156"/>
      <c r="AJ48" s="103">
        <f>'landings Sylvie'!V72</f>
        <v>5047.7755102040819</v>
      </c>
      <c r="AM48" s="15">
        <f>IF(AH48&gt;=0.95,IF(AH48&lt;=$AM$2,1,MAX(1-$C$2*(AH48-$AM$2),$C$3)),AH48)</f>
        <v>0.61188811188811187</v>
      </c>
      <c r="AN48" s="15">
        <f>AM48</f>
        <v>0.61188811188811187</v>
      </c>
      <c r="AO48" s="15">
        <f>AN48^(AJ48/1000)</f>
        <v>8.3785376293926545E-2</v>
      </c>
      <c r="AP48" s="212">
        <f>AN48*AJ48/$AJ$91</f>
        <v>1.7409563638778016E-2</v>
      </c>
      <c r="AR48">
        <f>AP48</f>
        <v>1.7409563638778016E-2</v>
      </c>
      <c r="AS48" s="260">
        <f>AN48</f>
        <v>0.61188811188811187</v>
      </c>
      <c r="AT48" s="230">
        <f>AP48</f>
        <v>1.7409563638778016E-2</v>
      </c>
    </row>
    <row r="49" spans="1:46" ht="15.75" x14ac:dyDescent="0.2">
      <c r="A49" s="193"/>
      <c r="B49" s="107"/>
      <c r="C49" s="107"/>
      <c r="AC49" s="15"/>
      <c r="AD49" s="15"/>
      <c r="AE49" s="15"/>
      <c r="AF49" s="136"/>
      <c r="AG49" s="137"/>
      <c r="AH49" s="137"/>
      <c r="AI49" s="137"/>
      <c r="AP49" s="212"/>
    </row>
    <row r="50" spans="1:46" ht="15.75" x14ac:dyDescent="0.2">
      <c r="A50" s="193" t="s">
        <v>258</v>
      </c>
      <c r="B50" s="107" t="s">
        <v>535</v>
      </c>
      <c r="C50" s="107" t="s">
        <v>538</v>
      </c>
      <c r="D50" s="61" t="s">
        <v>371</v>
      </c>
      <c r="E50">
        <v>11071</v>
      </c>
      <c r="H50" s="61" t="s">
        <v>656</v>
      </c>
      <c r="L50">
        <v>1</v>
      </c>
      <c r="M50" s="99">
        <v>35</v>
      </c>
      <c r="N50" s="100">
        <v>19620</v>
      </c>
      <c r="O50" s="61" t="s">
        <v>443</v>
      </c>
      <c r="R50" s="61">
        <v>17</v>
      </c>
      <c r="S50" s="61" t="s">
        <v>664</v>
      </c>
      <c r="T50" s="65" t="s">
        <v>654</v>
      </c>
      <c r="Z50" s="24"/>
      <c r="AA50" s="24"/>
      <c r="AB50" s="24"/>
      <c r="AC50" s="151" t="s">
        <v>553</v>
      </c>
      <c r="AD50" s="15"/>
      <c r="AE50" s="15"/>
      <c r="AF50" s="146">
        <f>N50/E50</f>
        <v>1.7721976334567791</v>
      </c>
      <c r="AG50" s="147"/>
      <c r="AH50" s="147"/>
      <c r="AI50" s="61" t="s">
        <v>656</v>
      </c>
      <c r="AJ50" s="24">
        <f>'landings Sylvie'!BE72</f>
        <v>7560.2758620689656</v>
      </c>
      <c r="AM50" s="15">
        <f>IF(AF50&gt;=0.95,IF(AF50&lt;=$AM$2,1,MAX(1-$C$2*(AF50-$AM$2),$C$3)),AF50)</f>
        <v>0.86390118327161047</v>
      </c>
      <c r="AN50" s="15">
        <f>AM50</f>
        <v>0.86390118327161047</v>
      </c>
      <c r="AO50" s="15">
        <f>AN50^(AJ50/1000)</f>
        <v>0.33086500372370187</v>
      </c>
      <c r="AP50" s="212">
        <f>AN50*AJ50/$AJ$91</f>
        <v>3.6814384965912217E-2</v>
      </c>
      <c r="AR50">
        <f>AP50</f>
        <v>3.6814384965912217E-2</v>
      </c>
    </row>
    <row r="51" spans="1:46" ht="15.75" x14ac:dyDescent="0.2">
      <c r="A51" s="193"/>
      <c r="B51" s="107"/>
      <c r="C51" s="107" t="s">
        <v>538</v>
      </c>
      <c r="D51" s="61" t="s">
        <v>372</v>
      </c>
      <c r="E51">
        <v>731</v>
      </c>
      <c r="H51" s="61" t="s">
        <v>656</v>
      </c>
      <c r="L51">
        <v>1</v>
      </c>
      <c r="M51" s="99">
        <v>35</v>
      </c>
      <c r="N51" s="100">
        <v>1982</v>
      </c>
      <c r="R51" s="61">
        <v>17</v>
      </c>
      <c r="S51" s="61" t="s">
        <v>664</v>
      </c>
      <c r="T51" s="65" t="s">
        <v>654</v>
      </c>
      <c r="Z51" s="24"/>
      <c r="AA51" s="24"/>
      <c r="AB51" s="24"/>
      <c r="AC51" s="151" t="s">
        <v>553</v>
      </c>
      <c r="AD51" s="15"/>
      <c r="AE51" s="15"/>
      <c r="AF51" s="146">
        <f>N51/E51</f>
        <v>2.7113543091655266</v>
      </c>
      <c r="AG51" s="147"/>
      <c r="AH51" s="147"/>
      <c r="AI51" s="61" t="s">
        <v>656</v>
      </c>
      <c r="AJ51" s="24">
        <f>'landings Sylvie'!BF72</f>
        <v>428.43103448275861</v>
      </c>
      <c r="AM51" s="15">
        <f>IF(AF51&gt;=0.95,IF(AF51&lt;=$AM$2,1,MAX(1-$C$2*(AF51-$AM$2),$C$3)),AF51)</f>
        <v>0.39432284541723672</v>
      </c>
      <c r="AN51" s="15">
        <f>AM51</f>
        <v>0.39432284541723672</v>
      </c>
      <c r="AO51" s="15">
        <f t="shared" ref="AO51:AO55" si="0">AN51^(AJ51/1000)</f>
        <v>0.6711976513534007</v>
      </c>
      <c r="AP51" s="212">
        <f>AN51*AJ51/$AJ$91</f>
        <v>9.5224499697114994E-4</v>
      </c>
      <c r="AR51">
        <f>AP51</f>
        <v>9.5224499697114994E-4</v>
      </c>
    </row>
    <row r="52" spans="1:46" ht="15.75" x14ac:dyDescent="0.2">
      <c r="A52" s="193"/>
      <c r="B52" s="107"/>
      <c r="C52" s="107" t="s">
        <v>538</v>
      </c>
      <c r="D52" s="61" t="s">
        <v>373</v>
      </c>
      <c r="E52">
        <v>666</v>
      </c>
      <c r="H52" s="61" t="s">
        <v>656</v>
      </c>
      <c r="L52">
        <v>1</v>
      </c>
      <c r="M52" s="99">
        <v>35</v>
      </c>
      <c r="N52" s="100">
        <v>1506</v>
      </c>
      <c r="R52" s="61">
        <v>17</v>
      </c>
      <c r="S52" s="61" t="s">
        <v>664</v>
      </c>
      <c r="T52" s="65" t="s">
        <v>654</v>
      </c>
      <c r="Z52" s="24"/>
      <c r="AA52" s="24"/>
      <c r="AB52" s="24"/>
      <c r="AC52" s="151" t="s">
        <v>553</v>
      </c>
      <c r="AD52" s="15"/>
      <c r="AE52" s="15"/>
      <c r="AF52" s="146">
        <f>N52/E52</f>
        <v>2.2612612612612613</v>
      </c>
      <c r="AG52" s="147"/>
      <c r="AH52" s="147"/>
      <c r="AI52" s="61" t="s">
        <v>656</v>
      </c>
      <c r="AJ52" s="24">
        <f>'landings Sylvie'!BG72</f>
        <v>446.5</v>
      </c>
      <c r="AM52" s="15">
        <f>IF(AF52&gt;=0.95,IF(AF52&lt;=$AM$2,1,MAX(1-$C$2*(AF52-$AM$2),$C$3)),AF52)</f>
        <v>0.61936936936936937</v>
      </c>
      <c r="AN52" s="15">
        <f>AM52</f>
        <v>0.61936936936936937</v>
      </c>
      <c r="AO52" s="15">
        <f t="shared" si="0"/>
        <v>0.8074312458101619</v>
      </c>
      <c r="AP52" s="212">
        <f>AN52*AJ52/$AJ$91</f>
        <v>1.5587878966028638E-3</v>
      </c>
      <c r="AR52">
        <f>AP52</f>
        <v>1.5587878966028638E-3</v>
      </c>
    </row>
    <row r="53" spans="1:46" ht="15.75" x14ac:dyDescent="0.2">
      <c r="A53" s="193"/>
      <c r="B53" s="107"/>
      <c r="C53" s="107" t="s">
        <v>538</v>
      </c>
      <c r="D53" s="61" t="s">
        <v>448</v>
      </c>
      <c r="E53">
        <v>648</v>
      </c>
      <c r="H53" s="61" t="s">
        <v>656</v>
      </c>
      <c r="L53">
        <v>1</v>
      </c>
      <c r="M53" s="99">
        <v>35</v>
      </c>
      <c r="N53" s="100">
        <v>1851</v>
      </c>
      <c r="R53" s="61">
        <v>17</v>
      </c>
      <c r="S53" s="61" t="s">
        <v>664</v>
      </c>
      <c r="T53" s="65" t="s">
        <v>654</v>
      </c>
      <c r="Z53" s="24"/>
      <c r="AA53" s="24"/>
      <c r="AB53" s="24"/>
      <c r="AC53" s="151" t="s">
        <v>553</v>
      </c>
      <c r="AD53" s="15"/>
      <c r="AE53" s="15"/>
      <c r="AF53" s="146">
        <f>N53/E53</f>
        <v>2.8564814814814814</v>
      </c>
      <c r="AG53" s="147"/>
      <c r="AH53" s="147"/>
      <c r="AI53" s="61" t="s">
        <v>656</v>
      </c>
      <c r="AJ53" s="24">
        <f>'landings Sylvie'!BH72</f>
        <v>559.41379310344826</v>
      </c>
      <c r="AM53" s="15">
        <f>IF(AF53&gt;=0.95,IF(AF53&lt;=$AM$2,1,MAX(1-$C$2*(AF53-$AM$2),$C$3)),AF53)</f>
        <v>0.3217592592592593</v>
      </c>
      <c r="AN53" s="15">
        <f>AM53</f>
        <v>0.3217592592592593</v>
      </c>
      <c r="AO53" s="15">
        <f t="shared" si="0"/>
        <v>0.53028101467507749</v>
      </c>
      <c r="AP53" s="212">
        <f>AN53*AJ53/$AJ$91</f>
        <v>1.0145654336749231E-3</v>
      </c>
      <c r="AR53">
        <f>AP53</f>
        <v>1.0145654336749231E-3</v>
      </c>
    </row>
    <row r="54" spans="1:46" ht="15.75" x14ac:dyDescent="0.2">
      <c r="A54" s="193"/>
      <c r="B54" s="107"/>
      <c r="C54" s="107"/>
      <c r="D54" s="61"/>
      <c r="AB54" s="61"/>
      <c r="AC54" s="15"/>
      <c r="AD54" s="15"/>
      <c r="AE54" s="15"/>
      <c r="AF54" s="136"/>
      <c r="AG54" s="137"/>
      <c r="AH54" s="137"/>
      <c r="AI54" s="137"/>
      <c r="AJ54" s="24"/>
      <c r="AN54" s="15"/>
      <c r="AP54" s="212"/>
    </row>
    <row r="55" spans="1:46" ht="15.75" x14ac:dyDescent="0.2">
      <c r="A55" s="196" t="s">
        <v>247</v>
      </c>
      <c r="B55" s="217" t="s">
        <v>702</v>
      </c>
      <c r="C55" s="217" t="s">
        <v>540</v>
      </c>
      <c r="D55" s="61" t="s">
        <v>705</v>
      </c>
      <c r="E55">
        <v>159288</v>
      </c>
      <c r="H55">
        <v>0.20699999999999999</v>
      </c>
      <c r="L55" s="61">
        <v>10</v>
      </c>
      <c r="M55" s="215">
        <v>36</v>
      </c>
      <c r="N55">
        <v>163256</v>
      </c>
      <c r="O55">
        <v>0.11</v>
      </c>
      <c r="P55">
        <v>2009</v>
      </c>
      <c r="Q55" s="61">
        <v>49</v>
      </c>
      <c r="R55" s="61" t="s">
        <v>648</v>
      </c>
      <c r="S55" s="61" t="s">
        <v>669</v>
      </c>
      <c r="AC55" s="15"/>
      <c r="AD55" s="15"/>
      <c r="AE55" s="15"/>
      <c r="AF55" s="136">
        <f>N55/E55</f>
        <v>1.0249108532971725</v>
      </c>
      <c r="AG55" s="137"/>
      <c r="AH55" s="137"/>
      <c r="AI55" s="137">
        <f>O55/H55</f>
        <v>0.53140096618357491</v>
      </c>
      <c r="AJ55" s="24">
        <f>'landings Sylvie'!$X$72</f>
        <v>821.20512820512818</v>
      </c>
      <c r="AM55" s="15">
        <f>IF(AF55&gt;=0.95,IF(AF55&lt;=$AM$2,1,MAX(1-$C$2*(AF55-$AM$2),$C$3)),AF55)</f>
        <v>1</v>
      </c>
      <c r="AN55" s="15">
        <f>AM55</f>
        <v>1</v>
      </c>
      <c r="AO55" s="15">
        <f t="shared" si="0"/>
        <v>1</v>
      </c>
      <c r="AP55" s="212">
        <f>AN55*AJ55/$AJ$91</f>
        <v>4.6287901360204785E-3</v>
      </c>
      <c r="AR55">
        <f>AP55</f>
        <v>4.6287901360204785E-3</v>
      </c>
    </row>
    <row r="56" spans="1:46" s="101" customFormat="1" ht="15.75" x14ac:dyDescent="0.2">
      <c r="A56" s="189"/>
      <c r="B56" s="122"/>
      <c r="C56" s="122"/>
      <c r="D56" s="97"/>
      <c r="Q56" s="97"/>
      <c r="S56" s="97"/>
      <c r="AC56" s="140"/>
      <c r="AD56" s="140"/>
      <c r="AE56" s="140"/>
      <c r="AF56" s="148"/>
      <c r="AG56" s="149"/>
      <c r="AH56" s="149"/>
      <c r="AI56" s="149"/>
      <c r="AN56" s="15"/>
      <c r="AP56" s="212"/>
    </row>
    <row r="57" spans="1:46" ht="15.75" x14ac:dyDescent="0.2">
      <c r="A57" s="197" t="s">
        <v>261</v>
      </c>
      <c r="B57" s="129" t="s">
        <v>744</v>
      </c>
      <c r="C57" s="129"/>
      <c r="D57" s="97" t="s">
        <v>704</v>
      </c>
      <c r="E57" s="184">
        <v>65</v>
      </c>
      <c r="H57">
        <v>0.21</v>
      </c>
      <c r="L57" s="101">
        <v>19</v>
      </c>
      <c r="M57" s="222">
        <v>60</v>
      </c>
      <c r="Q57" s="61">
        <v>46</v>
      </c>
      <c r="R57" s="61">
        <v>19</v>
      </c>
      <c r="S57" s="61" t="s">
        <v>666</v>
      </c>
      <c r="AC57" s="15"/>
      <c r="AD57" s="15"/>
      <c r="AE57" s="15"/>
      <c r="AF57" s="136">
        <v>1.1359999999999999</v>
      </c>
      <c r="AG57" s="144"/>
      <c r="AI57" s="144">
        <v>0.8115</v>
      </c>
      <c r="AJ57" s="24">
        <f>'landings Sylvie'!$Y$72</f>
        <v>87.994693750000025</v>
      </c>
      <c r="AM57" s="15">
        <f>IF(AF57&gt;=0.95,IF(AF57&lt;=$AM$2,1,MAX(1-$C$2*(AF57-$AM$2),$C$3)),AF57)</f>
        <v>1</v>
      </c>
      <c r="AN57" s="15">
        <f>AM57</f>
        <v>1</v>
      </c>
      <c r="AO57" s="15">
        <f>AN57^(AJ57/1000)</f>
        <v>1</v>
      </c>
      <c r="AP57" s="212">
        <f>AN57*AJ57/$AJ$91</f>
        <v>4.959893167525393E-4</v>
      </c>
      <c r="AR57">
        <f>AP57</f>
        <v>4.959893167525393E-4</v>
      </c>
    </row>
    <row r="58" spans="1:46" x14ac:dyDescent="0.2">
      <c r="A58" s="198"/>
      <c r="B58" s="89"/>
      <c r="C58" s="89"/>
      <c r="AD58" s="15"/>
      <c r="AE58" s="15"/>
      <c r="AG58" s="137"/>
      <c r="AH58" s="137"/>
      <c r="AI58" s="137"/>
    </row>
    <row r="59" spans="1:46" ht="15.75" x14ac:dyDescent="0.2">
      <c r="A59" s="193"/>
      <c r="B59" s="107"/>
      <c r="C59" s="107"/>
      <c r="AJ59" s="24"/>
      <c r="AM59" s="15"/>
      <c r="AN59" s="15"/>
    </row>
    <row r="60" spans="1:46" ht="15.75" x14ac:dyDescent="0.2">
      <c r="A60" s="194" t="s">
        <v>501</v>
      </c>
      <c r="B60" s="172" t="s">
        <v>699</v>
      </c>
      <c r="C60" s="107" t="s">
        <v>727</v>
      </c>
      <c r="D60" s="61" t="s">
        <v>726</v>
      </c>
      <c r="E60">
        <v>13226</v>
      </c>
      <c r="H60">
        <v>0.2</v>
      </c>
      <c r="L60" s="61" t="s">
        <v>732</v>
      </c>
      <c r="M60" s="215" t="s">
        <v>740</v>
      </c>
      <c r="N60">
        <v>27966</v>
      </c>
      <c r="Q60">
        <v>47</v>
      </c>
      <c r="R60" s="61" t="s">
        <v>732</v>
      </c>
      <c r="S60" s="61" t="s">
        <v>663</v>
      </c>
      <c r="AF60" s="106">
        <f>2+1*3/23</f>
        <v>2.1304347826086958</v>
      </c>
      <c r="AG60" s="134"/>
      <c r="AH60" s="134"/>
      <c r="AI60" s="134">
        <f>4/12.5</f>
        <v>0.32</v>
      </c>
      <c r="AJ60" s="24">
        <f>'landings Sylvie'!$J$72</f>
        <v>184.34053677353336</v>
      </c>
      <c r="AL60" s="246">
        <f>AI60/0.8</f>
        <v>0.39999999999999997</v>
      </c>
      <c r="AM60" s="140">
        <f>IF(AF60&gt;=0.95,IF(AF60&lt;=$AM$2,1,MAX(1-$C$2*(AF60-$AM$2),$C$3)),AF60)</f>
        <v>0.68478260869565211</v>
      </c>
      <c r="AN60" s="154">
        <f>AVERAGE(AL60:AM60)</f>
        <v>0.54239130434782601</v>
      </c>
      <c r="AO60" s="15"/>
      <c r="AP60" s="212"/>
    </row>
    <row r="61" spans="1:46" ht="15.75" x14ac:dyDescent="0.2">
      <c r="A61" s="194"/>
      <c r="B61" s="172"/>
      <c r="C61" s="107" t="s">
        <v>728</v>
      </c>
      <c r="D61" s="61" t="s">
        <v>726</v>
      </c>
      <c r="E61">
        <v>63102</v>
      </c>
      <c r="H61">
        <v>0.08</v>
      </c>
      <c r="L61" s="61" t="s">
        <v>732</v>
      </c>
      <c r="M61" s="61" t="s">
        <v>741</v>
      </c>
      <c r="Q61">
        <v>47</v>
      </c>
      <c r="R61" s="61" t="s">
        <v>732</v>
      </c>
      <c r="S61" s="61" t="s">
        <v>663</v>
      </c>
      <c r="AF61" s="106">
        <f>1-13/23</f>
        <v>0.43478260869565222</v>
      </c>
      <c r="AG61" s="134"/>
      <c r="AH61" s="134"/>
      <c r="AI61" s="134">
        <f>1-2/12.5</f>
        <v>0.84</v>
      </c>
      <c r="AL61" s="246">
        <f>(AF61+1.5-AI61)/1.5</f>
        <v>0.72985507246376835</v>
      </c>
      <c r="AM61" s="140">
        <f>IF(AF61&gt;=0.95,IF(AF61&lt;=$AM$2,1,MAX(1-$C$2*(AF61-$AM$2),$C$3)),AF61)</f>
        <v>0.43478260869565222</v>
      </c>
      <c r="AN61" s="154">
        <f>AVERAGE(AL61:AM61)</f>
        <v>0.58231884057971028</v>
      </c>
      <c r="AO61" s="15">
        <f>AN61^(AJ60/1000)</f>
        <v>0.90512721545152808</v>
      </c>
      <c r="AP61" s="212">
        <f>AN61*AJ60/$AJ$91</f>
        <v>6.0505872445821695E-4</v>
      </c>
      <c r="AR61">
        <f>AP61</f>
        <v>6.0505872445821695E-4</v>
      </c>
    </row>
    <row r="62" spans="1:46" x14ac:dyDescent="0.2">
      <c r="AC62" s="15"/>
      <c r="AD62" s="15"/>
      <c r="AE62" s="15"/>
      <c r="AF62" s="136"/>
      <c r="AG62" s="137"/>
      <c r="AH62" s="137"/>
      <c r="AI62" s="137"/>
      <c r="AP62" s="212"/>
    </row>
    <row r="63" spans="1:46" ht="15.75" x14ac:dyDescent="0.2">
      <c r="A63" s="110" t="s">
        <v>482</v>
      </c>
      <c r="B63" s="65" t="s">
        <v>534</v>
      </c>
      <c r="C63" s="61" t="s">
        <v>548</v>
      </c>
      <c r="D63" s="61" t="s">
        <v>706</v>
      </c>
      <c r="E63">
        <v>440021</v>
      </c>
      <c r="H63">
        <v>0.217</v>
      </c>
      <c r="L63">
        <v>20</v>
      </c>
      <c r="M63" s="222">
        <v>50</v>
      </c>
      <c r="N63">
        <f>0.235*E63</f>
        <v>103404.935</v>
      </c>
      <c r="O63">
        <v>0.66</v>
      </c>
      <c r="P63">
        <v>2008</v>
      </c>
      <c r="Q63" s="61" t="s">
        <v>684</v>
      </c>
      <c r="R63" s="61">
        <v>20</v>
      </c>
      <c r="S63" s="61" t="s">
        <v>669</v>
      </c>
      <c r="AC63" s="15"/>
      <c r="AD63" s="15"/>
      <c r="AE63" s="15"/>
      <c r="AF63" s="136">
        <v>0.23499999999999999</v>
      </c>
      <c r="AG63" s="137"/>
      <c r="AH63" s="137"/>
      <c r="AI63" s="137">
        <f>O63/H63</f>
        <v>3.0414746543778803</v>
      </c>
      <c r="AM63" s="15">
        <f>IF(AF63&gt;=0.95,IF(AF63&lt;=$AM$2,1,MAX(1-$C$2*(AF63-$AM$2),$C$3)),AF63)</f>
        <v>0.23499999999999999</v>
      </c>
      <c r="AN63" s="15">
        <f>AM63</f>
        <v>0.23499999999999999</v>
      </c>
      <c r="AO63" s="139">
        <f>AN63^(AJ65/1000)</f>
        <v>6.2646830120562814E-3</v>
      </c>
      <c r="AP63" s="212">
        <f>AN63*AJ65/$AJ$91</f>
        <v>4.6399606855447246E-3</v>
      </c>
      <c r="AR63">
        <f>AP63</f>
        <v>4.6399606855447246E-3</v>
      </c>
      <c r="AS63" s="259">
        <f>IF(AH65&gt;=0.95,IF(AH65&lt;=$AM$2,1,MAX(1-$C$2*(AH65-$AM$2),$C$3)),AH65)</f>
        <v>4.915133807298544E-2</v>
      </c>
      <c r="AT63" s="258">
        <f>AS63*AJ65/$AJ$91</f>
        <v>9.7046926085348959E-4</v>
      </c>
    </row>
    <row r="64" spans="1:46" hidden="1" x14ac:dyDescent="0.2">
      <c r="A64" s="199"/>
      <c r="B64" s="65"/>
      <c r="C64" s="61" t="s">
        <v>549</v>
      </c>
      <c r="D64" s="61" t="s">
        <v>706</v>
      </c>
      <c r="E64">
        <v>431020</v>
      </c>
      <c r="L64">
        <v>20</v>
      </c>
      <c r="M64" s="222">
        <v>51</v>
      </c>
      <c r="N64">
        <f>0.235*E64</f>
        <v>101289.7</v>
      </c>
      <c r="R64" s="61">
        <v>20</v>
      </c>
      <c r="S64" s="61" t="s">
        <v>669</v>
      </c>
      <c r="AC64" s="15"/>
      <c r="AD64" s="15"/>
      <c r="AE64" s="15"/>
      <c r="AF64" s="136">
        <v>0.24</v>
      </c>
      <c r="AG64" s="137"/>
      <c r="AH64" s="137"/>
      <c r="AI64" s="137"/>
      <c r="AM64" s="15"/>
      <c r="AN64" s="15"/>
      <c r="AO64" s="139"/>
      <c r="AP64" s="212"/>
    </row>
    <row r="65" spans="1:46" s="132" customFormat="1" x14ac:dyDescent="0.2">
      <c r="A65" s="200"/>
      <c r="B65" s="131"/>
      <c r="C65" s="134" t="s">
        <v>539</v>
      </c>
      <c r="D65" s="134" t="s">
        <v>441</v>
      </c>
      <c r="U65" s="132">
        <v>56743</v>
      </c>
      <c r="V65" s="132">
        <v>0.26900000000000002</v>
      </c>
      <c r="W65" s="132">
        <v>3817</v>
      </c>
      <c r="X65" s="132">
        <v>3507</v>
      </c>
      <c r="Y65" s="132">
        <v>4154</v>
      </c>
      <c r="Z65" s="132">
        <v>366</v>
      </c>
      <c r="AA65" s="132">
        <v>2011</v>
      </c>
      <c r="AB65" s="134" t="s">
        <v>463</v>
      </c>
      <c r="AC65" s="137">
        <f>Z65/W65</f>
        <v>9.5886822111605971E-2</v>
      </c>
      <c r="AD65" s="238">
        <f>1-(1-$AC65)^0.5</f>
        <v>4.915133807298544E-2</v>
      </c>
      <c r="AE65" s="178">
        <f>1+(1-$AC65)^0.5</f>
        <v>1.9508486619270147</v>
      </c>
      <c r="AF65" s="137"/>
      <c r="AG65" s="137"/>
      <c r="AH65" s="137">
        <f>AD65</f>
        <v>4.915133807298544E-2</v>
      </c>
      <c r="AI65" s="137"/>
      <c r="AJ65" s="24">
        <f>'landings Sylvie'!AH72</f>
        <v>3502.9230769230771</v>
      </c>
      <c r="AP65" s="213"/>
    </row>
    <row r="66" spans="1:46" ht="15.75" x14ac:dyDescent="0.2">
      <c r="A66" s="201"/>
      <c r="B66" s="111"/>
      <c r="C66" s="111"/>
      <c r="P66" s="61"/>
      <c r="R66" s="61"/>
      <c r="S66" s="61"/>
      <c r="AC66" s="15"/>
      <c r="AD66" s="15"/>
      <c r="AE66" s="15"/>
      <c r="AG66" s="145"/>
      <c r="AH66" s="145"/>
      <c r="AI66" s="145"/>
      <c r="AJ66" s="113"/>
      <c r="AM66" s="15"/>
      <c r="AN66" s="15"/>
      <c r="AO66" s="15"/>
      <c r="AP66" s="212"/>
    </row>
    <row r="67" spans="1:46" ht="15.75" x14ac:dyDescent="0.2">
      <c r="A67" s="192" t="s">
        <v>582</v>
      </c>
      <c r="B67" s="61" t="s">
        <v>594</v>
      </c>
      <c r="C67" s="118"/>
      <c r="D67" s="95" t="s">
        <v>360</v>
      </c>
      <c r="E67">
        <v>7281</v>
      </c>
      <c r="F67">
        <f>0.3*E67</f>
        <v>2184.2999999999997</v>
      </c>
      <c r="G67">
        <f>0.8*E67</f>
        <v>5824.8</v>
      </c>
      <c r="H67" s="61" t="s">
        <v>656</v>
      </c>
      <c r="I67">
        <v>0.1</v>
      </c>
      <c r="L67">
        <v>1</v>
      </c>
      <c r="M67" s="61">
        <v>37</v>
      </c>
      <c r="N67">
        <v>9096</v>
      </c>
      <c r="O67" s="186">
        <f>4*0.1/17</f>
        <v>2.3529411764705882E-2</v>
      </c>
      <c r="R67">
        <v>21</v>
      </c>
      <c r="S67" s="61" t="s">
        <v>673</v>
      </c>
      <c r="T67">
        <v>53</v>
      </c>
      <c r="AF67" s="105">
        <f>N67/E67</f>
        <v>1.2492789451998352</v>
      </c>
      <c r="AJ67" s="24">
        <f>'landings Sylvie'!$L$72</f>
        <v>592.6</v>
      </c>
      <c r="AM67" s="15">
        <f>IF(AF67&gt;=0.95,IF(AF67&lt;=$AM$2,1,MAX(1-$C$2*(AF67-$AM$2),$C$3)),AF67)</f>
        <v>1</v>
      </c>
      <c r="AN67" s="15">
        <f>AM67</f>
        <v>1</v>
      </c>
      <c r="AO67" s="139">
        <f>AN67^(AJ67/1000)</f>
        <v>1</v>
      </c>
      <c r="AP67" s="212">
        <f>AN67*AJ67/$AJ$91</f>
        <v>3.3402385596410433E-3</v>
      </c>
      <c r="AR67">
        <f>AP67</f>
        <v>3.3402385596410433E-3</v>
      </c>
    </row>
    <row r="68" spans="1:46" s="180" customFormat="1" x14ac:dyDescent="0.2">
      <c r="A68" s="202"/>
      <c r="B68" s="179"/>
      <c r="C68" s="179"/>
      <c r="Q68" s="179"/>
      <c r="R68" s="179"/>
      <c r="AC68" s="182"/>
      <c r="AD68" s="182"/>
      <c r="AE68" s="182"/>
      <c r="AF68" s="181"/>
      <c r="AG68" s="182"/>
      <c r="AH68" s="182"/>
      <c r="AI68" s="182"/>
      <c r="AJ68" s="183"/>
      <c r="AP68" s="214"/>
    </row>
    <row r="69" spans="1:46" ht="15.75" x14ac:dyDescent="0.2">
      <c r="A69" s="203" t="s">
        <v>472</v>
      </c>
      <c r="B69" s="185" t="s">
        <v>532</v>
      </c>
      <c r="C69" s="185"/>
      <c r="D69" s="61" t="s">
        <v>761</v>
      </c>
      <c r="E69" s="235">
        <f>AVERAGE('[1]assessment biomass'!$ET$2:$ET$46)</f>
        <v>3556.6626140822882</v>
      </c>
      <c r="H69" s="61" t="s">
        <v>656</v>
      </c>
      <c r="L69">
        <v>2</v>
      </c>
      <c r="M69">
        <v>38</v>
      </c>
      <c r="N69">
        <f>AVERAGE('[1]assessment biomass'!$ET$44:$ET$46)</f>
        <v>5138.7404387010129</v>
      </c>
      <c r="P69" s="61" t="s">
        <v>491</v>
      </c>
      <c r="S69" s="61" t="s">
        <v>664</v>
      </c>
      <c r="AC69" s="15"/>
      <c r="AD69" s="15"/>
      <c r="AE69" s="15"/>
      <c r="AG69" s="136">
        <f>N69/E69</f>
        <v>1.4448208886484282</v>
      </c>
      <c r="AH69" s="137"/>
      <c r="AI69" s="137"/>
      <c r="AJ69" s="24">
        <f>'landings Sylvie'!AC72</f>
        <v>901.81632653061229</v>
      </c>
      <c r="AM69" s="15">
        <f>IF(AG69&gt;=0.95,IF(AG69&lt;=$AM$2,1,MAX(1-$C$2*(AG69-$AM$2),$C$3)),AG69)</f>
        <v>1</v>
      </c>
      <c r="AN69" s="15">
        <f>AM69</f>
        <v>1</v>
      </c>
      <c r="AO69" s="139">
        <f>AN69^(AJ69/1000)</f>
        <v>1</v>
      </c>
      <c r="AP69" s="212">
        <f>AN69*AJ69/$AJ$91</f>
        <v>5.0831617745382869E-3</v>
      </c>
      <c r="AR69">
        <f>AP69</f>
        <v>5.0831617745382869E-3</v>
      </c>
    </row>
    <row r="70" spans="1:46" ht="15.75" x14ac:dyDescent="0.2">
      <c r="A70" s="203"/>
      <c r="B70" s="185"/>
      <c r="C70" s="185"/>
      <c r="D70" s="61"/>
      <c r="E70" s="235"/>
      <c r="P70" s="61"/>
      <c r="U70" s="61" t="s">
        <v>544</v>
      </c>
      <c r="Z70">
        <v>890</v>
      </c>
      <c r="AA70">
        <v>2008</v>
      </c>
      <c r="AB70" s="61" t="s">
        <v>528</v>
      </c>
      <c r="AC70" s="15"/>
      <c r="AD70" s="15"/>
      <c r="AE70" s="15"/>
      <c r="AF70" s="136"/>
      <c r="AG70" s="137"/>
      <c r="AH70" s="137"/>
      <c r="AI70" s="137"/>
      <c r="AJ70" s="24"/>
      <c r="AP70" s="212"/>
    </row>
    <row r="71" spans="1:46" ht="15.75" x14ac:dyDescent="0.2">
      <c r="A71" s="204" t="s">
        <v>475</v>
      </c>
      <c r="B71" s="127" t="s">
        <v>531</v>
      </c>
      <c r="C71" s="127"/>
      <c r="D71" s="61" t="s">
        <v>761</v>
      </c>
      <c r="E71" s="84">
        <f>AVERAGE('[1]assessment biomass'!$CP$2:$CP$46)</f>
        <v>1796.5989011197316</v>
      </c>
      <c r="H71" s="61" t="s">
        <v>656</v>
      </c>
      <c r="L71">
        <v>2</v>
      </c>
      <c r="M71">
        <v>38</v>
      </c>
      <c r="N71">
        <f>AVERAGE('[1]assessment biomass'!$CP$44:$CP$46)</f>
        <v>1064.1921167959733</v>
      </c>
      <c r="P71" s="61" t="s">
        <v>491</v>
      </c>
      <c r="S71" s="61" t="s">
        <v>664</v>
      </c>
      <c r="AC71" s="15"/>
      <c r="AD71" s="15"/>
      <c r="AE71" s="15"/>
      <c r="AG71" s="136">
        <f>N71/E71</f>
        <v>0.59233706317682522</v>
      </c>
      <c r="AH71" s="137"/>
      <c r="AI71" s="137"/>
      <c r="AJ71" s="24">
        <f>'landings Sylvie'!AB72</f>
        <v>420.08163265306121</v>
      </c>
      <c r="AM71" s="15">
        <f>IF(AG71&gt;=0.95,IF(AG71&lt;=$AM$2,1,MAX(1-$C$2*(AG71-$AM$2),$C$3)),AG71)</f>
        <v>0.59233706317682522</v>
      </c>
      <c r="AN71" s="15">
        <f>AM71</f>
        <v>0.59233706317682522</v>
      </c>
      <c r="AO71" s="139">
        <f>AN71^(AJ71/1000)</f>
        <v>0.80252833575033877</v>
      </c>
      <c r="AP71" s="212">
        <f>AN71*AJ71/$AJ$91</f>
        <v>1.4025502793022894E-3</v>
      </c>
      <c r="AR71">
        <f>AP71</f>
        <v>1.4025502793022894E-3</v>
      </c>
    </row>
    <row r="72" spans="1:46" ht="15.75" x14ac:dyDescent="0.2">
      <c r="A72" s="204"/>
      <c r="B72" s="127"/>
      <c r="C72" s="127" t="s">
        <v>539</v>
      </c>
      <c r="D72" s="67" t="s">
        <v>474</v>
      </c>
      <c r="E72" s="84"/>
      <c r="M72" s="61"/>
      <c r="P72" s="61"/>
      <c r="U72" s="61">
        <v>11442</v>
      </c>
      <c r="V72">
        <v>0.124</v>
      </c>
      <c r="W72">
        <v>356</v>
      </c>
      <c r="X72">
        <v>256</v>
      </c>
      <c r="Y72">
        <v>496</v>
      </c>
      <c r="Z72">
        <v>126</v>
      </c>
      <c r="AA72">
        <v>2008</v>
      </c>
      <c r="AB72" s="61" t="s">
        <v>528</v>
      </c>
      <c r="AC72" s="151" t="s">
        <v>541</v>
      </c>
      <c r="AD72" s="15"/>
      <c r="AE72" s="15"/>
      <c r="AF72" s="136"/>
      <c r="AG72" s="137"/>
      <c r="AH72" s="137"/>
      <c r="AI72" s="137"/>
      <c r="AJ72" s="24"/>
      <c r="AP72" s="212"/>
    </row>
    <row r="73" spans="1:46" ht="15.75" x14ac:dyDescent="0.2">
      <c r="A73" s="205"/>
      <c r="B73" s="119"/>
      <c r="C73" s="119"/>
      <c r="D73" s="97"/>
      <c r="E73" s="84"/>
      <c r="M73" s="61"/>
      <c r="P73" s="61"/>
      <c r="U73" s="61"/>
      <c r="AB73" s="61"/>
      <c r="AC73" s="151"/>
      <c r="AD73" s="15"/>
      <c r="AE73" s="15"/>
      <c r="AF73" s="136"/>
      <c r="AG73" s="137"/>
      <c r="AH73" s="137"/>
      <c r="AI73" s="137"/>
      <c r="AJ73" s="24"/>
      <c r="AP73" s="212"/>
    </row>
    <row r="74" spans="1:46" ht="15.75" x14ac:dyDescent="0.2">
      <c r="A74" s="206" t="s">
        <v>473</v>
      </c>
      <c r="B74" s="126" t="s">
        <v>529</v>
      </c>
      <c r="C74" s="126" t="s">
        <v>344</v>
      </c>
      <c r="D74" s="61" t="s">
        <v>761</v>
      </c>
      <c r="E74" s="84">
        <f>AVERAGE('[1]assessment biomass'!$CX$2:$CX$46)</f>
        <v>650.65457661993401</v>
      </c>
      <c r="H74" s="61" t="s">
        <v>656</v>
      </c>
      <c r="L74">
        <v>2</v>
      </c>
      <c r="M74">
        <v>38</v>
      </c>
      <c r="N74">
        <f>AVERAGE('[1]assessment biomass'!$CX$44:$CX$46)</f>
        <v>184.28114235233957</v>
      </c>
      <c r="P74" s="61" t="s">
        <v>491</v>
      </c>
      <c r="S74" s="61" t="s">
        <v>664</v>
      </c>
      <c r="AC74" s="15"/>
      <c r="AD74" s="15"/>
      <c r="AE74" s="15"/>
      <c r="AG74" s="136">
        <f>N74/E74</f>
        <v>0.28322423137274494</v>
      </c>
      <c r="AH74" s="137"/>
      <c r="AI74" s="137"/>
      <c r="AJ74" s="24">
        <f>'landings Sylvie'!$AA$72</f>
        <v>133.61224489795919</v>
      </c>
      <c r="AM74" s="15">
        <f>IF(AG74&gt;=0.95,IF(AG74&lt;=$AM$2,1,MAX(1-$C$2*(AG74-$AM$2),$C$3)),AG74)</f>
        <v>0.28322423137274494</v>
      </c>
      <c r="AN74" s="15">
        <f>AM74</f>
        <v>0.28322423137274494</v>
      </c>
      <c r="AO74" s="139">
        <f>AN74^(AJ74/1000)</f>
        <v>0.84488561083901859</v>
      </c>
      <c r="AP74" s="212">
        <f>AN74*AJ74/$AJ$91</f>
        <v>2.1330081056501044E-4</v>
      </c>
      <c r="AR74">
        <f>AP74</f>
        <v>2.1330081056501044E-4</v>
      </c>
      <c r="AS74" s="259"/>
      <c r="AT74" s="258"/>
    </row>
    <row r="75" spans="1:46" ht="15.75" x14ac:dyDescent="0.2">
      <c r="A75" s="206"/>
      <c r="B75" s="126"/>
      <c r="C75" s="126" t="s">
        <v>542</v>
      </c>
      <c r="D75" s="99" t="s">
        <v>474</v>
      </c>
      <c r="E75" s="84"/>
      <c r="M75" s="61"/>
      <c r="P75" s="61"/>
      <c r="U75" s="61" t="s">
        <v>543</v>
      </c>
      <c r="Z75">
        <v>5</v>
      </c>
      <c r="AA75">
        <v>2008</v>
      </c>
      <c r="AB75" s="61" t="s">
        <v>528</v>
      </c>
      <c r="AC75" s="151" t="s">
        <v>541</v>
      </c>
      <c r="AD75" s="15"/>
      <c r="AE75" s="15"/>
      <c r="AF75" s="136"/>
      <c r="AG75" s="137"/>
      <c r="AH75" s="137"/>
      <c r="AI75" s="137"/>
      <c r="AJ75" s="24"/>
      <c r="AP75" s="212"/>
    </row>
    <row r="76" spans="1:46" ht="15.75" x14ac:dyDescent="0.2">
      <c r="A76" s="205"/>
      <c r="B76" s="119"/>
      <c r="C76" s="119"/>
      <c r="D76" s="61"/>
      <c r="E76" s="84"/>
      <c r="M76" s="61"/>
      <c r="P76" s="61"/>
      <c r="AC76" s="15"/>
      <c r="AD76" s="15"/>
      <c r="AE76" s="15"/>
      <c r="AF76" s="136"/>
      <c r="AG76" s="137"/>
      <c r="AH76" s="137"/>
      <c r="AI76" s="137"/>
      <c r="AJ76" s="24"/>
      <c r="AP76" s="212"/>
    </row>
    <row r="77" spans="1:46" ht="15.75" x14ac:dyDescent="0.2">
      <c r="A77" s="207" t="s">
        <v>517</v>
      </c>
      <c r="B77" s="128" t="s">
        <v>545</v>
      </c>
      <c r="C77" s="128" t="s">
        <v>344</v>
      </c>
      <c r="D77" s="61" t="s">
        <v>761</v>
      </c>
      <c r="E77" s="84">
        <f>AVERAGE('[1]assessment biomass'!$DJ$2:$DJ$46)</f>
        <v>2016.8975846939863</v>
      </c>
      <c r="H77" s="61" t="s">
        <v>656</v>
      </c>
      <c r="L77">
        <v>2</v>
      </c>
      <c r="M77">
        <v>38</v>
      </c>
      <c r="N77">
        <f>AVERAGE('[1]assessment biomass'!$DJ$44:$DJ$46)</f>
        <v>114.48226118244996</v>
      </c>
      <c r="P77" s="61" t="s">
        <v>491</v>
      </c>
      <c r="S77" s="61" t="s">
        <v>664</v>
      </c>
      <c r="AC77" s="15"/>
      <c r="AD77" s="15"/>
      <c r="AE77" s="15"/>
      <c r="AG77" s="136">
        <f>N77/E77</f>
        <v>5.676156392433767E-2</v>
      </c>
      <c r="AH77" s="137"/>
      <c r="AI77" s="137"/>
      <c r="AJ77" s="121">
        <f>'landings Sylvie'!AF72</f>
        <v>674.16326530612241</v>
      </c>
      <c r="AM77" s="15">
        <f>IF(AG77&gt;=0.95,IF(AG77&lt;=$AM$2,1,MAX(1-$C$2*(AG77-$AM$2),$C$3)),AG77)</f>
        <v>5.676156392433767E-2</v>
      </c>
      <c r="AN77" s="15">
        <f>AM77</f>
        <v>5.676156392433767E-2</v>
      </c>
      <c r="AO77" s="139">
        <f>AN77^(AJ77/1000)</f>
        <v>0.14455370058869979</v>
      </c>
      <c r="AP77" s="212">
        <f>AN77*AJ77/$AJ$91</f>
        <v>2.1569261479811405E-4</v>
      </c>
      <c r="AR77">
        <f>AP77</f>
        <v>2.1569261479811405E-4</v>
      </c>
      <c r="AS77" s="259">
        <f>IF(AH78&gt;=0.95,IF(AH78&lt;=$AM$2,1,MAX(1-$C$2*(AH78-$AM$2),$C$3)),AH78)</f>
        <v>1.9945023274308693E-2</v>
      </c>
      <c r="AT77" s="257">
        <f>AS77*AJ77/$AJ$91</f>
        <v>7.5790621766154653E-5</v>
      </c>
    </row>
    <row r="78" spans="1:46" ht="15.75" x14ac:dyDescent="0.2">
      <c r="A78" s="207"/>
      <c r="B78" s="128"/>
      <c r="C78" s="128" t="s">
        <v>539</v>
      </c>
      <c r="D78" s="95" t="s">
        <v>476</v>
      </c>
      <c r="E78" s="84"/>
      <c r="M78" s="61"/>
      <c r="P78" s="61"/>
      <c r="U78">
        <v>26196</v>
      </c>
      <c r="V78">
        <v>0.108</v>
      </c>
      <c r="W78">
        <v>709</v>
      </c>
      <c r="X78" s="61">
        <v>508</v>
      </c>
      <c r="Y78" s="61">
        <v>989</v>
      </c>
      <c r="Z78">
        <v>28</v>
      </c>
      <c r="AA78">
        <v>2008</v>
      </c>
      <c r="AB78" s="61" t="s">
        <v>522</v>
      </c>
      <c r="AC78" s="15">
        <f>Z78/W78</f>
        <v>3.9492242595204514E-2</v>
      </c>
      <c r="AD78" s="17">
        <f>1-(1-$AC78)^0.5</f>
        <v>1.9945023274308693E-2</v>
      </c>
      <c r="AE78" s="17">
        <f>1+(1-$AC78)^0.5</f>
        <v>1.9800549767256914</v>
      </c>
      <c r="AF78" s="136"/>
      <c r="AG78" s="137"/>
      <c r="AH78" s="137">
        <f>AD78</f>
        <v>1.9945023274308693E-2</v>
      </c>
      <c r="AI78" s="137"/>
      <c r="AJ78" s="61"/>
      <c r="AP78" s="212"/>
    </row>
    <row r="79" spans="1:46" ht="15.75" x14ac:dyDescent="0.2">
      <c r="A79" s="205"/>
      <c r="B79" s="119"/>
      <c r="C79" s="119"/>
      <c r="D79" s="61"/>
      <c r="E79" s="84"/>
      <c r="M79" s="61"/>
      <c r="P79" s="61"/>
      <c r="AC79" s="15"/>
      <c r="AD79" s="15"/>
      <c r="AE79" s="15"/>
      <c r="AF79" s="136"/>
      <c r="AG79" s="137"/>
      <c r="AH79" s="137"/>
      <c r="AI79" s="137"/>
      <c r="AJ79" s="61"/>
      <c r="AP79" s="212"/>
    </row>
    <row r="80" spans="1:46" ht="15.75" x14ac:dyDescent="0.2">
      <c r="A80" s="205" t="s">
        <v>477</v>
      </c>
      <c r="B80" s="119" t="s">
        <v>709</v>
      </c>
      <c r="C80" s="119"/>
      <c r="D80" s="61" t="s">
        <v>761</v>
      </c>
      <c r="E80" s="84">
        <f>AVERAGE('[1]assessment biomass'!$ED$2:$ED$46)</f>
        <v>2181.3163265823064</v>
      </c>
      <c r="H80" s="61" t="s">
        <v>656</v>
      </c>
      <c r="L80">
        <v>2</v>
      </c>
      <c r="M80">
        <v>38</v>
      </c>
      <c r="N80">
        <f>AVERAGE('[1]assessment biomass'!$ED$44:$ED$46)</f>
        <v>683.72839773458543</v>
      </c>
      <c r="P80" s="61" t="s">
        <v>491</v>
      </c>
      <c r="S80" s="61" t="s">
        <v>664</v>
      </c>
      <c r="T80" s="61"/>
      <c r="AC80" s="15"/>
      <c r="AD80" s="15"/>
      <c r="AE80" s="15"/>
      <c r="AG80" s="136">
        <f>N80/E80</f>
        <v>0.31344761390286446</v>
      </c>
      <c r="AH80" s="137"/>
      <c r="AI80" s="137"/>
      <c r="AJ80" s="24">
        <f>'landings Sylvie'!$Z$72</f>
        <v>537.62790697674416</v>
      </c>
      <c r="AM80" s="15">
        <f>IF(AG80&gt;=0.95,IF(AG80&lt;=$AM$2,1,MAX(1-$C$2*(AG80-$AM$2),$C$3)),AG80)</f>
        <v>0.31344761390286446</v>
      </c>
      <c r="AN80" s="15">
        <f>AM80</f>
        <v>0.31344761390286446</v>
      </c>
      <c r="AO80" s="139">
        <f>AN80^(AJ80/1000)</f>
        <v>0.53594993966397209</v>
      </c>
      <c r="AP80" s="212">
        <f>AN80*AJ80/$AJ$91</f>
        <v>9.4986658493621009E-4</v>
      </c>
      <c r="AR80">
        <f>AP80</f>
        <v>9.4986658493621009E-4</v>
      </c>
    </row>
    <row r="81" spans="1:49" ht="15.75" x14ac:dyDescent="0.2">
      <c r="A81" s="205"/>
      <c r="B81" s="119"/>
      <c r="C81" s="119"/>
      <c r="E81" s="84"/>
      <c r="P81" s="61"/>
      <c r="T81" s="61"/>
      <c r="AC81" s="15"/>
      <c r="AD81" s="15"/>
      <c r="AE81" s="15"/>
      <c r="AG81" s="136"/>
      <c r="AH81" s="137"/>
      <c r="AI81" s="137"/>
      <c r="AJ81" s="24"/>
      <c r="AM81" s="15"/>
      <c r="AN81" s="15"/>
      <c r="AO81" s="15"/>
      <c r="AP81" s="212"/>
    </row>
    <row r="82" spans="1:49" ht="15.75" x14ac:dyDescent="0.2">
      <c r="A82" s="205" t="s">
        <v>489</v>
      </c>
      <c r="B82" s="119" t="s">
        <v>710</v>
      </c>
      <c r="C82" s="119"/>
      <c r="D82" s="61" t="s">
        <v>761</v>
      </c>
      <c r="E82" s="84">
        <f>AVERAGE('[1]assessment biomass'!$EP$2:$EP$46)</f>
        <v>2797.8731344293719</v>
      </c>
      <c r="H82" s="61" t="s">
        <v>656</v>
      </c>
      <c r="L82">
        <v>2</v>
      </c>
      <c r="M82">
        <v>38</v>
      </c>
      <c r="N82">
        <f>AVERAGE('[1]assessment biomass'!$EP$44:$EP$46)</f>
        <v>1314.0279931072521</v>
      </c>
      <c r="P82" s="61" t="s">
        <v>491</v>
      </c>
      <c r="S82" s="61" t="s">
        <v>664</v>
      </c>
      <c r="AC82" s="15"/>
      <c r="AD82" s="15"/>
      <c r="AE82" s="15"/>
      <c r="AG82" s="136">
        <f>N82/E82</f>
        <v>0.46965245741038542</v>
      </c>
      <c r="AH82" s="137"/>
      <c r="AI82" s="137"/>
      <c r="AJ82" s="24">
        <f>'landings Sylvie'!$AG$72</f>
        <v>94.94736842105263</v>
      </c>
      <c r="AM82" s="15">
        <f>IF(AG82&gt;=0.95,IF(AG82&lt;=$AM$2,1,MAX(1-$C$2*(AG82-$AM$2),$C$3)),AG82)</f>
        <v>0.46965245741038542</v>
      </c>
      <c r="AN82" s="15">
        <f>AM82</f>
        <v>0.46965245741038542</v>
      </c>
      <c r="AO82" s="139">
        <f>AN82^(AJ82/1000)</f>
        <v>0.93075644428496007</v>
      </c>
      <c r="AP82" s="212">
        <f>AN82*AJ82/$AJ$91</f>
        <v>2.5134796269443357E-4</v>
      </c>
      <c r="AR82">
        <f>AP82</f>
        <v>2.5134796269443357E-4</v>
      </c>
    </row>
    <row r="83" spans="1:49" ht="15.75" x14ac:dyDescent="0.2">
      <c r="A83" s="205"/>
      <c r="B83" s="119"/>
      <c r="C83" s="119"/>
      <c r="AC83" s="15"/>
      <c r="AD83" s="15"/>
      <c r="AE83" s="15"/>
      <c r="AF83" s="136"/>
      <c r="AG83" s="137"/>
      <c r="AH83" s="137"/>
      <c r="AI83" s="137"/>
      <c r="AJ83" s="24"/>
      <c r="AP83" s="212"/>
    </row>
    <row r="84" spans="1:49" ht="15.75" x14ac:dyDescent="0.2">
      <c r="A84" s="205" t="s">
        <v>484</v>
      </c>
      <c r="B84" s="119" t="s">
        <v>711</v>
      </c>
      <c r="C84" s="119"/>
      <c r="D84" s="61" t="s">
        <v>441</v>
      </c>
      <c r="E84" s="84">
        <f>AVERAGE('[1]assessment biomass'!$BJ$2:$BJ$15)</f>
        <v>834.39432871428562</v>
      </c>
      <c r="F84" s="78">
        <f>AVERAGE('[1]assessment biomass'!$BJ$2:$BJ$46)</f>
        <v>474.24152603643518</v>
      </c>
      <c r="H84" s="61" t="s">
        <v>656</v>
      </c>
      <c r="L84">
        <v>2</v>
      </c>
      <c r="M84" s="61">
        <v>39</v>
      </c>
      <c r="N84" s="84">
        <f>AVERAGE('[1]assessment biomass'!$BJ$44:$BJ$46)</f>
        <v>258.88081547986189</v>
      </c>
      <c r="P84" s="61" t="s">
        <v>491</v>
      </c>
      <c r="Q84" s="61" t="s">
        <v>344</v>
      </c>
      <c r="S84" s="61" t="s">
        <v>664</v>
      </c>
      <c r="AC84" s="15"/>
      <c r="AD84" s="15"/>
      <c r="AE84" s="15"/>
      <c r="AG84" s="15">
        <f>N84/E84</f>
        <v>0.31026195477475277</v>
      </c>
      <c r="AH84" s="15"/>
      <c r="AI84" s="15"/>
      <c r="AJ84" s="101"/>
      <c r="AP84" s="212"/>
    </row>
    <row r="85" spans="1:49" ht="15.75" x14ac:dyDescent="0.2">
      <c r="A85" s="205" t="s">
        <v>485</v>
      </c>
      <c r="B85" s="119" t="s">
        <v>712</v>
      </c>
      <c r="C85" s="119"/>
      <c r="D85" s="61" t="s">
        <v>441</v>
      </c>
      <c r="E85" s="84">
        <f>AVERAGE('[1]assessment biomass'!$BR$2:$BR$16)</f>
        <v>7936.1468206666668</v>
      </c>
      <c r="F85" s="78">
        <f>AVERAGE('[1]assessment biomass'!$BR$2:$BR$46)</f>
        <v>3793.7729534744617</v>
      </c>
      <c r="H85" s="61" t="s">
        <v>656</v>
      </c>
      <c r="L85">
        <v>2</v>
      </c>
      <c r="M85" s="61">
        <v>40</v>
      </c>
      <c r="N85" s="84">
        <f>AVERAGE('[1]assessment biomass'!$BR$44:$BR$46)</f>
        <v>286.97004845027664</v>
      </c>
      <c r="P85" s="61" t="s">
        <v>491</v>
      </c>
      <c r="Q85" s="61" t="s">
        <v>344</v>
      </c>
      <c r="S85" s="61" t="s">
        <v>664</v>
      </c>
      <c r="AC85" s="15"/>
      <c r="AD85" s="15"/>
      <c r="AE85" s="15"/>
      <c r="AG85" s="15">
        <f>N85/E85</f>
        <v>3.6159871400434855E-2</v>
      </c>
      <c r="AH85" s="15"/>
      <c r="AI85" s="15"/>
      <c r="AJ85" s="101"/>
      <c r="AP85" s="212"/>
    </row>
    <row r="86" spans="1:49" ht="15.75" x14ac:dyDescent="0.2">
      <c r="A86" s="205" t="s">
        <v>486</v>
      </c>
      <c r="B86" s="119" t="s">
        <v>715</v>
      </c>
      <c r="C86" s="61" t="s">
        <v>498</v>
      </c>
      <c r="D86" s="61" t="s">
        <v>441</v>
      </c>
      <c r="E86" s="84">
        <f>0.5*MAX('[1]assessment biomass'!$DV$2:$DV$46)</f>
        <v>1763.5876030000002</v>
      </c>
      <c r="F86" s="78">
        <f>AVERAGE('[1]assessment biomass'!$DV$2:$DV$46)</f>
        <v>511.3290792310242</v>
      </c>
      <c r="H86" s="61" t="s">
        <v>656</v>
      </c>
      <c r="L86">
        <v>2</v>
      </c>
      <c r="M86" s="61">
        <v>34</v>
      </c>
      <c r="N86" s="84">
        <f>AVERAGE(survey!B45:B47)</f>
        <v>1699.5761733053635</v>
      </c>
      <c r="P86" s="61" t="s">
        <v>491</v>
      </c>
      <c r="Q86" s="61" t="s">
        <v>344</v>
      </c>
      <c r="S86" s="61" t="s">
        <v>664</v>
      </c>
      <c r="AC86" s="15"/>
      <c r="AD86" s="15"/>
      <c r="AE86" s="15"/>
      <c r="AG86" s="15">
        <f>N86/E86</f>
        <v>0.96370385594356167</v>
      </c>
      <c r="AH86" s="15"/>
      <c r="AI86" s="15"/>
      <c r="AJ86" s="101"/>
      <c r="AP86" s="212"/>
    </row>
    <row r="87" spans="1:49" ht="15.75" x14ac:dyDescent="0.2">
      <c r="A87" s="205" t="s">
        <v>487</v>
      </c>
      <c r="B87" s="223" t="s">
        <v>713</v>
      </c>
      <c r="C87" s="119"/>
      <c r="D87" s="61" t="s">
        <v>441</v>
      </c>
      <c r="E87" s="84">
        <f>0.5*MAX('[1]assessment biomass'!$CH$2:$CH$46)</f>
        <v>1130.545255</v>
      </c>
      <c r="F87" s="78">
        <f>AVERAGE('[1]assessment biomass'!$CH$2:$CH$46)</f>
        <v>984.79446668017317</v>
      </c>
      <c r="H87" s="61" t="s">
        <v>656</v>
      </c>
      <c r="L87">
        <v>2</v>
      </c>
      <c r="M87" s="61">
        <v>34</v>
      </c>
      <c r="N87" s="84">
        <f>AVERAGE(survey!C45:C47)</f>
        <v>1035.0007312025937</v>
      </c>
      <c r="P87" s="61" t="s">
        <v>491</v>
      </c>
      <c r="S87" s="61" t="s">
        <v>664</v>
      </c>
      <c r="AC87" s="15"/>
      <c r="AD87" s="15"/>
      <c r="AE87" s="15"/>
      <c r="AG87" s="15">
        <f>N87/E87</f>
        <v>0.91548810330692487</v>
      </c>
      <c r="AH87" s="15"/>
      <c r="AI87" s="15"/>
      <c r="AJ87" s="101"/>
      <c r="AP87" s="212"/>
    </row>
    <row r="88" spans="1:49" ht="15.75" x14ac:dyDescent="0.2">
      <c r="A88" s="205" t="s">
        <v>488</v>
      </c>
      <c r="B88" s="119" t="s">
        <v>714</v>
      </c>
      <c r="C88" s="119"/>
      <c r="D88" s="61" t="s">
        <v>441</v>
      </c>
      <c r="E88" s="84">
        <f>0.5*MAX('[1]assessment biomass'!$AD$2:$AD$46)</f>
        <v>903.81770499999993</v>
      </c>
      <c r="F88" s="78">
        <f>AVERAGE('[1]assessment biomass'!$AD$2:$AD$46)</f>
        <v>857.89710077341965</v>
      </c>
      <c r="H88" s="61" t="s">
        <v>656</v>
      </c>
      <c r="L88">
        <v>2</v>
      </c>
      <c r="M88" s="61">
        <v>34</v>
      </c>
      <c r="N88" s="84">
        <f>AVERAGE('[1]assessment biomass'!$AD$44:$AD$46)</f>
        <v>1086.5250628612064</v>
      </c>
      <c r="P88" s="61" t="s">
        <v>491</v>
      </c>
      <c r="R88" s="61" t="s">
        <v>344</v>
      </c>
      <c r="S88" s="61" t="s">
        <v>664</v>
      </c>
      <c r="AC88" s="15"/>
      <c r="AD88" s="15"/>
      <c r="AE88" s="15"/>
      <c r="AG88" s="15">
        <f>N88/E88</f>
        <v>1.2021506735821317</v>
      </c>
      <c r="AH88" s="15"/>
      <c r="AI88" s="15"/>
      <c r="AJ88" s="101"/>
      <c r="AP88" s="212"/>
    </row>
    <row r="89" spans="1:49" ht="15.75" x14ac:dyDescent="0.2">
      <c r="A89" s="201" t="s">
        <v>493</v>
      </c>
      <c r="B89" s="111"/>
      <c r="C89" s="111"/>
      <c r="D89" s="61" t="s">
        <v>761</v>
      </c>
      <c r="P89" s="61"/>
      <c r="R89" s="61"/>
      <c r="S89" s="61"/>
      <c r="AC89" s="15"/>
      <c r="AD89" s="15"/>
      <c r="AE89" s="15"/>
      <c r="AG89" s="152">
        <f>GEOMEAN(AG84:AG88)</f>
        <v>0.41219443252166726</v>
      </c>
      <c r="AH89" s="145"/>
      <c r="AI89" s="145"/>
      <c r="AJ89" s="113">
        <f>'landings Sylvie'!AE72</f>
        <v>124.28571428571429</v>
      </c>
      <c r="AM89" s="15">
        <f>IF(AG89&gt;=0.95,IF(AG89&lt;=$AM$2,1,MAX(1-$C$2*(AG89-$AM$2),$C$3)),AG89)</f>
        <v>0.41219443252166726</v>
      </c>
      <c r="AN89" s="15">
        <f>AM89</f>
        <v>0.41219443252166726</v>
      </c>
      <c r="AO89" s="139">
        <f>AN89^(AJ89/1000)</f>
        <v>0.8957002434264828</v>
      </c>
      <c r="AP89" s="212">
        <f>AN89*AJ89/$AJ$91</f>
        <v>2.8876142222965647E-4</v>
      </c>
      <c r="AR89">
        <f>AP89</f>
        <v>2.8876142222965647E-4</v>
      </c>
    </row>
    <row r="90" spans="1:49" ht="15.75" x14ac:dyDescent="0.2">
      <c r="A90" s="201"/>
      <c r="B90" s="111"/>
      <c r="C90" s="111"/>
      <c r="P90" s="61"/>
      <c r="R90" s="61"/>
      <c r="S90" s="61"/>
      <c r="AC90" s="15"/>
      <c r="AD90" s="15"/>
      <c r="AE90" s="15"/>
      <c r="AF90" s="152"/>
      <c r="AG90" s="145"/>
      <c r="AH90" s="145"/>
      <c r="AI90" s="145"/>
      <c r="AJ90" s="113"/>
      <c r="AP90" s="212"/>
    </row>
    <row r="91" spans="1:49" s="161" customFormat="1" ht="15.75" x14ac:dyDescent="0.2">
      <c r="A91" s="208"/>
      <c r="B91" s="218"/>
      <c r="C91" s="218"/>
      <c r="AF91" s="162"/>
      <c r="AG91" s="163"/>
      <c r="AH91" s="163" t="s">
        <v>660</v>
      </c>
      <c r="AI91" s="163"/>
      <c r="AJ91" s="164">
        <f>SUM(AJ7:AJ90)</f>
        <v>177412.47800686531</v>
      </c>
      <c r="AM91" s="161">
        <f>PRODUCT(AO7:AO90)^(1/(AJ91/1000))</f>
        <v>0.27352282241175335</v>
      </c>
      <c r="AP91" s="211">
        <f>SUM(AP7:AP89)</f>
        <v>0.31503179958576472</v>
      </c>
      <c r="AR91" s="211">
        <f>SUM(AR7:AR89)</f>
        <v>0.32492200111764624</v>
      </c>
    </row>
    <row r="92" spans="1:49" s="101" customFormat="1" ht="15.75" x14ac:dyDescent="0.2">
      <c r="A92" s="205"/>
      <c r="B92" s="119"/>
      <c r="C92" s="119"/>
      <c r="P92" s="97"/>
      <c r="AF92" s="124"/>
      <c r="AG92" s="133"/>
      <c r="AH92" s="133"/>
      <c r="AI92" s="133"/>
      <c r="AJ92" s="102">
        <f>AJ91-AJ36</f>
        <v>71538.489032506332</v>
      </c>
    </row>
    <row r="93" spans="1:49" s="101" customFormat="1" ht="15.75" x14ac:dyDescent="0.2">
      <c r="A93" s="201" t="s">
        <v>659</v>
      </c>
      <c r="B93" s="119"/>
      <c r="C93" s="119"/>
      <c r="P93" s="97"/>
      <c r="AF93" s="124"/>
      <c r="AG93" s="133"/>
      <c r="AH93" s="133"/>
      <c r="AI93" s="133"/>
      <c r="AJ93" s="102"/>
      <c r="AO93" s="97" t="s">
        <v>748</v>
      </c>
    </row>
    <row r="95" spans="1:49" ht="15.75" x14ac:dyDescent="0.2">
      <c r="A95" s="192" t="s">
        <v>259</v>
      </c>
      <c r="B95" s="61" t="s">
        <v>594</v>
      </c>
      <c r="C95" s="118"/>
      <c r="D95" s="61" t="s">
        <v>583</v>
      </c>
      <c r="AG95" s="168"/>
      <c r="AH95" s="134"/>
      <c r="AI95" s="134"/>
      <c r="AJ95" s="87">
        <f>'landings Sylvie'!AM72-AJ67</f>
        <v>14397.583673469388</v>
      </c>
      <c r="AM95" s="15"/>
      <c r="AN95" s="15"/>
      <c r="AO95" s="15"/>
      <c r="AW95" s="61"/>
    </row>
    <row r="96" spans="1:49" ht="15.75" x14ac:dyDescent="0.2">
      <c r="A96" s="192"/>
      <c r="B96" s="118"/>
      <c r="C96" s="118"/>
      <c r="D96" s="96" t="s">
        <v>260</v>
      </c>
    </row>
    <row r="97" spans="1:36" ht="15.75" x14ac:dyDescent="0.2">
      <c r="A97" s="192"/>
      <c r="B97" s="118"/>
      <c r="C97" s="118"/>
      <c r="D97" s="95" t="s">
        <v>361</v>
      </c>
      <c r="E97" s="61" t="s">
        <v>362</v>
      </c>
    </row>
    <row r="98" spans="1:36" x14ac:dyDescent="0.2">
      <c r="A98" s="210"/>
      <c r="B98" s="97"/>
      <c r="C98" s="97"/>
      <c r="D98" s="125"/>
      <c r="E98" s="61"/>
      <c r="N98" s="61"/>
      <c r="Q98" s="61"/>
      <c r="S98" s="61"/>
      <c r="Z98" s="24"/>
      <c r="AA98" s="24"/>
      <c r="AB98" s="24"/>
      <c r="AD98" s="24"/>
      <c r="AE98" s="24"/>
      <c r="AF98" s="114"/>
      <c r="AG98" s="135"/>
      <c r="AH98" s="135"/>
      <c r="AI98" s="135"/>
      <c r="AJ98" s="113"/>
    </row>
    <row r="99" spans="1:36" ht="15.75" hidden="1" x14ac:dyDescent="0.2">
      <c r="A99" s="194" t="s">
        <v>251</v>
      </c>
      <c r="B99" s="172" t="s">
        <v>530</v>
      </c>
      <c r="C99" s="172"/>
      <c r="D99" t="s">
        <v>252</v>
      </c>
      <c r="N99" s="61" t="s">
        <v>467</v>
      </c>
      <c r="R99" t="s">
        <v>468</v>
      </c>
    </row>
    <row r="100" spans="1:36" ht="15.75" x14ac:dyDescent="0.2">
      <c r="A100" s="194" t="s">
        <v>251</v>
      </c>
      <c r="B100" s="172" t="s">
        <v>530</v>
      </c>
      <c r="C100" s="172" t="s">
        <v>539</v>
      </c>
      <c r="D100" s="61" t="s">
        <v>700</v>
      </c>
      <c r="U100">
        <v>81399</v>
      </c>
      <c r="V100">
        <v>0.26200000000000001</v>
      </c>
      <c r="W100">
        <v>5323</v>
      </c>
      <c r="X100">
        <v>4675</v>
      </c>
      <c r="Y100">
        <v>6060</v>
      </c>
      <c r="Z100">
        <v>1006</v>
      </c>
      <c r="AA100">
        <v>2008</v>
      </c>
      <c r="AB100" s="61" t="s">
        <v>463</v>
      </c>
      <c r="AC100">
        <f>Z100/W100</f>
        <v>0.18899117039263574</v>
      </c>
      <c r="AD100" s="16">
        <f>1-(1-$AC100)^0.5</f>
        <v>9.9439713507549654E-2</v>
      </c>
      <c r="AE100" s="16">
        <f>1+(1-$AC100)^0.5</f>
        <v>1.9005602864924502</v>
      </c>
      <c r="AH100" s="132">
        <f>AD100</f>
        <v>9.9439713507549654E-2</v>
      </c>
      <c r="AJ100" s="121">
        <f>'landings Sylvie'!W72</f>
        <v>4325.408163265306</v>
      </c>
    </row>
    <row r="103" spans="1:36" s="96" customFormat="1" x14ac:dyDescent="0.2">
      <c r="A103" s="195" t="s">
        <v>584</v>
      </c>
      <c r="B103" s="95" t="s">
        <v>592</v>
      </c>
      <c r="C103" s="95"/>
      <c r="AF103" s="169"/>
      <c r="AG103" s="170"/>
      <c r="AH103" s="170"/>
      <c r="AI103" s="170"/>
      <c r="AJ103" s="171">
        <f>'landings Sylvie'!AN72</f>
        <v>466.17391304347825</v>
      </c>
    </row>
    <row r="104" spans="1:36" s="96" customFormat="1" ht="15.75" x14ac:dyDescent="0.2">
      <c r="A104" s="192" t="s">
        <v>325</v>
      </c>
      <c r="B104" s="118" t="s">
        <v>694</v>
      </c>
      <c r="C104" s="95"/>
      <c r="R104" s="96" t="s">
        <v>327</v>
      </c>
      <c r="S104" s="95" t="s">
        <v>328</v>
      </c>
      <c r="Z104" s="171"/>
      <c r="AA104" s="171"/>
      <c r="AB104" s="171"/>
      <c r="AD104" s="171"/>
      <c r="AE104" s="171"/>
      <c r="AF104" s="169"/>
      <c r="AG104" s="170"/>
      <c r="AH104" s="170"/>
      <c r="AI104" s="170"/>
      <c r="AJ104" s="171">
        <f>'landings Sylvie'!$K$73</f>
        <v>253.93333333333334</v>
      </c>
    </row>
    <row r="105" spans="1:36" ht="15.75" x14ac:dyDescent="0.2">
      <c r="A105" s="193" t="s">
        <v>311</v>
      </c>
      <c r="B105" s="61" t="s">
        <v>695</v>
      </c>
      <c r="C105" s="107"/>
    </row>
    <row r="106" spans="1:36" ht="15.75" x14ac:dyDescent="0.2">
      <c r="A106" s="193" t="s">
        <v>444</v>
      </c>
      <c r="B106" s="107" t="s">
        <v>696</v>
      </c>
      <c r="C106" s="107"/>
      <c r="E106" s="61" t="s">
        <v>445</v>
      </c>
      <c r="L106" t="s">
        <v>272</v>
      </c>
    </row>
    <row r="107" spans="1:36" ht="15.75" x14ac:dyDescent="0.2">
      <c r="A107" s="193" t="s">
        <v>263</v>
      </c>
      <c r="B107" s="107" t="s">
        <v>697</v>
      </c>
      <c r="C107" s="107"/>
      <c r="H107" s="61" t="s">
        <v>451</v>
      </c>
      <c r="O107" s="61" t="s">
        <v>724</v>
      </c>
      <c r="R107" s="61" t="s">
        <v>450</v>
      </c>
      <c r="AJ107" s="84">
        <f>'landings Sylvie'!M72/2</f>
        <v>39.458750000000002</v>
      </c>
    </row>
    <row r="108" spans="1:36" s="132" customFormat="1" ht="15.75" x14ac:dyDescent="0.2">
      <c r="A108" s="209" t="s">
        <v>241</v>
      </c>
      <c r="B108" s="219" t="s">
        <v>698</v>
      </c>
      <c r="C108" s="219"/>
    </row>
    <row r="109" spans="1:36" x14ac:dyDescent="0.2">
      <c r="A109" s="187" t="s">
        <v>589</v>
      </c>
      <c r="B109" s="61" t="s">
        <v>701</v>
      </c>
      <c r="AJ109" s="24">
        <f>'landings Sylvie'!AS72</f>
        <v>2.3673469387755102</v>
      </c>
    </row>
    <row r="110" spans="1:36" ht="15.75" x14ac:dyDescent="0.2">
      <c r="A110" s="193" t="s">
        <v>580</v>
      </c>
      <c r="B110" s="107"/>
      <c r="C110" s="107"/>
      <c r="D110" s="61"/>
      <c r="AB110" s="61"/>
      <c r="AD110" s="16"/>
      <c r="AE110" s="16"/>
      <c r="AJ110" s="24">
        <f>'landings Sylvie'!AD72</f>
        <v>1138.953488372093</v>
      </c>
    </row>
    <row r="111" spans="1:36" x14ac:dyDescent="0.2">
      <c r="A111" s="187" t="s">
        <v>579</v>
      </c>
      <c r="AJ111" s="24">
        <f>'landings Sylvie'!AJ72</f>
        <v>998.64583333333337</v>
      </c>
    </row>
    <row r="112" spans="1:36" x14ac:dyDescent="0.2">
      <c r="A112" s="187" t="s">
        <v>581</v>
      </c>
      <c r="AJ112" s="24">
        <f>'landings Sylvie'!AL72</f>
        <v>2701.2608695652175</v>
      </c>
    </row>
    <row r="113" spans="1:37" x14ac:dyDescent="0.2">
      <c r="A113" s="187" t="s">
        <v>308</v>
      </c>
      <c r="AJ113" s="24">
        <f>'landings Sylvie'!AK72</f>
        <v>1069.3461538461538</v>
      </c>
    </row>
    <row r="114" spans="1:37" x14ac:dyDescent="0.2">
      <c r="A114" s="187" t="s">
        <v>585</v>
      </c>
      <c r="AJ114" s="24">
        <f>'landings Sylvie'!AO72</f>
        <v>866.16326530612241</v>
      </c>
    </row>
    <row r="115" spans="1:37" x14ac:dyDescent="0.2">
      <c r="A115" s="187" t="s">
        <v>586</v>
      </c>
      <c r="AJ115" s="24">
        <f>'landings Sylvie'!AP72</f>
        <v>1709.591836734694</v>
      </c>
    </row>
    <row r="116" spans="1:37" x14ac:dyDescent="0.2">
      <c r="A116" s="187" t="s">
        <v>587</v>
      </c>
      <c r="AJ116" s="24">
        <f>'landings Sylvie'!AQ72</f>
        <v>88.62222222222222</v>
      </c>
    </row>
    <row r="117" spans="1:37" x14ac:dyDescent="0.2">
      <c r="A117" s="187" t="s">
        <v>588</v>
      </c>
      <c r="B117" s="61" t="s">
        <v>591</v>
      </c>
      <c r="AJ117" s="24">
        <f>'landings Sylvie'!AR72</f>
        <v>59.224489795918366</v>
      </c>
    </row>
    <row r="119" spans="1:37" s="175" customFormat="1" x14ac:dyDescent="0.2">
      <c r="A119" s="242" t="s">
        <v>595</v>
      </c>
      <c r="B119" s="220"/>
      <c r="C119" s="220"/>
      <c r="AF119" s="176"/>
      <c r="AG119" s="177"/>
      <c r="AH119" s="177"/>
      <c r="AI119" s="177"/>
      <c r="AJ119" s="174">
        <f>SUM(AJ105:AJ117,AJ95:AJ103)</f>
        <v>27862.800005892706</v>
      </c>
    </row>
    <row r="120" spans="1:37" x14ac:dyDescent="0.2">
      <c r="AJ120" s="15">
        <f>AJ119/SUM(AJ91,AJ119)</f>
        <v>0.13573383154381119</v>
      </c>
    </row>
    <row r="123" spans="1:37" x14ac:dyDescent="0.2">
      <c r="AK123">
        <f>AJ36/SUM(AJ119,AJ91)</f>
        <v>0.51576590225238339</v>
      </c>
    </row>
    <row r="124" spans="1:37" x14ac:dyDescent="0.2">
      <c r="A124" s="187" t="s">
        <v>605</v>
      </c>
    </row>
    <row r="125" spans="1:37" x14ac:dyDescent="0.2">
      <c r="A125" s="187" t="s">
        <v>606</v>
      </c>
    </row>
    <row r="126" spans="1:37" x14ac:dyDescent="0.2">
      <c r="A126" s="187" t="s">
        <v>607</v>
      </c>
    </row>
    <row r="127" spans="1:37" x14ac:dyDescent="0.2">
      <c r="A127" s="187" t="s">
        <v>608</v>
      </c>
    </row>
    <row r="128" spans="1:37" x14ac:dyDescent="0.2">
      <c r="A128" s="187" t="s">
        <v>609</v>
      </c>
    </row>
    <row r="129" spans="1:1" x14ac:dyDescent="0.2">
      <c r="A129" s="187" t="s">
        <v>611</v>
      </c>
    </row>
    <row r="130" spans="1:1" x14ac:dyDescent="0.2">
      <c r="A130" s="187" t="s">
        <v>612</v>
      </c>
    </row>
    <row r="131" spans="1:1" x14ac:dyDescent="0.2">
      <c r="A131" s="187" t="s">
        <v>613</v>
      </c>
    </row>
    <row r="132" spans="1:1" x14ac:dyDescent="0.2">
      <c r="A132" s="187" t="s">
        <v>614</v>
      </c>
    </row>
    <row r="133" spans="1:1" x14ac:dyDescent="0.2">
      <c r="A133" s="187" t="s">
        <v>615</v>
      </c>
    </row>
    <row r="134" spans="1:1" x14ac:dyDescent="0.2">
      <c r="A134" s="187" t="s">
        <v>616</v>
      </c>
    </row>
    <row r="135" spans="1:1" x14ac:dyDescent="0.2">
      <c r="A135" s="187" t="s">
        <v>617</v>
      </c>
    </row>
    <row r="136" spans="1:1" x14ac:dyDescent="0.2">
      <c r="A136" s="187" t="s">
        <v>618</v>
      </c>
    </row>
    <row r="137" spans="1:1" x14ac:dyDescent="0.2">
      <c r="A137" s="187" t="s">
        <v>619</v>
      </c>
    </row>
    <row r="138" spans="1:1" x14ac:dyDescent="0.2">
      <c r="A138" s="187" t="s">
        <v>620</v>
      </c>
    </row>
    <row r="139" spans="1:1" x14ac:dyDescent="0.2">
      <c r="A139" s="187" t="s">
        <v>621</v>
      </c>
    </row>
    <row r="140" spans="1:1" x14ac:dyDescent="0.2">
      <c r="A140" s="187" t="s">
        <v>622</v>
      </c>
    </row>
    <row r="141" spans="1:1" x14ac:dyDescent="0.2">
      <c r="A141" s="187" t="s">
        <v>623</v>
      </c>
    </row>
    <row r="142" spans="1:1" x14ac:dyDescent="0.2">
      <c r="A142" s="187" t="s">
        <v>624</v>
      </c>
    </row>
    <row r="143" spans="1:1" x14ac:dyDescent="0.2">
      <c r="A143" s="187" t="s">
        <v>625</v>
      </c>
    </row>
    <row r="144" spans="1:1" x14ac:dyDescent="0.2">
      <c r="A144" s="187" t="s">
        <v>731</v>
      </c>
    </row>
    <row r="145" spans="1:1" x14ac:dyDescent="0.2">
      <c r="A145" s="187" t="s">
        <v>626</v>
      </c>
    </row>
    <row r="146" spans="1:1" x14ac:dyDescent="0.2">
      <c r="A146" s="187" t="s">
        <v>627</v>
      </c>
    </row>
    <row r="147" spans="1:1" x14ac:dyDescent="0.2">
      <c r="A147" s="187" t="s">
        <v>628</v>
      </c>
    </row>
    <row r="148" spans="1:1" x14ac:dyDescent="0.2">
      <c r="A148" s="187" t="s">
        <v>662</v>
      </c>
    </row>
    <row r="149" spans="1:1" x14ac:dyDescent="0.2">
      <c r="A149" s="187" t="s">
        <v>629</v>
      </c>
    </row>
    <row r="150" spans="1:1" x14ac:dyDescent="0.2">
      <c r="A150" s="187" t="s">
        <v>661</v>
      </c>
    </row>
    <row r="151" spans="1:1" x14ac:dyDescent="0.2">
      <c r="A151" s="187" t="s">
        <v>630</v>
      </c>
    </row>
    <row r="152" spans="1:1" x14ac:dyDescent="0.2">
      <c r="A152" s="187" t="s">
        <v>631</v>
      </c>
    </row>
    <row r="153" spans="1:1" x14ac:dyDescent="0.2">
      <c r="A153" s="187" t="s">
        <v>679</v>
      </c>
    </row>
    <row r="154" spans="1:1" x14ac:dyDescent="0.2">
      <c r="A154" s="187" t="s">
        <v>632</v>
      </c>
    </row>
    <row r="155" spans="1:1" x14ac:dyDescent="0.2">
      <c r="A155" s="187" t="s">
        <v>738</v>
      </c>
    </row>
    <row r="156" spans="1:1" x14ac:dyDescent="0.2">
      <c r="A156" s="187" t="s">
        <v>739</v>
      </c>
    </row>
    <row r="157" spans="1:1" x14ac:dyDescent="0.2">
      <c r="A157" s="187" t="s">
        <v>682</v>
      </c>
    </row>
    <row r="158" spans="1:1" x14ac:dyDescent="0.2">
      <c r="A158" s="187" t="s">
        <v>674</v>
      </c>
    </row>
    <row r="159" spans="1:1" x14ac:dyDescent="0.2">
      <c r="A159" s="187" t="s">
        <v>680</v>
      </c>
    </row>
    <row r="160" spans="1:1" x14ac:dyDescent="0.2">
      <c r="A160" s="199" t="s">
        <v>633</v>
      </c>
    </row>
    <row r="161" spans="1:1" x14ac:dyDescent="0.2">
      <c r="A161" s="199" t="s">
        <v>634</v>
      </c>
    </row>
    <row r="162" spans="1:1" x14ac:dyDescent="0.2">
      <c r="A162" s="187" t="s">
        <v>635</v>
      </c>
    </row>
    <row r="163" spans="1:1" x14ac:dyDescent="0.2">
      <c r="A163" s="187" t="s">
        <v>636</v>
      </c>
    </row>
    <row r="164" spans="1:1" x14ac:dyDescent="0.2">
      <c r="A164" s="187" t="s">
        <v>637</v>
      </c>
    </row>
    <row r="165" spans="1:1" x14ac:dyDescent="0.2">
      <c r="A165" s="187" t="s">
        <v>638</v>
      </c>
    </row>
    <row r="166" spans="1:1" x14ac:dyDescent="0.2">
      <c r="A166" s="187" t="s">
        <v>639</v>
      </c>
    </row>
    <row r="167" spans="1:1" x14ac:dyDescent="0.2">
      <c r="A167" s="187" t="s">
        <v>640</v>
      </c>
    </row>
    <row r="168" spans="1:1" x14ac:dyDescent="0.2">
      <c r="A168" s="187" t="s">
        <v>641</v>
      </c>
    </row>
    <row r="169" spans="1:1" x14ac:dyDescent="0.2">
      <c r="A169" s="187" t="s">
        <v>642</v>
      </c>
    </row>
    <row r="170" spans="1:1" x14ac:dyDescent="0.2">
      <c r="A170" s="187" t="s">
        <v>643</v>
      </c>
    </row>
    <row r="171" spans="1:1" x14ac:dyDescent="0.2">
      <c r="A171" s="187" t="s">
        <v>644</v>
      </c>
    </row>
    <row r="172" spans="1:1" x14ac:dyDescent="0.2">
      <c r="A172" s="187" t="s">
        <v>645</v>
      </c>
    </row>
    <row r="173" spans="1:1" x14ac:dyDescent="0.2">
      <c r="A173" s="187" t="s">
        <v>649</v>
      </c>
    </row>
    <row r="174" spans="1:1" x14ac:dyDescent="0.2">
      <c r="A174" s="187" t="s">
        <v>736</v>
      </c>
    </row>
    <row r="175" spans="1:1" x14ac:dyDescent="0.2">
      <c r="A175" s="187" t="s">
        <v>646</v>
      </c>
    </row>
    <row r="176" spans="1:1" x14ac:dyDescent="0.2">
      <c r="A176" s="187" t="s">
        <v>647</v>
      </c>
    </row>
    <row r="177" spans="1:1" x14ac:dyDescent="0.2">
      <c r="A177" s="187" t="s">
        <v>685</v>
      </c>
    </row>
    <row r="178" spans="1:1" x14ac:dyDescent="0.2">
      <c r="A178" s="187" t="s">
        <v>650</v>
      </c>
    </row>
    <row r="179" spans="1:1" x14ac:dyDescent="0.2">
      <c r="A179" s="187" t="s">
        <v>651</v>
      </c>
    </row>
    <row r="180" spans="1:1" x14ac:dyDescent="0.2">
      <c r="A180" s="187" t="s">
        <v>652</v>
      </c>
    </row>
    <row r="181" spans="1:1" x14ac:dyDescent="0.2">
      <c r="A181" s="187" t="s">
        <v>655</v>
      </c>
    </row>
    <row r="182" spans="1:1" x14ac:dyDescent="0.2">
      <c r="A182" s="187" t="s">
        <v>653</v>
      </c>
    </row>
    <row r="183" spans="1:1" x14ac:dyDescent="0.2">
      <c r="A183" s="187" t="s">
        <v>675</v>
      </c>
    </row>
    <row r="184" spans="1:1" x14ac:dyDescent="0.2">
      <c r="A184" s="187" t="s">
        <v>668</v>
      </c>
    </row>
    <row r="185" spans="1:1" x14ac:dyDescent="0.2">
      <c r="A185" s="187" t="s">
        <v>670</v>
      </c>
    </row>
    <row r="186" spans="1:1" x14ac:dyDescent="0.2">
      <c r="A186" s="187" t="s">
        <v>672</v>
      </c>
    </row>
    <row r="187" spans="1:1" x14ac:dyDescent="0.2">
      <c r="A187" s="187" t="s">
        <v>676</v>
      </c>
    </row>
    <row r="188" spans="1:1" x14ac:dyDescent="0.2">
      <c r="A188" s="187" t="s">
        <v>681</v>
      </c>
    </row>
    <row r="189" spans="1:1" x14ac:dyDescent="0.2">
      <c r="A189" s="187" t="s">
        <v>687</v>
      </c>
    </row>
    <row r="190" spans="1:1" x14ac:dyDescent="0.2">
      <c r="A190" s="187" t="s">
        <v>691</v>
      </c>
    </row>
    <row r="191" spans="1:1" x14ac:dyDescent="0.2">
      <c r="A191" s="187" t="s">
        <v>735</v>
      </c>
    </row>
    <row r="192" spans="1:1" x14ac:dyDescent="0.2">
      <c r="A192" s="247" t="s">
        <v>742</v>
      </c>
    </row>
    <row r="193" spans="1:1" x14ac:dyDescent="0.2">
      <c r="A193" s="247" t="s">
        <v>743</v>
      </c>
    </row>
  </sheetData>
  <sortState ref="A3:C17">
    <sortCondition ref="A3"/>
  </sortState>
  <pageMargins left="0.7" right="0.7" top="0.75" bottom="0.75" header="0.3" footer="0.3"/>
  <pageSetup orientation="portrait" horizontalDpi="4294967294" verticalDpi="0"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2"/>
  <sheetViews>
    <sheetView workbookViewId="0">
      <selection activeCell="B33" sqref="B33"/>
    </sheetView>
  </sheetViews>
  <sheetFormatPr defaultRowHeight="12.75" x14ac:dyDescent="0.2"/>
  <sheetData>
    <row r="2" spans="1:7" x14ac:dyDescent="0.2">
      <c r="C2" s="61" t="s">
        <v>576</v>
      </c>
      <c r="D2" s="61" t="s">
        <v>577</v>
      </c>
    </row>
    <row r="3" spans="1:7" x14ac:dyDescent="0.2">
      <c r="C3">
        <v>1</v>
      </c>
      <c r="D3">
        <v>3</v>
      </c>
      <c r="E3" s="61">
        <f t="shared" ref="E3:E8" si="0">C3^D3</f>
        <v>1</v>
      </c>
      <c r="F3" s="61">
        <f t="shared" ref="F3:F8" si="1">LN(C3)*D3</f>
        <v>0</v>
      </c>
    </row>
    <row r="4" spans="1:7" x14ac:dyDescent="0.2">
      <c r="C4">
        <v>0.12</v>
      </c>
      <c r="D4">
        <v>2</v>
      </c>
      <c r="E4" s="61">
        <f t="shared" si="0"/>
        <v>1.44E-2</v>
      </c>
      <c r="F4" s="61">
        <f t="shared" si="1"/>
        <v>-4.240527072400182</v>
      </c>
    </row>
    <row r="5" spans="1:7" x14ac:dyDescent="0.2">
      <c r="C5">
        <v>0.5</v>
      </c>
      <c r="D5">
        <v>10</v>
      </c>
      <c r="E5" s="61">
        <f t="shared" si="0"/>
        <v>9.765625E-4</v>
      </c>
      <c r="F5" s="61">
        <f t="shared" si="1"/>
        <v>-6.9314718055994531</v>
      </c>
    </row>
    <row r="6" spans="1:7" x14ac:dyDescent="0.2">
      <c r="C6">
        <v>0.7</v>
      </c>
      <c r="D6">
        <v>4</v>
      </c>
      <c r="E6" s="61">
        <f t="shared" si="0"/>
        <v>0.24009999999999992</v>
      </c>
      <c r="F6" s="61">
        <f t="shared" si="1"/>
        <v>-1.4266997757549298</v>
      </c>
    </row>
    <row r="7" spans="1:7" x14ac:dyDescent="0.2">
      <c r="C7">
        <v>0.8</v>
      </c>
      <c r="D7">
        <v>20</v>
      </c>
      <c r="E7" s="61">
        <f t="shared" si="0"/>
        <v>1.1529215046068495E-2</v>
      </c>
      <c r="F7" s="61">
        <f t="shared" si="1"/>
        <v>-4.4628710262841942</v>
      </c>
    </row>
    <row r="8" spans="1:7" x14ac:dyDescent="0.2">
      <c r="C8">
        <v>0.5</v>
      </c>
      <c r="D8">
        <v>100</v>
      </c>
      <c r="E8" s="61">
        <f t="shared" si="0"/>
        <v>7.8886090522101181E-31</v>
      </c>
      <c r="F8" s="61">
        <f t="shared" si="1"/>
        <v>-69.314718055994533</v>
      </c>
    </row>
    <row r="10" spans="1:7" x14ac:dyDescent="0.2">
      <c r="E10" s="139">
        <f>PRODUCT(E3:E8)^(1/SUM(D3:D8))</f>
        <v>0.53718531978550654</v>
      </c>
      <c r="F10">
        <f>EXP(SUM(F3:F8))^(1/SUM(E3:E8))</f>
        <v>2.4694564018367776E-30</v>
      </c>
    </row>
    <row r="11" spans="1:7" x14ac:dyDescent="0.2">
      <c r="A11" s="175" t="s">
        <v>598</v>
      </c>
      <c r="B11" s="173"/>
      <c r="C11" s="173"/>
      <c r="D11" s="173"/>
      <c r="E11" s="173"/>
      <c r="F11" s="173"/>
      <c r="G11" s="173"/>
    </row>
    <row r="12" spans="1:7" x14ac:dyDescent="0.2">
      <c r="A12" s="97" t="s">
        <v>572</v>
      </c>
      <c r="B12" s="97" t="s">
        <v>573</v>
      </c>
      <c r="C12" s="97" t="s">
        <v>597</v>
      </c>
      <c r="D12" s="97" t="s">
        <v>316</v>
      </c>
      <c r="E12" s="97" t="s">
        <v>575</v>
      </c>
      <c r="F12" s="101"/>
      <c r="G12" s="101"/>
    </row>
    <row r="13" spans="1:7" x14ac:dyDescent="0.2">
      <c r="D13">
        <v>2</v>
      </c>
      <c r="E13">
        <f>(3.35-D13)/1.8</f>
        <v>0.75</v>
      </c>
      <c r="F13" s="61" t="s">
        <v>596</v>
      </c>
    </row>
    <row r="14" spans="1:7" x14ac:dyDescent="0.2">
      <c r="D14">
        <v>3</v>
      </c>
      <c r="E14">
        <f>(3.35-D14)/1.8</f>
        <v>0.19444444444444448</v>
      </c>
    </row>
    <row r="15" spans="1:7" x14ac:dyDescent="0.2">
      <c r="A15">
        <v>0.5</v>
      </c>
      <c r="B15">
        <v>0.25</v>
      </c>
      <c r="C15">
        <v>1.05</v>
      </c>
      <c r="D15">
        <v>2</v>
      </c>
      <c r="E15" s="61">
        <f>1-A15*(D15-C15)</f>
        <v>0.52500000000000002</v>
      </c>
    </row>
    <row r="16" spans="1:7" x14ac:dyDescent="0.2">
      <c r="A16">
        <v>0.5</v>
      </c>
      <c r="B16">
        <v>0.25</v>
      </c>
      <c r="C16">
        <v>1.2</v>
      </c>
      <c r="D16">
        <v>2</v>
      </c>
      <c r="E16" s="61">
        <f>1-A16*(D16-C16)</f>
        <v>0.6</v>
      </c>
    </row>
    <row r="17" spans="1:5" x14ac:dyDescent="0.2">
      <c r="A17">
        <v>0.4</v>
      </c>
      <c r="B17">
        <v>0.25</v>
      </c>
      <c r="C17">
        <v>1.05</v>
      </c>
      <c r="D17">
        <v>2</v>
      </c>
      <c r="E17" s="61">
        <f t="shared" ref="E17:E22" si="2">1-A17*(D17-C17)</f>
        <v>0.62</v>
      </c>
    </row>
    <row r="18" spans="1:5" x14ac:dyDescent="0.2">
      <c r="A18">
        <v>0.2</v>
      </c>
      <c r="B18">
        <v>0.25</v>
      </c>
      <c r="C18">
        <v>1.2</v>
      </c>
      <c r="D18">
        <v>2</v>
      </c>
      <c r="E18" s="61">
        <f t="shared" si="2"/>
        <v>0.84</v>
      </c>
    </row>
    <row r="19" spans="1:5" x14ac:dyDescent="0.2">
      <c r="A19">
        <v>0.5</v>
      </c>
      <c r="B19">
        <v>0.25</v>
      </c>
      <c r="C19">
        <v>1.5</v>
      </c>
      <c r="D19">
        <v>2</v>
      </c>
      <c r="E19" s="61">
        <f t="shared" si="2"/>
        <v>0.75</v>
      </c>
    </row>
    <row r="20" spans="1:5" x14ac:dyDescent="0.2">
      <c r="A20">
        <v>0.5</v>
      </c>
      <c r="B20">
        <v>0.25</v>
      </c>
      <c r="C20">
        <v>1.5</v>
      </c>
      <c r="D20">
        <v>3</v>
      </c>
      <c r="E20" s="61">
        <f t="shared" si="2"/>
        <v>0.25</v>
      </c>
    </row>
    <row r="21" spans="1:5" x14ac:dyDescent="0.2">
      <c r="A21">
        <v>0.5</v>
      </c>
      <c r="B21">
        <v>0.25</v>
      </c>
      <c r="C21">
        <v>1.5</v>
      </c>
      <c r="D21">
        <v>1.8</v>
      </c>
      <c r="E21" s="61">
        <f t="shared" si="2"/>
        <v>0.85</v>
      </c>
    </row>
    <row r="22" spans="1:5" x14ac:dyDescent="0.2">
      <c r="A22">
        <v>0.5</v>
      </c>
      <c r="B22">
        <v>0.25</v>
      </c>
      <c r="C22">
        <v>1.5</v>
      </c>
      <c r="D22">
        <v>2.4</v>
      </c>
      <c r="E22" s="61">
        <f t="shared" si="2"/>
        <v>0.55000000000000004</v>
      </c>
    </row>
  </sheetData>
  <pageMargins left="0.7" right="0.7" top="0.75" bottom="0.75" header="0.3" footer="0.3"/>
  <pageSetup orientation="portrait" horizontalDpi="4294967294"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3"/>
  <sheetViews>
    <sheetView topLeftCell="H1" workbookViewId="0">
      <selection activeCell="X29" sqref="X29"/>
    </sheetView>
  </sheetViews>
  <sheetFormatPr defaultRowHeight="12.75" x14ac:dyDescent="0.2"/>
  <cols>
    <col min="1" max="1" width="12.28515625" customWidth="1"/>
    <col min="2" max="24" width="9.140625" customWidth="1"/>
  </cols>
  <sheetData>
    <row r="1" spans="1:24" x14ac:dyDescent="0.2">
      <c r="A1" s="62" t="s">
        <v>300</v>
      </c>
    </row>
    <row r="2" spans="1:24" x14ac:dyDescent="0.2">
      <c r="A2" s="92"/>
      <c r="B2" s="93" t="s">
        <v>314</v>
      </c>
      <c r="C2" s="93" t="s">
        <v>301</v>
      </c>
      <c r="D2" s="94"/>
      <c r="E2" s="94"/>
      <c r="F2" s="94"/>
      <c r="G2" s="94"/>
      <c r="H2" s="94"/>
      <c r="I2" s="94"/>
      <c r="J2" s="94"/>
      <c r="K2" s="94"/>
      <c r="L2" s="94"/>
      <c r="M2" s="94"/>
      <c r="N2" s="94"/>
      <c r="P2" s="66" t="s">
        <v>349</v>
      </c>
      <c r="Q2" s="82" t="s">
        <v>355</v>
      </c>
      <c r="R2" s="82"/>
      <c r="S2" s="82"/>
      <c r="T2" s="82"/>
      <c r="U2" s="82"/>
      <c r="V2" s="82"/>
      <c r="W2" s="82"/>
      <c r="X2" s="82"/>
    </row>
    <row r="3" spans="1:24" x14ac:dyDescent="0.2">
      <c r="A3" s="61"/>
      <c r="B3" s="78"/>
      <c r="C3" s="79" t="s">
        <v>296</v>
      </c>
      <c r="D3" s="78"/>
      <c r="E3" s="78"/>
      <c r="F3" s="78"/>
      <c r="G3" s="65" t="s">
        <v>297</v>
      </c>
      <c r="H3" s="80"/>
      <c r="I3" s="66" t="s">
        <v>298</v>
      </c>
      <c r="J3" s="82"/>
      <c r="K3" s="82"/>
      <c r="L3" s="61" t="s">
        <v>299</v>
      </c>
      <c r="P3" s="65" t="s">
        <v>350</v>
      </c>
      <c r="Q3" s="80"/>
      <c r="R3" s="61" t="s">
        <v>353</v>
      </c>
      <c r="T3" s="61" t="s">
        <v>297</v>
      </c>
      <c r="V3" s="61" t="s">
        <v>354</v>
      </c>
      <c r="X3" s="61" t="s">
        <v>356</v>
      </c>
    </row>
    <row r="4" spans="1:24" x14ac:dyDescent="0.2">
      <c r="A4" t="s">
        <v>142</v>
      </c>
      <c r="B4" s="78" t="s">
        <v>289</v>
      </c>
      <c r="C4" s="78">
        <v>2</v>
      </c>
      <c r="D4" s="78">
        <v>3</v>
      </c>
      <c r="E4" s="78">
        <v>4</v>
      </c>
      <c r="F4" s="78" t="s">
        <v>290</v>
      </c>
      <c r="G4" s="80" t="s">
        <v>289</v>
      </c>
      <c r="H4" s="80" t="s">
        <v>291</v>
      </c>
      <c r="I4" s="82" t="s">
        <v>289</v>
      </c>
      <c r="J4" s="82">
        <v>2</v>
      </c>
      <c r="K4" s="82" t="s">
        <v>292</v>
      </c>
      <c r="L4" t="s">
        <v>293</v>
      </c>
      <c r="M4" t="s">
        <v>294</v>
      </c>
      <c r="N4" t="s">
        <v>295</v>
      </c>
      <c r="P4" s="61" t="s">
        <v>351</v>
      </c>
      <c r="Q4" s="61" t="s">
        <v>352</v>
      </c>
      <c r="R4" s="61" t="s">
        <v>351</v>
      </c>
      <c r="S4" s="61" t="s">
        <v>352</v>
      </c>
      <c r="T4" s="61" t="s">
        <v>351</v>
      </c>
      <c r="U4" s="61" t="s">
        <v>352</v>
      </c>
      <c r="V4" s="61" t="s">
        <v>351</v>
      </c>
      <c r="W4" s="61" t="s">
        <v>352</v>
      </c>
    </row>
    <row r="5" spans="1:24" x14ac:dyDescent="0.2">
      <c r="B5" s="78"/>
      <c r="C5" s="78"/>
      <c r="D5" s="78"/>
      <c r="E5" s="78"/>
      <c r="F5" s="78"/>
      <c r="G5" s="80"/>
      <c r="H5" s="80"/>
      <c r="I5" s="82"/>
      <c r="J5" s="82"/>
      <c r="K5" s="82"/>
      <c r="P5" s="61"/>
      <c r="Q5" s="61"/>
      <c r="R5" s="61"/>
      <c r="S5" s="61"/>
      <c r="T5" s="61"/>
      <c r="U5" s="61"/>
      <c r="V5" s="61"/>
      <c r="W5" s="61"/>
    </row>
    <row r="6" spans="1:24" x14ac:dyDescent="0.2">
      <c r="B6" s="78"/>
      <c r="C6" s="78"/>
      <c r="D6" s="78"/>
      <c r="E6" s="78"/>
      <c r="F6" s="78"/>
      <c r="G6" s="80"/>
      <c r="H6" s="80"/>
      <c r="I6" s="82"/>
      <c r="J6" s="82"/>
      <c r="K6" s="82"/>
      <c r="P6" s="61"/>
      <c r="Q6" s="61"/>
      <c r="R6" s="61"/>
      <c r="S6" s="61"/>
      <c r="T6" s="61"/>
      <c r="U6" s="61"/>
      <c r="V6" s="61"/>
      <c r="W6" s="61"/>
    </row>
    <row r="7" spans="1:24" x14ac:dyDescent="0.2">
      <c r="B7" s="78"/>
      <c r="C7" s="78"/>
      <c r="D7" s="78"/>
      <c r="E7" s="78"/>
      <c r="F7" s="78"/>
      <c r="G7" s="80"/>
      <c r="H7" s="80"/>
      <c r="I7" s="82"/>
      <c r="J7" s="82"/>
      <c r="K7" s="82"/>
      <c r="P7" s="61"/>
      <c r="Q7" s="61"/>
      <c r="R7" s="61"/>
      <c r="S7" s="61"/>
      <c r="T7" s="61"/>
      <c r="U7" s="61"/>
      <c r="V7" s="61"/>
      <c r="W7" s="61"/>
    </row>
    <row r="8" spans="1:24" x14ac:dyDescent="0.2">
      <c r="B8" s="78"/>
      <c r="C8" s="78"/>
      <c r="D8" s="78"/>
      <c r="E8" s="78"/>
      <c r="F8" s="78"/>
      <c r="G8" s="80"/>
      <c r="H8" s="80"/>
      <c r="I8" s="82"/>
      <c r="J8" s="82"/>
      <c r="K8" s="82"/>
      <c r="P8" s="61"/>
      <c r="Q8" s="61"/>
      <c r="R8" s="61"/>
      <c r="S8" s="61"/>
      <c r="T8" s="61"/>
      <c r="U8" s="61"/>
      <c r="V8" s="61"/>
      <c r="W8" s="61"/>
    </row>
    <row r="9" spans="1:24" x14ac:dyDescent="0.2">
      <c r="B9" s="78"/>
      <c r="C9" s="78"/>
      <c r="D9" s="78"/>
      <c r="E9" s="78"/>
      <c r="F9" s="78"/>
      <c r="G9" s="80"/>
      <c r="H9" s="80"/>
      <c r="I9" s="82"/>
      <c r="J9" s="82"/>
      <c r="K9" s="82"/>
      <c r="P9" s="61"/>
      <c r="Q9" s="61"/>
      <c r="R9" s="61"/>
      <c r="S9" s="61"/>
      <c r="T9" s="61"/>
      <c r="U9" s="61"/>
      <c r="V9" s="61"/>
      <c r="W9" s="61"/>
    </row>
    <row r="10" spans="1:24" x14ac:dyDescent="0.2">
      <c r="B10" s="78"/>
      <c r="C10" s="78"/>
      <c r="D10" s="78"/>
      <c r="E10" s="78"/>
      <c r="F10" s="78"/>
      <c r="G10" s="80"/>
      <c r="H10" s="80"/>
      <c r="I10" s="82"/>
      <c r="J10" s="82"/>
      <c r="K10" s="82"/>
      <c r="P10" s="61"/>
      <c r="Q10" s="61"/>
      <c r="R10" s="61"/>
      <c r="S10" s="61"/>
      <c r="T10" s="61"/>
      <c r="U10" s="61"/>
      <c r="V10" s="61"/>
      <c r="W10" s="61"/>
    </row>
    <row r="11" spans="1:24" x14ac:dyDescent="0.2">
      <c r="A11">
        <v>1953</v>
      </c>
      <c r="B11">
        <v>27</v>
      </c>
      <c r="C11">
        <v>87</v>
      </c>
      <c r="D11">
        <v>53</v>
      </c>
      <c r="E11">
        <v>3</v>
      </c>
      <c r="M11" s="24">
        <v>12884</v>
      </c>
      <c r="N11" s="24">
        <v>13054</v>
      </c>
    </row>
    <row r="12" spans="1:24" x14ac:dyDescent="0.2">
      <c r="A12">
        <v>1954</v>
      </c>
      <c r="B12">
        <v>34</v>
      </c>
      <c r="C12">
        <v>113</v>
      </c>
      <c r="D12">
        <v>17</v>
      </c>
      <c r="E12">
        <v>7</v>
      </c>
      <c r="K12">
        <v>321</v>
      </c>
      <c r="M12" s="24">
        <v>13914</v>
      </c>
      <c r="N12" s="24">
        <v>14406</v>
      </c>
    </row>
    <row r="13" spans="1:24" x14ac:dyDescent="0.2">
      <c r="A13">
        <v>1955</v>
      </c>
      <c r="B13">
        <v>51</v>
      </c>
      <c r="C13">
        <v>121</v>
      </c>
      <c r="D13">
        <v>6</v>
      </c>
      <c r="E13">
        <v>10</v>
      </c>
      <c r="K13">
        <v>271</v>
      </c>
      <c r="M13" s="24">
        <v>12973</v>
      </c>
      <c r="N13" s="24">
        <v>13432</v>
      </c>
    </row>
    <row r="14" spans="1:24" x14ac:dyDescent="0.2">
      <c r="A14">
        <v>1956</v>
      </c>
      <c r="B14">
        <v>118</v>
      </c>
      <c r="C14">
        <v>104</v>
      </c>
      <c r="D14">
        <v>42</v>
      </c>
      <c r="E14">
        <v>4</v>
      </c>
      <c r="J14">
        <v>376</v>
      </c>
      <c r="K14">
        <v>414</v>
      </c>
      <c r="M14" s="24">
        <v>13791</v>
      </c>
      <c r="N14" s="24">
        <v>14849</v>
      </c>
    </row>
    <row r="15" spans="1:24" x14ac:dyDescent="0.2">
      <c r="A15">
        <v>1957</v>
      </c>
      <c r="B15">
        <v>240</v>
      </c>
      <c r="C15">
        <v>173</v>
      </c>
      <c r="D15">
        <v>143</v>
      </c>
      <c r="J15" s="24">
        <v>1777</v>
      </c>
      <c r="K15">
        <v>370</v>
      </c>
      <c r="M15" s="24">
        <v>10916</v>
      </c>
      <c r="N15" s="24">
        <v>13619</v>
      </c>
    </row>
    <row r="16" spans="1:24" x14ac:dyDescent="0.2">
      <c r="A16">
        <v>1958</v>
      </c>
      <c r="B16">
        <v>240</v>
      </c>
      <c r="C16">
        <v>314</v>
      </c>
      <c r="D16">
        <v>127</v>
      </c>
      <c r="E16">
        <v>52</v>
      </c>
      <c r="I16">
        <v>1</v>
      </c>
      <c r="J16" s="24">
        <v>1197</v>
      </c>
      <c r="K16">
        <v>591</v>
      </c>
      <c r="M16" s="24">
        <v>8581</v>
      </c>
      <c r="N16" s="24">
        <v>11103</v>
      </c>
    </row>
    <row r="17" spans="1:24" x14ac:dyDescent="0.2">
      <c r="A17">
        <v>1959</v>
      </c>
      <c r="B17">
        <v>552</v>
      </c>
      <c r="C17">
        <v>565</v>
      </c>
      <c r="D17">
        <v>234</v>
      </c>
      <c r="J17" s="24">
        <v>1182</v>
      </c>
      <c r="K17">
        <v>608</v>
      </c>
      <c r="M17" s="24">
        <v>9725</v>
      </c>
      <c r="N17" s="24">
        <v>12866</v>
      </c>
    </row>
    <row r="18" spans="1:24" x14ac:dyDescent="0.2">
      <c r="A18">
        <v>1960</v>
      </c>
      <c r="B18">
        <v>578</v>
      </c>
      <c r="C18">
        <v>426</v>
      </c>
      <c r="D18">
        <v>229</v>
      </c>
      <c r="E18">
        <v>10</v>
      </c>
      <c r="G18">
        <v>1</v>
      </c>
      <c r="I18" s="24">
        <v>2740</v>
      </c>
      <c r="J18" s="24">
        <v>1007</v>
      </c>
      <c r="K18">
        <v>497</v>
      </c>
      <c r="L18" s="24">
        <v>4802</v>
      </c>
      <c r="M18" s="24">
        <v>1833</v>
      </c>
      <c r="N18" s="24">
        <v>12123</v>
      </c>
    </row>
    <row r="19" spans="1:24" x14ac:dyDescent="0.2">
      <c r="A19">
        <v>1961</v>
      </c>
      <c r="B19">
        <v>505</v>
      </c>
      <c r="C19">
        <v>735</v>
      </c>
      <c r="D19">
        <v>390</v>
      </c>
      <c r="E19">
        <v>12</v>
      </c>
      <c r="G19">
        <v>520</v>
      </c>
      <c r="I19" s="24">
        <v>2269</v>
      </c>
      <c r="J19" s="24">
        <v>1502</v>
      </c>
      <c r="K19">
        <v>597</v>
      </c>
      <c r="L19" s="24">
        <v>4661</v>
      </c>
      <c r="M19" s="24">
        <v>1232</v>
      </c>
      <c r="N19" s="24">
        <v>12423</v>
      </c>
    </row>
    <row r="20" spans="1:24" x14ac:dyDescent="0.2">
      <c r="A20">
        <v>1962</v>
      </c>
      <c r="B20">
        <v>565</v>
      </c>
      <c r="C20" s="24">
        <v>1007</v>
      </c>
      <c r="D20">
        <v>971</v>
      </c>
      <c r="E20">
        <v>410</v>
      </c>
      <c r="G20">
        <v>645</v>
      </c>
      <c r="I20" s="24">
        <v>2883</v>
      </c>
      <c r="J20" s="24">
        <v>1337</v>
      </c>
      <c r="K20">
        <v>456</v>
      </c>
      <c r="L20" s="24">
        <v>4571</v>
      </c>
      <c r="M20" s="24">
        <v>1811</v>
      </c>
      <c r="N20" s="24">
        <v>14656</v>
      </c>
    </row>
    <row r="21" spans="1:24" x14ac:dyDescent="0.2">
      <c r="A21">
        <v>1963</v>
      </c>
      <c r="B21">
        <v>258</v>
      </c>
      <c r="C21">
        <v>877</v>
      </c>
      <c r="D21" s="24">
        <v>1159</v>
      </c>
      <c r="E21" s="24">
        <v>1414</v>
      </c>
      <c r="G21">
        <v>748</v>
      </c>
      <c r="I21" s="24">
        <v>2839</v>
      </c>
      <c r="J21" s="24">
        <v>1021</v>
      </c>
      <c r="K21">
        <v>398</v>
      </c>
      <c r="L21" s="24">
        <v>5417</v>
      </c>
      <c r="M21" s="24">
        <v>1660</v>
      </c>
      <c r="N21" s="24">
        <v>15791</v>
      </c>
    </row>
    <row r="22" spans="1:24" x14ac:dyDescent="0.2">
      <c r="A22">
        <v>1964</v>
      </c>
      <c r="B22">
        <v>457</v>
      </c>
      <c r="C22" s="24">
        <v>1384</v>
      </c>
      <c r="D22" s="24">
        <v>1510</v>
      </c>
      <c r="E22" s="24">
        <v>4063</v>
      </c>
      <c r="G22">
        <v>750</v>
      </c>
      <c r="I22" s="24">
        <v>2672</v>
      </c>
      <c r="J22" s="24">
        <v>1151</v>
      </c>
      <c r="K22">
        <v>677</v>
      </c>
      <c r="L22" s="24">
        <v>5403</v>
      </c>
      <c r="M22" s="24">
        <v>2700</v>
      </c>
      <c r="N22" s="24">
        <v>20767</v>
      </c>
    </row>
    <row r="23" spans="1:24" x14ac:dyDescent="0.2">
      <c r="A23">
        <v>1965</v>
      </c>
      <c r="B23">
        <v>466</v>
      </c>
      <c r="C23" s="24">
        <v>1758</v>
      </c>
      <c r="D23" s="24">
        <v>2320</v>
      </c>
      <c r="E23" s="24">
        <v>7857</v>
      </c>
      <c r="G23">
        <v>765</v>
      </c>
      <c r="I23" s="24">
        <v>3502</v>
      </c>
      <c r="J23">
        <v>885</v>
      </c>
      <c r="K23">
        <v>564</v>
      </c>
      <c r="M23" s="24">
        <v>6104</v>
      </c>
      <c r="N23" s="24">
        <v>24221</v>
      </c>
    </row>
    <row r="24" spans="1:24" x14ac:dyDescent="0.2">
      <c r="A24">
        <v>1966</v>
      </c>
      <c r="B24">
        <v>284</v>
      </c>
      <c r="C24" s="24">
        <v>2023</v>
      </c>
      <c r="D24" s="24">
        <v>3064</v>
      </c>
      <c r="E24" s="24">
        <v>7222</v>
      </c>
      <c r="F24">
        <v>72</v>
      </c>
      <c r="G24">
        <v>851</v>
      </c>
      <c r="I24" s="24">
        <v>3733</v>
      </c>
      <c r="J24">
        <v>513</v>
      </c>
      <c r="K24">
        <v>702</v>
      </c>
      <c r="M24" s="24">
        <v>5700</v>
      </c>
      <c r="N24" s="24">
        <v>24164</v>
      </c>
    </row>
    <row r="25" spans="1:24" x14ac:dyDescent="0.2">
      <c r="A25">
        <v>1967</v>
      </c>
      <c r="B25">
        <v>269</v>
      </c>
      <c r="C25" s="24">
        <v>2359</v>
      </c>
      <c r="D25" s="24">
        <v>3376</v>
      </c>
      <c r="E25" s="24">
        <v>7281</v>
      </c>
      <c r="F25" s="24">
        <v>1483</v>
      </c>
      <c r="G25" s="24">
        <v>1847</v>
      </c>
      <c r="H25" s="24"/>
      <c r="I25" s="24">
        <v>3027</v>
      </c>
      <c r="J25">
        <v>373</v>
      </c>
      <c r="K25">
        <v>940</v>
      </c>
      <c r="L25" s="24">
        <v>5205</v>
      </c>
      <c r="M25" s="24">
        <v>1653</v>
      </c>
      <c r="N25" s="24">
        <v>27813</v>
      </c>
    </row>
    <row r="26" spans="1:24" x14ac:dyDescent="0.2">
      <c r="A26">
        <v>1968</v>
      </c>
      <c r="B26">
        <v>253</v>
      </c>
      <c r="C26" s="24">
        <v>2245</v>
      </c>
      <c r="D26" s="24">
        <v>3684</v>
      </c>
      <c r="E26" s="24">
        <v>7596</v>
      </c>
      <c r="F26" s="24">
        <v>3111</v>
      </c>
      <c r="G26" s="24">
        <v>1856</v>
      </c>
      <c r="H26">
        <v>0</v>
      </c>
      <c r="I26" s="24">
        <v>3482</v>
      </c>
      <c r="J26">
        <v>479</v>
      </c>
      <c r="K26">
        <v>806</v>
      </c>
      <c r="L26" s="24">
        <v>5766</v>
      </c>
      <c r="M26" s="24">
        <v>1562</v>
      </c>
      <c r="N26" s="24">
        <v>30840</v>
      </c>
    </row>
    <row r="27" spans="1:24" x14ac:dyDescent="0.2">
      <c r="A27">
        <v>1969</v>
      </c>
      <c r="B27">
        <v>207</v>
      </c>
      <c r="C27" s="24">
        <v>1385</v>
      </c>
      <c r="D27" s="24">
        <v>2448</v>
      </c>
      <c r="E27" s="24">
        <v>4298</v>
      </c>
      <c r="F27" s="24">
        <v>3721</v>
      </c>
      <c r="G27">
        <v>926</v>
      </c>
      <c r="H27">
        <v>0</v>
      </c>
      <c r="I27" s="24">
        <v>3554</v>
      </c>
      <c r="J27">
        <v>513</v>
      </c>
      <c r="K27">
        <v>681</v>
      </c>
      <c r="L27" s="24">
        <v>4446</v>
      </c>
      <c r="M27" s="24">
        <v>1933</v>
      </c>
      <c r="N27" s="24">
        <v>24112</v>
      </c>
    </row>
    <row r="28" spans="1:24" x14ac:dyDescent="0.2">
      <c r="A28" s="86">
        <v>1970</v>
      </c>
      <c r="B28" s="86">
        <v>158</v>
      </c>
      <c r="C28" s="87">
        <v>1151</v>
      </c>
      <c r="D28" s="87">
        <v>1529</v>
      </c>
      <c r="E28" s="87">
        <v>1960</v>
      </c>
      <c r="F28" s="87">
        <v>1259</v>
      </c>
      <c r="G28" s="86">
        <v>653</v>
      </c>
      <c r="H28" s="86">
        <v>0</v>
      </c>
      <c r="I28" s="87">
        <v>4171</v>
      </c>
      <c r="J28" s="86">
        <v>515</v>
      </c>
      <c r="K28" s="86">
        <v>768</v>
      </c>
      <c r="L28" s="87">
        <v>3444</v>
      </c>
      <c r="M28" s="87">
        <v>2410</v>
      </c>
      <c r="N28" s="87">
        <v>18018</v>
      </c>
      <c r="O28" s="86"/>
      <c r="P28">
        <v>2518</v>
      </c>
      <c r="Q28" s="86">
        <v>805</v>
      </c>
      <c r="R28" s="86">
        <v>92</v>
      </c>
      <c r="S28" s="86">
        <v>6</v>
      </c>
      <c r="T28" s="86">
        <v>92</v>
      </c>
      <c r="U28" s="86">
        <v>6</v>
      </c>
      <c r="V28" s="86">
        <v>168</v>
      </c>
      <c r="W28" s="86">
        <v>0</v>
      </c>
      <c r="X28" s="86">
        <f>SUM(P28:W28)</f>
        <v>3687</v>
      </c>
    </row>
    <row r="29" spans="1:24" x14ac:dyDescent="0.2">
      <c r="A29">
        <v>1971</v>
      </c>
      <c r="B29">
        <v>81</v>
      </c>
      <c r="C29" s="24">
        <v>1097</v>
      </c>
      <c r="D29" s="24">
        <v>1611</v>
      </c>
      <c r="E29" s="24">
        <v>1799</v>
      </c>
      <c r="F29" s="24">
        <v>1220</v>
      </c>
      <c r="G29">
        <v>546</v>
      </c>
      <c r="H29">
        <v>4</v>
      </c>
      <c r="I29" s="24">
        <v>5472</v>
      </c>
      <c r="J29">
        <v>691</v>
      </c>
      <c r="K29" s="24">
        <v>1575</v>
      </c>
      <c r="L29" s="24">
        <v>4421</v>
      </c>
      <c r="M29" s="24">
        <v>1783</v>
      </c>
      <c r="N29" s="24">
        <v>20300</v>
      </c>
      <c r="P29">
        <v>3682</v>
      </c>
      <c r="Q29" s="24">
        <v>1002</v>
      </c>
      <c r="R29" s="24">
        <v>169</v>
      </c>
      <c r="S29" s="24">
        <v>30</v>
      </c>
      <c r="T29" s="24">
        <v>169</v>
      </c>
      <c r="U29" s="24">
        <v>30</v>
      </c>
      <c r="V29" s="24">
        <v>375</v>
      </c>
      <c r="W29" s="24">
        <v>0</v>
      </c>
      <c r="X29">
        <f t="shared" ref="X29:X64" si="0">SUM(P29:W29)</f>
        <v>5457</v>
      </c>
    </row>
    <row r="30" spans="1:24" x14ac:dyDescent="0.2">
      <c r="A30">
        <v>1972</v>
      </c>
      <c r="B30">
        <v>121</v>
      </c>
      <c r="C30" s="24">
        <v>1235</v>
      </c>
      <c r="D30" s="24">
        <v>1635</v>
      </c>
      <c r="E30" s="24">
        <v>2246</v>
      </c>
      <c r="F30" s="24">
        <v>1371</v>
      </c>
      <c r="G30" s="24">
        <v>1187</v>
      </c>
      <c r="H30">
        <v>0</v>
      </c>
      <c r="I30" s="24">
        <v>6119</v>
      </c>
      <c r="J30">
        <v>668</v>
      </c>
      <c r="K30" s="24">
        <v>1174</v>
      </c>
      <c r="L30" s="24">
        <v>3128</v>
      </c>
      <c r="M30" s="24">
        <v>1646</v>
      </c>
      <c r="N30" s="24">
        <v>20530</v>
      </c>
      <c r="P30">
        <v>4419</v>
      </c>
      <c r="Q30" s="24">
        <v>751</v>
      </c>
      <c r="R30" s="24">
        <v>227</v>
      </c>
      <c r="S30" s="24">
        <v>13</v>
      </c>
      <c r="T30" s="24">
        <v>227</v>
      </c>
      <c r="U30" s="24">
        <v>13</v>
      </c>
      <c r="V30" s="24">
        <v>346</v>
      </c>
      <c r="W30" s="24">
        <v>10</v>
      </c>
      <c r="X30">
        <f t="shared" si="0"/>
        <v>6006</v>
      </c>
    </row>
    <row r="31" spans="1:24" x14ac:dyDescent="0.2">
      <c r="A31">
        <v>1973</v>
      </c>
      <c r="B31">
        <v>100</v>
      </c>
      <c r="C31" s="24">
        <v>1214</v>
      </c>
      <c r="D31" s="24">
        <v>1232</v>
      </c>
      <c r="E31" s="24">
        <v>1350</v>
      </c>
      <c r="F31">
        <v>553</v>
      </c>
      <c r="G31">
        <v>669</v>
      </c>
      <c r="H31">
        <v>0</v>
      </c>
      <c r="I31" s="24">
        <v>7407</v>
      </c>
      <c r="J31" s="24">
        <v>1048</v>
      </c>
      <c r="K31" s="24">
        <v>1641</v>
      </c>
      <c r="L31" s="24">
        <v>3672</v>
      </c>
      <c r="M31" s="24">
        <v>1105</v>
      </c>
      <c r="N31" s="24">
        <v>19991</v>
      </c>
      <c r="P31">
        <v>4728</v>
      </c>
      <c r="Q31" s="24">
        <v>563</v>
      </c>
      <c r="R31" s="24">
        <v>127</v>
      </c>
      <c r="S31" s="24">
        <v>22</v>
      </c>
      <c r="T31" s="24">
        <v>127</v>
      </c>
      <c r="U31" s="24">
        <v>22</v>
      </c>
      <c r="V31" s="24">
        <v>230</v>
      </c>
      <c r="W31" s="24">
        <v>12</v>
      </c>
      <c r="X31">
        <f t="shared" si="0"/>
        <v>5831</v>
      </c>
    </row>
    <row r="32" spans="1:24" x14ac:dyDescent="0.2">
      <c r="A32">
        <v>1974</v>
      </c>
      <c r="B32">
        <v>128</v>
      </c>
      <c r="C32" s="24">
        <v>1433</v>
      </c>
      <c r="D32" s="24">
        <v>1310</v>
      </c>
      <c r="E32">
        <v>575</v>
      </c>
      <c r="F32">
        <v>577</v>
      </c>
      <c r="G32" s="24">
        <v>1851</v>
      </c>
      <c r="H32">
        <v>0</v>
      </c>
      <c r="I32" s="24">
        <v>6834</v>
      </c>
      <c r="J32" s="24">
        <v>1400</v>
      </c>
      <c r="K32" s="24">
        <v>1096</v>
      </c>
      <c r="L32" s="24">
        <v>3247</v>
      </c>
      <c r="M32">
        <v>490</v>
      </c>
      <c r="N32" s="24">
        <v>18941</v>
      </c>
      <c r="P32">
        <v>4348</v>
      </c>
      <c r="Q32" s="24">
        <v>486</v>
      </c>
      <c r="R32" s="24">
        <v>68</v>
      </c>
      <c r="S32" s="24">
        <v>10</v>
      </c>
      <c r="T32" s="24">
        <v>68</v>
      </c>
      <c r="U32" s="24">
        <v>10</v>
      </c>
      <c r="V32" s="24">
        <v>154</v>
      </c>
      <c r="W32" s="24">
        <v>17</v>
      </c>
      <c r="X32">
        <f t="shared" si="0"/>
        <v>5161</v>
      </c>
    </row>
    <row r="33" spans="1:24" x14ac:dyDescent="0.2">
      <c r="A33">
        <v>1975</v>
      </c>
      <c r="B33">
        <v>129</v>
      </c>
      <c r="C33" s="24">
        <v>2666</v>
      </c>
      <c r="D33" s="24">
        <v>1298</v>
      </c>
      <c r="E33">
        <v>460</v>
      </c>
      <c r="F33">
        <v>601</v>
      </c>
      <c r="G33" s="24">
        <v>1482</v>
      </c>
      <c r="H33">
        <v>27</v>
      </c>
      <c r="I33" s="24">
        <v>6013</v>
      </c>
      <c r="J33" s="24">
        <v>1600</v>
      </c>
      <c r="K33">
        <v>781</v>
      </c>
      <c r="L33" s="24">
        <v>2526</v>
      </c>
      <c r="M33" s="24">
        <v>2001</v>
      </c>
      <c r="N33" s="24">
        <v>19584</v>
      </c>
      <c r="P33">
        <v>4081</v>
      </c>
      <c r="Q33" s="24">
        <v>397</v>
      </c>
      <c r="R33" s="24">
        <v>114</v>
      </c>
      <c r="S33" s="24">
        <v>26</v>
      </c>
      <c r="T33" s="24">
        <v>114</v>
      </c>
      <c r="U33" s="24">
        <v>26</v>
      </c>
      <c r="V33" s="24">
        <v>248</v>
      </c>
      <c r="W33" s="24">
        <v>16</v>
      </c>
      <c r="X33">
        <f t="shared" si="0"/>
        <v>5022</v>
      </c>
    </row>
    <row r="34" spans="1:24" x14ac:dyDescent="0.2">
      <c r="A34">
        <v>1976</v>
      </c>
      <c r="B34">
        <v>82</v>
      </c>
      <c r="C34" s="24">
        <v>1025</v>
      </c>
      <c r="D34" s="24">
        <v>1263</v>
      </c>
      <c r="E34">
        <v>436</v>
      </c>
      <c r="F34">
        <v>896</v>
      </c>
      <c r="G34" s="24">
        <v>2403</v>
      </c>
      <c r="H34">
        <v>167</v>
      </c>
      <c r="I34" s="24">
        <v>4828</v>
      </c>
      <c r="J34" s="24">
        <v>1067</v>
      </c>
      <c r="K34">
        <v>760</v>
      </c>
      <c r="L34" s="24">
        <v>2690</v>
      </c>
      <c r="M34">
        <v>525</v>
      </c>
      <c r="N34" s="24">
        <v>16142</v>
      </c>
      <c r="P34">
        <v>2158</v>
      </c>
      <c r="Q34" s="24">
        <v>235</v>
      </c>
      <c r="R34" s="24">
        <v>93</v>
      </c>
      <c r="S34" s="24">
        <v>17</v>
      </c>
      <c r="T34" s="24">
        <v>93</v>
      </c>
      <c r="U34" s="24">
        <v>17</v>
      </c>
      <c r="V34" s="24">
        <v>58</v>
      </c>
      <c r="W34" s="24">
        <v>0</v>
      </c>
      <c r="X34">
        <f t="shared" si="0"/>
        <v>2671</v>
      </c>
    </row>
    <row r="35" spans="1:24" x14ac:dyDescent="0.2">
      <c r="A35">
        <v>1977</v>
      </c>
      <c r="B35">
        <v>298</v>
      </c>
      <c r="C35" s="24">
        <v>1972</v>
      </c>
      <c r="D35" s="24">
        <v>2909</v>
      </c>
      <c r="E35">
        <v>527</v>
      </c>
      <c r="F35" s="24">
        <v>1065</v>
      </c>
      <c r="G35" s="24">
        <v>2052</v>
      </c>
      <c r="H35">
        <v>79</v>
      </c>
      <c r="I35" s="24">
        <v>6151</v>
      </c>
      <c r="J35" s="24">
        <v>1831</v>
      </c>
      <c r="K35">
        <v>907</v>
      </c>
      <c r="L35" s="24">
        <v>2943</v>
      </c>
      <c r="M35" s="24">
        <v>1254</v>
      </c>
      <c r="N35" s="24">
        <v>21988</v>
      </c>
      <c r="P35" s="24">
        <v>2548</v>
      </c>
      <c r="Q35" s="24">
        <v>196</v>
      </c>
      <c r="R35" s="24">
        <v>64</v>
      </c>
      <c r="S35" s="24">
        <v>10</v>
      </c>
      <c r="T35" s="24">
        <v>64</v>
      </c>
      <c r="U35" s="24">
        <v>10</v>
      </c>
      <c r="V35" s="24">
        <v>159</v>
      </c>
      <c r="W35" s="24">
        <v>0</v>
      </c>
      <c r="X35">
        <f t="shared" si="0"/>
        <v>3051</v>
      </c>
    </row>
    <row r="36" spans="1:24" x14ac:dyDescent="0.2">
      <c r="A36">
        <v>1978</v>
      </c>
      <c r="B36">
        <v>615</v>
      </c>
      <c r="C36" s="24">
        <v>1805</v>
      </c>
      <c r="D36" s="24">
        <v>2573</v>
      </c>
      <c r="E36">
        <v>745</v>
      </c>
      <c r="F36" s="24">
        <v>1731</v>
      </c>
      <c r="G36" s="24">
        <v>2562</v>
      </c>
      <c r="H36">
        <v>96</v>
      </c>
      <c r="I36" s="24">
        <v>6904</v>
      </c>
      <c r="J36" s="24">
        <v>2216</v>
      </c>
      <c r="K36" s="24">
        <v>1149</v>
      </c>
      <c r="L36" s="24">
        <v>2059</v>
      </c>
      <c r="M36" s="24">
        <v>1264</v>
      </c>
      <c r="N36" s="24">
        <v>23719</v>
      </c>
      <c r="P36" s="24">
        <v>4067</v>
      </c>
      <c r="Q36" s="24">
        <v>365</v>
      </c>
      <c r="R36" s="24">
        <v>122</v>
      </c>
      <c r="S36" s="24">
        <v>49</v>
      </c>
      <c r="T36" s="24">
        <v>122</v>
      </c>
      <c r="U36" s="24">
        <v>49</v>
      </c>
      <c r="V36" s="24">
        <v>87</v>
      </c>
      <c r="W36" s="24">
        <v>2</v>
      </c>
      <c r="X36">
        <f t="shared" si="0"/>
        <v>4863</v>
      </c>
    </row>
    <row r="37" spans="1:24" x14ac:dyDescent="0.2">
      <c r="A37">
        <v>1979</v>
      </c>
      <c r="B37">
        <v>663</v>
      </c>
      <c r="C37" s="24">
        <v>1749</v>
      </c>
      <c r="D37" s="24">
        <v>2744</v>
      </c>
      <c r="E37" s="24">
        <v>1139</v>
      </c>
      <c r="F37" s="24">
        <v>1405</v>
      </c>
      <c r="G37" s="24">
        <v>3527</v>
      </c>
      <c r="H37">
        <v>116</v>
      </c>
      <c r="I37" s="24">
        <v>7517</v>
      </c>
      <c r="J37" s="24">
        <v>2051</v>
      </c>
      <c r="K37">
        <v>862</v>
      </c>
      <c r="L37" s="24">
        <v>4140</v>
      </c>
      <c r="M37" s="24">
        <v>2770</v>
      </c>
      <c r="N37" s="24">
        <v>28683</v>
      </c>
      <c r="P37" s="24">
        <v>3635</v>
      </c>
      <c r="Q37" s="24">
        <v>487</v>
      </c>
      <c r="R37" s="24">
        <v>101</v>
      </c>
      <c r="S37" s="24">
        <v>22</v>
      </c>
      <c r="T37" s="24">
        <v>101</v>
      </c>
      <c r="U37" s="24">
        <v>22</v>
      </c>
      <c r="V37" s="24">
        <v>176</v>
      </c>
      <c r="W37" s="24">
        <v>0</v>
      </c>
      <c r="X37">
        <f t="shared" si="0"/>
        <v>4544</v>
      </c>
    </row>
    <row r="38" spans="1:24" x14ac:dyDescent="0.2">
      <c r="A38" s="69">
        <v>1980</v>
      </c>
      <c r="B38" s="90">
        <v>1322</v>
      </c>
      <c r="C38" s="90">
        <v>2769</v>
      </c>
      <c r="D38" s="90">
        <v>4284</v>
      </c>
      <c r="E38" s="90">
        <v>1042</v>
      </c>
      <c r="F38" s="90">
        <v>2037</v>
      </c>
      <c r="G38" s="90">
        <v>2683</v>
      </c>
      <c r="H38" s="69">
        <v>61</v>
      </c>
      <c r="I38" s="90">
        <v>8356</v>
      </c>
      <c r="J38" s="90">
        <v>2360</v>
      </c>
      <c r="K38" s="69">
        <v>898</v>
      </c>
      <c r="L38" s="90">
        <v>4198</v>
      </c>
      <c r="M38" s="90">
        <v>1267</v>
      </c>
      <c r="N38" s="90">
        <v>31277</v>
      </c>
      <c r="O38" s="69"/>
      <c r="P38" s="24">
        <v>3253</v>
      </c>
      <c r="Q38" s="69">
        <v>600</v>
      </c>
      <c r="R38" s="69">
        <v>81</v>
      </c>
      <c r="S38" s="69">
        <v>62</v>
      </c>
      <c r="T38" s="69">
        <v>81</v>
      </c>
      <c r="U38" s="69">
        <v>62</v>
      </c>
      <c r="V38" s="69">
        <v>201</v>
      </c>
      <c r="W38" s="69">
        <v>0</v>
      </c>
      <c r="X38" s="69">
        <f t="shared" si="0"/>
        <v>4340</v>
      </c>
    </row>
    <row r="39" spans="1:24" x14ac:dyDescent="0.2">
      <c r="A39">
        <v>1981</v>
      </c>
      <c r="B39" s="24">
        <v>1165</v>
      </c>
      <c r="C39" s="24">
        <v>3086</v>
      </c>
      <c r="D39" s="24">
        <v>2989</v>
      </c>
      <c r="E39">
        <v>416</v>
      </c>
      <c r="F39" s="24">
        <v>1131</v>
      </c>
      <c r="G39" s="24">
        <v>2871</v>
      </c>
      <c r="H39">
        <v>114</v>
      </c>
      <c r="I39" s="24">
        <v>10302</v>
      </c>
      <c r="J39" s="24">
        <v>2555</v>
      </c>
      <c r="K39" s="24">
        <v>1235</v>
      </c>
      <c r="L39" s="24">
        <v>5174</v>
      </c>
      <c r="M39">
        <v>483</v>
      </c>
      <c r="N39" s="24">
        <v>31521</v>
      </c>
      <c r="P39" s="24">
        <v>3207</v>
      </c>
      <c r="Q39" s="24">
        <v>1967</v>
      </c>
      <c r="R39" s="24">
        <v>82</v>
      </c>
      <c r="S39" s="24">
        <v>14</v>
      </c>
      <c r="T39" s="24">
        <v>82</v>
      </c>
      <c r="U39" s="24">
        <v>14</v>
      </c>
      <c r="V39" s="24">
        <v>117</v>
      </c>
      <c r="W39" s="24">
        <v>2</v>
      </c>
      <c r="X39">
        <f t="shared" si="0"/>
        <v>5485</v>
      </c>
    </row>
    <row r="40" spans="1:24" x14ac:dyDescent="0.2">
      <c r="A40">
        <v>1982</v>
      </c>
      <c r="B40">
        <v>879</v>
      </c>
      <c r="C40" s="24">
        <v>3159</v>
      </c>
      <c r="D40" s="24">
        <v>4493</v>
      </c>
      <c r="E40">
        <v>563</v>
      </c>
      <c r="F40" s="24">
        <v>2217</v>
      </c>
      <c r="G40" s="24">
        <v>3154</v>
      </c>
      <c r="H40">
        <v>214</v>
      </c>
      <c r="I40" s="24">
        <v>9120</v>
      </c>
      <c r="J40" s="24">
        <v>3465</v>
      </c>
      <c r="K40" s="24">
        <v>1087</v>
      </c>
      <c r="L40" s="24">
        <v>4299</v>
      </c>
      <c r="M40">
        <v>484</v>
      </c>
      <c r="N40" s="24">
        <v>33134</v>
      </c>
      <c r="P40" s="24">
        <v>4248</v>
      </c>
      <c r="Q40" s="24">
        <v>1138</v>
      </c>
      <c r="R40" s="24">
        <v>41</v>
      </c>
      <c r="S40" s="24">
        <v>19</v>
      </c>
      <c r="T40" s="24">
        <v>41</v>
      </c>
      <c r="U40" s="24">
        <v>19</v>
      </c>
      <c r="V40" s="24">
        <v>87</v>
      </c>
      <c r="W40" s="24">
        <v>0</v>
      </c>
      <c r="X40">
        <f t="shared" si="0"/>
        <v>5593</v>
      </c>
    </row>
    <row r="41" spans="1:24" x14ac:dyDescent="0.2">
      <c r="A41">
        <v>1983</v>
      </c>
      <c r="B41">
        <v>638</v>
      </c>
      <c r="C41" s="24">
        <v>4735</v>
      </c>
      <c r="D41" s="24">
        <v>6306</v>
      </c>
      <c r="E41">
        <v>518</v>
      </c>
      <c r="F41" s="24">
        <v>1118</v>
      </c>
      <c r="G41" s="24">
        <v>2180</v>
      </c>
      <c r="H41">
        <v>235</v>
      </c>
      <c r="I41" s="24">
        <v>5747</v>
      </c>
      <c r="J41" s="24">
        <v>2757</v>
      </c>
      <c r="K41">
        <v>883</v>
      </c>
      <c r="L41" s="24">
        <v>3750</v>
      </c>
      <c r="M41">
        <v>604</v>
      </c>
      <c r="N41" s="24">
        <v>29471</v>
      </c>
      <c r="P41" s="24">
        <v>3036</v>
      </c>
      <c r="Q41" s="24">
        <v>595</v>
      </c>
      <c r="R41" s="24">
        <v>39</v>
      </c>
      <c r="S41" s="24">
        <v>7</v>
      </c>
      <c r="T41" s="24">
        <v>39</v>
      </c>
      <c r="U41" s="24">
        <v>7</v>
      </c>
      <c r="V41" s="24">
        <v>62</v>
      </c>
      <c r="W41" s="24">
        <v>0</v>
      </c>
      <c r="X41">
        <f t="shared" si="0"/>
        <v>3785</v>
      </c>
    </row>
    <row r="42" spans="1:24" x14ac:dyDescent="0.2">
      <c r="A42">
        <v>1984</v>
      </c>
      <c r="B42">
        <v>964</v>
      </c>
      <c r="C42" s="24">
        <v>4198</v>
      </c>
      <c r="D42" s="24">
        <v>5904</v>
      </c>
      <c r="E42">
        <v>302</v>
      </c>
      <c r="F42" s="24">
        <v>1513</v>
      </c>
      <c r="G42" s="24">
        <v>1248</v>
      </c>
      <c r="H42">
        <v>220</v>
      </c>
      <c r="I42" s="24">
        <v>3916</v>
      </c>
      <c r="J42" s="24">
        <v>2825</v>
      </c>
      <c r="K42">
        <v>980</v>
      </c>
      <c r="L42" s="24">
        <v>3005</v>
      </c>
      <c r="M42">
        <v>453</v>
      </c>
      <c r="N42" s="24">
        <v>25528</v>
      </c>
      <c r="P42" s="24">
        <v>2298</v>
      </c>
      <c r="Q42" s="24">
        <v>476</v>
      </c>
      <c r="R42" s="24">
        <v>30</v>
      </c>
      <c r="S42" s="24">
        <v>1</v>
      </c>
      <c r="T42" s="24">
        <v>30</v>
      </c>
      <c r="U42" s="24">
        <v>1</v>
      </c>
      <c r="V42" s="24">
        <v>41</v>
      </c>
      <c r="W42" s="24">
        <v>0</v>
      </c>
      <c r="X42">
        <f t="shared" si="0"/>
        <v>2877</v>
      </c>
    </row>
    <row r="43" spans="1:24" x14ac:dyDescent="0.2">
      <c r="A43">
        <v>1985</v>
      </c>
      <c r="B43">
        <v>523</v>
      </c>
      <c r="C43" s="24">
        <v>3954</v>
      </c>
      <c r="D43" s="24">
        <v>5562</v>
      </c>
      <c r="E43">
        <v>90</v>
      </c>
      <c r="F43" s="24">
        <v>1185</v>
      </c>
      <c r="G43" s="24">
        <v>1837</v>
      </c>
      <c r="H43">
        <v>161</v>
      </c>
      <c r="I43" s="24">
        <v>2617</v>
      </c>
      <c r="J43" s="24">
        <v>1740</v>
      </c>
      <c r="K43">
        <v>635</v>
      </c>
      <c r="L43" s="24">
        <v>2755</v>
      </c>
      <c r="M43">
        <v>440</v>
      </c>
      <c r="N43" s="24">
        <v>21499</v>
      </c>
      <c r="P43" s="24">
        <v>1652</v>
      </c>
      <c r="Q43" s="24">
        <v>298</v>
      </c>
      <c r="R43" s="24">
        <v>26</v>
      </c>
      <c r="S43" s="24">
        <v>1</v>
      </c>
      <c r="T43" s="24">
        <v>26</v>
      </c>
      <c r="U43" s="24">
        <v>1</v>
      </c>
      <c r="V43" s="24">
        <v>127</v>
      </c>
      <c r="W43" s="24">
        <v>0</v>
      </c>
      <c r="X43">
        <f t="shared" si="0"/>
        <v>2131</v>
      </c>
    </row>
    <row r="44" spans="1:24" x14ac:dyDescent="0.2">
      <c r="A44">
        <v>1986</v>
      </c>
      <c r="B44">
        <v>573</v>
      </c>
      <c r="C44" s="24">
        <v>3663</v>
      </c>
      <c r="D44" s="24">
        <v>5123</v>
      </c>
      <c r="E44">
        <v>224</v>
      </c>
      <c r="F44">
        <v>974</v>
      </c>
      <c r="G44" s="24">
        <v>1453</v>
      </c>
      <c r="H44">
        <v>196</v>
      </c>
      <c r="I44" s="24">
        <v>2479</v>
      </c>
      <c r="J44" s="24">
        <v>1918</v>
      </c>
      <c r="K44">
        <v>576</v>
      </c>
      <c r="L44" s="24">
        <v>2490</v>
      </c>
      <c r="M44">
        <v>371</v>
      </c>
      <c r="N44" s="24">
        <v>20040</v>
      </c>
      <c r="P44" s="24">
        <v>1308</v>
      </c>
      <c r="Q44" s="24">
        <v>124</v>
      </c>
      <c r="R44" s="24">
        <v>30</v>
      </c>
      <c r="S44" s="24">
        <v>1</v>
      </c>
      <c r="T44" s="24">
        <v>14</v>
      </c>
      <c r="U44" s="24">
        <v>0</v>
      </c>
      <c r="V44" s="24">
        <v>287</v>
      </c>
      <c r="W44" s="24">
        <v>0</v>
      </c>
      <c r="X44">
        <f t="shared" si="0"/>
        <v>1764</v>
      </c>
    </row>
    <row r="45" spans="1:24" x14ac:dyDescent="0.2">
      <c r="A45">
        <v>1987</v>
      </c>
      <c r="B45">
        <v>312</v>
      </c>
      <c r="C45" s="24">
        <v>2645</v>
      </c>
      <c r="D45" s="24">
        <v>3504</v>
      </c>
      <c r="E45">
        <v>531</v>
      </c>
      <c r="F45">
        <v>929</v>
      </c>
      <c r="G45" s="24">
        <v>1968</v>
      </c>
      <c r="H45">
        <v>241</v>
      </c>
      <c r="I45" s="24">
        <v>3075</v>
      </c>
      <c r="J45" s="24">
        <v>2175</v>
      </c>
      <c r="K45">
        <v>499</v>
      </c>
      <c r="L45" s="24">
        <v>2670</v>
      </c>
      <c r="M45">
        <v>456</v>
      </c>
      <c r="N45" s="24">
        <v>19005</v>
      </c>
      <c r="P45" s="101">
        <v>2832</v>
      </c>
      <c r="Q45" s="24">
        <v>253</v>
      </c>
      <c r="R45" s="24">
        <v>81</v>
      </c>
      <c r="S45" s="24">
        <v>6</v>
      </c>
      <c r="T45" s="24">
        <v>105</v>
      </c>
      <c r="U45" s="24">
        <v>0</v>
      </c>
      <c r="V45" s="24">
        <v>136</v>
      </c>
      <c r="W45" s="24">
        <v>1</v>
      </c>
      <c r="X45">
        <f t="shared" si="0"/>
        <v>3414</v>
      </c>
    </row>
    <row r="46" spans="1:24" x14ac:dyDescent="0.2">
      <c r="A46">
        <v>1988</v>
      </c>
      <c r="B46">
        <v>454</v>
      </c>
      <c r="C46" s="24">
        <v>3966</v>
      </c>
      <c r="D46" s="24">
        <v>3542</v>
      </c>
      <c r="E46">
        <v>160</v>
      </c>
      <c r="F46">
        <v>467</v>
      </c>
      <c r="G46">
        <v>903</v>
      </c>
      <c r="H46">
        <v>444</v>
      </c>
      <c r="I46" s="24">
        <v>3528</v>
      </c>
      <c r="J46" s="24">
        <v>3149</v>
      </c>
      <c r="K46">
        <v>672</v>
      </c>
      <c r="L46" s="24">
        <v>3081</v>
      </c>
      <c r="M46">
        <v>171</v>
      </c>
      <c r="N46" s="24">
        <v>20537</v>
      </c>
      <c r="P46" s="102">
        <v>2145</v>
      </c>
      <c r="Q46" s="24">
        <v>326</v>
      </c>
      <c r="R46" s="24">
        <v>49</v>
      </c>
      <c r="S46" s="24">
        <v>21</v>
      </c>
      <c r="T46" s="24">
        <v>35</v>
      </c>
      <c r="U46" s="24">
        <v>0</v>
      </c>
      <c r="V46" s="24">
        <v>50</v>
      </c>
      <c r="W46" s="24">
        <v>0</v>
      </c>
      <c r="X46">
        <f t="shared" si="0"/>
        <v>2626</v>
      </c>
    </row>
    <row r="47" spans="1:24" x14ac:dyDescent="0.2">
      <c r="A47">
        <v>1989</v>
      </c>
      <c r="B47">
        <v>409</v>
      </c>
      <c r="C47" s="24">
        <v>3933</v>
      </c>
      <c r="D47" s="24">
        <v>4184</v>
      </c>
      <c r="E47">
        <v>67</v>
      </c>
      <c r="F47">
        <v>713</v>
      </c>
      <c r="G47" s="24">
        <v>1254</v>
      </c>
      <c r="H47">
        <v>475</v>
      </c>
      <c r="I47" s="24">
        <v>2915</v>
      </c>
      <c r="J47" s="24">
        <v>2167</v>
      </c>
      <c r="K47">
        <v>623</v>
      </c>
      <c r="L47" s="24">
        <v>2937</v>
      </c>
      <c r="M47">
        <v>208</v>
      </c>
      <c r="N47" s="24">
        <v>19885</v>
      </c>
      <c r="P47" s="102">
        <v>2073</v>
      </c>
      <c r="Q47" s="24">
        <v>642</v>
      </c>
      <c r="R47" s="24">
        <v>40</v>
      </c>
      <c r="S47" s="24">
        <v>2</v>
      </c>
      <c r="T47" s="24">
        <v>70</v>
      </c>
      <c r="U47" s="24">
        <v>2</v>
      </c>
      <c r="V47" s="24">
        <v>121</v>
      </c>
      <c r="W47" s="24">
        <v>5</v>
      </c>
      <c r="X47">
        <f t="shared" si="0"/>
        <v>2955</v>
      </c>
    </row>
    <row r="48" spans="1:24" x14ac:dyDescent="0.2">
      <c r="A48">
        <v>1990</v>
      </c>
      <c r="B48">
        <v>505</v>
      </c>
      <c r="C48" s="24">
        <v>3668</v>
      </c>
      <c r="D48" s="24">
        <v>3577</v>
      </c>
      <c r="E48">
        <v>268</v>
      </c>
      <c r="F48">
        <v>170</v>
      </c>
      <c r="G48" s="24">
        <v>1933</v>
      </c>
      <c r="H48">
        <v>692</v>
      </c>
      <c r="I48" s="24">
        <v>4201</v>
      </c>
      <c r="J48" s="24">
        <v>2967</v>
      </c>
      <c r="K48">
        <v>849</v>
      </c>
      <c r="L48" s="24">
        <v>4871</v>
      </c>
      <c r="M48">
        <v>203</v>
      </c>
      <c r="N48" s="24">
        <v>23904</v>
      </c>
      <c r="P48" s="102">
        <v>2231</v>
      </c>
      <c r="Q48" s="24">
        <v>460</v>
      </c>
      <c r="R48" s="24">
        <v>34</v>
      </c>
      <c r="S48" s="24">
        <v>6</v>
      </c>
      <c r="T48" s="24">
        <v>41</v>
      </c>
      <c r="U48" s="24">
        <v>0</v>
      </c>
      <c r="V48" s="24">
        <v>142</v>
      </c>
      <c r="W48" s="24">
        <v>0</v>
      </c>
      <c r="X48">
        <f t="shared" si="0"/>
        <v>2914</v>
      </c>
    </row>
    <row r="49" spans="1:24" x14ac:dyDescent="0.2">
      <c r="A49">
        <v>1991</v>
      </c>
      <c r="B49">
        <v>355</v>
      </c>
      <c r="C49" s="24">
        <v>4598</v>
      </c>
      <c r="D49" s="24">
        <v>5805</v>
      </c>
      <c r="E49">
        <v>298</v>
      </c>
      <c r="F49">
        <v>751</v>
      </c>
      <c r="G49" s="24">
        <v>2225</v>
      </c>
      <c r="H49">
        <v>619</v>
      </c>
      <c r="I49" s="24">
        <v>4712</v>
      </c>
      <c r="J49" s="24">
        <v>3679</v>
      </c>
      <c r="K49">
        <v>842</v>
      </c>
      <c r="L49" s="24">
        <v>3737</v>
      </c>
      <c r="M49">
        <v>128</v>
      </c>
      <c r="N49" s="24">
        <v>27749</v>
      </c>
      <c r="P49" s="102">
        <v>2891</v>
      </c>
      <c r="Q49" s="24">
        <v>611</v>
      </c>
      <c r="R49" s="24">
        <v>48</v>
      </c>
      <c r="S49" s="24">
        <v>2</v>
      </c>
      <c r="T49" s="24">
        <v>35</v>
      </c>
      <c r="U49" s="24">
        <v>0</v>
      </c>
      <c r="V49" s="24">
        <v>151</v>
      </c>
      <c r="W49" s="24">
        <v>1</v>
      </c>
      <c r="X49">
        <f t="shared" si="0"/>
        <v>3739</v>
      </c>
    </row>
    <row r="50" spans="1:24" x14ac:dyDescent="0.2">
      <c r="A50">
        <v>1992</v>
      </c>
      <c r="B50">
        <v>238</v>
      </c>
      <c r="C50" s="24">
        <v>4494</v>
      </c>
      <c r="D50" s="24">
        <v>5711</v>
      </c>
      <c r="E50">
        <v>143</v>
      </c>
      <c r="F50">
        <v>726</v>
      </c>
      <c r="G50" s="24">
        <v>1811</v>
      </c>
      <c r="H50">
        <v>586</v>
      </c>
      <c r="I50" s="24">
        <v>4455</v>
      </c>
      <c r="J50" s="24">
        <v>3574</v>
      </c>
      <c r="K50">
        <v>719</v>
      </c>
      <c r="L50" s="24">
        <v>3517</v>
      </c>
      <c r="M50">
        <v>106</v>
      </c>
      <c r="N50" s="24">
        <v>26080</v>
      </c>
      <c r="P50" s="102">
        <v>3395</v>
      </c>
      <c r="Q50" s="24">
        <v>827</v>
      </c>
      <c r="R50" s="24">
        <v>30</v>
      </c>
      <c r="S50" s="24">
        <v>1</v>
      </c>
      <c r="T50" s="24">
        <v>74</v>
      </c>
      <c r="U50" s="24">
        <v>12</v>
      </c>
      <c r="V50" s="24">
        <v>179</v>
      </c>
      <c r="W50" s="24">
        <v>15</v>
      </c>
      <c r="X50">
        <f t="shared" si="0"/>
        <v>4533</v>
      </c>
    </row>
    <row r="51" spans="1:24" x14ac:dyDescent="0.2">
      <c r="A51">
        <v>1993</v>
      </c>
      <c r="B51">
        <v>176</v>
      </c>
      <c r="C51" s="24">
        <v>2778</v>
      </c>
      <c r="D51" s="24">
        <v>3598</v>
      </c>
      <c r="E51">
        <v>68</v>
      </c>
      <c r="F51">
        <v>241</v>
      </c>
      <c r="G51" s="24">
        <v>1387</v>
      </c>
      <c r="H51">
        <v>523</v>
      </c>
      <c r="I51" s="24">
        <v>2768</v>
      </c>
      <c r="J51" s="24">
        <v>1693</v>
      </c>
      <c r="K51">
        <v>310</v>
      </c>
      <c r="L51" s="24">
        <v>2439</v>
      </c>
      <c r="M51">
        <v>45</v>
      </c>
      <c r="N51" s="24">
        <v>16026</v>
      </c>
      <c r="P51" s="102">
        <v>1863</v>
      </c>
      <c r="Q51" s="24">
        <v>572</v>
      </c>
      <c r="R51" s="24">
        <v>49</v>
      </c>
      <c r="S51" s="24">
        <v>1</v>
      </c>
      <c r="T51" s="24">
        <v>53</v>
      </c>
      <c r="U51" s="24">
        <v>1</v>
      </c>
      <c r="V51" s="24">
        <v>74</v>
      </c>
      <c r="W51" s="24">
        <v>3</v>
      </c>
      <c r="X51">
        <f t="shared" si="0"/>
        <v>2616</v>
      </c>
    </row>
    <row r="52" spans="1:24" x14ac:dyDescent="0.2">
      <c r="A52">
        <v>1994</v>
      </c>
      <c r="B52">
        <v>132</v>
      </c>
      <c r="C52" s="24">
        <v>2022</v>
      </c>
      <c r="D52" s="24">
        <v>2343</v>
      </c>
      <c r="E52">
        <v>138</v>
      </c>
      <c r="F52">
        <v>82</v>
      </c>
      <c r="G52">
        <v>993</v>
      </c>
      <c r="H52">
        <v>421</v>
      </c>
      <c r="I52" s="24">
        <v>2837</v>
      </c>
      <c r="J52" s="24">
        <v>1412</v>
      </c>
      <c r="K52">
        <v>231</v>
      </c>
      <c r="L52" s="24">
        <v>2367</v>
      </c>
      <c r="M52">
        <v>67</v>
      </c>
      <c r="N52" s="24">
        <v>13045</v>
      </c>
      <c r="P52" s="102">
        <v>1076</v>
      </c>
      <c r="Q52" s="24">
        <v>165</v>
      </c>
      <c r="R52" s="24">
        <v>50</v>
      </c>
      <c r="S52" s="24">
        <v>4</v>
      </c>
      <c r="T52" s="24">
        <v>44</v>
      </c>
      <c r="U52" s="24">
        <v>1</v>
      </c>
      <c r="V52" s="24">
        <v>37</v>
      </c>
      <c r="W52" s="24">
        <v>5</v>
      </c>
      <c r="X52">
        <f t="shared" si="0"/>
        <v>1382</v>
      </c>
    </row>
    <row r="53" spans="1:24" x14ac:dyDescent="0.2">
      <c r="A53">
        <v>1995</v>
      </c>
      <c r="B53">
        <v>100</v>
      </c>
      <c r="C53" s="24">
        <v>1387</v>
      </c>
      <c r="D53" s="24">
        <v>1619</v>
      </c>
      <c r="E53">
        <v>112</v>
      </c>
      <c r="F53">
        <v>75</v>
      </c>
      <c r="G53">
        <v>470</v>
      </c>
      <c r="H53">
        <v>507</v>
      </c>
      <c r="I53" s="24">
        <v>1632</v>
      </c>
      <c r="J53">
        <v>959</v>
      </c>
      <c r="K53">
        <v>182</v>
      </c>
      <c r="L53" s="24">
        <v>1706</v>
      </c>
      <c r="M53">
        <v>18</v>
      </c>
      <c r="N53" s="24">
        <v>8767</v>
      </c>
      <c r="P53" s="102">
        <v>1433</v>
      </c>
      <c r="Q53" s="24">
        <v>177</v>
      </c>
      <c r="R53" s="24">
        <v>37</v>
      </c>
      <c r="S53" s="24">
        <v>1</v>
      </c>
      <c r="T53" s="24">
        <v>23</v>
      </c>
      <c r="U53" s="24">
        <v>2</v>
      </c>
      <c r="V53" s="24">
        <v>37</v>
      </c>
      <c r="W53" s="24">
        <v>0</v>
      </c>
      <c r="X53">
        <f t="shared" si="0"/>
        <v>1710</v>
      </c>
    </row>
    <row r="54" spans="1:24" x14ac:dyDescent="0.2">
      <c r="A54">
        <v>1996</v>
      </c>
      <c r="B54">
        <v>92</v>
      </c>
      <c r="C54" s="24">
        <v>1552</v>
      </c>
      <c r="D54" s="24">
        <v>2314</v>
      </c>
      <c r="E54">
        <v>157</v>
      </c>
      <c r="F54">
        <v>103</v>
      </c>
      <c r="G54">
        <v>611</v>
      </c>
      <c r="H54">
        <v>442</v>
      </c>
      <c r="I54" s="24">
        <v>1774</v>
      </c>
      <c r="J54" s="24">
        <v>1306</v>
      </c>
      <c r="K54">
        <v>201</v>
      </c>
      <c r="L54" s="24">
        <v>1914</v>
      </c>
      <c r="M54">
        <v>106</v>
      </c>
      <c r="N54" s="24">
        <v>10572</v>
      </c>
      <c r="P54" s="102">
        <v>976</v>
      </c>
      <c r="Q54" s="24">
        <v>188</v>
      </c>
      <c r="R54" s="24">
        <v>14</v>
      </c>
      <c r="S54" s="24">
        <v>2</v>
      </c>
      <c r="T54" s="24">
        <v>25</v>
      </c>
      <c r="U54" s="24">
        <v>1</v>
      </c>
      <c r="V54" s="24">
        <v>29</v>
      </c>
      <c r="W54" s="24">
        <v>2</v>
      </c>
      <c r="X54">
        <f t="shared" si="0"/>
        <v>1237</v>
      </c>
    </row>
    <row r="55" spans="1:24" x14ac:dyDescent="0.2">
      <c r="A55">
        <v>1997</v>
      </c>
      <c r="B55">
        <v>79</v>
      </c>
      <c r="C55" s="24">
        <v>2094</v>
      </c>
      <c r="D55" s="24">
        <v>2430</v>
      </c>
      <c r="E55">
        <v>136</v>
      </c>
      <c r="F55">
        <v>35</v>
      </c>
      <c r="G55">
        <v>694</v>
      </c>
      <c r="H55">
        <v>471</v>
      </c>
      <c r="I55" s="24">
        <v>2013</v>
      </c>
      <c r="J55" s="24">
        <v>1255</v>
      </c>
      <c r="K55">
        <v>231</v>
      </c>
      <c r="L55" s="24">
        <v>1794</v>
      </c>
      <c r="M55">
        <v>6</v>
      </c>
      <c r="N55" s="24">
        <v>11238</v>
      </c>
      <c r="P55" s="101">
        <v>1401</v>
      </c>
      <c r="Q55" s="24">
        <v>145</v>
      </c>
      <c r="R55" s="24">
        <v>22</v>
      </c>
      <c r="S55" s="24">
        <v>2</v>
      </c>
      <c r="T55" s="24">
        <v>22</v>
      </c>
      <c r="U55" s="24">
        <v>1</v>
      </c>
      <c r="V55" s="24">
        <v>31</v>
      </c>
      <c r="W55" s="24">
        <v>1</v>
      </c>
      <c r="X55">
        <f t="shared" si="0"/>
        <v>1625</v>
      </c>
    </row>
    <row r="56" spans="1:24" x14ac:dyDescent="0.2">
      <c r="A56">
        <v>1998</v>
      </c>
      <c r="B56">
        <v>99</v>
      </c>
      <c r="C56" s="24">
        <v>1404</v>
      </c>
      <c r="D56" s="24">
        <v>1892</v>
      </c>
      <c r="E56">
        <v>166</v>
      </c>
      <c r="F56">
        <v>22</v>
      </c>
      <c r="G56">
        <v>437</v>
      </c>
      <c r="H56">
        <v>376</v>
      </c>
      <c r="I56" s="24">
        <v>1717</v>
      </c>
      <c r="J56" s="24">
        <v>1016</v>
      </c>
      <c r="K56">
        <v>244</v>
      </c>
      <c r="L56">
        <v>910</v>
      </c>
      <c r="M56">
        <v>0</v>
      </c>
      <c r="N56" s="24">
        <v>8283</v>
      </c>
      <c r="P56" s="102">
        <v>1219</v>
      </c>
      <c r="Q56" s="24">
        <v>136</v>
      </c>
      <c r="R56" s="24">
        <v>51</v>
      </c>
      <c r="S56" s="24">
        <v>4</v>
      </c>
      <c r="T56" s="24">
        <v>19</v>
      </c>
      <c r="U56" s="24">
        <v>1</v>
      </c>
      <c r="V56" s="24">
        <v>15</v>
      </c>
      <c r="W56" s="24">
        <v>0</v>
      </c>
      <c r="X56">
        <f t="shared" si="0"/>
        <v>1445</v>
      </c>
    </row>
    <row r="57" spans="1:24" x14ac:dyDescent="0.2">
      <c r="A57">
        <v>1999</v>
      </c>
      <c r="B57">
        <v>86</v>
      </c>
      <c r="C57">
        <v>779</v>
      </c>
      <c r="D57" s="24">
        <v>1253</v>
      </c>
      <c r="E57">
        <v>63</v>
      </c>
      <c r="F57">
        <v>11</v>
      </c>
      <c r="G57">
        <v>501</v>
      </c>
      <c r="H57">
        <v>408</v>
      </c>
      <c r="I57" s="24">
        <v>1551</v>
      </c>
      <c r="J57">
        <v>771</v>
      </c>
      <c r="K57">
        <v>120</v>
      </c>
      <c r="L57">
        <v>762</v>
      </c>
      <c r="M57">
        <v>0</v>
      </c>
      <c r="N57" s="24">
        <v>6304</v>
      </c>
      <c r="P57" s="24">
        <v>825</v>
      </c>
      <c r="Q57" s="24">
        <v>114</v>
      </c>
      <c r="R57" s="24">
        <v>35</v>
      </c>
      <c r="S57" s="24">
        <v>2</v>
      </c>
      <c r="T57" s="24">
        <v>15</v>
      </c>
      <c r="U57" s="24">
        <v>1</v>
      </c>
      <c r="V57" s="24">
        <v>5</v>
      </c>
      <c r="W57" s="24">
        <v>0</v>
      </c>
      <c r="X57">
        <f t="shared" si="0"/>
        <v>997</v>
      </c>
    </row>
    <row r="58" spans="1:24" x14ac:dyDescent="0.2">
      <c r="A58">
        <v>2000</v>
      </c>
      <c r="B58">
        <v>113</v>
      </c>
      <c r="C58">
        <v>851</v>
      </c>
      <c r="D58" s="24">
        <v>1268</v>
      </c>
      <c r="E58">
        <v>78</v>
      </c>
      <c r="F58">
        <v>9</v>
      </c>
      <c r="G58">
        <v>358</v>
      </c>
      <c r="H58">
        <v>356</v>
      </c>
      <c r="I58" s="24">
        <v>1420</v>
      </c>
      <c r="J58">
        <v>533</v>
      </c>
      <c r="K58">
        <v>106</v>
      </c>
      <c r="L58">
        <v>662</v>
      </c>
      <c r="M58">
        <v>1</v>
      </c>
      <c r="N58" s="24">
        <v>5755</v>
      </c>
      <c r="P58" s="24">
        <v>682</v>
      </c>
      <c r="Q58" s="24">
        <v>186</v>
      </c>
      <c r="R58" s="24">
        <v>27</v>
      </c>
      <c r="S58" s="24">
        <v>1</v>
      </c>
      <c r="T58" s="24">
        <v>14</v>
      </c>
      <c r="U58" s="24">
        <v>2</v>
      </c>
      <c r="V58" s="24">
        <v>9</v>
      </c>
      <c r="W58" s="24">
        <v>0</v>
      </c>
      <c r="X58">
        <f t="shared" si="0"/>
        <v>921</v>
      </c>
    </row>
    <row r="59" spans="1:24" x14ac:dyDescent="0.2">
      <c r="A59">
        <v>2001</v>
      </c>
      <c r="B59">
        <v>120</v>
      </c>
      <c r="C59">
        <v>975</v>
      </c>
      <c r="D59" s="24">
        <v>1292</v>
      </c>
      <c r="E59">
        <v>29</v>
      </c>
      <c r="F59">
        <v>9</v>
      </c>
      <c r="G59">
        <v>383</v>
      </c>
      <c r="H59">
        <v>390</v>
      </c>
      <c r="I59" s="24">
        <v>1532</v>
      </c>
      <c r="J59">
        <v>423</v>
      </c>
      <c r="K59">
        <v>72</v>
      </c>
      <c r="L59">
        <v>409</v>
      </c>
      <c r="M59">
        <v>0</v>
      </c>
      <c r="N59" s="24">
        <v>5707</v>
      </c>
      <c r="P59" s="24">
        <v>990</v>
      </c>
      <c r="Q59" s="24">
        <v>340</v>
      </c>
      <c r="R59" s="24">
        <v>34</v>
      </c>
      <c r="S59" s="24">
        <v>2</v>
      </c>
      <c r="T59" s="24">
        <v>15</v>
      </c>
      <c r="U59" s="24">
        <v>1</v>
      </c>
      <c r="V59" s="24">
        <v>4</v>
      </c>
      <c r="W59" s="24">
        <v>0</v>
      </c>
      <c r="X59">
        <f t="shared" si="0"/>
        <v>1386</v>
      </c>
    </row>
    <row r="60" spans="1:24" x14ac:dyDescent="0.2">
      <c r="A60">
        <v>2002</v>
      </c>
      <c r="B60">
        <v>181</v>
      </c>
      <c r="C60">
        <v>873</v>
      </c>
      <c r="D60" s="24">
        <v>1484</v>
      </c>
      <c r="E60">
        <v>0</v>
      </c>
      <c r="F60">
        <v>51</v>
      </c>
      <c r="G60">
        <v>524</v>
      </c>
      <c r="H60">
        <v>535</v>
      </c>
      <c r="I60" s="24">
        <v>1559</v>
      </c>
      <c r="J60">
        <v>338</v>
      </c>
      <c r="K60">
        <v>55</v>
      </c>
      <c r="L60">
        <v>292</v>
      </c>
      <c r="M60">
        <v>0</v>
      </c>
      <c r="N60" s="24">
        <v>5893</v>
      </c>
      <c r="Q60" s="24">
        <v>308</v>
      </c>
      <c r="R60" s="24">
        <v>36</v>
      </c>
      <c r="S60" s="24">
        <v>1</v>
      </c>
      <c r="T60" s="24">
        <v>12</v>
      </c>
      <c r="U60" s="24">
        <v>1</v>
      </c>
      <c r="V60" s="24">
        <v>3</v>
      </c>
      <c r="W60" s="24">
        <v>0</v>
      </c>
      <c r="X60">
        <f t="shared" si="0"/>
        <v>361</v>
      </c>
    </row>
    <row r="61" spans="1:24" x14ac:dyDescent="0.2">
      <c r="A61">
        <v>2003</v>
      </c>
      <c r="B61">
        <v>299</v>
      </c>
      <c r="C61">
        <v>704</v>
      </c>
      <c r="D61" s="24">
        <v>1518</v>
      </c>
      <c r="E61">
        <v>8</v>
      </c>
      <c r="F61">
        <v>5</v>
      </c>
      <c r="G61">
        <v>610</v>
      </c>
      <c r="H61">
        <v>435</v>
      </c>
      <c r="I61">
        <v>1518</v>
      </c>
      <c r="J61">
        <v>350</v>
      </c>
      <c r="K61">
        <v>60</v>
      </c>
      <c r="L61">
        <v>154</v>
      </c>
      <c r="M61">
        <v>7</v>
      </c>
      <c r="N61" s="24">
        <v>5667</v>
      </c>
      <c r="Q61" s="24">
        <v>304</v>
      </c>
      <c r="R61" s="24">
        <v>26</v>
      </c>
      <c r="S61" s="24">
        <v>1</v>
      </c>
      <c r="T61" s="24">
        <v>12</v>
      </c>
      <c r="U61" s="24">
        <v>0</v>
      </c>
      <c r="V61" s="24">
        <v>3</v>
      </c>
      <c r="W61" s="24">
        <v>0</v>
      </c>
      <c r="X61">
        <f t="shared" si="0"/>
        <v>346</v>
      </c>
    </row>
    <row r="62" spans="1:24" x14ac:dyDescent="0.2">
      <c r="A62">
        <v>2004</v>
      </c>
      <c r="B62">
        <v>269</v>
      </c>
      <c r="C62">
        <v>667</v>
      </c>
      <c r="D62" s="24">
        <v>1513</v>
      </c>
      <c r="E62" s="24"/>
      <c r="F62" s="24"/>
      <c r="G62">
        <v>590</v>
      </c>
      <c r="H62">
        <v>591</v>
      </c>
      <c r="I62" s="24">
        <v>1048</v>
      </c>
      <c r="J62">
        <v>187</v>
      </c>
      <c r="K62">
        <v>20</v>
      </c>
      <c r="L62">
        <v>125</v>
      </c>
      <c r="M62">
        <v>1</v>
      </c>
      <c r="N62" s="24">
        <v>5010</v>
      </c>
      <c r="Q62" s="24">
        <v>256</v>
      </c>
      <c r="R62" s="24">
        <v>30</v>
      </c>
      <c r="S62" s="24">
        <v>0</v>
      </c>
      <c r="T62" s="24">
        <v>6</v>
      </c>
      <c r="U62" s="24">
        <v>0</v>
      </c>
      <c r="V62" s="24">
        <v>1</v>
      </c>
      <c r="W62" s="24">
        <v>0</v>
      </c>
      <c r="X62">
        <f t="shared" si="0"/>
        <v>293</v>
      </c>
    </row>
    <row r="63" spans="1:24" x14ac:dyDescent="0.2">
      <c r="A63">
        <v>2005</v>
      </c>
      <c r="B63">
        <v>209</v>
      </c>
      <c r="C63">
        <v>660</v>
      </c>
      <c r="D63" s="24">
        <v>1103</v>
      </c>
      <c r="E63">
        <v>21</v>
      </c>
      <c r="G63">
        <v>433</v>
      </c>
      <c r="H63">
        <v>392</v>
      </c>
      <c r="I63" s="24">
        <v>1038</v>
      </c>
      <c r="J63">
        <v>208</v>
      </c>
      <c r="K63">
        <v>12</v>
      </c>
      <c r="L63">
        <v>42</v>
      </c>
      <c r="M63">
        <v>0</v>
      </c>
      <c r="N63" s="24">
        <v>4117</v>
      </c>
      <c r="Q63" s="24">
        <v>118</v>
      </c>
      <c r="R63" s="24">
        <v>23</v>
      </c>
      <c r="S63" s="24">
        <v>1</v>
      </c>
      <c r="T63" s="24">
        <v>5</v>
      </c>
      <c r="U63" s="24">
        <v>0</v>
      </c>
      <c r="V63" s="24">
        <v>1</v>
      </c>
      <c r="W63" s="24">
        <v>0</v>
      </c>
      <c r="X63">
        <f t="shared" si="0"/>
        <v>148</v>
      </c>
    </row>
    <row r="64" spans="1:24" x14ac:dyDescent="0.2">
      <c r="A64">
        <v>2006</v>
      </c>
      <c r="B64">
        <v>245</v>
      </c>
      <c r="C64">
        <v>561</v>
      </c>
      <c r="D64">
        <v>735</v>
      </c>
      <c r="E64">
        <v>69</v>
      </c>
      <c r="G64">
        <v>259</v>
      </c>
      <c r="H64">
        <v>71</v>
      </c>
      <c r="I64">
        <v>1376</v>
      </c>
      <c r="J64">
        <v>322</v>
      </c>
      <c r="K64">
        <v>37</v>
      </c>
      <c r="L64">
        <v>27</v>
      </c>
      <c r="M64">
        <v>0</v>
      </c>
      <c r="N64" s="24">
        <v>3700</v>
      </c>
      <c r="Q64" s="24">
        <v>153</v>
      </c>
      <c r="R64" s="24">
        <v>19</v>
      </c>
      <c r="S64" s="24">
        <v>2</v>
      </c>
      <c r="T64" s="24">
        <v>4</v>
      </c>
      <c r="U64" s="24">
        <v>0</v>
      </c>
      <c r="V64" s="24">
        <v>3</v>
      </c>
      <c r="W64" s="24">
        <v>0</v>
      </c>
      <c r="X64">
        <f t="shared" si="0"/>
        <v>181</v>
      </c>
    </row>
    <row r="65" spans="1:24" x14ac:dyDescent="0.2">
      <c r="A65">
        <v>2007</v>
      </c>
      <c r="B65">
        <v>265</v>
      </c>
      <c r="C65">
        <v>471</v>
      </c>
      <c r="D65">
        <v>861</v>
      </c>
      <c r="E65">
        <v>10</v>
      </c>
      <c r="G65">
        <v>252</v>
      </c>
      <c r="H65">
        <v>42</v>
      </c>
      <c r="I65">
        <v>1389</v>
      </c>
      <c r="J65">
        <v>432</v>
      </c>
      <c r="K65">
        <v>44</v>
      </c>
      <c r="L65">
        <v>24</v>
      </c>
      <c r="M65">
        <v>0</v>
      </c>
      <c r="N65" s="24">
        <v>3790</v>
      </c>
      <c r="U65" s="24"/>
      <c r="V65" s="24"/>
      <c r="W65" s="24"/>
    </row>
    <row r="66" spans="1:24" x14ac:dyDescent="0.2">
      <c r="A66">
        <v>2008</v>
      </c>
      <c r="B66">
        <v>266</v>
      </c>
      <c r="C66">
        <v>452</v>
      </c>
      <c r="D66">
        <v>982</v>
      </c>
      <c r="E66">
        <v>0</v>
      </c>
      <c r="G66">
        <v>236</v>
      </c>
      <c r="H66">
        <v>72</v>
      </c>
      <c r="I66">
        <v>1667</v>
      </c>
      <c r="J66">
        <v>432</v>
      </c>
      <c r="K66">
        <v>8</v>
      </c>
      <c r="L66">
        <v>18</v>
      </c>
      <c r="M66">
        <v>0</v>
      </c>
      <c r="N66" s="24">
        <v>4132</v>
      </c>
    </row>
    <row r="67" spans="1:24" x14ac:dyDescent="0.2">
      <c r="A67">
        <v>2009</v>
      </c>
    </row>
    <row r="68" spans="1:24" x14ac:dyDescent="0.2">
      <c r="A68">
        <v>2010</v>
      </c>
    </row>
    <row r="72" spans="1:24" x14ac:dyDescent="0.2">
      <c r="A72" s="85" t="s">
        <v>319</v>
      </c>
      <c r="B72" s="86"/>
      <c r="C72" s="86"/>
      <c r="D72" s="86"/>
      <c r="E72" s="86"/>
      <c r="F72" s="86"/>
      <c r="G72" s="86"/>
      <c r="H72" s="86"/>
      <c r="I72" s="86"/>
      <c r="J72" s="86"/>
      <c r="K72" s="86"/>
      <c r="L72" s="86"/>
      <c r="M72" s="86"/>
      <c r="N72" s="87">
        <f>AVERAGE(N28:N66)</f>
        <v>16808.51282051282</v>
      </c>
      <c r="O72" s="86"/>
      <c r="P72" s="86"/>
      <c r="Q72" s="86"/>
      <c r="R72" s="86"/>
      <c r="S72" s="86"/>
      <c r="T72" s="86"/>
      <c r="U72" s="86"/>
      <c r="V72" s="86"/>
      <c r="W72" s="86"/>
      <c r="X72" s="87">
        <f>AVERAGE(X28:X66)</f>
        <v>2894.5135135135133</v>
      </c>
    </row>
    <row r="73" spans="1:24" x14ac:dyDescent="0.2">
      <c r="A73" s="89" t="s">
        <v>321</v>
      </c>
      <c r="B73" s="69"/>
      <c r="C73" s="69"/>
      <c r="D73" s="69"/>
      <c r="E73" s="69"/>
      <c r="F73" s="69"/>
      <c r="G73" s="69"/>
      <c r="H73" s="69"/>
      <c r="I73" s="69"/>
      <c r="J73" s="69"/>
      <c r="K73" s="69"/>
      <c r="L73" s="69"/>
      <c r="M73" s="69"/>
      <c r="N73" s="90">
        <f>AVERAGE(N38:N66)</f>
        <v>15435.724137931034</v>
      </c>
      <c r="O73" s="69"/>
      <c r="P73" s="69"/>
      <c r="Q73" s="69"/>
      <c r="R73" s="69"/>
      <c r="S73" s="69"/>
      <c r="T73" s="69"/>
      <c r="U73" s="69"/>
      <c r="V73" s="69"/>
      <c r="W73" s="69"/>
      <c r="X73" s="90">
        <f>AVERAGE(X38:X66)</f>
        <v>2252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56"/>
  <sheetViews>
    <sheetView workbookViewId="0">
      <pane ySplit="750" topLeftCell="A705" activePane="bottomLeft"/>
      <selection activeCell="E1" sqref="E1:E1048576"/>
      <selection pane="bottomLeft" activeCell="H710" sqref="H710"/>
    </sheetView>
  </sheetViews>
  <sheetFormatPr defaultRowHeight="12.75" x14ac:dyDescent="0.2"/>
  <sheetData>
    <row r="1" spans="1:6" x14ac:dyDescent="0.2">
      <c r="A1" s="61" t="s">
        <v>264</v>
      </c>
      <c r="B1" s="61" t="s">
        <v>453</v>
      </c>
      <c r="C1" s="61" t="s">
        <v>454</v>
      </c>
      <c r="D1" s="61" t="s">
        <v>461</v>
      </c>
      <c r="E1" s="61" t="s">
        <v>456</v>
      </c>
      <c r="F1" s="61" t="s">
        <v>455</v>
      </c>
    </row>
    <row r="2" spans="1:6" x14ac:dyDescent="0.2">
      <c r="A2" s="61" t="s">
        <v>457</v>
      </c>
      <c r="B2" s="61" t="s">
        <v>458</v>
      </c>
      <c r="C2" s="61" t="s">
        <v>459</v>
      </c>
      <c r="D2" s="61" t="s">
        <v>462</v>
      </c>
      <c r="E2" s="61" t="s">
        <v>460</v>
      </c>
    </row>
    <row r="3" spans="1:6" x14ac:dyDescent="0.2">
      <c r="A3" s="61" t="s">
        <v>452</v>
      </c>
      <c r="B3">
        <v>1953</v>
      </c>
      <c r="C3">
        <v>13054</v>
      </c>
      <c r="D3" s="61" t="s">
        <v>463</v>
      </c>
    </row>
    <row r="4" spans="1:6" x14ac:dyDescent="0.2">
      <c r="A4" s="61" t="s">
        <v>452</v>
      </c>
      <c r="B4">
        <v>1954</v>
      </c>
      <c r="C4">
        <v>14406</v>
      </c>
      <c r="D4" s="61" t="s">
        <v>463</v>
      </c>
    </row>
    <row r="5" spans="1:6" x14ac:dyDescent="0.2">
      <c r="A5" s="61" t="s">
        <v>452</v>
      </c>
      <c r="B5">
        <v>1955</v>
      </c>
      <c r="C5">
        <v>13432</v>
      </c>
      <c r="D5" s="61" t="s">
        <v>463</v>
      </c>
    </row>
    <row r="6" spans="1:6" x14ac:dyDescent="0.2">
      <c r="A6" s="61" t="s">
        <v>452</v>
      </c>
      <c r="B6">
        <v>1956</v>
      </c>
      <c r="C6">
        <v>14849</v>
      </c>
      <c r="D6" s="61" t="s">
        <v>463</v>
      </c>
    </row>
    <row r="7" spans="1:6" x14ac:dyDescent="0.2">
      <c r="A7" s="61" t="s">
        <v>452</v>
      </c>
      <c r="B7">
        <v>1957</v>
      </c>
      <c r="C7">
        <v>13619</v>
      </c>
      <c r="D7" s="61" t="s">
        <v>463</v>
      </c>
    </row>
    <row r="8" spans="1:6" x14ac:dyDescent="0.2">
      <c r="A8" s="61" t="s">
        <v>452</v>
      </c>
      <c r="B8">
        <v>1958</v>
      </c>
      <c r="C8">
        <v>11103</v>
      </c>
      <c r="D8" s="61" t="s">
        <v>463</v>
      </c>
    </row>
    <row r="9" spans="1:6" x14ac:dyDescent="0.2">
      <c r="A9" s="61" t="s">
        <v>452</v>
      </c>
      <c r="B9">
        <v>1959</v>
      </c>
      <c r="C9">
        <v>12866</v>
      </c>
      <c r="D9" s="61" t="s">
        <v>463</v>
      </c>
    </row>
    <row r="10" spans="1:6" x14ac:dyDescent="0.2">
      <c r="A10" s="61" t="s">
        <v>452</v>
      </c>
      <c r="B10">
        <v>1960</v>
      </c>
      <c r="C10">
        <v>12123</v>
      </c>
      <c r="D10" s="61" t="s">
        <v>463</v>
      </c>
    </row>
    <row r="11" spans="1:6" x14ac:dyDescent="0.2">
      <c r="A11" s="61" t="s">
        <v>452</v>
      </c>
      <c r="B11">
        <v>1961</v>
      </c>
      <c r="C11">
        <v>12423</v>
      </c>
      <c r="D11" s="61" t="s">
        <v>463</v>
      </c>
    </row>
    <row r="12" spans="1:6" x14ac:dyDescent="0.2">
      <c r="A12" s="61" t="s">
        <v>452</v>
      </c>
      <c r="B12">
        <v>1962</v>
      </c>
      <c r="C12">
        <v>14656</v>
      </c>
      <c r="D12" s="61" t="s">
        <v>463</v>
      </c>
    </row>
    <row r="13" spans="1:6" x14ac:dyDescent="0.2">
      <c r="A13" s="61" t="s">
        <v>452</v>
      </c>
      <c r="B13">
        <v>1963</v>
      </c>
      <c r="C13">
        <v>15791</v>
      </c>
      <c r="D13" s="61" t="s">
        <v>463</v>
      </c>
    </row>
    <row r="14" spans="1:6" x14ac:dyDescent="0.2">
      <c r="A14" s="61" t="s">
        <v>452</v>
      </c>
      <c r="B14">
        <v>1964</v>
      </c>
      <c r="C14">
        <v>20767</v>
      </c>
      <c r="D14" s="61" t="s">
        <v>463</v>
      </c>
    </row>
    <row r="15" spans="1:6" x14ac:dyDescent="0.2">
      <c r="A15" s="61" t="s">
        <v>452</v>
      </c>
      <c r="B15">
        <v>1965</v>
      </c>
      <c r="C15">
        <v>24221</v>
      </c>
      <c r="D15" s="61" t="s">
        <v>463</v>
      </c>
    </row>
    <row r="16" spans="1:6" x14ac:dyDescent="0.2">
      <c r="A16" s="61" t="s">
        <v>452</v>
      </c>
      <c r="B16">
        <v>1966</v>
      </c>
      <c r="C16">
        <v>24164</v>
      </c>
      <c r="D16" s="61" t="s">
        <v>463</v>
      </c>
    </row>
    <row r="17" spans="1:5" x14ac:dyDescent="0.2">
      <c r="A17" s="61" t="s">
        <v>452</v>
      </c>
      <c r="B17">
        <v>1967</v>
      </c>
      <c r="C17">
        <v>27813</v>
      </c>
      <c r="D17" s="61" t="s">
        <v>463</v>
      </c>
    </row>
    <row r="18" spans="1:5" x14ac:dyDescent="0.2">
      <c r="A18" s="61" t="s">
        <v>452</v>
      </c>
      <c r="B18">
        <v>1968</v>
      </c>
      <c r="C18">
        <v>30840</v>
      </c>
      <c r="D18" s="61" t="s">
        <v>463</v>
      </c>
    </row>
    <row r="19" spans="1:5" x14ac:dyDescent="0.2">
      <c r="A19" s="61" t="s">
        <v>452</v>
      </c>
      <c r="B19">
        <v>1969</v>
      </c>
      <c r="C19">
        <v>24112</v>
      </c>
      <c r="D19" s="61" t="s">
        <v>463</v>
      </c>
    </row>
    <row r="20" spans="1:5" x14ac:dyDescent="0.2">
      <c r="A20" s="61" t="s">
        <v>452</v>
      </c>
      <c r="B20" s="86">
        <v>1970</v>
      </c>
      <c r="C20">
        <v>18018</v>
      </c>
      <c r="D20" s="61" t="s">
        <v>463</v>
      </c>
      <c r="E20">
        <v>42994.682799999995</v>
      </c>
    </row>
    <row r="21" spans="1:5" x14ac:dyDescent="0.2">
      <c r="A21" s="61" t="s">
        <v>452</v>
      </c>
      <c r="B21">
        <v>1971</v>
      </c>
      <c r="C21">
        <v>20300</v>
      </c>
      <c r="D21" s="61" t="s">
        <v>463</v>
      </c>
      <c r="E21">
        <v>20183.6669</v>
      </c>
    </row>
    <row r="22" spans="1:5" x14ac:dyDescent="0.2">
      <c r="A22" s="61" t="s">
        <v>452</v>
      </c>
      <c r="B22">
        <v>1972</v>
      </c>
      <c r="C22">
        <v>20530</v>
      </c>
      <c r="D22" s="61" t="s">
        <v>463</v>
      </c>
      <c r="E22">
        <v>28324.509600000001</v>
      </c>
    </row>
    <row r="23" spans="1:5" x14ac:dyDescent="0.2">
      <c r="A23" s="61" t="s">
        <v>452</v>
      </c>
      <c r="B23">
        <v>1973</v>
      </c>
      <c r="C23">
        <v>19991</v>
      </c>
      <c r="D23" s="61" t="s">
        <v>463</v>
      </c>
      <c r="E23">
        <v>16786.399000000001</v>
      </c>
    </row>
    <row r="24" spans="1:5" x14ac:dyDescent="0.2">
      <c r="A24" s="61" t="s">
        <v>452</v>
      </c>
      <c r="B24">
        <v>1974</v>
      </c>
      <c r="C24">
        <v>18941</v>
      </c>
      <c r="D24" s="61" t="s">
        <v>463</v>
      </c>
      <c r="E24">
        <v>24858.783800000001</v>
      </c>
    </row>
    <row r="25" spans="1:5" x14ac:dyDescent="0.2">
      <c r="A25" s="61" t="s">
        <v>452</v>
      </c>
      <c r="B25">
        <v>1975</v>
      </c>
      <c r="C25">
        <v>19584</v>
      </c>
      <c r="D25" s="61" t="s">
        <v>463</v>
      </c>
      <c r="E25">
        <v>32891.246200000001</v>
      </c>
    </row>
    <row r="26" spans="1:5" x14ac:dyDescent="0.2">
      <c r="A26" s="61" t="s">
        <v>452</v>
      </c>
      <c r="B26">
        <v>1976</v>
      </c>
      <c r="C26">
        <v>16142</v>
      </c>
      <c r="D26" s="61" t="s">
        <v>463</v>
      </c>
      <c r="E26">
        <v>27531.320899999999</v>
      </c>
    </row>
    <row r="27" spans="1:5" x14ac:dyDescent="0.2">
      <c r="A27" s="61" t="s">
        <v>452</v>
      </c>
      <c r="B27">
        <v>1977</v>
      </c>
      <c r="C27">
        <v>21988</v>
      </c>
      <c r="D27" s="61" t="s">
        <v>463</v>
      </c>
      <c r="E27">
        <v>30313.6024</v>
      </c>
    </row>
    <row r="28" spans="1:5" x14ac:dyDescent="0.2">
      <c r="A28" s="61" t="s">
        <v>452</v>
      </c>
      <c r="B28">
        <v>1978</v>
      </c>
      <c r="C28">
        <v>23719</v>
      </c>
      <c r="D28" s="61" t="s">
        <v>463</v>
      </c>
      <c r="E28">
        <v>21655.885300000002</v>
      </c>
    </row>
    <row r="29" spans="1:5" x14ac:dyDescent="0.2">
      <c r="A29" s="61" t="s">
        <v>452</v>
      </c>
      <c r="B29">
        <v>1979</v>
      </c>
      <c r="C29">
        <v>28683</v>
      </c>
      <c r="D29" s="61" t="s">
        <v>463</v>
      </c>
      <c r="E29">
        <v>31937.78</v>
      </c>
    </row>
    <row r="30" spans="1:5" x14ac:dyDescent="0.2">
      <c r="A30" s="61" t="s">
        <v>452</v>
      </c>
      <c r="B30" s="69">
        <v>1980</v>
      </c>
      <c r="C30">
        <v>31277</v>
      </c>
      <c r="D30" s="61" t="s">
        <v>463</v>
      </c>
      <c r="E30">
        <v>25438.165100000002</v>
      </c>
    </row>
    <row r="31" spans="1:5" x14ac:dyDescent="0.2">
      <c r="A31" s="61" t="s">
        <v>452</v>
      </c>
      <c r="B31">
        <v>1981</v>
      </c>
      <c r="C31">
        <v>31521</v>
      </c>
      <c r="D31" s="61" t="s">
        <v>463</v>
      </c>
      <c r="E31">
        <v>28910.019199999999</v>
      </c>
    </row>
    <row r="32" spans="1:5" x14ac:dyDescent="0.2">
      <c r="A32" s="61" t="s">
        <v>452</v>
      </c>
      <c r="B32">
        <v>1982</v>
      </c>
      <c r="C32">
        <v>33134</v>
      </c>
      <c r="D32" s="61" t="s">
        <v>463</v>
      </c>
      <c r="E32">
        <v>27376.513200000001</v>
      </c>
    </row>
    <row r="33" spans="1:5" x14ac:dyDescent="0.2">
      <c r="A33" s="61" t="s">
        <v>452</v>
      </c>
      <c r="B33">
        <v>1983</v>
      </c>
      <c r="C33">
        <v>29471</v>
      </c>
      <c r="D33" s="61" t="s">
        <v>463</v>
      </c>
      <c r="E33">
        <v>22137.647699999998</v>
      </c>
    </row>
    <row r="34" spans="1:5" x14ac:dyDescent="0.2">
      <c r="A34" s="61" t="s">
        <v>452</v>
      </c>
      <c r="B34">
        <v>1984</v>
      </c>
      <c r="C34">
        <v>25528</v>
      </c>
      <c r="D34" s="61" t="s">
        <v>463</v>
      </c>
      <c r="E34">
        <v>25312.019</v>
      </c>
    </row>
    <row r="35" spans="1:5" x14ac:dyDescent="0.2">
      <c r="A35" s="61" t="s">
        <v>452</v>
      </c>
      <c r="B35">
        <v>1985</v>
      </c>
      <c r="C35">
        <v>21499</v>
      </c>
      <c r="D35" s="61" t="s">
        <v>463</v>
      </c>
      <c r="E35">
        <v>32040.361800000002</v>
      </c>
    </row>
    <row r="36" spans="1:5" x14ac:dyDescent="0.2">
      <c r="A36" s="61" t="s">
        <v>452</v>
      </c>
      <c r="B36">
        <v>1986</v>
      </c>
      <c r="C36">
        <v>20040</v>
      </c>
      <c r="D36" s="61" t="s">
        <v>463</v>
      </c>
      <c r="E36">
        <v>18011.272100000002</v>
      </c>
    </row>
    <row r="37" spans="1:5" x14ac:dyDescent="0.2">
      <c r="A37" s="61" t="s">
        <v>452</v>
      </c>
      <c r="B37">
        <v>1987</v>
      </c>
      <c r="C37">
        <v>19005</v>
      </c>
      <c r="D37" s="61" t="s">
        <v>463</v>
      </c>
      <c r="E37">
        <v>16061.035599999999</v>
      </c>
    </row>
    <row r="38" spans="1:5" x14ac:dyDescent="0.2">
      <c r="A38" s="61" t="s">
        <v>452</v>
      </c>
      <c r="B38">
        <v>1988</v>
      </c>
      <c r="C38">
        <v>20537</v>
      </c>
      <c r="D38" s="61" t="s">
        <v>463</v>
      </c>
      <c r="E38">
        <v>46406.405500000001</v>
      </c>
    </row>
    <row r="39" spans="1:5" x14ac:dyDescent="0.2">
      <c r="A39" s="61" t="s">
        <v>452</v>
      </c>
      <c r="B39">
        <v>1989</v>
      </c>
      <c r="C39">
        <v>19885</v>
      </c>
      <c r="D39" s="61" t="s">
        <v>463</v>
      </c>
      <c r="E39">
        <v>21406.245800000001</v>
      </c>
    </row>
    <row r="40" spans="1:5" x14ac:dyDescent="0.2">
      <c r="A40" s="61" t="s">
        <v>452</v>
      </c>
      <c r="B40">
        <v>1990</v>
      </c>
      <c r="C40">
        <v>23904</v>
      </c>
      <c r="D40" s="61" t="s">
        <v>463</v>
      </c>
      <c r="E40">
        <v>32765.877</v>
      </c>
    </row>
    <row r="41" spans="1:5" x14ac:dyDescent="0.2">
      <c r="A41" s="61" t="s">
        <v>452</v>
      </c>
      <c r="B41">
        <v>1991</v>
      </c>
      <c r="C41">
        <v>27749</v>
      </c>
      <c r="D41" s="61" t="s">
        <v>463</v>
      </c>
      <c r="E41">
        <v>21162.856299999999</v>
      </c>
    </row>
    <row r="42" spans="1:5" x14ac:dyDescent="0.2">
      <c r="A42" s="61" t="s">
        <v>452</v>
      </c>
      <c r="B42">
        <v>1992</v>
      </c>
      <c r="C42">
        <v>26080</v>
      </c>
      <c r="D42" s="61" t="s">
        <v>463</v>
      </c>
      <c r="E42">
        <v>18318.651699999999</v>
      </c>
    </row>
    <row r="43" spans="1:5" x14ac:dyDescent="0.2">
      <c r="A43" s="61" t="s">
        <v>452</v>
      </c>
      <c r="B43">
        <v>1993</v>
      </c>
      <c r="C43">
        <v>16026</v>
      </c>
      <c r="D43" s="61" t="s">
        <v>463</v>
      </c>
      <c r="E43">
        <v>10220.373599999999</v>
      </c>
    </row>
    <row r="44" spans="1:5" x14ac:dyDescent="0.2">
      <c r="A44" s="61" t="s">
        <v>452</v>
      </c>
      <c r="B44">
        <v>1994</v>
      </c>
      <c r="C44">
        <v>13045</v>
      </c>
      <c r="D44" s="61" t="s">
        <v>463</v>
      </c>
      <c r="E44">
        <v>18462.780600000002</v>
      </c>
    </row>
    <row r="45" spans="1:5" x14ac:dyDescent="0.2">
      <c r="A45" s="61" t="s">
        <v>452</v>
      </c>
      <c r="B45">
        <v>1995</v>
      </c>
      <c r="C45">
        <v>8767</v>
      </c>
      <c r="D45" s="61" t="s">
        <v>463</v>
      </c>
      <c r="E45">
        <v>17221.398000000001</v>
      </c>
    </row>
    <row r="46" spans="1:5" x14ac:dyDescent="0.2">
      <c r="A46" s="61" t="s">
        <v>452</v>
      </c>
      <c r="B46">
        <v>1996</v>
      </c>
      <c r="C46">
        <v>10572</v>
      </c>
      <c r="D46" s="61" t="s">
        <v>463</v>
      </c>
      <c r="E46">
        <v>53667.33</v>
      </c>
    </row>
    <row r="47" spans="1:5" x14ac:dyDescent="0.2">
      <c r="A47" s="61" t="s">
        <v>452</v>
      </c>
      <c r="B47">
        <v>1997</v>
      </c>
      <c r="C47">
        <v>11238</v>
      </c>
      <c r="D47" s="61" t="s">
        <v>463</v>
      </c>
      <c r="E47">
        <v>19872.769800000002</v>
      </c>
    </row>
    <row r="48" spans="1:5" x14ac:dyDescent="0.2">
      <c r="A48" s="61" t="s">
        <v>452</v>
      </c>
      <c r="B48">
        <v>1998</v>
      </c>
      <c r="C48">
        <v>8283</v>
      </c>
      <c r="D48" s="61" t="s">
        <v>463</v>
      </c>
      <c r="E48">
        <v>22319.247600000002</v>
      </c>
    </row>
    <row r="49" spans="1:5" x14ac:dyDescent="0.2">
      <c r="A49" s="61" t="s">
        <v>452</v>
      </c>
      <c r="B49">
        <v>1999</v>
      </c>
      <c r="C49">
        <v>6304</v>
      </c>
      <c r="D49" s="61" t="s">
        <v>463</v>
      </c>
      <c r="E49">
        <v>10490.374900000001</v>
      </c>
    </row>
    <row r="50" spans="1:5" x14ac:dyDescent="0.2">
      <c r="A50" s="61" t="s">
        <v>452</v>
      </c>
      <c r="B50">
        <v>2000</v>
      </c>
      <c r="C50">
        <v>5755</v>
      </c>
      <c r="D50" s="61" t="s">
        <v>463</v>
      </c>
      <c r="E50">
        <v>13198.239800000001</v>
      </c>
    </row>
    <row r="51" spans="1:5" x14ac:dyDescent="0.2">
      <c r="A51" s="61" t="s">
        <v>452</v>
      </c>
      <c r="B51">
        <v>2001</v>
      </c>
      <c r="C51">
        <v>5707</v>
      </c>
      <c r="D51" s="61" t="s">
        <v>463</v>
      </c>
      <c r="E51">
        <v>12980.1546</v>
      </c>
    </row>
    <row r="52" spans="1:5" x14ac:dyDescent="0.2">
      <c r="A52" s="61" t="s">
        <v>452</v>
      </c>
      <c r="B52">
        <v>2002</v>
      </c>
      <c r="C52">
        <v>5893</v>
      </c>
      <c r="D52" s="61" t="s">
        <v>463</v>
      </c>
      <c r="E52">
        <v>20913.435399999998</v>
      </c>
    </row>
    <row r="53" spans="1:5" x14ac:dyDescent="0.2">
      <c r="A53" s="61" t="s">
        <v>452</v>
      </c>
      <c r="B53">
        <v>2003</v>
      </c>
      <c r="C53">
        <v>5667</v>
      </c>
      <c r="D53" s="61" t="s">
        <v>463</v>
      </c>
      <c r="E53">
        <v>12088.6211</v>
      </c>
    </row>
    <row r="54" spans="1:5" x14ac:dyDescent="0.2">
      <c r="A54" s="61" t="s">
        <v>452</v>
      </c>
      <c r="B54">
        <v>2004</v>
      </c>
      <c r="C54">
        <v>5010</v>
      </c>
      <c r="D54" s="61" t="s">
        <v>463</v>
      </c>
      <c r="E54">
        <v>8395.7515899999999</v>
      </c>
    </row>
    <row r="55" spans="1:5" x14ac:dyDescent="0.2">
      <c r="A55" s="61" t="s">
        <v>452</v>
      </c>
      <c r="B55">
        <v>2005</v>
      </c>
      <c r="C55">
        <v>4117</v>
      </c>
      <c r="D55" s="61" t="s">
        <v>463</v>
      </c>
      <c r="E55">
        <v>9741.839539999999</v>
      </c>
    </row>
    <row r="56" spans="1:5" x14ac:dyDescent="0.2">
      <c r="A56" s="61" t="s">
        <v>452</v>
      </c>
      <c r="B56">
        <v>2006</v>
      </c>
      <c r="C56">
        <v>3700</v>
      </c>
      <c r="D56" s="61" t="s">
        <v>463</v>
      </c>
      <c r="E56">
        <v>5968.8460400000004</v>
      </c>
    </row>
    <row r="57" spans="1:5" x14ac:dyDescent="0.2">
      <c r="A57" s="61" t="s">
        <v>452</v>
      </c>
      <c r="B57">
        <v>2007</v>
      </c>
      <c r="C57">
        <v>3790</v>
      </c>
      <c r="D57" s="61" t="s">
        <v>463</v>
      </c>
      <c r="E57">
        <v>7002.9095700000007</v>
      </c>
    </row>
    <row r="58" spans="1:5" x14ac:dyDescent="0.2">
      <c r="A58" s="61" t="s">
        <v>452</v>
      </c>
      <c r="B58">
        <v>2008</v>
      </c>
      <c r="C58">
        <v>4132</v>
      </c>
      <c r="D58" s="61" t="s">
        <v>463</v>
      </c>
      <c r="E58">
        <v>3277.6390899999997</v>
      </c>
    </row>
    <row r="59" spans="1:5" x14ac:dyDescent="0.2">
      <c r="A59" s="61" t="s">
        <v>304</v>
      </c>
      <c r="B59">
        <v>1960</v>
      </c>
      <c r="C59">
        <v>957</v>
      </c>
      <c r="D59" s="61" t="s">
        <v>520</v>
      </c>
    </row>
    <row r="60" spans="1:5" x14ac:dyDescent="0.2">
      <c r="A60" s="61" t="s">
        <v>304</v>
      </c>
      <c r="B60">
        <v>1961</v>
      </c>
      <c r="C60">
        <v>617</v>
      </c>
      <c r="D60" s="61" t="s">
        <v>520</v>
      </c>
    </row>
    <row r="61" spans="1:5" x14ac:dyDescent="0.2">
      <c r="A61" s="61" t="s">
        <v>304</v>
      </c>
      <c r="B61">
        <v>1962</v>
      </c>
      <c r="C61">
        <v>785</v>
      </c>
      <c r="D61" s="61" t="s">
        <v>520</v>
      </c>
    </row>
    <row r="62" spans="1:5" x14ac:dyDescent="0.2">
      <c r="A62" s="61" t="s">
        <v>304</v>
      </c>
      <c r="B62">
        <v>1963</v>
      </c>
      <c r="C62">
        <v>840</v>
      </c>
      <c r="D62" s="61" t="s">
        <v>520</v>
      </c>
    </row>
    <row r="63" spans="1:5" x14ac:dyDescent="0.2">
      <c r="A63" s="61" t="s">
        <v>304</v>
      </c>
      <c r="B63">
        <v>1964</v>
      </c>
      <c r="C63">
        <v>862</v>
      </c>
      <c r="D63" s="61" t="s">
        <v>520</v>
      </c>
    </row>
    <row r="64" spans="1:5" x14ac:dyDescent="0.2">
      <c r="A64" s="61" t="s">
        <v>304</v>
      </c>
      <c r="B64">
        <v>1965</v>
      </c>
      <c r="C64">
        <v>665</v>
      </c>
      <c r="D64" s="61" t="s">
        <v>520</v>
      </c>
    </row>
    <row r="65" spans="1:4" x14ac:dyDescent="0.2">
      <c r="A65" s="61" t="s">
        <v>304</v>
      </c>
      <c r="B65">
        <v>1966</v>
      </c>
      <c r="C65">
        <v>331</v>
      </c>
      <c r="D65" s="61" t="s">
        <v>520</v>
      </c>
    </row>
    <row r="66" spans="1:4" x14ac:dyDescent="0.2">
      <c r="A66" s="61" t="s">
        <v>304</v>
      </c>
      <c r="B66">
        <v>1967</v>
      </c>
      <c r="C66">
        <v>546</v>
      </c>
      <c r="D66" s="61" t="s">
        <v>520</v>
      </c>
    </row>
    <row r="67" spans="1:4" x14ac:dyDescent="0.2">
      <c r="A67" s="61" t="s">
        <v>304</v>
      </c>
      <c r="B67">
        <v>1968</v>
      </c>
      <c r="C67">
        <v>604</v>
      </c>
      <c r="D67" s="61" t="s">
        <v>520</v>
      </c>
    </row>
    <row r="68" spans="1:4" x14ac:dyDescent="0.2">
      <c r="A68" s="61" t="s">
        <v>304</v>
      </c>
      <c r="B68">
        <v>1969</v>
      </c>
      <c r="C68">
        <v>459</v>
      </c>
      <c r="D68" s="61" t="s">
        <v>520</v>
      </c>
    </row>
    <row r="69" spans="1:4" x14ac:dyDescent="0.2">
      <c r="A69" s="61" t="s">
        <v>304</v>
      </c>
      <c r="B69">
        <v>1970</v>
      </c>
      <c r="C69">
        <v>369</v>
      </c>
      <c r="D69" s="61" t="s">
        <v>520</v>
      </c>
    </row>
    <row r="70" spans="1:4" x14ac:dyDescent="0.2">
      <c r="A70" s="61" t="s">
        <v>304</v>
      </c>
      <c r="B70">
        <v>1971</v>
      </c>
      <c r="C70">
        <v>417</v>
      </c>
      <c r="D70" s="61" t="s">
        <v>520</v>
      </c>
    </row>
    <row r="71" spans="1:4" x14ac:dyDescent="0.2">
      <c r="A71" s="61" t="s">
        <v>304</v>
      </c>
      <c r="B71">
        <v>1972</v>
      </c>
      <c r="C71">
        <v>463</v>
      </c>
      <c r="D71" s="61" t="s">
        <v>520</v>
      </c>
    </row>
    <row r="72" spans="1:4" x14ac:dyDescent="0.2">
      <c r="A72" s="61" t="s">
        <v>304</v>
      </c>
      <c r="B72">
        <v>1973</v>
      </c>
      <c r="C72">
        <v>402</v>
      </c>
      <c r="D72" s="61" t="s">
        <v>520</v>
      </c>
    </row>
    <row r="73" spans="1:4" x14ac:dyDescent="0.2">
      <c r="A73" s="61" t="s">
        <v>304</v>
      </c>
      <c r="B73">
        <v>1974</v>
      </c>
      <c r="C73">
        <v>404</v>
      </c>
      <c r="D73" s="61" t="s">
        <v>520</v>
      </c>
    </row>
    <row r="74" spans="1:4" x14ac:dyDescent="0.2">
      <c r="A74" s="61" t="s">
        <v>304</v>
      </c>
      <c r="B74">
        <v>1975</v>
      </c>
      <c r="C74">
        <v>376</v>
      </c>
      <c r="D74" s="61" t="s">
        <v>520</v>
      </c>
    </row>
    <row r="75" spans="1:4" x14ac:dyDescent="0.2">
      <c r="A75" s="61" t="s">
        <v>304</v>
      </c>
      <c r="B75">
        <v>1976</v>
      </c>
      <c r="C75">
        <v>428</v>
      </c>
      <c r="D75" s="61" t="s">
        <v>520</v>
      </c>
    </row>
    <row r="76" spans="1:4" x14ac:dyDescent="0.2">
      <c r="A76" s="61" t="s">
        <v>304</v>
      </c>
      <c r="B76">
        <v>1977</v>
      </c>
      <c r="C76">
        <v>457</v>
      </c>
      <c r="D76" s="61" t="s">
        <v>520</v>
      </c>
    </row>
    <row r="77" spans="1:4" x14ac:dyDescent="0.2">
      <c r="A77" s="61" t="s">
        <v>304</v>
      </c>
      <c r="B77">
        <v>1978</v>
      </c>
      <c r="C77">
        <v>580</v>
      </c>
      <c r="D77" s="61" t="s">
        <v>520</v>
      </c>
    </row>
    <row r="78" spans="1:4" x14ac:dyDescent="0.2">
      <c r="A78" s="61" t="s">
        <v>304</v>
      </c>
      <c r="B78">
        <v>1979</v>
      </c>
      <c r="C78">
        <v>639</v>
      </c>
      <c r="D78" s="61" t="s">
        <v>520</v>
      </c>
    </row>
    <row r="79" spans="1:4" x14ac:dyDescent="0.2">
      <c r="A79" s="61" t="s">
        <v>304</v>
      </c>
      <c r="B79">
        <v>1980</v>
      </c>
      <c r="C79">
        <v>749</v>
      </c>
      <c r="D79" s="61" t="s">
        <v>520</v>
      </c>
    </row>
    <row r="80" spans="1:4" x14ac:dyDescent="0.2">
      <c r="A80" s="61" t="s">
        <v>304</v>
      </c>
      <c r="B80">
        <v>1981</v>
      </c>
      <c r="C80">
        <v>783</v>
      </c>
      <c r="D80" s="61" t="s">
        <v>520</v>
      </c>
    </row>
    <row r="81" spans="1:4" x14ac:dyDescent="0.2">
      <c r="A81" s="61" t="s">
        <v>304</v>
      </c>
      <c r="B81">
        <v>1982</v>
      </c>
      <c r="C81">
        <v>911</v>
      </c>
      <c r="D81" s="61" t="s">
        <v>520</v>
      </c>
    </row>
    <row r="82" spans="1:4" x14ac:dyDescent="0.2">
      <c r="A82" s="61" t="s">
        <v>304</v>
      </c>
      <c r="B82">
        <v>1983</v>
      </c>
      <c r="C82">
        <v>870</v>
      </c>
      <c r="D82" s="61" t="s">
        <v>520</v>
      </c>
    </row>
    <row r="83" spans="1:4" x14ac:dyDescent="0.2">
      <c r="A83" s="61" t="s">
        <v>304</v>
      </c>
      <c r="B83">
        <v>1984</v>
      </c>
      <c r="C83">
        <v>927</v>
      </c>
      <c r="D83" s="61" t="s">
        <v>520</v>
      </c>
    </row>
    <row r="84" spans="1:4" x14ac:dyDescent="0.2">
      <c r="A84" s="61" t="s">
        <v>304</v>
      </c>
      <c r="B84">
        <v>1985</v>
      </c>
      <c r="C84">
        <v>745</v>
      </c>
      <c r="D84" s="61" t="s">
        <v>520</v>
      </c>
    </row>
    <row r="85" spans="1:4" x14ac:dyDescent="0.2">
      <c r="A85" s="61" t="s">
        <v>304</v>
      </c>
      <c r="B85">
        <v>1986</v>
      </c>
      <c r="C85">
        <v>501</v>
      </c>
      <c r="D85" s="61" t="s">
        <v>520</v>
      </c>
    </row>
    <row r="86" spans="1:4" x14ac:dyDescent="0.2">
      <c r="A86" s="61" t="s">
        <v>304</v>
      </c>
      <c r="B86">
        <v>1987</v>
      </c>
      <c r="C86">
        <v>484</v>
      </c>
      <c r="D86" s="61" t="s">
        <v>520</v>
      </c>
    </row>
    <row r="87" spans="1:4" x14ac:dyDescent="0.2">
      <c r="A87" s="61" t="s">
        <v>304</v>
      </c>
      <c r="B87">
        <v>1988</v>
      </c>
      <c r="C87">
        <v>609</v>
      </c>
      <c r="D87" s="61" t="s">
        <v>520</v>
      </c>
    </row>
    <row r="88" spans="1:4" x14ac:dyDescent="0.2">
      <c r="A88" s="61" t="s">
        <v>304</v>
      </c>
      <c r="B88">
        <v>1989</v>
      </c>
      <c r="C88">
        <v>444</v>
      </c>
      <c r="D88" s="61" t="s">
        <v>520</v>
      </c>
    </row>
    <row r="89" spans="1:4" x14ac:dyDescent="0.2">
      <c r="A89" s="61" t="s">
        <v>304</v>
      </c>
      <c r="B89">
        <v>1990</v>
      </c>
      <c r="C89">
        <v>455</v>
      </c>
      <c r="D89" s="61" t="s">
        <v>520</v>
      </c>
    </row>
    <row r="90" spans="1:4" x14ac:dyDescent="0.2">
      <c r="A90" s="61" t="s">
        <v>304</v>
      </c>
      <c r="B90">
        <v>1991</v>
      </c>
      <c r="C90">
        <v>371</v>
      </c>
      <c r="D90" s="61" t="s">
        <v>520</v>
      </c>
    </row>
    <row r="91" spans="1:4" x14ac:dyDescent="0.2">
      <c r="A91" s="61" t="s">
        <v>304</v>
      </c>
      <c r="B91">
        <v>1992</v>
      </c>
      <c r="C91">
        <v>367</v>
      </c>
      <c r="D91" s="61" t="s">
        <v>520</v>
      </c>
    </row>
    <row r="92" spans="1:4" x14ac:dyDescent="0.2">
      <c r="A92" s="61" t="s">
        <v>304</v>
      </c>
      <c r="B92">
        <v>1993</v>
      </c>
      <c r="C92">
        <v>421</v>
      </c>
      <c r="D92" s="61" t="s">
        <v>520</v>
      </c>
    </row>
    <row r="93" spans="1:4" x14ac:dyDescent="0.2">
      <c r="A93" s="61" t="s">
        <v>304</v>
      </c>
      <c r="B93">
        <v>1994</v>
      </c>
      <c r="C93">
        <v>391</v>
      </c>
      <c r="D93" s="61" t="s">
        <v>520</v>
      </c>
    </row>
    <row r="94" spans="1:4" x14ac:dyDescent="0.2">
      <c r="A94" s="61" t="s">
        <v>304</v>
      </c>
      <c r="B94">
        <v>1995</v>
      </c>
      <c r="C94">
        <v>250</v>
      </c>
      <c r="D94" s="61" t="s">
        <v>520</v>
      </c>
    </row>
    <row r="95" spans="1:4" x14ac:dyDescent="0.2">
      <c r="A95" s="61" t="s">
        <v>304</v>
      </c>
      <c r="B95">
        <v>1996</v>
      </c>
      <c r="C95">
        <v>297</v>
      </c>
      <c r="D95" s="61" t="s">
        <v>520</v>
      </c>
    </row>
    <row r="96" spans="1:4" x14ac:dyDescent="0.2">
      <c r="A96" s="61" t="s">
        <v>304</v>
      </c>
      <c r="B96">
        <v>1997</v>
      </c>
      <c r="C96">
        <v>339</v>
      </c>
      <c r="D96" s="61" t="s">
        <v>520</v>
      </c>
    </row>
    <row r="97" spans="1:4" x14ac:dyDescent="0.2">
      <c r="A97" s="61" t="s">
        <v>304</v>
      </c>
      <c r="B97">
        <v>1998</v>
      </c>
      <c r="C97">
        <v>222</v>
      </c>
      <c r="D97" s="61" t="s">
        <v>520</v>
      </c>
    </row>
    <row r="98" spans="1:4" x14ac:dyDescent="0.2">
      <c r="A98" s="61" t="s">
        <v>304</v>
      </c>
      <c r="B98">
        <v>1999</v>
      </c>
      <c r="C98">
        <v>237</v>
      </c>
      <c r="D98" s="61" t="s">
        <v>520</v>
      </c>
    </row>
    <row r="99" spans="1:4" x14ac:dyDescent="0.2">
      <c r="A99" s="61" t="s">
        <v>304</v>
      </c>
      <c r="B99">
        <v>2000</v>
      </c>
      <c r="C99">
        <v>222</v>
      </c>
      <c r="D99" s="61" t="s">
        <v>520</v>
      </c>
    </row>
    <row r="100" spans="1:4" x14ac:dyDescent="0.2">
      <c r="A100" s="61" t="s">
        <v>304</v>
      </c>
      <c r="B100">
        <v>2001</v>
      </c>
      <c r="C100">
        <v>266</v>
      </c>
      <c r="D100" s="61" t="s">
        <v>520</v>
      </c>
    </row>
    <row r="101" spans="1:4" x14ac:dyDescent="0.2">
      <c r="A101" s="61" t="s">
        <v>304</v>
      </c>
      <c r="B101">
        <v>2002</v>
      </c>
      <c r="C101">
        <v>317</v>
      </c>
      <c r="D101" s="61" t="s">
        <v>520</v>
      </c>
    </row>
    <row r="102" spans="1:4" x14ac:dyDescent="0.2">
      <c r="A102" s="61" t="s">
        <v>304</v>
      </c>
      <c r="B102">
        <v>2003</v>
      </c>
      <c r="C102">
        <v>325</v>
      </c>
      <c r="D102" s="61" t="s">
        <v>520</v>
      </c>
    </row>
    <row r="103" spans="1:4" x14ac:dyDescent="0.2">
      <c r="A103" s="61" t="s">
        <v>304</v>
      </c>
      <c r="B103">
        <v>2004</v>
      </c>
      <c r="C103">
        <v>361</v>
      </c>
      <c r="D103" s="61" t="s">
        <v>520</v>
      </c>
    </row>
    <row r="104" spans="1:4" x14ac:dyDescent="0.2">
      <c r="A104" s="61" t="s">
        <v>304</v>
      </c>
      <c r="B104">
        <v>2005</v>
      </c>
      <c r="C104">
        <v>384</v>
      </c>
      <c r="D104" s="61" t="s">
        <v>520</v>
      </c>
    </row>
    <row r="105" spans="1:4" x14ac:dyDescent="0.2">
      <c r="A105" s="61" t="s">
        <v>304</v>
      </c>
      <c r="B105">
        <v>2006</v>
      </c>
      <c r="C105">
        <v>491</v>
      </c>
      <c r="D105" s="61" t="s">
        <v>520</v>
      </c>
    </row>
    <row r="106" spans="1:4" x14ac:dyDescent="0.2">
      <c r="A106" s="61" t="s">
        <v>304</v>
      </c>
      <c r="B106">
        <v>2007</v>
      </c>
      <c r="C106">
        <v>465</v>
      </c>
      <c r="D106" s="61" t="s">
        <v>520</v>
      </c>
    </row>
    <row r="107" spans="1:4" x14ac:dyDescent="0.2">
      <c r="A107" s="61" t="s">
        <v>304</v>
      </c>
      <c r="B107">
        <v>2008</v>
      </c>
      <c r="C107">
        <v>474</v>
      </c>
      <c r="D107" s="61" t="s">
        <v>520</v>
      </c>
    </row>
    <row r="108" spans="1:4" x14ac:dyDescent="0.2">
      <c r="A108" s="61" t="s">
        <v>349</v>
      </c>
      <c r="B108" s="86">
        <v>1970</v>
      </c>
      <c r="C108" s="86">
        <v>3687</v>
      </c>
      <c r="D108" s="61" t="s">
        <v>522</v>
      </c>
    </row>
    <row r="109" spans="1:4" x14ac:dyDescent="0.2">
      <c r="A109" s="61" t="s">
        <v>349</v>
      </c>
      <c r="B109">
        <v>1971</v>
      </c>
      <c r="C109">
        <v>5457</v>
      </c>
      <c r="D109" s="61" t="s">
        <v>522</v>
      </c>
    </row>
    <row r="110" spans="1:4" x14ac:dyDescent="0.2">
      <c r="A110" s="61" t="s">
        <v>349</v>
      </c>
      <c r="B110">
        <v>1972</v>
      </c>
      <c r="C110">
        <v>6006</v>
      </c>
      <c r="D110" s="61" t="s">
        <v>522</v>
      </c>
    </row>
    <row r="111" spans="1:4" x14ac:dyDescent="0.2">
      <c r="A111" s="61" t="s">
        <v>349</v>
      </c>
      <c r="B111">
        <v>1973</v>
      </c>
      <c r="C111">
        <v>5831</v>
      </c>
      <c r="D111" s="61" t="s">
        <v>522</v>
      </c>
    </row>
    <row r="112" spans="1:4" x14ac:dyDescent="0.2">
      <c r="A112" s="61" t="s">
        <v>349</v>
      </c>
      <c r="B112">
        <v>1974</v>
      </c>
      <c r="C112">
        <v>5161</v>
      </c>
      <c r="D112" s="61" t="s">
        <v>522</v>
      </c>
    </row>
    <row r="113" spans="1:4" x14ac:dyDescent="0.2">
      <c r="A113" s="61" t="s">
        <v>349</v>
      </c>
      <c r="B113">
        <v>1975</v>
      </c>
      <c r="C113">
        <v>5022</v>
      </c>
      <c r="D113" s="61" t="s">
        <v>522</v>
      </c>
    </row>
    <row r="114" spans="1:4" x14ac:dyDescent="0.2">
      <c r="A114" s="61" t="s">
        <v>349</v>
      </c>
      <c r="B114">
        <v>1976</v>
      </c>
      <c r="C114">
        <v>2671</v>
      </c>
      <c r="D114" s="61" t="s">
        <v>522</v>
      </c>
    </row>
    <row r="115" spans="1:4" x14ac:dyDescent="0.2">
      <c r="A115" s="61" t="s">
        <v>349</v>
      </c>
      <c r="B115">
        <v>1977</v>
      </c>
      <c r="C115">
        <v>3051</v>
      </c>
      <c r="D115" s="61" t="s">
        <v>522</v>
      </c>
    </row>
    <row r="116" spans="1:4" x14ac:dyDescent="0.2">
      <c r="A116" s="61" t="s">
        <v>349</v>
      </c>
      <c r="B116">
        <v>1978</v>
      </c>
      <c r="C116">
        <v>4863</v>
      </c>
      <c r="D116" s="61" t="s">
        <v>522</v>
      </c>
    </row>
    <row r="117" spans="1:4" x14ac:dyDescent="0.2">
      <c r="A117" s="61" t="s">
        <v>349</v>
      </c>
      <c r="B117">
        <v>1979</v>
      </c>
      <c r="C117">
        <v>4544</v>
      </c>
      <c r="D117" s="61" t="s">
        <v>522</v>
      </c>
    </row>
    <row r="118" spans="1:4" x14ac:dyDescent="0.2">
      <c r="A118" s="61" t="s">
        <v>349</v>
      </c>
      <c r="B118" s="69">
        <v>1980</v>
      </c>
      <c r="C118" s="69">
        <v>4340</v>
      </c>
      <c r="D118" s="61" t="s">
        <v>522</v>
      </c>
    </row>
    <row r="119" spans="1:4" x14ac:dyDescent="0.2">
      <c r="A119" s="61" t="s">
        <v>349</v>
      </c>
      <c r="B119">
        <v>1981</v>
      </c>
      <c r="C119">
        <v>5485</v>
      </c>
      <c r="D119" s="61" t="s">
        <v>522</v>
      </c>
    </row>
    <row r="120" spans="1:4" x14ac:dyDescent="0.2">
      <c r="A120" s="61" t="s">
        <v>349</v>
      </c>
      <c r="B120">
        <v>1982</v>
      </c>
      <c r="C120">
        <v>5593</v>
      </c>
      <c r="D120" s="61" t="s">
        <v>522</v>
      </c>
    </row>
    <row r="121" spans="1:4" x14ac:dyDescent="0.2">
      <c r="A121" s="61" t="s">
        <v>349</v>
      </c>
      <c r="B121">
        <v>1983</v>
      </c>
      <c r="C121">
        <v>3785</v>
      </c>
      <c r="D121" s="61" t="s">
        <v>522</v>
      </c>
    </row>
    <row r="122" spans="1:4" x14ac:dyDescent="0.2">
      <c r="A122" s="61" t="s">
        <v>349</v>
      </c>
      <c r="B122">
        <v>1984</v>
      </c>
      <c r="C122">
        <v>2877</v>
      </c>
      <c r="D122" s="61" t="s">
        <v>522</v>
      </c>
    </row>
    <row r="123" spans="1:4" x14ac:dyDescent="0.2">
      <c r="A123" s="61" t="s">
        <v>349</v>
      </c>
      <c r="B123">
        <v>1985</v>
      </c>
      <c r="C123">
        <v>2131</v>
      </c>
      <c r="D123" s="61" t="s">
        <v>522</v>
      </c>
    </row>
    <row r="124" spans="1:4" x14ac:dyDescent="0.2">
      <c r="A124" s="61" t="s">
        <v>349</v>
      </c>
      <c r="B124">
        <v>1986</v>
      </c>
      <c r="C124">
        <v>1764</v>
      </c>
      <c r="D124" s="61" t="s">
        <v>522</v>
      </c>
    </row>
    <row r="125" spans="1:4" x14ac:dyDescent="0.2">
      <c r="A125" s="61" t="s">
        <v>349</v>
      </c>
      <c r="B125">
        <v>1987</v>
      </c>
      <c r="C125">
        <v>3414</v>
      </c>
      <c r="D125" s="61" t="s">
        <v>522</v>
      </c>
    </row>
    <row r="126" spans="1:4" x14ac:dyDescent="0.2">
      <c r="A126" s="61" t="s">
        <v>349</v>
      </c>
      <c r="B126">
        <v>1988</v>
      </c>
      <c r="C126">
        <v>2626</v>
      </c>
      <c r="D126" s="61" t="s">
        <v>522</v>
      </c>
    </row>
    <row r="127" spans="1:4" x14ac:dyDescent="0.2">
      <c r="A127" s="61" t="s">
        <v>349</v>
      </c>
      <c r="B127">
        <v>1989</v>
      </c>
      <c r="C127">
        <v>2955</v>
      </c>
      <c r="D127" s="61" t="s">
        <v>522</v>
      </c>
    </row>
    <row r="128" spans="1:4" x14ac:dyDescent="0.2">
      <c r="A128" s="61" t="s">
        <v>349</v>
      </c>
      <c r="B128">
        <v>1990</v>
      </c>
      <c r="C128">
        <v>2914</v>
      </c>
      <c r="D128" s="61" t="s">
        <v>522</v>
      </c>
    </row>
    <row r="129" spans="1:4" x14ac:dyDescent="0.2">
      <c r="A129" s="61" t="s">
        <v>349</v>
      </c>
      <c r="B129">
        <v>1991</v>
      </c>
      <c r="C129">
        <v>3739</v>
      </c>
      <c r="D129" s="61" t="s">
        <v>522</v>
      </c>
    </row>
    <row r="130" spans="1:4" x14ac:dyDescent="0.2">
      <c r="A130" s="61" t="s">
        <v>349</v>
      </c>
      <c r="B130">
        <v>1992</v>
      </c>
      <c r="C130">
        <v>4533</v>
      </c>
      <c r="D130" s="61" t="s">
        <v>522</v>
      </c>
    </row>
    <row r="131" spans="1:4" x14ac:dyDescent="0.2">
      <c r="A131" s="61" t="s">
        <v>349</v>
      </c>
      <c r="B131">
        <v>1993</v>
      </c>
      <c r="C131">
        <v>2616</v>
      </c>
      <c r="D131" s="61" t="s">
        <v>522</v>
      </c>
    </row>
    <row r="132" spans="1:4" x14ac:dyDescent="0.2">
      <c r="A132" s="61" t="s">
        <v>349</v>
      </c>
      <c r="B132">
        <v>1994</v>
      </c>
      <c r="C132">
        <v>1382</v>
      </c>
      <c r="D132" s="61" t="s">
        <v>522</v>
      </c>
    </row>
    <row r="133" spans="1:4" x14ac:dyDescent="0.2">
      <c r="A133" s="61" t="s">
        <v>349</v>
      </c>
      <c r="B133">
        <v>1995</v>
      </c>
      <c r="C133">
        <v>1710</v>
      </c>
      <c r="D133" s="61" t="s">
        <v>522</v>
      </c>
    </row>
    <row r="134" spans="1:4" x14ac:dyDescent="0.2">
      <c r="A134" s="61" t="s">
        <v>349</v>
      </c>
      <c r="B134">
        <v>1996</v>
      </c>
      <c r="C134">
        <v>1237</v>
      </c>
      <c r="D134" s="61" t="s">
        <v>522</v>
      </c>
    </row>
    <row r="135" spans="1:4" x14ac:dyDescent="0.2">
      <c r="A135" s="61" t="s">
        <v>349</v>
      </c>
      <c r="B135">
        <v>1997</v>
      </c>
      <c r="C135">
        <v>1625</v>
      </c>
      <c r="D135" s="61" t="s">
        <v>522</v>
      </c>
    </row>
    <row r="136" spans="1:4" x14ac:dyDescent="0.2">
      <c r="A136" s="61" t="s">
        <v>349</v>
      </c>
      <c r="B136">
        <v>1998</v>
      </c>
      <c r="C136">
        <v>1445</v>
      </c>
      <c r="D136" s="61" t="s">
        <v>522</v>
      </c>
    </row>
    <row r="137" spans="1:4" x14ac:dyDescent="0.2">
      <c r="A137" s="61" t="s">
        <v>349</v>
      </c>
      <c r="B137">
        <v>1999</v>
      </c>
      <c r="C137">
        <v>997</v>
      </c>
      <c r="D137" s="61" t="s">
        <v>522</v>
      </c>
    </row>
    <row r="138" spans="1:4" x14ac:dyDescent="0.2">
      <c r="A138" s="61" t="s">
        <v>349</v>
      </c>
      <c r="B138">
        <v>2000</v>
      </c>
      <c r="C138">
        <v>921</v>
      </c>
      <c r="D138" s="61" t="s">
        <v>522</v>
      </c>
    </row>
    <row r="139" spans="1:4" x14ac:dyDescent="0.2">
      <c r="A139" s="61" t="s">
        <v>349</v>
      </c>
      <c r="B139">
        <v>2001</v>
      </c>
      <c r="C139">
        <v>1386</v>
      </c>
      <c r="D139" s="61" t="s">
        <v>522</v>
      </c>
    </row>
    <row r="140" spans="1:4" x14ac:dyDescent="0.2">
      <c r="A140" s="61" t="s">
        <v>349</v>
      </c>
      <c r="B140">
        <v>2002</v>
      </c>
      <c r="C140">
        <v>361</v>
      </c>
      <c r="D140" s="61" t="s">
        <v>522</v>
      </c>
    </row>
    <row r="141" spans="1:4" x14ac:dyDescent="0.2">
      <c r="A141" s="61" t="s">
        <v>349</v>
      </c>
      <c r="B141">
        <v>2003</v>
      </c>
      <c r="C141">
        <v>346</v>
      </c>
      <c r="D141" s="61" t="s">
        <v>522</v>
      </c>
    </row>
    <row r="142" spans="1:4" x14ac:dyDescent="0.2">
      <c r="A142" s="61" t="s">
        <v>349</v>
      </c>
      <c r="B142">
        <v>2004</v>
      </c>
      <c r="C142">
        <v>293</v>
      </c>
      <c r="D142" s="61" t="s">
        <v>522</v>
      </c>
    </row>
    <row r="143" spans="1:4" x14ac:dyDescent="0.2">
      <c r="A143" s="61" t="s">
        <v>349</v>
      </c>
      <c r="B143">
        <v>2005</v>
      </c>
      <c r="C143">
        <v>148</v>
      </c>
      <c r="D143" s="61" t="s">
        <v>522</v>
      </c>
    </row>
    <row r="144" spans="1:4" x14ac:dyDescent="0.2">
      <c r="A144" s="61" t="s">
        <v>349</v>
      </c>
      <c r="B144">
        <v>2006</v>
      </c>
      <c r="C144">
        <v>181</v>
      </c>
      <c r="D144" s="61" t="s">
        <v>522</v>
      </c>
    </row>
    <row r="145" spans="1:5" x14ac:dyDescent="0.2">
      <c r="A145" s="61" t="s">
        <v>307</v>
      </c>
      <c r="B145">
        <v>1970</v>
      </c>
      <c r="C145">
        <v>16012</v>
      </c>
      <c r="D145" s="61" t="s">
        <v>463</v>
      </c>
      <c r="E145">
        <v>39082.214159999996</v>
      </c>
    </row>
    <row r="146" spans="1:5" x14ac:dyDescent="0.2">
      <c r="A146" s="61" t="s">
        <v>307</v>
      </c>
      <c r="B146">
        <v>1971</v>
      </c>
      <c r="C146">
        <v>16404</v>
      </c>
      <c r="D146" s="61" t="s">
        <v>463</v>
      </c>
      <c r="E146">
        <v>50923.624199999998</v>
      </c>
    </row>
    <row r="147" spans="1:5" x14ac:dyDescent="0.2">
      <c r="A147" s="61" t="s">
        <v>307</v>
      </c>
      <c r="B147">
        <v>1972</v>
      </c>
      <c r="C147">
        <v>12570</v>
      </c>
      <c r="D147" s="61" t="s">
        <v>463</v>
      </c>
      <c r="E147">
        <v>23952.014999999999</v>
      </c>
    </row>
    <row r="148" spans="1:5" x14ac:dyDescent="0.2">
      <c r="A148" s="61" t="s">
        <v>307</v>
      </c>
      <c r="B148">
        <v>1973</v>
      </c>
      <c r="C148">
        <v>12680</v>
      </c>
      <c r="D148" s="61" t="s">
        <v>463</v>
      </c>
      <c r="E148">
        <v>31317.535679999994</v>
      </c>
    </row>
    <row r="149" spans="1:5" x14ac:dyDescent="0.2">
      <c r="A149" s="61" t="s">
        <v>307</v>
      </c>
      <c r="B149">
        <v>1974</v>
      </c>
      <c r="C149">
        <v>12434</v>
      </c>
      <c r="D149" s="61" t="s">
        <v>463</v>
      </c>
      <c r="E149">
        <v>66630.21024</v>
      </c>
    </row>
    <row r="150" spans="1:5" x14ac:dyDescent="0.2">
      <c r="A150" s="61" t="s">
        <v>307</v>
      </c>
      <c r="B150">
        <v>1975</v>
      </c>
      <c r="C150">
        <v>16059</v>
      </c>
      <c r="D150" s="61" t="s">
        <v>463</v>
      </c>
      <c r="E150">
        <v>37756.498679999997</v>
      </c>
    </row>
    <row r="151" spans="1:5" x14ac:dyDescent="0.2">
      <c r="A151" s="61" t="s">
        <v>307</v>
      </c>
      <c r="B151">
        <v>1976</v>
      </c>
      <c r="C151">
        <v>16338</v>
      </c>
      <c r="D151" s="61" t="s">
        <v>463</v>
      </c>
      <c r="E151">
        <v>39803.067000000003</v>
      </c>
    </row>
    <row r="152" spans="1:5" x14ac:dyDescent="0.2">
      <c r="A152" s="61" t="s">
        <v>307</v>
      </c>
      <c r="B152">
        <v>1977</v>
      </c>
      <c r="C152">
        <v>19593</v>
      </c>
      <c r="D152" s="61" t="s">
        <v>463</v>
      </c>
      <c r="E152">
        <v>231917.54399999999</v>
      </c>
    </row>
    <row r="153" spans="1:5" x14ac:dyDescent="0.2">
      <c r="A153" s="61" t="s">
        <v>307</v>
      </c>
      <c r="B153">
        <v>1978</v>
      </c>
      <c r="C153">
        <v>25395</v>
      </c>
      <c r="D153" s="61" t="s">
        <v>463</v>
      </c>
      <c r="E153">
        <v>49108.742759999994</v>
      </c>
    </row>
    <row r="154" spans="1:5" x14ac:dyDescent="0.2">
      <c r="A154" s="61" t="s">
        <v>307</v>
      </c>
      <c r="B154">
        <v>1979</v>
      </c>
      <c r="C154">
        <v>24580</v>
      </c>
      <c r="D154" s="61" t="s">
        <v>463</v>
      </c>
      <c r="E154">
        <v>81807.709440000006</v>
      </c>
    </row>
    <row r="155" spans="1:5" x14ac:dyDescent="0.2">
      <c r="A155" s="61" t="s">
        <v>307</v>
      </c>
      <c r="B155">
        <v>1980</v>
      </c>
      <c r="C155">
        <v>28604</v>
      </c>
      <c r="D155" s="61" t="s">
        <v>463</v>
      </c>
      <c r="E155">
        <v>97094.283840000004</v>
      </c>
    </row>
    <row r="156" spans="1:5" x14ac:dyDescent="0.2">
      <c r="A156" s="61" t="s">
        <v>307</v>
      </c>
      <c r="B156">
        <v>1981</v>
      </c>
      <c r="C156">
        <v>30365</v>
      </c>
      <c r="D156" s="61" t="s">
        <v>463</v>
      </c>
      <c r="E156">
        <v>80319.689039999997</v>
      </c>
    </row>
    <row r="157" spans="1:5" x14ac:dyDescent="0.2">
      <c r="A157" s="61" t="s">
        <v>307</v>
      </c>
      <c r="B157">
        <v>1982</v>
      </c>
      <c r="C157">
        <v>23565</v>
      </c>
      <c r="D157" s="61" t="s">
        <v>463</v>
      </c>
      <c r="E157">
        <v>110088.94211999999</v>
      </c>
    </row>
    <row r="158" spans="1:5" x14ac:dyDescent="0.2">
      <c r="A158" s="61" t="s">
        <v>307</v>
      </c>
      <c r="B158">
        <v>1983</v>
      </c>
      <c r="C158">
        <v>24841</v>
      </c>
      <c r="D158" s="61" t="s">
        <v>463</v>
      </c>
      <c r="E158">
        <v>47014.806200000006</v>
      </c>
    </row>
    <row r="159" spans="1:5" x14ac:dyDescent="0.2">
      <c r="A159" s="61" t="s">
        <v>307</v>
      </c>
      <c r="B159">
        <v>1984</v>
      </c>
      <c r="C159">
        <v>19682</v>
      </c>
      <c r="D159" s="61" t="s">
        <v>463</v>
      </c>
      <c r="E159">
        <v>67244.046400000007</v>
      </c>
    </row>
    <row r="160" spans="1:5" x14ac:dyDescent="0.2">
      <c r="A160" s="61" t="s">
        <v>307</v>
      </c>
      <c r="B160">
        <v>1985</v>
      </c>
      <c r="C160">
        <v>15314</v>
      </c>
      <c r="D160" s="61" t="s">
        <v>463</v>
      </c>
      <c r="E160">
        <v>75236.566599999991</v>
      </c>
    </row>
    <row r="161" spans="1:5" x14ac:dyDescent="0.2">
      <c r="A161" s="61" t="s">
        <v>307</v>
      </c>
      <c r="B161">
        <v>1986</v>
      </c>
      <c r="C161">
        <v>15507</v>
      </c>
      <c r="D161" s="61" t="s">
        <v>463</v>
      </c>
      <c r="E161">
        <v>59406.644899999999</v>
      </c>
    </row>
    <row r="162" spans="1:5" x14ac:dyDescent="0.2">
      <c r="A162" s="61" t="s">
        <v>307</v>
      </c>
      <c r="B162">
        <v>1987</v>
      </c>
      <c r="C162">
        <v>13763</v>
      </c>
      <c r="D162" s="61" t="s">
        <v>463</v>
      </c>
      <c r="E162">
        <v>29695.497800000001</v>
      </c>
    </row>
    <row r="163" spans="1:5" x14ac:dyDescent="0.2">
      <c r="A163" s="61" t="s">
        <v>307</v>
      </c>
      <c r="B163">
        <v>1988</v>
      </c>
      <c r="C163">
        <v>11233</v>
      </c>
      <c r="D163" s="61" t="s">
        <v>463</v>
      </c>
      <c r="E163">
        <v>28265.370500000001</v>
      </c>
    </row>
    <row r="164" spans="1:5" x14ac:dyDescent="0.2">
      <c r="A164" s="61" t="s">
        <v>307</v>
      </c>
      <c r="B164">
        <v>1989</v>
      </c>
      <c r="C164">
        <v>6794</v>
      </c>
      <c r="D164" s="61" t="s">
        <v>463</v>
      </c>
      <c r="E164">
        <v>21539.804700000001</v>
      </c>
    </row>
    <row r="165" spans="1:5" x14ac:dyDescent="0.2">
      <c r="A165" s="61" t="s">
        <v>307</v>
      </c>
      <c r="B165">
        <v>1990</v>
      </c>
      <c r="C165">
        <v>7504</v>
      </c>
      <c r="D165" s="61" t="s">
        <v>463</v>
      </c>
      <c r="E165">
        <v>41291.729700000004</v>
      </c>
    </row>
    <row r="166" spans="1:5" x14ac:dyDescent="0.2">
      <c r="A166" s="61" t="s">
        <v>307</v>
      </c>
      <c r="B166">
        <v>1991</v>
      </c>
      <c r="C166">
        <v>9772</v>
      </c>
      <c r="D166" s="61" t="s">
        <v>463</v>
      </c>
      <c r="E166">
        <v>60978.574700000005</v>
      </c>
    </row>
    <row r="167" spans="1:5" x14ac:dyDescent="0.2">
      <c r="A167" s="61" t="s">
        <v>307</v>
      </c>
      <c r="B167">
        <v>1992</v>
      </c>
      <c r="C167">
        <v>10508</v>
      </c>
      <c r="D167" s="61" t="s">
        <v>463</v>
      </c>
      <c r="E167">
        <v>34636.540099999998</v>
      </c>
    </row>
    <row r="168" spans="1:5" x14ac:dyDescent="0.2">
      <c r="A168" s="61" t="s">
        <v>307</v>
      </c>
      <c r="B168">
        <v>1993</v>
      </c>
      <c r="C168">
        <v>6947</v>
      </c>
      <c r="D168" s="61" t="s">
        <v>463</v>
      </c>
      <c r="E168">
        <v>12799.6016</v>
      </c>
    </row>
    <row r="169" spans="1:5" x14ac:dyDescent="0.2">
      <c r="A169" s="61" t="s">
        <v>307</v>
      </c>
      <c r="B169">
        <v>1994</v>
      </c>
      <c r="C169">
        <v>4405</v>
      </c>
      <c r="D169" s="61" t="s">
        <v>463</v>
      </c>
      <c r="E169">
        <v>23851.9555</v>
      </c>
    </row>
    <row r="170" spans="1:5" x14ac:dyDescent="0.2">
      <c r="A170" s="61" t="s">
        <v>307</v>
      </c>
      <c r="B170">
        <v>1995</v>
      </c>
      <c r="C170">
        <v>5660</v>
      </c>
      <c r="D170" s="61" t="s">
        <v>463</v>
      </c>
      <c r="E170">
        <v>49340.070500000002</v>
      </c>
    </row>
    <row r="171" spans="1:5" x14ac:dyDescent="0.2">
      <c r="A171" s="61" t="s">
        <v>307</v>
      </c>
      <c r="B171">
        <v>1996</v>
      </c>
      <c r="C171">
        <v>6237</v>
      </c>
      <c r="D171" s="61" t="s">
        <v>463</v>
      </c>
      <c r="E171">
        <v>83065.099700000006</v>
      </c>
    </row>
    <row r="172" spans="1:5" x14ac:dyDescent="0.2">
      <c r="A172" s="61" t="s">
        <v>307</v>
      </c>
      <c r="B172">
        <v>1997</v>
      </c>
      <c r="C172">
        <v>6538</v>
      </c>
      <c r="D172" s="61" t="s">
        <v>463</v>
      </c>
      <c r="E172">
        <v>45208.969700000001</v>
      </c>
    </row>
    <row r="173" spans="1:5" x14ac:dyDescent="0.2">
      <c r="A173" s="61" t="s">
        <v>307</v>
      </c>
      <c r="B173">
        <v>1998</v>
      </c>
      <c r="C173">
        <v>7887</v>
      </c>
      <c r="D173" s="61" t="s">
        <v>463</v>
      </c>
      <c r="E173">
        <v>43523.927600000003</v>
      </c>
    </row>
    <row r="174" spans="1:5" x14ac:dyDescent="0.2">
      <c r="A174" s="61" t="s">
        <v>307</v>
      </c>
      <c r="B174">
        <v>1999</v>
      </c>
      <c r="C174">
        <v>6621</v>
      </c>
      <c r="D174" s="61" t="s">
        <v>463</v>
      </c>
      <c r="E174">
        <v>56431.113700000002</v>
      </c>
    </row>
    <row r="175" spans="1:5" x14ac:dyDescent="0.2">
      <c r="A175" s="61" t="s">
        <v>307</v>
      </c>
      <c r="B175">
        <v>2000</v>
      </c>
      <c r="C175">
        <v>6961</v>
      </c>
      <c r="D175" s="61" t="s">
        <v>463</v>
      </c>
      <c r="E175">
        <v>60228.847200000004</v>
      </c>
    </row>
    <row r="176" spans="1:5" x14ac:dyDescent="0.2">
      <c r="A176" s="61" t="s">
        <v>307</v>
      </c>
      <c r="B176">
        <v>2001</v>
      </c>
      <c r="C176">
        <v>8486</v>
      </c>
      <c r="D176" s="61" t="s">
        <v>463</v>
      </c>
      <c r="E176">
        <v>85396.140599999999</v>
      </c>
    </row>
    <row r="177" spans="1:5" x14ac:dyDescent="0.2">
      <c r="A177" s="61" t="s">
        <v>307</v>
      </c>
      <c r="B177">
        <v>2002</v>
      </c>
      <c r="C177">
        <v>7997</v>
      </c>
      <c r="D177" s="61" t="s">
        <v>463</v>
      </c>
      <c r="E177">
        <v>65790.558099999995</v>
      </c>
    </row>
    <row r="178" spans="1:5" x14ac:dyDescent="0.2">
      <c r="A178" s="61" t="s">
        <v>307</v>
      </c>
      <c r="B178">
        <v>2003</v>
      </c>
      <c r="C178">
        <v>8706</v>
      </c>
      <c r="D178" s="61" t="s">
        <v>463</v>
      </c>
      <c r="E178">
        <v>67927.119900000005</v>
      </c>
    </row>
    <row r="179" spans="1:5" x14ac:dyDescent="0.2">
      <c r="A179" s="61" t="s">
        <v>307</v>
      </c>
      <c r="B179">
        <v>2004</v>
      </c>
      <c r="C179">
        <v>6553</v>
      </c>
      <c r="D179" s="61" t="s">
        <v>463</v>
      </c>
      <c r="E179">
        <v>40273.874499999998</v>
      </c>
    </row>
    <row r="180" spans="1:5" x14ac:dyDescent="0.2">
      <c r="A180" s="61" t="s">
        <v>307</v>
      </c>
      <c r="B180">
        <v>2005</v>
      </c>
      <c r="C180">
        <v>5633</v>
      </c>
      <c r="D180" s="61" t="s">
        <v>463</v>
      </c>
      <c r="E180">
        <v>61159.799100000004</v>
      </c>
    </row>
    <row r="181" spans="1:5" x14ac:dyDescent="0.2">
      <c r="A181" s="61" t="s">
        <v>307</v>
      </c>
      <c r="B181">
        <v>2006</v>
      </c>
      <c r="C181">
        <v>4746</v>
      </c>
      <c r="D181" s="61" t="s">
        <v>463</v>
      </c>
      <c r="E181">
        <v>46692.839200000002</v>
      </c>
    </row>
    <row r="182" spans="1:5" x14ac:dyDescent="0.2">
      <c r="A182" s="61" t="s">
        <v>307</v>
      </c>
      <c r="B182">
        <v>2007</v>
      </c>
      <c r="C182">
        <v>6876</v>
      </c>
      <c r="D182" s="61" t="s">
        <v>463</v>
      </c>
      <c r="E182">
        <v>54824.990600000005</v>
      </c>
    </row>
    <row r="183" spans="1:5" x14ac:dyDescent="0.2">
      <c r="A183" s="61" t="s">
        <v>307</v>
      </c>
      <c r="B183">
        <v>2008</v>
      </c>
      <c r="C183">
        <v>5369</v>
      </c>
      <c r="D183" s="61" t="s">
        <v>463</v>
      </c>
      <c r="E183">
        <v>43291.941200000001</v>
      </c>
    </row>
    <row r="184" spans="1:5" x14ac:dyDescent="0.2">
      <c r="A184" s="61" t="s">
        <v>307</v>
      </c>
      <c r="B184">
        <v>2009</v>
      </c>
      <c r="C184">
        <v>5504</v>
      </c>
      <c r="D184" s="61" t="s">
        <v>463</v>
      </c>
      <c r="E184">
        <v>60824.990399999995</v>
      </c>
    </row>
    <row r="185" spans="1:5" x14ac:dyDescent="0.2">
      <c r="A185" s="61" t="s">
        <v>307</v>
      </c>
      <c r="B185">
        <v>2010</v>
      </c>
      <c r="C185">
        <v>5663</v>
      </c>
      <c r="D185" s="61" t="s">
        <v>463</v>
      </c>
      <c r="E185">
        <v>45535.470600000001</v>
      </c>
    </row>
    <row r="186" spans="1:5" x14ac:dyDescent="0.2">
      <c r="A186" s="61" t="s">
        <v>510</v>
      </c>
      <c r="B186">
        <v>1961</v>
      </c>
      <c r="C186">
        <v>212</v>
      </c>
      <c r="D186" s="61" t="s">
        <v>522</v>
      </c>
    </row>
    <row r="187" spans="1:5" x14ac:dyDescent="0.2">
      <c r="A187" s="61" t="s">
        <v>510</v>
      </c>
      <c r="B187">
        <v>1962</v>
      </c>
      <c r="C187">
        <v>307</v>
      </c>
      <c r="D187" s="61" t="s">
        <v>522</v>
      </c>
    </row>
    <row r="188" spans="1:5" x14ac:dyDescent="0.2">
      <c r="A188" s="61" t="s">
        <v>510</v>
      </c>
      <c r="B188">
        <v>1963</v>
      </c>
      <c r="C188">
        <v>250</v>
      </c>
      <c r="D188" s="61" t="s">
        <v>522</v>
      </c>
    </row>
    <row r="189" spans="1:5" x14ac:dyDescent="0.2">
      <c r="A189" s="61" t="s">
        <v>510</v>
      </c>
      <c r="B189">
        <v>1964</v>
      </c>
      <c r="C189">
        <v>512</v>
      </c>
      <c r="D189" s="61" t="s">
        <v>522</v>
      </c>
    </row>
    <row r="190" spans="1:5" x14ac:dyDescent="0.2">
      <c r="A190" s="61" t="s">
        <v>510</v>
      </c>
      <c r="B190">
        <v>1965</v>
      </c>
      <c r="C190">
        <v>694</v>
      </c>
      <c r="D190" s="61" t="s">
        <v>522</v>
      </c>
    </row>
    <row r="191" spans="1:5" x14ac:dyDescent="0.2">
      <c r="A191" s="61" t="s">
        <v>510</v>
      </c>
      <c r="B191">
        <v>1966</v>
      </c>
      <c r="C191">
        <v>726</v>
      </c>
      <c r="D191" s="61" t="s">
        <v>522</v>
      </c>
    </row>
    <row r="192" spans="1:5" x14ac:dyDescent="0.2">
      <c r="A192" s="61" t="s">
        <v>510</v>
      </c>
      <c r="B192">
        <v>1967</v>
      </c>
      <c r="C192">
        <v>1106</v>
      </c>
      <c r="D192" s="61" t="s">
        <v>522</v>
      </c>
    </row>
    <row r="193" spans="1:5" x14ac:dyDescent="0.2">
      <c r="A193" s="61" t="s">
        <v>510</v>
      </c>
      <c r="B193">
        <v>1968</v>
      </c>
      <c r="C193">
        <v>946</v>
      </c>
      <c r="D193" s="61" t="s">
        <v>522</v>
      </c>
    </row>
    <row r="194" spans="1:5" x14ac:dyDescent="0.2">
      <c r="A194" s="61" t="s">
        <v>510</v>
      </c>
      <c r="B194">
        <v>1969</v>
      </c>
      <c r="C194">
        <v>870</v>
      </c>
      <c r="D194" s="61" t="s">
        <v>522</v>
      </c>
    </row>
    <row r="195" spans="1:5" x14ac:dyDescent="0.2">
      <c r="A195" s="61" t="s">
        <v>510</v>
      </c>
      <c r="B195" s="86">
        <v>1970</v>
      </c>
      <c r="C195">
        <v>635</v>
      </c>
      <c r="D195" s="61" t="s">
        <v>522</v>
      </c>
      <c r="E195">
        <v>4710.9727999999996</v>
      </c>
    </row>
    <row r="196" spans="1:5" x14ac:dyDescent="0.2">
      <c r="A196" s="61" t="s">
        <v>510</v>
      </c>
      <c r="B196">
        <v>1971</v>
      </c>
      <c r="C196">
        <v>545</v>
      </c>
      <c r="D196" s="61" t="s">
        <v>522</v>
      </c>
      <c r="E196">
        <v>2333.1912000000002</v>
      </c>
    </row>
    <row r="197" spans="1:5" x14ac:dyDescent="0.2">
      <c r="A197" s="61" t="s">
        <v>510</v>
      </c>
      <c r="B197">
        <v>1972</v>
      </c>
      <c r="C197">
        <v>937</v>
      </c>
      <c r="D197" s="61" t="s">
        <v>522</v>
      </c>
      <c r="E197">
        <v>2092.2280000000001</v>
      </c>
    </row>
    <row r="198" spans="1:5" x14ac:dyDescent="0.2">
      <c r="A198" s="61" t="s">
        <v>510</v>
      </c>
      <c r="B198">
        <v>1973</v>
      </c>
      <c r="C198">
        <v>778</v>
      </c>
      <c r="D198" s="61" t="s">
        <v>522</v>
      </c>
      <c r="E198">
        <v>2739.6952000000001</v>
      </c>
    </row>
    <row r="199" spans="1:5" x14ac:dyDescent="0.2">
      <c r="A199" s="61" t="s">
        <v>510</v>
      </c>
      <c r="B199">
        <v>1974</v>
      </c>
      <c r="C199">
        <v>848</v>
      </c>
      <c r="D199" s="61" t="s">
        <v>522</v>
      </c>
      <c r="E199">
        <v>4732.9528</v>
      </c>
    </row>
    <row r="200" spans="1:5" x14ac:dyDescent="0.2">
      <c r="A200" s="61" t="s">
        <v>510</v>
      </c>
      <c r="B200">
        <v>1975</v>
      </c>
      <c r="C200">
        <v>751</v>
      </c>
      <c r="D200" s="61" t="s">
        <v>522</v>
      </c>
      <c r="E200">
        <v>1818.62</v>
      </c>
    </row>
    <row r="201" spans="1:5" x14ac:dyDescent="0.2">
      <c r="A201" s="61" t="s">
        <v>510</v>
      </c>
      <c r="B201">
        <v>1976</v>
      </c>
      <c r="C201">
        <v>579</v>
      </c>
      <c r="D201" s="61" t="s">
        <v>522</v>
      </c>
      <c r="E201">
        <v>685.49840000000006</v>
      </c>
    </row>
    <row r="202" spans="1:5" x14ac:dyDescent="0.2">
      <c r="A202" s="61" t="s">
        <v>510</v>
      </c>
      <c r="B202">
        <v>1977</v>
      </c>
      <c r="C202">
        <v>938</v>
      </c>
      <c r="D202" s="61" t="s">
        <v>522</v>
      </c>
      <c r="E202">
        <v>1063.1471999999999</v>
      </c>
    </row>
    <row r="203" spans="1:5" x14ac:dyDescent="0.2">
      <c r="A203" s="61" t="s">
        <v>510</v>
      </c>
      <c r="B203">
        <v>1978</v>
      </c>
      <c r="C203">
        <v>1072</v>
      </c>
      <c r="D203" s="61" t="s">
        <v>522</v>
      </c>
      <c r="E203">
        <v>1596.7432000000001</v>
      </c>
    </row>
    <row r="204" spans="1:5" x14ac:dyDescent="0.2">
      <c r="A204" s="61" t="s">
        <v>510</v>
      </c>
      <c r="B204">
        <v>1979</v>
      </c>
      <c r="C204">
        <v>1489</v>
      </c>
      <c r="D204" s="61" t="s">
        <v>522</v>
      </c>
      <c r="E204">
        <v>1718.7256</v>
      </c>
    </row>
    <row r="205" spans="1:5" x14ac:dyDescent="0.2">
      <c r="A205" s="61" t="s">
        <v>510</v>
      </c>
      <c r="B205" s="69">
        <v>1980</v>
      </c>
      <c r="C205">
        <v>1694</v>
      </c>
      <c r="D205" s="61" t="s">
        <v>522</v>
      </c>
      <c r="E205">
        <v>3514.9984000000004</v>
      </c>
    </row>
    <row r="206" spans="1:5" x14ac:dyDescent="0.2">
      <c r="A206" s="61" t="s">
        <v>510</v>
      </c>
      <c r="B206">
        <v>1981</v>
      </c>
      <c r="C206">
        <v>1362</v>
      </c>
      <c r="D206" s="61" t="s">
        <v>522</v>
      </c>
      <c r="E206">
        <v>1784.0728000000001</v>
      </c>
    </row>
    <row r="207" spans="1:5" x14ac:dyDescent="0.2">
      <c r="A207" s="61" t="s">
        <v>510</v>
      </c>
      <c r="B207">
        <v>1982</v>
      </c>
      <c r="C207">
        <v>1338</v>
      </c>
      <c r="D207" s="61" t="s">
        <v>522</v>
      </c>
      <c r="E207">
        <v>2987.5816</v>
      </c>
    </row>
    <row r="208" spans="1:5" x14ac:dyDescent="0.2">
      <c r="A208" s="61" t="s">
        <v>510</v>
      </c>
      <c r="B208">
        <v>1983</v>
      </c>
      <c r="C208">
        <v>1687</v>
      </c>
      <c r="D208" s="61" t="s">
        <v>522</v>
      </c>
      <c r="E208">
        <v>2935.2719999999999</v>
      </c>
    </row>
    <row r="209" spans="1:5" x14ac:dyDescent="0.2">
      <c r="A209" s="61" t="s">
        <v>510</v>
      </c>
      <c r="B209">
        <v>1984</v>
      </c>
      <c r="C209">
        <v>1422</v>
      </c>
      <c r="D209" s="61" t="s">
        <v>522</v>
      </c>
      <c r="E209">
        <v>4081.8339999999998</v>
      </c>
    </row>
    <row r="210" spans="1:5" x14ac:dyDescent="0.2">
      <c r="A210" s="61" t="s">
        <v>510</v>
      </c>
      <c r="B210">
        <v>1985</v>
      </c>
      <c r="C210">
        <v>1516</v>
      </c>
      <c r="D210" s="61" t="s">
        <v>522</v>
      </c>
      <c r="E210">
        <v>1694.6880000000001</v>
      </c>
    </row>
    <row r="211" spans="1:5" x14ac:dyDescent="0.2">
      <c r="A211" s="61" t="s">
        <v>510</v>
      </c>
      <c r="B211">
        <v>1986</v>
      </c>
      <c r="C211">
        <v>2355</v>
      </c>
      <c r="D211" s="61" t="s">
        <v>522</v>
      </c>
      <c r="E211">
        <v>2117.8809999999999</v>
      </c>
    </row>
    <row r="212" spans="1:5" x14ac:dyDescent="0.2">
      <c r="A212" s="61" t="s">
        <v>510</v>
      </c>
      <c r="B212">
        <v>1987</v>
      </c>
      <c r="C212">
        <v>1559</v>
      </c>
      <c r="D212" s="61" t="s">
        <v>522</v>
      </c>
      <c r="E212">
        <v>2659.4189999999999</v>
      </c>
    </row>
    <row r="213" spans="1:5" x14ac:dyDescent="0.2">
      <c r="A213" s="61" t="s">
        <v>510</v>
      </c>
      <c r="B213">
        <v>1988</v>
      </c>
      <c r="C213">
        <v>1568</v>
      </c>
      <c r="D213" s="61" t="s">
        <v>522</v>
      </c>
      <c r="E213">
        <v>2973.3389999999999</v>
      </c>
    </row>
    <row r="214" spans="1:5" x14ac:dyDescent="0.2">
      <c r="A214" s="61" t="s">
        <v>510</v>
      </c>
      <c r="B214">
        <v>1989</v>
      </c>
      <c r="C214">
        <v>1013</v>
      </c>
      <c r="D214" s="61" t="s">
        <v>522</v>
      </c>
      <c r="E214">
        <v>2186.4830000000002</v>
      </c>
    </row>
    <row r="215" spans="1:5" x14ac:dyDescent="0.2">
      <c r="A215" s="61" t="s">
        <v>510</v>
      </c>
      <c r="B215">
        <v>1990</v>
      </c>
      <c r="C215">
        <v>2112</v>
      </c>
      <c r="D215" s="61" t="s">
        <v>522</v>
      </c>
      <c r="E215">
        <v>1192.204</v>
      </c>
    </row>
    <row r="216" spans="1:5" x14ac:dyDescent="0.2">
      <c r="A216" s="61" t="s">
        <v>510</v>
      </c>
      <c r="B216">
        <v>1991</v>
      </c>
      <c r="C216">
        <v>2872</v>
      </c>
      <c r="D216" s="61" t="s">
        <v>522</v>
      </c>
      <c r="E216">
        <v>1971.1759999999999</v>
      </c>
    </row>
    <row r="217" spans="1:5" x14ac:dyDescent="0.2">
      <c r="A217" s="61" t="s">
        <v>510</v>
      </c>
      <c r="B217">
        <v>1992</v>
      </c>
      <c r="C217">
        <v>2682</v>
      </c>
      <c r="D217" s="61" t="s">
        <v>522</v>
      </c>
      <c r="E217">
        <v>3410.252</v>
      </c>
    </row>
    <row r="218" spans="1:5" x14ac:dyDescent="0.2">
      <c r="A218" s="61" t="s">
        <v>510</v>
      </c>
      <c r="B218">
        <v>1993</v>
      </c>
      <c r="C218">
        <v>2139</v>
      </c>
      <c r="D218" s="61" t="s">
        <v>522</v>
      </c>
      <c r="E218">
        <v>1358.8630000000001</v>
      </c>
    </row>
    <row r="219" spans="1:5" x14ac:dyDescent="0.2">
      <c r="A219" s="61" t="s">
        <v>510</v>
      </c>
      <c r="B219">
        <v>1994</v>
      </c>
      <c r="C219">
        <v>1779</v>
      </c>
      <c r="D219" s="61" t="s">
        <v>522</v>
      </c>
      <c r="E219">
        <v>3152.97</v>
      </c>
    </row>
    <row r="220" spans="1:5" x14ac:dyDescent="0.2">
      <c r="A220" s="61" t="s">
        <v>510</v>
      </c>
      <c r="B220">
        <v>1995</v>
      </c>
      <c r="C220">
        <v>728</v>
      </c>
      <c r="D220" s="61" t="s">
        <v>522</v>
      </c>
      <c r="E220">
        <v>2669.87</v>
      </c>
    </row>
    <row r="221" spans="1:5" x14ac:dyDescent="0.2">
      <c r="A221" s="61" t="s">
        <v>510</v>
      </c>
      <c r="B221">
        <v>1996</v>
      </c>
      <c r="C221">
        <v>598</v>
      </c>
      <c r="D221" s="61" t="s">
        <v>522</v>
      </c>
      <c r="E221">
        <v>2162.373</v>
      </c>
    </row>
    <row r="222" spans="1:5" x14ac:dyDescent="0.2">
      <c r="A222" s="61" t="s">
        <v>510</v>
      </c>
      <c r="B222">
        <v>1997</v>
      </c>
      <c r="C222">
        <v>543</v>
      </c>
      <c r="D222" s="61" t="s">
        <v>522</v>
      </c>
      <c r="E222">
        <v>2527.7139999999999</v>
      </c>
    </row>
    <row r="223" spans="1:5" x14ac:dyDescent="0.2">
      <c r="A223" s="61" t="s">
        <v>510</v>
      </c>
      <c r="B223">
        <v>1998</v>
      </c>
      <c r="C223">
        <v>484</v>
      </c>
      <c r="D223" s="61" t="s">
        <v>522</v>
      </c>
      <c r="E223">
        <v>2226.424</v>
      </c>
    </row>
    <row r="224" spans="1:5" x14ac:dyDescent="0.2">
      <c r="A224" s="61" t="s">
        <v>510</v>
      </c>
      <c r="B224">
        <v>1999</v>
      </c>
      <c r="C224">
        <v>509</v>
      </c>
      <c r="D224" s="61" t="s">
        <v>522</v>
      </c>
      <c r="E224">
        <v>1876.1590000000001</v>
      </c>
    </row>
    <row r="225" spans="1:5" x14ac:dyDescent="0.2">
      <c r="A225" s="61" t="s">
        <v>510</v>
      </c>
      <c r="B225">
        <v>2000</v>
      </c>
      <c r="C225">
        <v>577</v>
      </c>
      <c r="D225" s="61" t="s">
        <v>522</v>
      </c>
      <c r="E225">
        <v>1871.4839999999999</v>
      </c>
    </row>
    <row r="226" spans="1:5" x14ac:dyDescent="0.2">
      <c r="A226" s="61" t="s">
        <v>510</v>
      </c>
      <c r="B226">
        <v>2001</v>
      </c>
      <c r="C226">
        <v>340</v>
      </c>
      <c r="D226" s="61" t="s">
        <v>522</v>
      </c>
      <c r="E226">
        <v>1413.9939999999999</v>
      </c>
    </row>
    <row r="227" spans="1:5" x14ac:dyDescent="0.2">
      <c r="A227" s="61" t="s">
        <v>510</v>
      </c>
      <c r="B227">
        <v>2002</v>
      </c>
      <c r="C227">
        <v>251</v>
      </c>
      <c r="D227" s="61" t="s">
        <v>522</v>
      </c>
      <c r="E227">
        <v>1591.48</v>
      </c>
    </row>
    <row r="228" spans="1:5" x14ac:dyDescent="0.2">
      <c r="A228" s="61" t="s">
        <v>510</v>
      </c>
      <c r="B228">
        <v>2003</v>
      </c>
      <c r="C228">
        <v>231</v>
      </c>
      <c r="D228" s="61" t="s">
        <v>522</v>
      </c>
      <c r="E228">
        <v>988.28</v>
      </c>
    </row>
    <row r="229" spans="1:5" x14ac:dyDescent="0.2">
      <c r="A229" s="61" t="s">
        <v>510</v>
      </c>
      <c r="B229">
        <v>2004</v>
      </c>
      <c r="C229">
        <v>155</v>
      </c>
      <c r="D229" s="61" t="s">
        <v>522</v>
      </c>
      <c r="E229">
        <v>855.51599999999996</v>
      </c>
    </row>
    <row r="230" spans="1:5" x14ac:dyDescent="0.2">
      <c r="A230" s="61" t="s">
        <v>510</v>
      </c>
      <c r="B230">
        <v>2005</v>
      </c>
      <c r="C230">
        <v>143</v>
      </c>
      <c r="D230" s="61" t="s">
        <v>522</v>
      </c>
      <c r="E230">
        <v>1273.1880000000001</v>
      </c>
    </row>
    <row r="231" spans="1:5" x14ac:dyDescent="0.2">
      <c r="A231" s="61" t="s">
        <v>510</v>
      </c>
      <c r="B231">
        <v>2006</v>
      </c>
      <c r="C231">
        <v>162</v>
      </c>
      <c r="D231" s="61" t="s">
        <v>522</v>
      </c>
      <c r="E231">
        <v>551.63699999999994</v>
      </c>
    </row>
    <row r="232" spans="1:5" x14ac:dyDescent="0.2">
      <c r="A232" s="61" t="s">
        <v>510</v>
      </c>
      <c r="B232">
        <v>2007</v>
      </c>
      <c r="C232">
        <v>195</v>
      </c>
      <c r="D232" s="61" t="s">
        <v>522</v>
      </c>
      <c r="E232">
        <v>1442.297</v>
      </c>
    </row>
    <row r="233" spans="1:5" x14ac:dyDescent="0.2">
      <c r="A233" s="61" t="s">
        <v>510</v>
      </c>
      <c r="B233">
        <v>2008</v>
      </c>
      <c r="C233">
        <v>135</v>
      </c>
      <c r="D233" s="61" t="s">
        <v>522</v>
      </c>
      <c r="E233">
        <v>1580.4870000000001</v>
      </c>
    </row>
    <row r="234" spans="1:5" x14ac:dyDescent="0.2">
      <c r="A234" s="61" t="s">
        <v>510</v>
      </c>
      <c r="B234">
        <v>2009</v>
      </c>
      <c r="C234">
        <v>176</v>
      </c>
      <c r="D234" s="61" t="s">
        <v>522</v>
      </c>
      <c r="E234">
        <v>1167.568</v>
      </c>
    </row>
    <row r="235" spans="1:5" x14ac:dyDescent="0.2">
      <c r="A235" s="61" t="s">
        <v>510</v>
      </c>
      <c r="B235">
        <v>2010</v>
      </c>
      <c r="C235">
        <v>239</v>
      </c>
      <c r="D235" s="61" t="s">
        <v>522</v>
      </c>
      <c r="E235">
        <v>1019.525</v>
      </c>
    </row>
    <row r="236" spans="1:5" x14ac:dyDescent="0.2">
      <c r="A236" s="61" t="s">
        <v>511</v>
      </c>
      <c r="B236">
        <v>1982</v>
      </c>
      <c r="C236">
        <v>18347</v>
      </c>
      <c r="D236" s="61" t="s">
        <v>463</v>
      </c>
      <c r="E236">
        <v>29704.59454237717</v>
      </c>
    </row>
    <row r="237" spans="1:5" x14ac:dyDescent="0.2">
      <c r="A237" s="61" t="s">
        <v>511</v>
      </c>
      <c r="B237">
        <v>1983</v>
      </c>
      <c r="C237">
        <v>16448</v>
      </c>
      <c r="D237" s="61" t="s">
        <v>463</v>
      </c>
      <c r="E237">
        <v>7773.6049230861581</v>
      </c>
    </row>
    <row r="238" spans="1:5" x14ac:dyDescent="0.2">
      <c r="A238" s="61" t="s">
        <v>511</v>
      </c>
      <c r="B238">
        <v>1984</v>
      </c>
      <c r="C238">
        <v>15291</v>
      </c>
      <c r="D238" s="61" t="s">
        <v>463</v>
      </c>
      <c r="E238">
        <v>40285.039195747784</v>
      </c>
    </row>
    <row r="239" spans="1:5" x14ac:dyDescent="0.2">
      <c r="A239" s="61" t="s">
        <v>511</v>
      </c>
      <c r="B239">
        <v>1985</v>
      </c>
      <c r="C239">
        <v>19511</v>
      </c>
      <c r="D239" s="61" t="s">
        <v>463</v>
      </c>
      <c r="E239">
        <v>44866.412038452021</v>
      </c>
    </row>
    <row r="240" spans="1:5" x14ac:dyDescent="0.2">
      <c r="A240" s="61" t="s">
        <v>511</v>
      </c>
      <c r="B240">
        <v>1986</v>
      </c>
      <c r="C240">
        <v>17520</v>
      </c>
      <c r="D240" s="61" t="s">
        <v>463</v>
      </c>
      <c r="E240">
        <v>41853.390509394019</v>
      </c>
    </row>
    <row r="241" spans="1:5" x14ac:dyDescent="0.2">
      <c r="A241" s="61" t="s">
        <v>511</v>
      </c>
      <c r="B241">
        <v>1987</v>
      </c>
      <c r="C241">
        <v>16460</v>
      </c>
      <c r="D241" s="61" t="s">
        <v>463</v>
      </c>
      <c r="E241">
        <v>42623.245499895253</v>
      </c>
    </row>
    <row r="242" spans="1:5" x14ac:dyDescent="0.2">
      <c r="A242" s="61" t="s">
        <v>511</v>
      </c>
      <c r="B242">
        <v>1988</v>
      </c>
      <c r="C242">
        <v>17899</v>
      </c>
      <c r="D242" s="61" t="s">
        <v>463</v>
      </c>
      <c r="E242">
        <v>106446.27074411378</v>
      </c>
    </row>
    <row r="243" spans="1:5" x14ac:dyDescent="0.2">
      <c r="A243" s="61" t="s">
        <v>511</v>
      </c>
      <c r="B243">
        <v>1989</v>
      </c>
      <c r="C243">
        <v>13724</v>
      </c>
      <c r="D243" s="61" t="s">
        <v>463</v>
      </c>
      <c r="E243">
        <v>36252.455070509284</v>
      </c>
    </row>
    <row r="244" spans="1:5" x14ac:dyDescent="0.2">
      <c r="A244" s="61" t="s">
        <v>511</v>
      </c>
      <c r="B244">
        <v>1990</v>
      </c>
      <c r="C244">
        <v>15595</v>
      </c>
      <c r="D244" s="61" t="s">
        <v>463</v>
      </c>
      <c r="E244">
        <v>98589.655425226869</v>
      </c>
    </row>
    <row r="245" spans="1:5" x14ac:dyDescent="0.2">
      <c r="A245" s="61" t="s">
        <v>511</v>
      </c>
      <c r="B245">
        <v>1991</v>
      </c>
      <c r="C245">
        <v>18602</v>
      </c>
      <c r="D245" s="61" t="s">
        <v>463</v>
      </c>
      <c r="E245">
        <v>34856.395930082559</v>
      </c>
    </row>
    <row r="246" spans="1:5" x14ac:dyDescent="0.2">
      <c r="A246" s="61" t="s">
        <v>511</v>
      </c>
      <c r="B246">
        <v>1992</v>
      </c>
      <c r="C246">
        <v>16639</v>
      </c>
      <c r="D246" s="61" t="s">
        <v>463</v>
      </c>
      <c r="E246">
        <v>15852.532397045854</v>
      </c>
    </row>
    <row r="247" spans="1:5" x14ac:dyDescent="0.2">
      <c r="A247" s="61" t="s">
        <v>511</v>
      </c>
      <c r="B247">
        <v>1993</v>
      </c>
      <c r="C247">
        <v>14410</v>
      </c>
      <c r="D247" s="61" t="s">
        <v>463</v>
      </c>
      <c r="E247">
        <v>42488.867863421641</v>
      </c>
    </row>
    <row r="248" spans="1:5" x14ac:dyDescent="0.2">
      <c r="A248" s="61" t="s">
        <v>511</v>
      </c>
      <c r="B248">
        <v>1994</v>
      </c>
      <c r="C248">
        <v>10836</v>
      </c>
      <c r="D248" s="61" t="s">
        <v>463</v>
      </c>
      <c r="E248">
        <v>20819.973467027128</v>
      </c>
    </row>
    <row r="249" spans="1:5" x14ac:dyDescent="0.2">
      <c r="A249" s="61" t="s">
        <v>511</v>
      </c>
      <c r="B249">
        <v>1995</v>
      </c>
      <c r="C249">
        <v>7144</v>
      </c>
      <c r="D249" s="61" t="s">
        <v>463</v>
      </c>
      <c r="E249">
        <v>16409.122678932028</v>
      </c>
    </row>
    <row r="250" spans="1:5" x14ac:dyDescent="0.2">
      <c r="A250" s="61" t="s">
        <v>511</v>
      </c>
      <c r="B250">
        <v>1996</v>
      </c>
      <c r="C250">
        <v>6441</v>
      </c>
      <c r="D250" s="61" t="s">
        <v>463</v>
      </c>
      <c r="E250">
        <v>74361.527490531691</v>
      </c>
    </row>
    <row r="251" spans="1:5" x14ac:dyDescent="0.2">
      <c r="A251" s="61" t="s">
        <v>511</v>
      </c>
      <c r="B251">
        <v>1997</v>
      </c>
      <c r="C251">
        <v>9759</v>
      </c>
      <c r="D251" s="61" t="s">
        <v>463</v>
      </c>
      <c r="E251">
        <v>10107.983238723216</v>
      </c>
    </row>
    <row r="252" spans="1:5" x14ac:dyDescent="0.2">
      <c r="A252" s="61" t="s">
        <v>511</v>
      </c>
      <c r="B252">
        <v>1998</v>
      </c>
      <c r="C252">
        <v>10534</v>
      </c>
      <c r="D252" s="61" t="s">
        <v>463</v>
      </c>
      <c r="E252">
        <v>6973.2087742438971</v>
      </c>
    </row>
    <row r="253" spans="1:5" x14ac:dyDescent="0.2">
      <c r="A253" s="61" t="s">
        <v>511</v>
      </c>
      <c r="B253">
        <v>1999</v>
      </c>
      <c r="C253">
        <v>4760</v>
      </c>
      <c r="D253" s="61" t="s">
        <v>463</v>
      </c>
      <c r="E253">
        <v>6061.5211630571666</v>
      </c>
    </row>
    <row r="254" spans="1:5" x14ac:dyDescent="0.2">
      <c r="A254" s="61" t="s">
        <v>511</v>
      </c>
      <c r="B254">
        <v>2000</v>
      </c>
      <c r="C254">
        <v>4768</v>
      </c>
      <c r="D254" s="61" t="s">
        <v>463</v>
      </c>
      <c r="E254">
        <v>6618.4900508918008</v>
      </c>
    </row>
    <row r="255" spans="1:5" x14ac:dyDescent="0.2">
      <c r="A255" s="61" t="s">
        <v>511</v>
      </c>
      <c r="B255">
        <v>2001</v>
      </c>
      <c r="C255">
        <v>5400</v>
      </c>
      <c r="D255" s="61" t="s">
        <v>463</v>
      </c>
      <c r="E255">
        <v>16973.478161986575</v>
      </c>
    </row>
    <row r="256" spans="1:5" x14ac:dyDescent="0.2">
      <c r="A256" s="61" t="s">
        <v>511</v>
      </c>
      <c r="B256">
        <v>2002</v>
      </c>
      <c r="C256">
        <v>6485</v>
      </c>
      <c r="D256" s="61" t="s">
        <v>463</v>
      </c>
      <c r="E256">
        <v>7011.7131918259302</v>
      </c>
    </row>
    <row r="257" spans="1:5" x14ac:dyDescent="0.2">
      <c r="A257" s="61" t="s">
        <v>511</v>
      </c>
      <c r="B257">
        <v>2003</v>
      </c>
      <c r="C257">
        <v>7839</v>
      </c>
      <c r="D257" s="61" t="s">
        <v>463</v>
      </c>
      <c r="E257">
        <v>21009.443293887351</v>
      </c>
    </row>
    <row r="258" spans="1:5" x14ac:dyDescent="0.2">
      <c r="A258" s="61" t="s">
        <v>511</v>
      </c>
      <c r="B258">
        <v>2004</v>
      </c>
      <c r="C258">
        <v>8012</v>
      </c>
      <c r="D258" s="61" t="s">
        <v>463</v>
      </c>
      <c r="E258">
        <v>23861.814875196669</v>
      </c>
    </row>
    <row r="259" spans="1:5" x14ac:dyDescent="0.2">
      <c r="A259" s="61" t="s">
        <v>511</v>
      </c>
      <c r="B259">
        <v>2005</v>
      </c>
      <c r="C259">
        <v>6928</v>
      </c>
      <c r="D259" s="61" t="s">
        <v>463</v>
      </c>
      <c r="E259">
        <v>17333.78550020378</v>
      </c>
    </row>
    <row r="260" spans="1:5" x14ac:dyDescent="0.2">
      <c r="A260" s="61" t="s">
        <v>511</v>
      </c>
      <c r="B260">
        <v>2006</v>
      </c>
      <c r="C260">
        <v>3469</v>
      </c>
      <c r="D260" s="61" t="s">
        <v>463</v>
      </c>
      <c r="E260">
        <v>138404.18924246953</v>
      </c>
    </row>
    <row r="261" spans="1:5" x14ac:dyDescent="0.2">
      <c r="A261" s="61" t="s">
        <v>511</v>
      </c>
      <c r="B261">
        <v>2007</v>
      </c>
      <c r="C261">
        <v>4679</v>
      </c>
      <c r="D261" s="61" t="s">
        <v>463</v>
      </c>
      <c r="E261">
        <v>27333.73879391377</v>
      </c>
    </row>
    <row r="262" spans="1:5" x14ac:dyDescent="0.2">
      <c r="A262" s="61" t="s">
        <v>511</v>
      </c>
      <c r="B262">
        <v>2008</v>
      </c>
      <c r="C262">
        <v>4115</v>
      </c>
      <c r="D262" s="61" t="s">
        <v>463</v>
      </c>
      <c r="E262">
        <v>46251.551491250699</v>
      </c>
    </row>
    <row r="263" spans="1:5" x14ac:dyDescent="0.2">
      <c r="A263" s="61" t="s">
        <v>511</v>
      </c>
      <c r="B263">
        <v>2009</v>
      </c>
      <c r="C263">
        <v>3819</v>
      </c>
      <c r="D263" s="61" t="s">
        <v>463</v>
      </c>
      <c r="E263">
        <v>53804.846488572119</v>
      </c>
    </row>
    <row r="264" spans="1:5" x14ac:dyDescent="0.2">
      <c r="A264" s="61" t="s">
        <v>511</v>
      </c>
      <c r="B264">
        <v>2010</v>
      </c>
      <c r="C264">
        <v>3218</v>
      </c>
      <c r="D264" s="61" t="s">
        <v>463</v>
      </c>
      <c r="E264">
        <v>6160.7596947409802</v>
      </c>
    </row>
    <row r="265" spans="1:5" x14ac:dyDescent="0.2">
      <c r="A265" s="61" t="s">
        <v>512</v>
      </c>
      <c r="B265">
        <v>1963</v>
      </c>
      <c r="C265">
        <v>2928</v>
      </c>
      <c r="D265" s="61" t="s">
        <v>522</v>
      </c>
    </row>
    <row r="266" spans="1:5" x14ac:dyDescent="0.2">
      <c r="A266" s="61" t="s">
        <v>512</v>
      </c>
      <c r="B266">
        <v>1964</v>
      </c>
      <c r="C266">
        <v>4938</v>
      </c>
      <c r="D266" s="61" t="s">
        <v>522</v>
      </c>
    </row>
    <row r="267" spans="1:5" x14ac:dyDescent="0.2">
      <c r="A267" s="61" t="s">
        <v>512</v>
      </c>
      <c r="B267">
        <v>1965</v>
      </c>
      <c r="C267">
        <v>2120</v>
      </c>
      <c r="D267" s="61" t="s">
        <v>522</v>
      </c>
    </row>
    <row r="268" spans="1:5" x14ac:dyDescent="0.2">
      <c r="A268" s="61" t="s">
        <v>512</v>
      </c>
      <c r="B268">
        <v>1966</v>
      </c>
      <c r="C268">
        <v>830</v>
      </c>
      <c r="D268" s="61" t="s">
        <v>522</v>
      </c>
    </row>
    <row r="269" spans="1:5" x14ac:dyDescent="0.2">
      <c r="A269" s="61" t="s">
        <v>512</v>
      </c>
      <c r="B269">
        <v>1967</v>
      </c>
      <c r="C269">
        <v>820</v>
      </c>
      <c r="D269" s="61" t="s">
        <v>522</v>
      </c>
    </row>
    <row r="270" spans="1:5" x14ac:dyDescent="0.2">
      <c r="A270" s="61" t="s">
        <v>512</v>
      </c>
      <c r="B270">
        <v>1968</v>
      </c>
      <c r="C270">
        <v>1317</v>
      </c>
      <c r="D270" s="61" t="s">
        <v>522</v>
      </c>
    </row>
    <row r="271" spans="1:5" x14ac:dyDescent="0.2">
      <c r="A271" s="61" t="s">
        <v>512</v>
      </c>
      <c r="B271">
        <v>1969</v>
      </c>
      <c r="C271">
        <v>3031</v>
      </c>
      <c r="D271" s="61" t="s">
        <v>522</v>
      </c>
    </row>
    <row r="272" spans="1:5" x14ac:dyDescent="0.2">
      <c r="A272" s="61" t="s">
        <v>512</v>
      </c>
      <c r="B272" s="86">
        <v>1970</v>
      </c>
      <c r="C272">
        <v>3961</v>
      </c>
      <c r="D272" s="61" t="s">
        <v>522</v>
      </c>
      <c r="E272">
        <v>45398.376899999996</v>
      </c>
    </row>
    <row r="273" spans="1:5" x14ac:dyDescent="0.2">
      <c r="A273" s="61" t="s">
        <v>512</v>
      </c>
      <c r="B273">
        <v>1971</v>
      </c>
      <c r="C273">
        <v>5656</v>
      </c>
      <c r="D273" s="61" t="s">
        <v>522</v>
      </c>
      <c r="E273">
        <v>6338.3317699999998</v>
      </c>
    </row>
    <row r="274" spans="1:5" x14ac:dyDescent="0.2">
      <c r="A274" s="61" t="s">
        <v>512</v>
      </c>
      <c r="B274">
        <v>1972</v>
      </c>
      <c r="C274">
        <v>7130</v>
      </c>
      <c r="D274" s="61" t="s">
        <v>522</v>
      </c>
      <c r="E274">
        <v>10582.765100000001</v>
      </c>
    </row>
    <row r="275" spans="1:5" x14ac:dyDescent="0.2">
      <c r="A275" s="61" t="s">
        <v>512</v>
      </c>
      <c r="B275">
        <v>1973</v>
      </c>
      <c r="C275">
        <v>6900</v>
      </c>
      <c r="D275" s="61" t="s">
        <v>522</v>
      </c>
      <c r="E275">
        <v>25732.3963</v>
      </c>
    </row>
    <row r="276" spans="1:5" x14ac:dyDescent="0.2">
      <c r="A276" s="61" t="s">
        <v>512</v>
      </c>
      <c r="B276">
        <v>1974</v>
      </c>
      <c r="C276">
        <v>7853</v>
      </c>
      <c r="D276" s="61" t="s">
        <v>522</v>
      </c>
      <c r="E276">
        <v>12834.253500000001</v>
      </c>
    </row>
    <row r="277" spans="1:5" x14ac:dyDescent="0.2">
      <c r="A277" s="61" t="s">
        <v>512</v>
      </c>
      <c r="B277">
        <v>1975</v>
      </c>
      <c r="C277">
        <v>5729</v>
      </c>
      <c r="D277" s="61" t="s">
        <v>522</v>
      </c>
      <c r="E277">
        <v>34863.893899999995</v>
      </c>
    </row>
    <row r="278" spans="1:5" x14ac:dyDescent="0.2">
      <c r="A278" s="61" t="s">
        <v>512</v>
      </c>
      <c r="B278">
        <v>1976</v>
      </c>
      <c r="C278">
        <v>5453</v>
      </c>
      <c r="D278" s="61" t="s">
        <v>522</v>
      </c>
      <c r="E278">
        <v>11413.402</v>
      </c>
    </row>
    <row r="279" spans="1:5" x14ac:dyDescent="0.2">
      <c r="A279" s="61" t="s">
        <v>512</v>
      </c>
      <c r="B279">
        <v>1977</v>
      </c>
      <c r="C279">
        <v>6085</v>
      </c>
      <c r="D279" s="61" t="s">
        <v>522</v>
      </c>
      <c r="E279">
        <v>16528.1983</v>
      </c>
    </row>
    <row r="280" spans="1:5" x14ac:dyDescent="0.2">
      <c r="A280" s="61" t="s">
        <v>512</v>
      </c>
      <c r="B280">
        <v>1978</v>
      </c>
      <c r="C280">
        <v>6362</v>
      </c>
      <c r="D280" s="61" t="s">
        <v>522</v>
      </c>
      <c r="E280">
        <v>17031.2598</v>
      </c>
    </row>
    <row r="281" spans="1:5" x14ac:dyDescent="0.2">
      <c r="A281" s="61" t="s">
        <v>512</v>
      </c>
      <c r="B281">
        <v>1979</v>
      </c>
      <c r="C281">
        <v>5441</v>
      </c>
      <c r="D281" s="61" t="s">
        <v>522</v>
      </c>
      <c r="E281">
        <v>11919.9274</v>
      </c>
    </row>
    <row r="282" spans="1:5" x14ac:dyDescent="0.2">
      <c r="A282" s="61" t="s">
        <v>512</v>
      </c>
      <c r="B282" s="69">
        <v>1980</v>
      </c>
      <c r="C282">
        <v>6484.8371999999999</v>
      </c>
      <c r="D282" s="61" t="s">
        <v>522</v>
      </c>
      <c r="E282">
        <v>8337.5824900000007</v>
      </c>
    </row>
    <row r="283" spans="1:5" x14ac:dyDescent="0.2">
      <c r="A283" s="61" t="s">
        <v>512</v>
      </c>
      <c r="B283">
        <v>1981</v>
      </c>
      <c r="C283">
        <v>8509.3066999999992</v>
      </c>
      <c r="D283" s="61" t="s">
        <v>522</v>
      </c>
      <c r="E283">
        <v>14513.2261</v>
      </c>
    </row>
    <row r="284" spans="1:5" x14ac:dyDescent="0.2">
      <c r="A284" s="61" t="s">
        <v>512</v>
      </c>
      <c r="B284">
        <v>1982</v>
      </c>
      <c r="C284">
        <v>10291.163</v>
      </c>
      <c r="D284" s="61" t="s">
        <v>522</v>
      </c>
      <c r="E284">
        <v>14635.7389</v>
      </c>
    </row>
    <row r="285" spans="1:5" x14ac:dyDescent="0.2">
      <c r="A285" s="61" t="s">
        <v>512</v>
      </c>
      <c r="B285">
        <v>1983</v>
      </c>
      <c r="C285">
        <v>9541.6654999999992</v>
      </c>
      <c r="D285" s="61" t="s">
        <v>522</v>
      </c>
      <c r="E285">
        <v>51105.500799999994</v>
      </c>
    </row>
    <row r="286" spans="1:5" x14ac:dyDescent="0.2">
      <c r="A286" s="61" t="s">
        <v>512</v>
      </c>
      <c r="B286">
        <v>1984</v>
      </c>
      <c r="C286">
        <v>10867.9</v>
      </c>
      <c r="D286" s="61" t="s">
        <v>522</v>
      </c>
      <c r="E286">
        <v>24824.932499999999</v>
      </c>
    </row>
    <row r="287" spans="1:5" x14ac:dyDescent="0.2">
      <c r="A287" s="61" t="s">
        <v>512</v>
      </c>
      <c r="B287">
        <v>1985</v>
      </c>
      <c r="C287">
        <v>10384.438</v>
      </c>
      <c r="D287" s="61" t="s">
        <v>522</v>
      </c>
      <c r="E287">
        <v>22165.7857</v>
      </c>
    </row>
    <row r="288" spans="1:5" x14ac:dyDescent="0.2">
      <c r="A288" s="61" t="s">
        <v>512</v>
      </c>
      <c r="B288">
        <v>1986</v>
      </c>
      <c r="C288">
        <v>9765.0789999999997</v>
      </c>
      <c r="D288" s="61" t="s">
        <v>522</v>
      </c>
      <c r="E288">
        <v>36498.489799999996</v>
      </c>
    </row>
    <row r="289" spans="1:5" x14ac:dyDescent="0.2">
      <c r="A289" s="61" t="s">
        <v>512</v>
      </c>
      <c r="B289">
        <v>1987</v>
      </c>
      <c r="C289">
        <v>10071.98</v>
      </c>
      <c r="D289" s="61" t="s">
        <v>522</v>
      </c>
      <c r="E289">
        <v>29845.884999999998</v>
      </c>
    </row>
    <row r="290" spans="1:5" x14ac:dyDescent="0.2">
      <c r="A290" s="61" t="s">
        <v>512</v>
      </c>
      <c r="B290">
        <v>1988</v>
      </c>
      <c r="C290">
        <v>8334.7479999999996</v>
      </c>
      <c r="D290" s="61" t="s">
        <v>522</v>
      </c>
      <c r="E290">
        <v>18886.4467</v>
      </c>
    </row>
    <row r="291" spans="1:5" x14ac:dyDescent="0.2">
      <c r="A291" s="61" t="s">
        <v>512</v>
      </c>
      <c r="B291">
        <v>1989</v>
      </c>
      <c r="C291">
        <v>7948.2730000000001</v>
      </c>
      <c r="D291" s="61" t="s">
        <v>522</v>
      </c>
      <c r="E291">
        <v>16482.747900000002</v>
      </c>
    </row>
    <row r="292" spans="1:5" x14ac:dyDescent="0.2">
      <c r="A292" s="61" t="s">
        <v>512</v>
      </c>
      <c r="B292">
        <v>1990</v>
      </c>
      <c r="C292">
        <v>8199.3599999999988</v>
      </c>
      <c r="D292" s="61" t="s">
        <v>522</v>
      </c>
      <c r="E292">
        <v>30470.536499999998</v>
      </c>
    </row>
    <row r="293" spans="1:5" x14ac:dyDescent="0.2">
      <c r="A293" s="61" t="s">
        <v>512</v>
      </c>
      <c r="B293">
        <v>1991</v>
      </c>
      <c r="C293">
        <v>7875.482</v>
      </c>
      <c r="D293" s="61" t="s">
        <v>522</v>
      </c>
      <c r="E293">
        <v>34472.143299999996</v>
      </c>
    </row>
    <row r="294" spans="1:5" x14ac:dyDescent="0.2">
      <c r="A294" s="61" t="s">
        <v>512</v>
      </c>
      <c r="B294">
        <v>1992</v>
      </c>
      <c r="C294">
        <v>10919.18</v>
      </c>
      <c r="D294" s="61" t="s">
        <v>522</v>
      </c>
      <c r="E294">
        <v>43864.2235</v>
      </c>
    </row>
    <row r="295" spans="1:5" x14ac:dyDescent="0.2">
      <c r="A295" s="61" t="s">
        <v>512</v>
      </c>
      <c r="B295">
        <v>1993</v>
      </c>
      <c r="C295">
        <v>9757.7469999999994</v>
      </c>
      <c r="D295" s="61" t="s">
        <v>522</v>
      </c>
      <c r="E295">
        <v>16160.2117</v>
      </c>
    </row>
    <row r="296" spans="1:5" x14ac:dyDescent="0.2">
      <c r="A296" s="61" t="s">
        <v>512</v>
      </c>
      <c r="B296">
        <v>1994</v>
      </c>
      <c r="C296">
        <v>4189.4650000000001</v>
      </c>
      <c r="D296" s="61" t="s">
        <v>522</v>
      </c>
      <c r="E296">
        <v>10860.2649</v>
      </c>
    </row>
    <row r="297" spans="1:5" x14ac:dyDescent="0.2">
      <c r="A297" s="61" t="s">
        <v>512</v>
      </c>
      <c r="B297">
        <v>1995</v>
      </c>
      <c r="C297">
        <v>4726.3010000000004</v>
      </c>
      <c r="D297" s="61" t="s">
        <v>522</v>
      </c>
      <c r="E297">
        <v>21191.290499999999</v>
      </c>
    </row>
    <row r="298" spans="1:5" x14ac:dyDescent="0.2">
      <c r="A298" s="61" t="s">
        <v>512</v>
      </c>
      <c r="B298">
        <v>1996</v>
      </c>
      <c r="C298">
        <v>3177.4209999999994</v>
      </c>
      <c r="D298" s="61" t="s">
        <v>522</v>
      </c>
      <c r="E298">
        <v>31367.368300000002</v>
      </c>
    </row>
    <row r="299" spans="1:5" x14ac:dyDescent="0.2">
      <c r="A299" s="61" t="s">
        <v>512</v>
      </c>
      <c r="B299">
        <v>1997</v>
      </c>
      <c r="C299">
        <v>2985.8789999999999</v>
      </c>
      <c r="D299" s="61" t="s">
        <v>522</v>
      </c>
      <c r="E299">
        <v>9377.6446400000004</v>
      </c>
    </row>
    <row r="300" spans="1:5" x14ac:dyDescent="0.2">
      <c r="A300" s="61" t="s">
        <v>512</v>
      </c>
      <c r="B300">
        <v>1998</v>
      </c>
      <c r="C300">
        <v>1649.1469999999997</v>
      </c>
      <c r="D300" s="61" t="s">
        <v>522</v>
      </c>
      <c r="E300">
        <v>7823.1315100000002</v>
      </c>
    </row>
    <row r="301" spans="1:5" x14ac:dyDescent="0.2">
      <c r="A301" s="61" t="s">
        <v>512</v>
      </c>
      <c r="B301">
        <v>1999</v>
      </c>
      <c r="C301">
        <v>1551.0240000000001</v>
      </c>
      <c r="D301" s="61" t="s">
        <v>522</v>
      </c>
      <c r="E301">
        <v>10480.7922</v>
      </c>
    </row>
    <row r="302" spans="1:5" x14ac:dyDescent="0.2">
      <c r="A302" s="61" t="s">
        <v>512</v>
      </c>
      <c r="B302">
        <v>2000</v>
      </c>
      <c r="C302">
        <v>2103.8009999999999</v>
      </c>
      <c r="D302" s="61" t="s">
        <v>522</v>
      </c>
      <c r="E302">
        <v>11388.5466</v>
      </c>
    </row>
    <row r="303" spans="1:5" x14ac:dyDescent="0.2">
      <c r="A303" s="61" t="s">
        <v>512</v>
      </c>
      <c r="B303">
        <v>2001</v>
      </c>
      <c r="C303">
        <v>2072.4450000000002</v>
      </c>
      <c r="D303" s="61" t="s">
        <v>522</v>
      </c>
      <c r="E303">
        <v>24933.784</v>
      </c>
    </row>
    <row r="304" spans="1:5" x14ac:dyDescent="0.2">
      <c r="A304" s="61" t="s">
        <v>512</v>
      </c>
      <c r="B304">
        <v>2002</v>
      </c>
      <c r="C304">
        <v>2287.3959999999997</v>
      </c>
      <c r="D304" s="61" t="s">
        <v>522</v>
      </c>
      <c r="E304">
        <v>11917.679699999999</v>
      </c>
    </row>
    <row r="305" spans="1:5" x14ac:dyDescent="0.2">
      <c r="A305" s="61" t="s">
        <v>512</v>
      </c>
      <c r="B305">
        <v>2003</v>
      </c>
      <c r="C305">
        <v>1767.0104999999996</v>
      </c>
      <c r="D305" s="61" t="s">
        <v>522</v>
      </c>
      <c r="E305">
        <v>6292.6588099999999</v>
      </c>
    </row>
    <row r="306" spans="1:5" x14ac:dyDescent="0.2">
      <c r="A306" s="61" t="s">
        <v>512</v>
      </c>
      <c r="B306">
        <v>2004</v>
      </c>
      <c r="C306">
        <v>1652.5348999999985</v>
      </c>
      <c r="D306" s="61" t="s">
        <v>522</v>
      </c>
      <c r="E306">
        <v>2943.5201699999998</v>
      </c>
    </row>
    <row r="307" spans="1:5" x14ac:dyDescent="0.2">
      <c r="A307" s="61" t="s">
        <v>512</v>
      </c>
      <c r="B307">
        <v>2005</v>
      </c>
      <c r="C307">
        <v>1831.3231000000048</v>
      </c>
      <c r="D307" s="61" t="s">
        <v>522</v>
      </c>
      <c r="E307">
        <v>17286.781800000001</v>
      </c>
    </row>
    <row r="308" spans="1:5" x14ac:dyDescent="0.2">
      <c r="A308" s="61" t="s">
        <v>512</v>
      </c>
      <c r="B308">
        <v>2006</v>
      </c>
      <c r="C308">
        <v>1223.3503999999937</v>
      </c>
      <c r="D308" s="61" t="s">
        <v>522</v>
      </c>
      <c r="E308">
        <v>5153.4120199999998</v>
      </c>
    </row>
    <row r="309" spans="1:5" x14ac:dyDescent="0.2">
      <c r="A309" s="61" t="s">
        <v>512</v>
      </c>
      <c r="B309">
        <v>2007</v>
      </c>
      <c r="C309">
        <v>938.72559999999783</v>
      </c>
      <c r="D309" s="61" t="s">
        <v>522</v>
      </c>
      <c r="E309">
        <v>5585.8000400000001</v>
      </c>
    </row>
    <row r="310" spans="1:5" x14ac:dyDescent="0.2">
      <c r="A310" s="61" t="s">
        <v>512</v>
      </c>
      <c r="B310">
        <v>2008</v>
      </c>
      <c r="C310">
        <v>1236.8907999999988</v>
      </c>
      <c r="D310" s="61" t="s">
        <v>522</v>
      </c>
      <c r="E310">
        <v>16441.030500000001</v>
      </c>
    </row>
    <row r="311" spans="1:5" x14ac:dyDescent="0.2">
      <c r="A311" s="61" t="s">
        <v>512</v>
      </c>
      <c r="B311">
        <v>2009</v>
      </c>
      <c r="C311">
        <v>1152.9797999999982</v>
      </c>
      <c r="D311" s="61" t="s">
        <v>522</v>
      </c>
      <c r="E311">
        <v>19824.494300000002</v>
      </c>
    </row>
    <row r="312" spans="1:5" x14ac:dyDescent="0.2">
      <c r="A312" s="61" t="s">
        <v>512</v>
      </c>
      <c r="B312">
        <v>2010</v>
      </c>
      <c r="C312">
        <v>1421.9710000000002</v>
      </c>
      <c r="D312" s="61" t="s">
        <v>522</v>
      </c>
      <c r="E312">
        <v>14334.312900000001</v>
      </c>
    </row>
    <row r="313" spans="1:5" x14ac:dyDescent="0.2">
      <c r="A313" s="61" t="s">
        <v>512</v>
      </c>
      <c r="B313">
        <v>2011</v>
      </c>
      <c r="C313">
        <v>1898.9122380000001</v>
      </c>
      <c r="D313" s="61" t="s">
        <v>522</v>
      </c>
      <c r="E313">
        <v>9364.8049699999992</v>
      </c>
    </row>
    <row r="314" spans="1:5" x14ac:dyDescent="0.2">
      <c r="A314" s="61" t="s">
        <v>512</v>
      </c>
      <c r="B314">
        <v>2012</v>
      </c>
      <c r="C314">
        <v>1320.252242</v>
      </c>
      <c r="D314" s="61" t="s">
        <v>522</v>
      </c>
      <c r="E314">
        <v>7933.8257300000005</v>
      </c>
    </row>
    <row r="315" spans="1:5" x14ac:dyDescent="0.2">
      <c r="A315" s="61" t="s">
        <v>512</v>
      </c>
      <c r="B315">
        <v>2013</v>
      </c>
      <c r="C315">
        <v>569.67739399999994</v>
      </c>
      <c r="D315" s="61" t="s">
        <v>522</v>
      </c>
      <c r="E315">
        <v>7443.2665083031952</v>
      </c>
    </row>
    <row r="316" spans="1:5" x14ac:dyDescent="0.2">
      <c r="A316" s="61" t="s">
        <v>505</v>
      </c>
      <c r="B316">
        <v>1963</v>
      </c>
      <c r="C316">
        <v>62630</v>
      </c>
      <c r="D316" s="61" t="s">
        <v>528</v>
      </c>
    </row>
    <row r="317" spans="1:5" x14ac:dyDescent="0.2">
      <c r="A317" s="61" t="s">
        <v>505</v>
      </c>
      <c r="B317">
        <v>1964</v>
      </c>
      <c r="C317">
        <v>88828</v>
      </c>
      <c r="D317" s="61" t="s">
        <v>528</v>
      </c>
    </row>
    <row r="318" spans="1:5" x14ac:dyDescent="0.2">
      <c r="A318" s="61" t="s">
        <v>505</v>
      </c>
      <c r="B318">
        <v>1965</v>
      </c>
      <c r="C318">
        <v>125740</v>
      </c>
      <c r="D318" s="61" t="s">
        <v>528</v>
      </c>
    </row>
    <row r="319" spans="1:5" x14ac:dyDescent="0.2">
      <c r="A319" s="61" t="s">
        <v>505</v>
      </c>
      <c r="B319">
        <v>1966</v>
      </c>
      <c r="C319">
        <v>188031</v>
      </c>
      <c r="D319" s="61" t="s">
        <v>528</v>
      </c>
    </row>
    <row r="320" spans="1:5" x14ac:dyDescent="0.2">
      <c r="A320" s="61" t="s">
        <v>505</v>
      </c>
      <c r="B320">
        <v>1967</v>
      </c>
      <c r="C320">
        <v>187175</v>
      </c>
      <c r="D320" s="61" t="s">
        <v>528</v>
      </c>
    </row>
    <row r="321" spans="1:4" x14ac:dyDescent="0.2">
      <c r="A321" s="61" t="s">
        <v>505</v>
      </c>
      <c r="B321">
        <v>1968</v>
      </c>
      <c r="C321">
        <v>245090</v>
      </c>
      <c r="D321" s="61" t="s">
        <v>528</v>
      </c>
    </row>
    <row r="322" spans="1:4" x14ac:dyDescent="0.2">
      <c r="A322" s="61" t="s">
        <v>505</v>
      </c>
      <c r="B322">
        <v>1969</v>
      </c>
      <c r="C322">
        <v>259484</v>
      </c>
      <c r="D322" s="61" t="s">
        <v>528</v>
      </c>
    </row>
    <row r="323" spans="1:4" x14ac:dyDescent="0.2">
      <c r="A323" s="61" t="s">
        <v>505</v>
      </c>
      <c r="B323" s="86">
        <v>1970</v>
      </c>
      <c r="C323">
        <v>209163</v>
      </c>
      <c r="D323" s="61" t="s">
        <v>528</v>
      </c>
    </row>
    <row r="324" spans="1:4" x14ac:dyDescent="0.2">
      <c r="A324" s="61" t="s">
        <v>505</v>
      </c>
      <c r="B324">
        <v>1971</v>
      </c>
      <c r="C324">
        <v>93287</v>
      </c>
      <c r="D324" s="61" t="s">
        <v>528</v>
      </c>
    </row>
    <row r="325" spans="1:4" x14ac:dyDescent="0.2">
      <c r="A325" s="61" t="s">
        <v>505</v>
      </c>
      <c r="B325">
        <v>1972</v>
      </c>
      <c r="C325">
        <v>157586</v>
      </c>
      <c r="D325" s="61" t="s">
        <v>528</v>
      </c>
    </row>
    <row r="326" spans="1:4" x14ac:dyDescent="0.2">
      <c r="A326" s="61" t="s">
        <v>505</v>
      </c>
      <c r="B326">
        <v>1973</v>
      </c>
      <c r="C326">
        <v>115572</v>
      </c>
      <c r="D326" s="61" t="s">
        <v>528</v>
      </c>
    </row>
    <row r="327" spans="1:4" x14ac:dyDescent="0.2">
      <c r="A327" s="61" t="s">
        <v>505</v>
      </c>
      <c r="B327">
        <v>1974</v>
      </c>
      <c r="C327">
        <v>118745</v>
      </c>
      <c r="D327" s="61" t="s">
        <v>528</v>
      </c>
    </row>
    <row r="328" spans="1:4" x14ac:dyDescent="0.2">
      <c r="A328" s="61" t="s">
        <v>505</v>
      </c>
      <c r="B328">
        <v>1975</v>
      </c>
      <c r="C328">
        <v>123975</v>
      </c>
      <c r="D328" s="61" t="s">
        <v>528</v>
      </c>
    </row>
    <row r="329" spans="1:4" x14ac:dyDescent="0.2">
      <c r="A329" s="61" t="s">
        <v>505</v>
      </c>
      <c r="B329">
        <v>1976</v>
      </c>
      <c r="C329">
        <v>102628</v>
      </c>
      <c r="D329" s="61" t="s">
        <v>528</v>
      </c>
    </row>
    <row r="330" spans="1:4" x14ac:dyDescent="0.2">
      <c r="A330" s="61" t="s">
        <v>505</v>
      </c>
      <c r="B330">
        <v>1977</v>
      </c>
      <c r="C330">
        <v>116997</v>
      </c>
      <c r="D330" s="61" t="s">
        <v>528</v>
      </c>
    </row>
    <row r="331" spans="1:4" x14ac:dyDescent="0.2">
      <c r="A331" s="61" t="s">
        <v>505</v>
      </c>
      <c r="B331">
        <v>1978</v>
      </c>
      <c r="C331">
        <v>117450</v>
      </c>
      <c r="D331" s="61" t="s">
        <v>528</v>
      </c>
    </row>
    <row r="332" spans="1:4" x14ac:dyDescent="0.2">
      <c r="A332" s="61" t="s">
        <v>505</v>
      </c>
      <c r="B332">
        <v>1979</v>
      </c>
      <c r="C332">
        <v>80602</v>
      </c>
      <c r="D332" s="61" t="s">
        <v>528</v>
      </c>
    </row>
    <row r="333" spans="1:4" x14ac:dyDescent="0.2">
      <c r="A333" s="61" t="s">
        <v>505</v>
      </c>
      <c r="B333" s="69">
        <v>1980</v>
      </c>
      <c r="C333">
        <v>82141</v>
      </c>
      <c r="D333" s="61" t="s">
        <v>528</v>
      </c>
    </row>
    <row r="334" spans="1:4" x14ac:dyDescent="0.2">
      <c r="A334" s="61" t="s">
        <v>505</v>
      </c>
      <c r="B334">
        <v>1981</v>
      </c>
      <c r="C334">
        <v>88198</v>
      </c>
      <c r="D334" s="61" t="s">
        <v>528</v>
      </c>
    </row>
    <row r="335" spans="1:4" x14ac:dyDescent="0.2">
      <c r="A335" s="61" t="s">
        <v>505</v>
      </c>
      <c r="B335">
        <v>1982</v>
      </c>
      <c r="C335">
        <v>98421</v>
      </c>
      <c r="D335" s="61" t="s">
        <v>528</v>
      </c>
    </row>
    <row r="336" spans="1:4" x14ac:dyDescent="0.2">
      <c r="A336" s="61" t="s">
        <v>505</v>
      </c>
      <c r="B336">
        <v>1983</v>
      </c>
      <c r="C336">
        <v>86599</v>
      </c>
      <c r="D336" s="61" t="s">
        <v>528</v>
      </c>
    </row>
    <row r="337" spans="1:4" x14ac:dyDescent="0.2">
      <c r="A337" s="61" t="s">
        <v>505</v>
      </c>
      <c r="B337">
        <v>1984</v>
      </c>
      <c r="C337">
        <v>79909</v>
      </c>
      <c r="D337" s="61" t="s">
        <v>528</v>
      </c>
    </row>
    <row r="338" spans="1:4" x14ac:dyDescent="0.2">
      <c r="A338" s="61" t="s">
        <v>505</v>
      </c>
      <c r="B338">
        <v>1985</v>
      </c>
      <c r="C338">
        <v>130095</v>
      </c>
      <c r="D338" s="61" t="s">
        <v>528</v>
      </c>
    </row>
    <row r="339" spans="1:4" x14ac:dyDescent="0.2">
      <c r="A339" s="61" t="s">
        <v>505</v>
      </c>
      <c r="B339">
        <v>1986</v>
      </c>
      <c r="C339">
        <v>92878</v>
      </c>
      <c r="D339" s="61" t="s">
        <v>528</v>
      </c>
    </row>
    <row r="340" spans="1:4" x14ac:dyDescent="0.2">
      <c r="A340" s="61" t="s">
        <v>505</v>
      </c>
      <c r="B340">
        <v>1987</v>
      </c>
      <c r="C340">
        <v>119240</v>
      </c>
      <c r="D340" s="61" t="s">
        <v>528</v>
      </c>
    </row>
    <row r="341" spans="1:4" x14ac:dyDescent="0.2">
      <c r="A341" s="61" t="s">
        <v>505</v>
      </c>
      <c r="B341">
        <v>1988</v>
      </c>
      <c r="C341">
        <v>147881</v>
      </c>
      <c r="D341" s="61" t="s">
        <v>528</v>
      </c>
    </row>
    <row r="342" spans="1:4" x14ac:dyDescent="0.2">
      <c r="A342" s="61" t="s">
        <v>505</v>
      </c>
      <c r="B342">
        <v>1989</v>
      </c>
      <c r="C342">
        <v>121500</v>
      </c>
      <c r="D342" s="61" t="s">
        <v>528</v>
      </c>
    </row>
    <row r="343" spans="1:4" x14ac:dyDescent="0.2">
      <c r="A343" s="61" t="s">
        <v>505</v>
      </c>
      <c r="B343">
        <v>1990</v>
      </c>
      <c r="C343">
        <v>131320</v>
      </c>
      <c r="D343" s="61" t="s">
        <v>528</v>
      </c>
    </row>
    <row r="344" spans="1:4" x14ac:dyDescent="0.2">
      <c r="A344" s="61" t="s">
        <v>505</v>
      </c>
      <c r="B344">
        <v>1991</v>
      </c>
      <c r="C344">
        <v>102255</v>
      </c>
      <c r="D344" s="61" t="s">
        <v>528</v>
      </c>
    </row>
    <row r="345" spans="1:4" x14ac:dyDescent="0.2">
      <c r="A345" s="61" t="s">
        <v>505</v>
      </c>
      <c r="B345">
        <v>1992</v>
      </c>
      <c r="C345">
        <v>116694</v>
      </c>
      <c r="D345" s="61" t="s">
        <v>528</v>
      </c>
    </row>
    <row r="346" spans="1:4" x14ac:dyDescent="0.2">
      <c r="A346" s="61" t="s">
        <v>505</v>
      </c>
      <c r="B346">
        <v>1993</v>
      </c>
      <c r="C346">
        <v>118645</v>
      </c>
      <c r="D346" s="61" t="s">
        <v>528</v>
      </c>
    </row>
    <row r="347" spans="1:4" x14ac:dyDescent="0.2">
      <c r="A347" s="61" t="s">
        <v>505</v>
      </c>
      <c r="B347">
        <v>1994</v>
      </c>
      <c r="C347">
        <v>92308</v>
      </c>
      <c r="D347" s="61" t="s">
        <v>528</v>
      </c>
    </row>
    <row r="348" spans="1:4" x14ac:dyDescent="0.2">
      <c r="A348" s="61" t="s">
        <v>505</v>
      </c>
      <c r="B348">
        <v>1995</v>
      </c>
      <c r="C348">
        <v>77315</v>
      </c>
      <c r="D348" s="61" t="s">
        <v>528</v>
      </c>
    </row>
    <row r="349" spans="1:4" x14ac:dyDescent="0.2">
      <c r="A349" s="61" t="s">
        <v>505</v>
      </c>
      <c r="B349">
        <v>1996</v>
      </c>
      <c r="C349">
        <v>83487</v>
      </c>
      <c r="D349" s="61" t="s">
        <v>528</v>
      </c>
    </row>
    <row r="350" spans="1:4" x14ac:dyDescent="0.2">
      <c r="A350" s="61" t="s">
        <v>505</v>
      </c>
      <c r="B350">
        <v>1997</v>
      </c>
      <c r="C350">
        <v>95421</v>
      </c>
      <c r="D350" s="61" t="s">
        <v>528</v>
      </c>
    </row>
    <row r="351" spans="1:4" x14ac:dyDescent="0.2">
      <c r="A351" s="61" t="s">
        <v>505</v>
      </c>
      <c r="B351">
        <v>1998</v>
      </c>
      <c r="C351">
        <v>102474</v>
      </c>
      <c r="D351" s="61" t="s">
        <v>528</v>
      </c>
    </row>
    <row r="352" spans="1:4" x14ac:dyDescent="0.2">
      <c r="A352" s="61" t="s">
        <v>505</v>
      </c>
      <c r="B352">
        <v>1999</v>
      </c>
      <c r="C352">
        <v>110525.8</v>
      </c>
      <c r="D352" s="61" t="s">
        <v>528</v>
      </c>
    </row>
    <row r="353" spans="1:4" x14ac:dyDescent="0.2">
      <c r="A353" s="61" t="s">
        <v>505</v>
      </c>
      <c r="B353">
        <v>2000</v>
      </c>
      <c r="C353">
        <v>105326</v>
      </c>
      <c r="D353" s="61" t="s">
        <v>528</v>
      </c>
    </row>
    <row r="354" spans="1:4" x14ac:dyDescent="0.2">
      <c r="A354" s="61" t="s">
        <v>505</v>
      </c>
      <c r="B354">
        <v>2001</v>
      </c>
      <c r="C354">
        <v>107186</v>
      </c>
      <c r="D354" s="61" t="s">
        <v>528</v>
      </c>
    </row>
    <row r="355" spans="1:4" x14ac:dyDescent="0.2">
      <c r="A355" s="61" t="s">
        <v>505</v>
      </c>
      <c r="B355">
        <v>2002</v>
      </c>
      <c r="C355">
        <v>99582</v>
      </c>
      <c r="D355" s="61" t="s">
        <v>528</v>
      </c>
    </row>
    <row r="356" spans="1:4" x14ac:dyDescent="0.2">
      <c r="A356" s="61" t="s">
        <v>505</v>
      </c>
      <c r="B356">
        <v>2003</v>
      </c>
      <c r="C356">
        <v>103887</v>
      </c>
      <c r="D356" s="61" t="s">
        <v>528</v>
      </c>
    </row>
    <row r="357" spans="1:4" x14ac:dyDescent="0.2">
      <c r="A357" s="61" t="s">
        <v>505</v>
      </c>
      <c r="B357">
        <v>2004</v>
      </c>
      <c r="C357">
        <v>104147</v>
      </c>
      <c r="D357" s="61" t="s">
        <v>528</v>
      </c>
    </row>
    <row r="358" spans="1:4" x14ac:dyDescent="0.2">
      <c r="A358" s="61" t="s">
        <v>505</v>
      </c>
      <c r="B358">
        <v>2005</v>
      </c>
      <c r="C358">
        <v>69456.350000000006</v>
      </c>
      <c r="D358" s="61" t="s">
        <v>528</v>
      </c>
    </row>
    <row r="359" spans="1:4" x14ac:dyDescent="0.2">
      <c r="A359" s="61" t="s">
        <v>505</v>
      </c>
      <c r="B359">
        <v>2006</v>
      </c>
      <c r="C359">
        <v>74964</v>
      </c>
      <c r="D359" s="61" t="s">
        <v>528</v>
      </c>
    </row>
    <row r="360" spans="1:4" x14ac:dyDescent="0.2">
      <c r="A360" s="61" t="s">
        <v>505</v>
      </c>
      <c r="B360">
        <v>2007</v>
      </c>
      <c r="C360">
        <v>88191.039999999994</v>
      </c>
      <c r="D360" s="61" t="s">
        <v>528</v>
      </c>
    </row>
    <row r="361" spans="1:4" x14ac:dyDescent="0.2">
      <c r="A361" s="61" t="s">
        <v>505</v>
      </c>
      <c r="B361">
        <v>2008</v>
      </c>
      <c r="C361">
        <v>63034.380000000005</v>
      </c>
      <c r="D361" s="61" t="s">
        <v>528</v>
      </c>
    </row>
    <row r="362" spans="1:4" x14ac:dyDescent="0.2">
      <c r="A362" s="61" t="s">
        <v>505</v>
      </c>
      <c r="B362">
        <v>2009</v>
      </c>
      <c r="C362">
        <v>70963</v>
      </c>
      <c r="D362" s="61" t="s">
        <v>528</v>
      </c>
    </row>
    <row r="363" spans="1:4" x14ac:dyDescent="0.2">
      <c r="A363" s="61" t="s">
        <v>505</v>
      </c>
      <c r="B363">
        <v>2010</v>
      </c>
      <c r="C363">
        <v>71460</v>
      </c>
      <c r="D363" s="61" t="s">
        <v>528</v>
      </c>
    </row>
    <row r="364" spans="1:4" x14ac:dyDescent="0.2">
      <c r="A364" s="61" t="s">
        <v>505</v>
      </c>
      <c r="B364">
        <v>2011</v>
      </c>
      <c r="C364">
        <v>66767.3</v>
      </c>
      <c r="D364" s="61" t="s">
        <v>528</v>
      </c>
    </row>
    <row r="365" spans="1:4" x14ac:dyDescent="0.2">
      <c r="A365" s="61" t="s">
        <v>505</v>
      </c>
      <c r="B365">
        <v>2012</v>
      </c>
      <c r="C365">
        <v>49373.26</v>
      </c>
      <c r="D365" s="61" t="s">
        <v>528</v>
      </c>
    </row>
    <row r="366" spans="1:4" x14ac:dyDescent="0.2">
      <c r="A366" s="61" t="s">
        <v>505</v>
      </c>
      <c r="B366">
        <v>2013</v>
      </c>
      <c r="C366">
        <v>54462.13</v>
      </c>
      <c r="D366" s="61" t="s">
        <v>528</v>
      </c>
    </row>
    <row r="367" spans="1:4" x14ac:dyDescent="0.2">
      <c r="A367" s="61" t="s">
        <v>310</v>
      </c>
      <c r="B367">
        <v>1960</v>
      </c>
      <c r="C367">
        <v>12344</v>
      </c>
      <c r="D367" s="61" t="s">
        <v>463</v>
      </c>
    </row>
    <row r="368" spans="1:4" x14ac:dyDescent="0.2">
      <c r="A368" s="61" t="s">
        <v>310</v>
      </c>
      <c r="B368">
        <v>1961</v>
      </c>
      <c r="C368">
        <v>13077</v>
      </c>
      <c r="D368" s="61" t="s">
        <v>463</v>
      </c>
    </row>
    <row r="369" spans="1:4" x14ac:dyDescent="0.2">
      <c r="A369" s="61" t="s">
        <v>310</v>
      </c>
      <c r="B369">
        <v>1962</v>
      </c>
      <c r="C369">
        <v>12812</v>
      </c>
      <c r="D369" s="61" t="s">
        <v>463</v>
      </c>
    </row>
    <row r="370" spans="1:4" x14ac:dyDescent="0.2">
      <c r="A370" s="61" t="s">
        <v>310</v>
      </c>
      <c r="B370">
        <v>1963</v>
      </c>
      <c r="C370">
        <v>9592</v>
      </c>
      <c r="D370" s="61" t="s">
        <v>463</v>
      </c>
    </row>
    <row r="371" spans="1:4" x14ac:dyDescent="0.2">
      <c r="A371" s="61" t="s">
        <v>310</v>
      </c>
      <c r="B371">
        <v>1964</v>
      </c>
      <c r="C371">
        <v>6244</v>
      </c>
      <c r="D371" s="61" t="s">
        <v>463</v>
      </c>
    </row>
    <row r="372" spans="1:4" x14ac:dyDescent="0.2">
      <c r="A372" s="61" t="s">
        <v>310</v>
      </c>
      <c r="B372">
        <v>1965</v>
      </c>
      <c r="C372">
        <v>5652</v>
      </c>
      <c r="D372" s="61" t="s">
        <v>463</v>
      </c>
    </row>
    <row r="373" spans="1:4" x14ac:dyDescent="0.2">
      <c r="A373" s="61" t="s">
        <v>310</v>
      </c>
      <c r="B373">
        <v>1966</v>
      </c>
      <c r="C373">
        <v>14776</v>
      </c>
      <c r="D373" s="61" t="s">
        <v>463</v>
      </c>
    </row>
    <row r="374" spans="1:4" x14ac:dyDescent="0.2">
      <c r="A374" s="61" t="s">
        <v>310</v>
      </c>
      <c r="B374">
        <v>1967</v>
      </c>
      <c r="C374">
        <v>4602</v>
      </c>
      <c r="D374" s="61" t="s">
        <v>463</v>
      </c>
    </row>
    <row r="375" spans="1:4" x14ac:dyDescent="0.2">
      <c r="A375" s="61" t="s">
        <v>310</v>
      </c>
      <c r="B375">
        <v>1968</v>
      </c>
      <c r="C375">
        <v>1989</v>
      </c>
      <c r="D375" s="61" t="s">
        <v>463</v>
      </c>
    </row>
    <row r="376" spans="1:4" x14ac:dyDescent="0.2">
      <c r="A376" s="61" t="s">
        <v>310</v>
      </c>
      <c r="B376">
        <v>1969</v>
      </c>
      <c r="C376">
        <v>2774</v>
      </c>
      <c r="D376" s="61" t="s">
        <v>463</v>
      </c>
    </row>
    <row r="377" spans="1:4" x14ac:dyDescent="0.2">
      <c r="A377" s="61" t="s">
        <v>310</v>
      </c>
      <c r="B377" s="86">
        <v>1970</v>
      </c>
      <c r="C377" s="86">
        <v>4424</v>
      </c>
      <c r="D377" s="61" t="s">
        <v>463</v>
      </c>
    </row>
    <row r="378" spans="1:4" x14ac:dyDescent="0.2">
      <c r="A378" s="61" t="s">
        <v>310</v>
      </c>
      <c r="B378">
        <v>1971</v>
      </c>
      <c r="C378">
        <v>11776</v>
      </c>
      <c r="D378" s="61" t="s">
        <v>463</v>
      </c>
    </row>
    <row r="379" spans="1:4" x14ac:dyDescent="0.2">
      <c r="A379" s="61" t="s">
        <v>310</v>
      </c>
      <c r="B379">
        <v>1972</v>
      </c>
      <c r="C379">
        <v>8972</v>
      </c>
      <c r="D379" s="61" t="s">
        <v>463</v>
      </c>
    </row>
    <row r="380" spans="1:4" x14ac:dyDescent="0.2">
      <c r="A380" s="61" t="s">
        <v>310</v>
      </c>
      <c r="B380">
        <v>1973</v>
      </c>
      <c r="C380">
        <v>7126</v>
      </c>
      <c r="D380" s="61" t="s">
        <v>463</v>
      </c>
    </row>
    <row r="381" spans="1:4" x14ac:dyDescent="0.2">
      <c r="A381" s="61" t="s">
        <v>310</v>
      </c>
      <c r="B381">
        <v>1974</v>
      </c>
      <c r="C381">
        <v>6153</v>
      </c>
      <c r="D381" s="61" t="s">
        <v>463</v>
      </c>
    </row>
    <row r="382" spans="1:4" x14ac:dyDescent="0.2">
      <c r="A382" s="61" t="s">
        <v>310</v>
      </c>
      <c r="B382">
        <v>1975</v>
      </c>
      <c r="C382">
        <v>3903</v>
      </c>
      <c r="D382" s="61" t="s">
        <v>463</v>
      </c>
    </row>
    <row r="383" spans="1:4" x14ac:dyDescent="0.2">
      <c r="A383" s="61" t="s">
        <v>310</v>
      </c>
      <c r="B383">
        <v>1976</v>
      </c>
      <c r="C383">
        <v>4812</v>
      </c>
      <c r="D383" s="61" t="s">
        <v>463</v>
      </c>
    </row>
    <row r="384" spans="1:4" x14ac:dyDescent="0.2">
      <c r="A384" s="61" t="s">
        <v>310</v>
      </c>
      <c r="B384">
        <v>1977</v>
      </c>
      <c r="C384">
        <v>3225</v>
      </c>
      <c r="D384" s="61" t="s">
        <v>463</v>
      </c>
    </row>
    <row r="385" spans="1:4" x14ac:dyDescent="0.2">
      <c r="A385" s="61" t="s">
        <v>310</v>
      </c>
      <c r="B385">
        <v>1978</v>
      </c>
      <c r="C385">
        <v>2680</v>
      </c>
      <c r="D385" s="61" t="s">
        <v>463</v>
      </c>
    </row>
    <row r="386" spans="1:4" x14ac:dyDescent="0.2">
      <c r="A386" s="61" t="s">
        <v>310</v>
      </c>
      <c r="B386">
        <v>1979</v>
      </c>
      <c r="C386">
        <v>1521</v>
      </c>
      <c r="D386" s="61" t="s">
        <v>463</v>
      </c>
    </row>
    <row r="387" spans="1:4" x14ac:dyDescent="0.2">
      <c r="A387" s="61" t="s">
        <v>310</v>
      </c>
      <c r="B387" s="69">
        <v>1980</v>
      </c>
      <c r="C387" s="69">
        <v>2351</v>
      </c>
      <c r="D387" s="61" t="s">
        <v>463</v>
      </c>
    </row>
    <row r="388" spans="1:4" x14ac:dyDescent="0.2">
      <c r="A388" s="61" t="s">
        <v>310</v>
      </c>
      <c r="B388">
        <v>1981</v>
      </c>
      <c r="C388">
        <v>2453</v>
      </c>
      <c r="D388" s="61" t="s">
        <v>463</v>
      </c>
    </row>
    <row r="389" spans="1:4" x14ac:dyDescent="0.2">
      <c r="A389" s="61" t="s">
        <v>310</v>
      </c>
      <c r="B389">
        <v>1982</v>
      </c>
      <c r="C389">
        <v>4347</v>
      </c>
      <c r="D389" s="61" t="s">
        <v>463</v>
      </c>
    </row>
    <row r="390" spans="1:4" x14ac:dyDescent="0.2">
      <c r="A390" s="61" t="s">
        <v>310</v>
      </c>
      <c r="B390">
        <v>1983</v>
      </c>
      <c r="C390">
        <v>3926</v>
      </c>
      <c r="D390" s="61" t="s">
        <v>463</v>
      </c>
    </row>
    <row r="391" spans="1:4" x14ac:dyDescent="0.2">
      <c r="A391" s="61" t="s">
        <v>310</v>
      </c>
      <c r="B391">
        <v>1984</v>
      </c>
      <c r="C391">
        <v>4006</v>
      </c>
      <c r="D391" s="61" t="s">
        <v>463</v>
      </c>
    </row>
    <row r="392" spans="1:4" x14ac:dyDescent="0.2">
      <c r="A392" s="61" t="s">
        <v>310</v>
      </c>
      <c r="B392">
        <v>1985</v>
      </c>
      <c r="C392">
        <v>4442</v>
      </c>
      <c r="D392" s="61" t="s">
        <v>463</v>
      </c>
    </row>
    <row r="393" spans="1:4" x14ac:dyDescent="0.2">
      <c r="A393" s="61" t="s">
        <v>310</v>
      </c>
      <c r="B393">
        <v>1986</v>
      </c>
      <c r="C393">
        <v>5634</v>
      </c>
      <c r="D393" s="61" t="s">
        <v>463</v>
      </c>
    </row>
    <row r="394" spans="1:4" x14ac:dyDescent="0.2">
      <c r="A394" s="61" t="s">
        <v>310</v>
      </c>
      <c r="B394">
        <v>1987</v>
      </c>
      <c r="C394">
        <v>5080</v>
      </c>
      <c r="D394" s="61" t="s">
        <v>463</v>
      </c>
    </row>
    <row r="395" spans="1:4" x14ac:dyDescent="0.2">
      <c r="A395" s="61" t="s">
        <v>310</v>
      </c>
      <c r="B395">
        <v>1988</v>
      </c>
      <c r="C395">
        <v>3245</v>
      </c>
      <c r="D395" s="61" t="s">
        <v>463</v>
      </c>
    </row>
    <row r="396" spans="1:4" x14ac:dyDescent="0.2">
      <c r="A396" s="61" t="s">
        <v>310</v>
      </c>
      <c r="B396">
        <v>1989</v>
      </c>
      <c r="C396">
        <v>1989</v>
      </c>
      <c r="D396" s="61" t="s">
        <v>463</v>
      </c>
    </row>
    <row r="397" spans="1:4" x14ac:dyDescent="0.2">
      <c r="A397" s="61" t="s">
        <v>310</v>
      </c>
      <c r="B397">
        <v>1990</v>
      </c>
      <c r="C397">
        <v>1997</v>
      </c>
      <c r="D397" s="61" t="s">
        <v>463</v>
      </c>
    </row>
    <row r="398" spans="1:4" x14ac:dyDescent="0.2">
      <c r="A398" s="61" t="s">
        <v>310</v>
      </c>
      <c r="B398">
        <v>1991</v>
      </c>
      <c r="C398">
        <v>1641</v>
      </c>
      <c r="D398" s="61" t="s">
        <v>463</v>
      </c>
    </row>
    <row r="399" spans="1:4" x14ac:dyDescent="0.2">
      <c r="A399" s="61" t="s">
        <v>310</v>
      </c>
      <c r="B399">
        <v>1992</v>
      </c>
      <c r="C399">
        <v>2163</v>
      </c>
      <c r="D399" s="61" t="s">
        <v>463</v>
      </c>
    </row>
    <row r="400" spans="1:4" x14ac:dyDescent="0.2">
      <c r="A400" s="61" t="s">
        <v>310</v>
      </c>
      <c r="B400">
        <v>1993</v>
      </c>
      <c r="C400">
        <v>4913</v>
      </c>
      <c r="D400" s="61" t="s">
        <v>463</v>
      </c>
    </row>
    <row r="401" spans="1:4" x14ac:dyDescent="0.2">
      <c r="A401" s="61" t="s">
        <v>310</v>
      </c>
      <c r="B401">
        <v>1994</v>
      </c>
      <c r="C401">
        <v>5017</v>
      </c>
      <c r="D401" s="61" t="s">
        <v>463</v>
      </c>
    </row>
    <row r="402" spans="1:4" x14ac:dyDescent="0.2">
      <c r="A402" s="61" t="s">
        <v>310</v>
      </c>
      <c r="B402">
        <v>1995</v>
      </c>
      <c r="C402">
        <v>4654</v>
      </c>
      <c r="D402" s="61" t="s">
        <v>463</v>
      </c>
    </row>
    <row r="403" spans="1:4" x14ac:dyDescent="0.2">
      <c r="A403" s="61" t="s">
        <v>310</v>
      </c>
      <c r="B403">
        <v>1996</v>
      </c>
      <c r="C403">
        <v>3670</v>
      </c>
      <c r="D403" s="61" t="s">
        <v>463</v>
      </c>
    </row>
    <row r="404" spans="1:4" x14ac:dyDescent="0.2">
      <c r="A404" s="61" t="s">
        <v>310</v>
      </c>
      <c r="B404">
        <v>1997</v>
      </c>
      <c r="C404">
        <v>5487</v>
      </c>
      <c r="D404" s="61" t="s">
        <v>463</v>
      </c>
    </row>
    <row r="405" spans="1:4" x14ac:dyDescent="0.2">
      <c r="A405" s="61" t="s">
        <v>310</v>
      </c>
      <c r="B405">
        <v>1998</v>
      </c>
      <c r="C405">
        <v>5590</v>
      </c>
      <c r="D405" s="61" t="s">
        <v>463</v>
      </c>
    </row>
    <row r="406" spans="1:4" x14ac:dyDescent="0.2">
      <c r="A406" s="61" t="s">
        <v>310</v>
      </c>
      <c r="B406">
        <v>1999</v>
      </c>
      <c r="C406">
        <v>4265</v>
      </c>
      <c r="D406" s="61" t="s">
        <v>463</v>
      </c>
    </row>
    <row r="407" spans="1:4" x14ac:dyDescent="0.2">
      <c r="A407" s="61" t="s">
        <v>310</v>
      </c>
      <c r="B407">
        <v>2000</v>
      </c>
      <c r="C407">
        <v>4658</v>
      </c>
      <c r="D407" s="61" t="s">
        <v>463</v>
      </c>
    </row>
    <row r="408" spans="1:4" x14ac:dyDescent="0.2">
      <c r="A408" s="61" t="s">
        <v>310</v>
      </c>
      <c r="B408">
        <v>2001</v>
      </c>
      <c r="C408">
        <v>4229</v>
      </c>
      <c r="D408" s="61" t="s">
        <v>463</v>
      </c>
    </row>
    <row r="409" spans="1:4" x14ac:dyDescent="0.2">
      <c r="A409" s="61" t="s">
        <v>310</v>
      </c>
      <c r="B409">
        <v>2002</v>
      </c>
      <c r="C409">
        <v>4832</v>
      </c>
      <c r="D409" s="61" t="s">
        <v>463</v>
      </c>
    </row>
    <row r="410" spans="1:4" x14ac:dyDescent="0.2">
      <c r="A410" s="61" t="s">
        <v>310</v>
      </c>
      <c r="B410">
        <v>2003</v>
      </c>
      <c r="C410">
        <v>3144</v>
      </c>
      <c r="D410" s="61" t="s">
        <v>463</v>
      </c>
    </row>
    <row r="411" spans="1:4" x14ac:dyDescent="0.2">
      <c r="A411" s="61" t="s">
        <v>310</v>
      </c>
      <c r="B411">
        <v>2004</v>
      </c>
      <c r="C411">
        <v>2067</v>
      </c>
      <c r="D411" s="61" t="s">
        <v>463</v>
      </c>
    </row>
    <row r="412" spans="1:4" x14ac:dyDescent="0.2">
      <c r="A412" s="61" t="s">
        <v>310</v>
      </c>
      <c r="B412">
        <v>2005</v>
      </c>
      <c r="C412">
        <v>3169</v>
      </c>
      <c r="D412" s="61" t="s">
        <v>463</v>
      </c>
    </row>
    <row r="413" spans="1:4" x14ac:dyDescent="0.2">
      <c r="A413" s="61" t="s">
        <v>310</v>
      </c>
      <c r="B413">
        <v>2006</v>
      </c>
      <c r="C413">
        <v>2986</v>
      </c>
      <c r="D413" s="61" t="s">
        <v>463</v>
      </c>
    </row>
    <row r="414" spans="1:4" x14ac:dyDescent="0.2">
      <c r="A414" s="61" t="s">
        <v>310</v>
      </c>
      <c r="B414">
        <v>2007</v>
      </c>
      <c r="C414">
        <v>3082</v>
      </c>
      <c r="D414" s="61" t="s">
        <v>463</v>
      </c>
    </row>
    <row r="415" spans="1:4" x14ac:dyDescent="0.2">
      <c r="A415" s="61" t="s">
        <v>310</v>
      </c>
      <c r="B415">
        <v>2008</v>
      </c>
      <c r="C415">
        <v>3850</v>
      </c>
      <c r="D415" s="61" t="s">
        <v>463</v>
      </c>
    </row>
    <row r="416" spans="1:4" x14ac:dyDescent="0.2">
      <c r="A416" s="61" t="s">
        <v>513</v>
      </c>
      <c r="B416">
        <v>1960</v>
      </c>
      <c r="C416">
        <v>14</v>
      </c>
      <c r="D416" s="61" t="s">
        <v>528</v>
      </c>
    </row>
    <row r="417" spans="1:5" x14ac:dyDescent="0.2">
      <c r="A417" s="61" t="s">
        <v>513</v>
      </c>
      <c r="B417">
        <v>1961</v>
      </c>
      <c r="C417">
        <v>9</v>
      </c>
      <c r="D417" s="61" t="s">
        <v>528</v>
      </c>
    </row>
    <row r="418" spans="1:5" x14ac:dyDescent="0.2">
      <c r="A418" s="61" t="s">
        <v>513</v>
      </c>
      <c r="B418">
        <v>1962</v>
      </c>
      <c r="C418">
        <v>24</v>
      </c>
      <c r="D418" s="61" t="s">
        <v>528</v>
      </c>
    </row>
    <row r="419" spans="1:5" x14ac:dyDescent="0.2">
      <c r="A419" s="61" t="s">
        <v>513</v>
      </c>
      <c r="B419">
        <v>1963</v>
      </c>
      <c r="C419">
        <v>84</v>
      </c>
      <c r="D419" s="61" t="s">
        <v>528</v>
      </c>
    </row>
    <row r="420" spans="1:5" x14ac:dyDescent="0.2">
      <c r="A420" s="61" t="s">
        <v>513</v>
      </c>
      <c r="B420">
        <v>1964</v>
      </c>
      <c r="C420">
        <v>150</v>
      </c>
      <c r="D420" s="61" t="s">
        <v>528</v>
      </c>
    </row>
    <row r="421" spans="1:5" x14ac:dyDescent="0.2">
      <c r="A421" s="61" t="s">
        <v>513</v>
      </c>
      <c r="B421">
        <v>1965</v>
      </c>
      <c r="C421">
        <v>224</v>
      </c>
      <c r="D421" s="61" t="s">
        <v>528</v>
      </c>
    </row>
    <row r="422" spans="1:5" x14ac:dyDescent="0.2">
      <c r="A422" s="61" t="s">
        <v>513</v>
      </c>
      <c r="B422">
        <v>1966</v>
      </c>
      <c r="C422">
        <v>166</v>
      </c>
      <c r="D422" s="61" t="s">
        <v>528</v>
      </c>
    </row>
    <row r="423" spans="1:5" x14ac:dyDescent="0.2">
      <c r="A423" s="61" t="s">
        <v>513</v>
      </c>
      <c r="B423">
        <v>1967</v>
      </c>
      <c r="C423">
        <v>225</v>
      </c>
      <c r="D423" s="61" t="s">
        <v>528</v>
      </c>
    </row>
    <row r="424" spans="1:5" x14ac:dyDescent="0.2">
      <c r="A424" s="61" t="s">
        <v>513</v>
      </c>
      <c r="B424">
        <v>1968</v>
      </c>
      <c r="C424">
        <v>205</v>
      </c>
      <c r="D424" s="61" t="s">
        <v>528</v>
      </c>
    </row>
    <row r="425" spans="1:5" x14ac:dyDescent="0.2">
      <c r="A425" s="61" t="s">
        <v>513</v>
      </c>
      <c r="B425">
        <v>1969</v>
      </c>
      <c r="C425">
        <v>201</v>
      </c>
      <c r="D425" s="61" t="s">
        <v>528</v>
      </c>
    </row>
    <row r="426" spans="1:5" x14ac:dyDescent="0.2">
      <c r="A426" s="61" t="s">
        <v>513</v>
      </c>
      <c r="B426" s="86">
        <v>1970</v>
      </c>
      <c r="C426" s="86">
        <v>326</v>
      </c>
      <c r="D426" s="61" t="s">
        <v>528</v>
      </c>
      <c r="E426">
        <v>182.73432880000001</v>
      </c>
    </row>
    <row r="427" spans="1:5" x14ac:dyDescent="0.2">
      <c r="A427" s="61" t="s">
        <v>513</v>
      </c>
      <c r="B427">
        <v>1971</v>
      </c>
      <c r="C427">
        <v>218</v>
      </c>
      <c r="D427" s="61" t="s">
        <v>528</v>
      </c>
      <c r="E427">
        <v>192.35112320000002</v>
      </c>
    </row>
    <row r="428" spans="1:5" x14ac:dyDescent="0.2">
      <c r="A428" s="61" t="s">
        <v>513</v>
      </c>
      <c r="B428">
        <v>1972</v>
      </c>
      <c r="C428">
        <v>164</v>
      </c>
      <c r="D428" s="61" t="s">
        <v>528</v>
      </c>
      <c r="E428">
        <v>394.04555200000004</v>
      </c>
    </row>
    <row r="429" spans="1:5" x14ac:dyDescent="0.2">
      <c r="A429" s="61" t="s">
        <v>513</v>
      </c>
      <c r="B429">
        <v>1973</v>
      </c>
      <c r="C429">
        <v>139</v>
      </c>
      <c r="D429" s="61" t="s">
        <v>528</v>
      </c>
      <c r="E429">
        <v>75.169192240000015</v>
      </c>
    </row>
    <row r="430" spans="1:5" x14ac:dyDescent="0.2">
      <c r="A430" s="61" t="s">
        <v>513</v>
      </c>
      <c r="B430">
        <v>1974</v>
      </c>
      <c r="C430">
        <v>236</v>
      </c>
      <c r="D430" s="61" t="s">
        <v>528</v>
      </c>
      <c r="E430">
        <v>174.9022368</v>
      </c>
    </row>
    <row r="431" spans="1:5" x14ac:dyDescent="0.2">
      <c r="A431" s="61" t="s">
        <v>513</v>
      </c>
      <c r="B431">
        <v>1975</v>
      </c>
      <c r="C431">
        <v>213</v>
      </c>
      <c r="D431" s="61" t="s">
        <v>528</v>
      </c>
      <c r="E431">
        <v>238.46205759999998</v>
      </c>
    </row>
    <row r="432" spans="1:5" x14ac:dyDescent="0.2">
      <c r="A432" s="61" t="s">
        <v>513</v>
      </c>
      <c r="B432">
        <v>1976</v>
      </c>
      <c r="C432">
        <v>230</v>
      </c>
      <c r="D432" s="61" t="s">
        <v>528</v>
      </c>
      <c r="E432">
        <v>548.69673839999996</v>
      </c>
    </row>
    <row r="433" spans="1:5" x14ac:dyDescent="0.2">
      <c r="A433" s="61" t="s">
        <v>513</v>
      </c>
      <c r="B433">
        <v>1977</v>
      </c>
      <c r="C433">
        <v>302</v>
      </c>
      <c r="D433" s="61" t="s">
        <v>528</v>
      </c>
      <c r="E433">
        <v>560.19600400000002</v>
      </c>
    </row>
    <row r="434" spans="1:5" x14ac:dyDescent="0.2">
      <c r="A434" s="61" t="s">
        <v>513</v>
      </c>
      <c r="B434">
        <v>1978</v>
      </c>
      <c r="C434">
        <v>387</v>
      </c>
      <c r="D434" s="61" t="s">
        <v>528</v>
      </c>
      <c r="E434">
        <v>222.25626640000002</v>
      </c>
    </row>
    <row r="435" spans="1:5" x14ac:dyDescent="0.2">
      <c r="A435" s="61" t="s">
        <v>513</v>
      </c>
      <c r="B435">
        <v>1979</v>
      </c>
      <c r="C435">
        <v>291</v>
      </c>
      <c r="D435" s="61" t="s">
        <v>528</v>
      </c>
      <c r="E435">
        <v>629.14350160000004</v>
      </c>
    </row>
    <row r="436" spans="1:5" x14ac:dyDescent="0.2">
      <c r="A436" s="61" t="s">
        <v>513</v>
      </c>
      <c r="B436" s="69">
        <v>1980</v>
      </c>
      <c r="C436" s="69">
        <v>255</v>
      </c>
      <c r="D436" s="61" t="s">
        <v>528</v>
      </c>
      <c r="E436">
        <v>1244.108784</v>
      </c>
    </row>
    <row r="437" spans="1:5" x14ac:dyDescent="0.2">
      <c r="A437" s="61" t="s">
        <v>513</v>
      </c>
      <c r="B437">
        <v>1981</v>
      </c>
      <c r="C437">
        <v>227</v>
      </c>
      <c r="D437" s="61" t="s">
        <v>528</v>
      </c>
      <c r="E437">
        <v>1063.868872</v>
      </c>
    </row>
    <row r="438" spans="1:5" x14ac:dyDescent="0.2">
      <c r="A438" s="61" t="s">
        <v>513</v>
      </c>
      <c r="B438">
        <v>1982</v>
      </c>
      <c r="C438">
        <v>212</v>
      </c>
      <c r="D438" s="61" t="s">
        <v>528</v>
      </c>
      <c r="E438">
        <v>533.9605808</v>
      </c>
    </row>
    <row r="439" spans="1:5" x14ac:dyDescent="0.2">
      <c r="A439" s="61" t="s">
        <v>513</v>
      </c>
      <c r="B439">
        <v>1983</v>
      </c>
      <c r="C439">
        <v>321</v>
      </c>
      <c r="D439" s="61" t="s">
        <v>528</v>
      </c>
      <c r="E439">
        <v>108.105525</v>
      </c>
    </row>
    <row r="440" spans="1:5" x14ac:dyDescent="0.2">
      <c r="A440" s="61" t="s">
        <v>513</v>
      </c>
      <c r="B440">
        <v>1984</v>
      </c>
      <c r="C440">
        <v>172</v>
      </c>
      <c r="D440" s="61" t="s">
        <v>528</v>
      </c>
      <c r="E440">
        <v>296.23088299999995</v>
      </c>
    </row>
    <row r="441" spans="1:5" x14ac:dyDescent="0.2">
      <c r="A441" s="61" t="s">
        <v>513</v>
      </c>
      <c r="B441">
        <v>1985</v>
      </c>
      <c r="C441">
        <v>73</v>
      </c>
      <c r="D441" s="61" t="s">
        <v>528</v>
      </c>
      <c r="E441">
        <v>251.46613099999999</v>
      </c>
    </row>
    <row r="442" spans="1:5" x14ac:dyDescent="0.2">
      <c r="A442" s="61" t="s">
        <v>513</v>
      </c>
      <c r="B442">
        <v>1986</v>
      </c>
      <c r="C442">
        <v>111</v>
      </c>
      <c r="D442" s="61" t="s">
        <v>528</v>
      </c>
      <c r="E442">
        <v>602.23632799999996</v>
      </c>
    </row>
    <row r="443" spans="1:5" x14ac:dyDescent="0.2">
      <c r="A443" s="61" t="s">
        <v>513</v>
      </c>
      <c r="B443">
        <v>1987</v>
      </c>
      <c r="C443">
        <v>109</v>
      </c>
      <c r="D443" s="61" t="s">
        <v>528</v>
      </c>
      <c r="E443">
        <v>262.48425400000002</v>
      </c>
    </row>
    <row r="444" spans="1:5" x14ac:dyDescent="0.2">
      <c r="A444" s="61" t="s">
        <v>513</v>
      </c>
      <c r="B444">
        <v>1988</v>
      </c>
      <c r="C444">
        <v>79</v>
      </c>
      <c r="D444" s="61" t="s">
        <v>528</v>
      </c>
      <c r="E444">
        <v>1400.04856</v>
      </c>
    </row>
    <row r="445" spans="1:5" x14ac:dyDescent="0.2">
      <c r="A445" s="61" t="s">
        <v>513</v>
      </c>
      <c r="B445">
        <v>1989</v>
      </c>
      <c r="C445">
        <v>50</v>
      </c>
      <c r="D445" s="61" t="s">
        <v>528</v>
      </c>
      <c r="E445">
        <v>460.221788</v>
      </c>
    </row>
    <row r="446" spans="1:5" x14ac:dyDescent="0.2">
      <c r="A446" s="61" t="s">
        <v>513</v>
      </c>
      <c r="B446">
        <v>1990</v>
      </c>
      <c r="C446">
        <v>79</v>
      </c>
      <c r="D446" s="61" t="s">
        <v>528</v>
      </c>
      <c r="E446">
        <v>307.20357900000005</v>
      </c>
    </row>
    <row r="447" spans="1:5" x14ac:dyDescent="0.2">
      <c r="A447" s="61" t="s">
        <v>513</v>
      </c>
      <c r="B447">
        <v>1991</v>
      </c>
      <c r="C447">
        <v>143</v>
      </c>
      <c r="D447" s="61" t="s">
        <v>528</v>
      </c>
      <c r="E447">
        <v>806.84486199999992</v>
      </c>
    </row>
    <row r="448" spans="1:5" x14ac:dyDescent="0.2">
      <c r="A448" s="61" t="s">
        <v>513</v>
      </c>
      <c r="B448">
        <v>1992</v>
      </c>
      <c r="C448">
        <v>120</v>
      </c>
      <c r="D448" s="61" t="s">
        <v>528</v>
      </c>
      <c r="E448">
        <v>751.81576899999993</v>
      </c>
    </row>
    <row r="449" spans="1:5" x14ac:dyDescent="0.2">
      <c r="A449" s="61" t="s">
        <v>513</v>
      </c>
      <c r="B449">
        <v>1993</v>
      </c>
      <c r="C449">
        <v>54</v>
      </c>
      <c r="D449" s="61" t="s">
        <v>528</v>
      </c>
      <c r="E449">
        <v>725.90993299999991</v>
      </c>
    </row>
    <row r="450" spans="1:5" x14ac:dyDescent="0.2">
      <c r="A450" s="61" t="s">
        <v>513</v>
      </c>
      <c r="B450">
        <v>1994</v>
      </c>
      <c r="C450">
        <v>96</v>
      </c>
      <c r="D450" s="61" t="s">
        <v>528</v>
      </c>
      <c r="E450">
        <v>1476.5366799999999</v>
      </c>
    </row>
    <row r="451" spans="1:5" x14ac:dyDescent="0.2">
      <c r="A451" s="61" t="s">
        <v>513</v>
      </c>
      <c r="B451">
        <v>1995</v>
      </c>
      <c r="C451">
        <v>134</v>
      </c>
      <c r="D451" s="61" t="s">
        <v>528</v>
      </c>
      <c r="E451">
        <v>761.83806299999992</v>
      </c>
    </row>
    <row r="452" spans="1:5" x14ac:dyDescent="0.2">
      <c r="A452" s="61" t="s">
        <v>513</v>
      </c>
      <c r="B452">
        <v>1996</v>
      </c>
      <c r="C452">
        <v>149</v>
      </c>
      <c r="D452" s="61" t="s">
        <v>528</v>
      </c>
      <c r="E452">
        <v>1080.37806</v>
      </c>
    </row>
    <row r="453" spans="1:5" x14ac:dyDescent="0.2">
      <c r="A453" s="61" t="s">
        <v>513</v>
      </c>
      <c r="B453">
        <v>1997</v>
      </c>
      <c r="C453">
        <v>36</v>
      </c>
      <c r="D453" s="61" t="s">
        <v>528</v>
      </c>
      <c r="E453">
        <v>856.06286799999998</v>
      </c>
    </row>
    <row r="454" spans="1:5" x14ac:dyDescent="0.2">
      <c r="A454" s="61" t="s">
        <v>513</v>
      </c>
      <c r="B454">
        <v>1998</v>
      </c>
      <c r="C454">
        <v>41</v>
      </c>
      <c r="D454" s="61" t="s">
        <v>528</v>
      </c>
      <c r="E454">
        <v>1147.27665</v>
      </c>
    </row>
    <row r="455" spans="1:5" x14ac:dyDescent="0.2">
      <c r="A455" s="61" t="s">
        <v>513</v>
      </c>
      <c r="B455">
        <v>1999</v>
      </c>
      <c r="C455">
        <v>68</v>
      </c>
      <c r="D455" s="61" t="s">
        <v>528</v>
      </c>
      <c r="E455">
        <v>455.35953999999998</v>
      </c>
    </row>
    <row r="456" spans="1:5" x14ac:dyDescent="0.2">
      <c r="A456" s="61" t="s">
        <v>513</v>
      </c>
      <c r="B456">
        <v>2000</v>
      </c>
      <c r="C456">
        <v>64</v>
      </c>
      <c r="D456" s="61" t="s">
        <v>528</v>
      </c>
      <c r="E456">
        <v>942.28650399999992</v>
      </c>
    </row>
    <row r="457" spans="1:5" x14ac:dyDescent="0.2">
      <c r="A457" s="61" t="s">
        <v>513</v>
      </c>
      <c r="B457">
        <v>2001</v>
      </c>
      <c r="C457">
        <v>28</v>
      </c>
      <c r="D457" s="61" t="s">
        <v>528</v>
      </c>
      <c r="E457">
        <v>1970.6375600000001</v>
      </c>
    </row>
    <row r="458" spans="1:5" x14ac:dyDescent="0.2">
      <c r="A458" s="61" t="s">
        <v>513</v>
      </c>
      <c r="B458">
        <v>2002</v>
      </c>
      <c r="C458">
        <v>20</v>
      </c>
      <c r="D458" s="61" t="s">
        <v>528</v>
      </c>
      <c r="E458">
        <v>1134.2936100000002</v>
      </c>
    </row>
    <row r="459" spans="1:5" x14ac:dyDescent="0.2">
      <c r="A459" s="61" t="s">
        <v>513</v>
      </c>
      <c r="B459">
        <v>2003</v>
      </c>
      <c r="C459">
        <v>14</v>
      </c>
      <c r="D459" s="61" t="s">
        <v>528</v>
      </c>
      <c r="E459">
        <v>1073.43382</v>
      </c>
    </row>
    <row r="460" spans="1:5" x14ac:dyDescent="0.2">
      <c r="A460" s="61" t="s">
        <v>513</v>
      </c>
      <c r="B460">
        <v>2004</v>
      </c>
      <c r="C460">
        <v>22</v>
      </c>
      <c r="D460" s="61" t="s">
        <v>528</v>
      </c>
      <c r="E460">
        <v>730.95158100000003</v>
      </c>
    </row>
    <row r="461" spans="1:5" x14ac:dyDescent="0.2">
      <c r="A461" s="61" t="s">
        <v>513</v>
      </c>
      <c r="B461">
        <v>2005</v>
      </c>
      <c r="C461">
        <v>20</v>
      </c>
      <c r="D461" s="61" t="s">
        <v>528</v>
      </c>
      <c r="E461">
        <v>751.62697800000001</v>
      </c>
    </row>
    <row r="462" spans="1:5" x14ac:dyDescent="0.2">
      <c r="A462" s="61" t="s">
        <v>513</v>
      </c>
      <c r="B462">
        <v>2006</v>
      </c>
      <c r="C462">
        <v>16</v>
      </c>
      <c r="D462" s="61" t="s">
        <v>528</v>
      </c>
      <c r="E462">
        <v>539.18221400000004</v>
      </c>
    </row>
    <row r="463" spans="1:5" x14ac:dyDescent="0.2">
      <c r="A463" s="61" t="s">
        <v>513</v>
      </c>
      <c r="B463">
        <v>2007</v>
      </c>
      <c r="C463">
        <v>21</v>
      </c>
      <c r="D463" s="61" t="s">
        <v>528</v>
      </c>
      <c r="E463">
        <v>1573.92058</v>
      </c>
    </row>
    <row r="464" spans="1:5" x14ac:dyDescent="0.2">
      <c r="A464" s="61" t="s">
        <v>513</v>
      </c>
      <c r="B464">
        <v>2008</v>
      </c>
      <c r="C464">
        <v>5</v>
      </c>
      <c r="D464" s="61" t="s">
        <v>528</v>
      </c>
      <c r="E464">
        <v>399.59427600000004</v>
      </c>
    </row>
    <row r="465" spans="1:4" x14ac:dyDescent="0.2">
      <c r="A465" s="61" t="s">
        <v>514</v>
      </c>
      <c r="B465">
        <v>1960</v>
      </c>
      <c r="C465">
        <v>187</v>
      </c>
      <c r="D465" s="61" t="s">
        <v>463</v>
      </c>
    </row>
    <row r="466" spans="1:4" x14ac:dyDescent="0.2">
      <c r="A466" s="61" t="s">
        <v>514</v>
      </c>
      <c r="B466">
        <v>1961</v>
      </c>
      <c r="C466">
        <v>2</v>
      </c>
      <c r="D466" s="61" t="s">
        <v>463</v>
      </c>
    </row>
    <row r="467" spans="1:4" x14ac:dyDescent="0.2">
      <c r="A467" s="61" t="s">
        <v>514</v>
      </c>
      <c r="B467">
        <v>1962</v>
      </c>
      <c r="C467">
        <v>29</v>
      </c>
      <c r="D467" s="61" t="s">
        <v>463</v>
      </c>
    </row>
    <row r="468" spans="1:4" x14ac:dyDescent="0.2">
      <c r="A468" s="61" t="s">
        <v>514</v>
      </c>
      <c r="B468">
        <v>1963</v>
      </c>
      <c r="C468">
        <v>6472</v>
      </c>
      <c r="D468" s="61" t="s">
        <v>463</v>
      </c>
    </row>
    <row r="469" spans="1:4" x14ac:dyDescent="0.2">
      <c r="A469" s="61" t="s">
        <v>514</v>
      </c>
      <c r="B469">
        <v>1964</v>
      </c>
      <c r="C469">
        <v>18210</v>
      </c>
      <c r="D469" s="61" t="s">
        <v>463</v>
      </c>
    </row>
    <row r="470" spans="1:4" x14ac:dyDescent="0.2">
      <c r="A470" s="61" t="s">
        <v>514</v>
      </c>
      <c r="B470">
        <v>1965</v>
      </c>
      <c r="C470">
        <v>379</v>
      </c>
      <c r="D470" s="61" t="s">
        <v>463</v>
      </c>
    </row>
    <row r="471" spans="1:4" x14ac:dyDescent="0.2">
      <c r="A471" s="61" t="s">
        <v>514</v>
      </c>
      <c r="B471">
        <v>1966</v>
      </c>
      <c r="C471">
        <v>6423</v>
      </c>
      <c r="D471" s="61" t="s">
        <v>463</v>
      </c>
    </row>
    <row r="472" spans="1:4" x14ac:dyDescent="0.2">
      <c r="A472" s="61" t="s">
        <v>514</v>
      </c>
      <c r="B472">
        <v>1967</v>
      </c>
      <c r="C472">
        <v>647</v>
      </c>
      <c r="D472" s="61" t="s">
        <v>463</v>
      </c>
    </row>
    <row r="473" spans="1:4" x14ac:dyDescent="0.2">
      <c r="A473" s="61" t="s">
        <v>514</v>
      </c>
      <c r="B473">
        <v>1968</v>
      </c>
      <c r="C473">
        <v>60</v>
      </c>
      <c r="D473" s="61" t="s">
        <v>463</v>
      </c>
    </row>
    <row r="474" spans="1:4" x14ac:dyDescent="0.2">
      <c r="A474" s="61" t="s">
        <v>514</v>
      </c>
      <c r="B474">
        <v>1969</v>
      </c>
      <c r="C474">
        <v>1672</v>
      </c>
      <c r="D474" s="61" t="s">
        <v>463</v>
      </c>
    </row>
    <row r="475" spans="1:4" x14ac:dyDescent="0.2">
      <c r="A475" s="61" t="s">
        <v>514</v>
      </c>
      <c r="B475" s="86">
        <v>1970</v>
      </c>
      <c r="C475">
        <v>4991</v>
      </c>
      <c r="D475" s="61" t="s">
        <v>463</v>
      </c>
    </row>
    <row r="476" spans="1:4" x14ac:dyDescent="0.2">
      <c r="A476" s="61" t="s">
        <v>514</v>
      </c>
      <c r="B476">
        <v>1971</v>
      </c>
      <c r="C476">
        <v>6190</v>
      </c>
      <c r="D476" s="61" t="s">
        <v>463</v>
      </c>
    </row>
    <row r="477" spans="1:4" x14ac:dyDescent="0.2">
      <c r="A477" s="61" t="s">
        <v>514</v>
      </c>
      <c r="B477">
        <v>1972</v>
      </c>
      <c r="C477">
        <v>5204</v>
      </c>
      <c r="D477" s="61" t="s">
        <v>463</v>
      </c>
    </row>
    <row r="478" spans="1:4" x14ac:dyDescent="0.2">
      <c r="A478" s="61" t="s">
        <v>514</v>
      </c>
      <c r="B478">
        <v>1973</v>
      </c>
      <c r="C478">
        <v>30085</v>
      </c>
      <c r="D478" s="61" t="s">
        <v>463</v>
      </c>
    </row>
    <row r="479" spans="1:4" x14ac:dyDescent="0.2">
      <c r="A479" s="61" t="s">
        <v>514</v>
      </c>
      <c r="B479">
        <v>1974</v>
      </c>
      <c r="C479">
        <v>8106</v>
      </c>
      <c r="D479" s="61" t="s">
        <v>463</v>
      </c>
    </row>
    <row r="480" spans="1:4" x14ac:dyDescent="0.2">
      <c r="A480" s="61" t="s">
        <v>514</v>
      </c>
      <c r="B480">
        <v>1975</v>
      </c>
      <c r="C480">
        <v>17234</v>
      </c>
      <c r="D480" s="61" t="s">
        <v>463</v>
      </c>
    </row>
    <row r="481" spans="1:4" x14ac:dyDescent="0.2">
      <c r="A481" s="61" t="s">
        <v>514</v>
      </c>
      <c r="B481">
        <v>1976</v>
      </c>
      <c r="C481">
        <v>6605</v>
      </c>
      <c r="D481" s="61" t="s">
        <v>463</v>
      </c>
    </row>
    <row r="482" spans="1:4" x14ac:dyDescent="0.2">
      <c r="A482" s="61" t="s">
        <v>514</v>
      </c>
      <c r="B482">
        <v>1977</v>
      </c>
      <c r="C482">
        <v>6071</v>
      </c>
      <c r="D482" s="61" t="s">
        <v>463</v>
      </c>
    </row>
    <row r="483" spans="1:4" x14ac:dyDescent="0.2">
      <c r="A483" s="61" t="s">
        <v>514</v>
      </c>
      <c r="B483">
        <v>1978</v>
      </c>
      <c r="C483">
        <v>2175</v>
      </c>
      <c r="D483" s="61" t="s">
        <v>463</v>
      </c>
    </row>
    <row r="484" spans="1:4" x14ac:dyDescent="0.2">
      <c r="A484" s="61" t="s">
        <v>514</v>
      </c>
      <c r="B484">
        <v>1979</v>
      </c>
      <c r="C484">
        <v>1157</v>
      </c>
      <c r="D484" s="61" t="s">
        <v>463</v>
      </c>
    </row>
    <row r="485" spans="1:4" x14ac:dyDescent="0.2">
      <c r="A485" s="61" t="s">
        <v>514</v>
      </c>
      <c r="B485" s="69">
        <v>1980</v>
      </c>
      <c r="C485">
        <v>6554</v>
      </c>
      <c r="D485" s="61" t="s">
        <v>463</v>
      </c>
    </row>
    <row r="486" spans="1:4" x14ac:dyDescent="0.2">
      <c r="A486" s="61" t="s">
        <v>514</v>
      </c>
      <c r="B486">
        <v>1981</v>
      </c>
      <c r="C486">
        <v>3484</v>
      </c>
      <c r="D486" s="61" t="s">
        <v>463</v>
      </c>
    </row>
    <row r="487" spans="1:4" x14ac:dyDescent="0.2">
      <c r="A487" s="61" t="s">
        <v>514</v>
      </c>
      <c r="B487">
        <v>1982</v>
      </c>
      <c r="C487">
        <v>72</v>
      </c>
      <c r="D487" s="61" t="s">
        <v>463</v>
      </c>
    </row>
    <row r="488" spans="1:4" x14ac:dyDescent="0.2">
      <c r="A488" s="61" t="s">
        <v>514</v>
      </c>
      <c r="B488">
        <v>1983</v>
      </c>
      <c r="C488">
        <v>1479</v>
      </c>
      <c r="D488" s="61" t="s">
        <v>463</v>
      </c>
    </row>
    <row r="489" spans="1:4" x14ac:dyDescent="0.2">
      <c r="A489" s="61" t="s">
        <v>514</v>
      </c>
      <c r="B489">
        <v>1984</v>
      </c>
      <c r="C489">
        <v>7</v>
      </c>
      <c r="D489" s="61" t="s">
        <v>463</v>
      </c>
    </row>
    <row r="490" spans="1:4" x14ac:dyDescent="0.2">
      <c r="A490" s="61" t="s">
        <v>514</v>
      </c>
      <c r="B490">
        <v>1985</v>
      </c>
      <c r="C490">
        <v>9</v>
      </c>
      <c r="D490" s="61" t="s">
        <v>463</v>
      </c>
    </row>
    <row r="491" spans="1:4" x14ac:dyDescent="0.2">
      <c r="A491" s="61" t="s">
        <v>514</v>
      </c>
      <c r="B491">
        <v>1986</v>
      </c>
      <c r="C491">
        <v>222</v>
      </c>
      <c r="D491" s="61" t="s">
        <v>463</v>
      </c>
    </row>
    <row r="492" spans="1:4" x14ac:dyDescent="0.2">
      <c r="A492" s="61" t="s">
        <v>514</v>
      </c>
      <c r="B492">
        <v>1987</v>
      </c>
      <c r="C492">
        <v>31</v>
      </c>
      <c r="D492" s="61" t="s">
        <v>463</v>
      </c>
    </row>
    <row r="493" spans="1:4" x14ac:dyDescent="0.2">
      <c r="A493" s="61" t="s">
        <v>514</v>
      </c>
      <c r="B493">
        <v>1988</v>
      </c>
      <c r="C493">
        <v>5919</v>
      </c>
      <c r="D493" s="61" t="s">
        <v>463</v>
      </c>
    </row>
    <row r="494" spans="1:4" x14ac:dyDescent="0.2">
      <c r="A494" s="61" t="s">
        <v>514</v>
      </c>
      <c r="B494">
        <v>1989</v>
      </c>
      <c r="C494">
        <v>6317</v>
      </c>
      <c r="D494" s="61" t="s">
        <v>463</v>
      </c>
    </row>
    <row r="495" spans="1:4" x14ac:dyDescent="0.2">
      <c r="A495" s="61" t="s">
        <v>514</v>
      </c>
      <c r="B495">
        <v>1990</v>
      </c>
      <c r="C495">
        <v>3195</v>
      </c>
      <c r="D495" s="61" t="s">
        <v>463</v>
      </c>
    </row>
    <row r="496" spans="1:4" x14ac:dyDescent="0.2">
      <c r="A496" s="61" t="s">
        <v>514</v>
      </c>
      <c r="B496">
        <v>1991</v>
      </c>
      <c r="C496">
        <v>10153</v>
      </c>
      <c r="D496" s="61" t="s">
        <v>463</v>
      </c>
    </row>
    <row r="497" spans="1:4" x14ac:dyDescent="0.2">
      <c r="A497" s="61" t="s">
        <v>514</v>
      </c>
      <c r="B497">
        <v>1992</v>
      </c>
      <c r="C497">
        <v>6529</v>
      </c>
      <c r="D497" s="61" t="s">
        <v>463</v>
      </c>
    </row>
    <row r="498" spans="1:4" x14ac:dyDescent="0.2">
      <c r="A498" s="61" t="s">
        <v>514</v>
      </c>
      <c r="B498">
        <v>1993</v>
      </c>
      <c r="C498">
        <v>11407</v>
      </c>
      <c r="D498" s="61" t="s">
        <v>463</v>
      </c>
    </row>
    <row r="499" spans="1:4" x14ac:dyDescent="0.2">
      <c r="A499" s="61" t="s">
        <v>514</v>
      </c>
      <c r="B499">
        <v>1994</v>
      </c>
      <c r="C499">
        <v>199</v>
      </c>
      <c r="D499" s="61" t="s">
        <v>463</v>
      </c>
    </row>
    <row r="500" spans="1:4" x14ac:dyDescent="0.2">
      <c r="A500" s="61" t="s">
        <v>514</v>
      </c>
      <c r="B500">
        <v>1995</v>
      </c>
      <c r="C500">
        <v>916</v>
      </c>
      <c r="D500" s="61" t="s">
        <v>463</v>
      </c>
    </row>
    <row r="501" spans="1:4" x14ac:dyDescent="0.2">
      <c r="A501" s="61" t="s">
        <v>514</v>
      </c>
      <c r="B501">
        <v>1996</v>
      </c>
      <c r="C501">
        <v>2946</v>
      </c>
      <c r="D501" s="61" t="s">
        <v>463</v>
      </c>
    </row>
    <row r="502" spans="1:4" x14ac:dyDescent="0.2">
      <c r="A502" s="61" t="s">
        <v>514</v>
      </c>
      <c r="B502">
        <v>1997</v>
      </c>
      <c r="C502">
        <v>3694</v>
      </c>
      <c r="D502" s="61" t="s">
        <v>463</v>
      </c>
    </row>
    <row r="503" spans="1:4" x14ac:dyDescent="0.2">
      <c r="A503" s="61" t="s">
        <v>514</v>
      </c>
      <c r="B503">
        <v>1998</v>
      </c>
      <c r="C503">
        <v>423</v>
      </c>
      <c r="D503" s="61" t="s">
        <v>463</v>
      </c>
    </row>
    <row r="504" spans="1:4" x14ac:dyDescent="0.2">
      <c r="A504" s="61" t="s">
        <v>514</v>
      </c>
      <c r="B504">
        <v>1999</v>
      </c>
      <c r="C504">
        <v>4553</v>
      </c>
      <c r="D504" s="61" t="s">
        <v>463</v>
      </c>
    </row>
    <row r="505" spans="1:4" x14ac:dyDescent="0.2">
      <c r="A505" s="61" t="s">
        <v>514</v>
      </c>
      <c r="B505">
        <v>2000</v>
      </c>
      <c r="C505">
        <v>4328</v>
      </c>
      <c r="D505" s="61" t="s">
        <v>463</v>
      </c>
    </row>
    <row r="506" spans="1:4" x14ac:dyDescent="0.2">
      <c r="A506" s="61" t="s">
        <v>514</v>
      </c>
      <c r="B506">
        <v>2001</v>
      </c>
      <c r="C506">
        <v>9057</v>
      </c>
      <c r="D506" s="61" t="s">
        <v>463</v>
      </c>
    </row>
    <row r="507" spans="1:4" x14ac:dyDescent="0.2">
      <c r="A507" s="61" t="s">
        <v>514</v>
      </c>
      <c r="B507">
        <v>2002</v>
      </c>
      <c r="C507">
        <v>3115</v>
      </c>
      <c r="D507" s="61" t="s">
        <v>463</v>
      </c>
    </row>
    <row r="508" spans="1:4" x14ac:dyDescent="0.2">
      <c r="A508" s="61" t="s">
        <v>514</v>
      </c>
      <c r="B508">
        <v>2003</v>
      </c>
      <c r="C508">
        <v>842</v>
      </c>
      <c r="D508" s="61" t="s">
        <v>463</v>
      </c>
    </row>
    <row r="509" spans="1:4" x14ac:dyDescent="0.2">
      <c r="A509" s="61" t="s">
        <v>514</v>
      </c>
      <c r="B509">
        <v>2004</v>
      </c>
      <c r="C509">
        <v>1140</v>
      </c>
      <c r="D509" s="61" t="s">
        <v>463</v>
      </c>
    </row>
    <row r="510" spans="1:4" x14ac:dyDescent="0.2">
      <c r="A510" s="61" t="s">
        <v>514</v>
      </c>
      <c r="B510">
        <v>2005</v>
      </c>
      <c r="C510">
        <v>508</v>
      </c>
      <c r="D510" s="61" t="s">
        <v>463</v>
      </c>
    </row>
    <row r="511" spans="1:4" x14ac:dyDescent="0.2">
      <c r="A511" s="61" t="s">
        <v>514</v>
      </c>
      <c r="B511">
        <v>2006</v>
      </c>
      <c r="C511">
        <v>244</v>
      </c>
      <c r="D511" s="61" t="s">
        <v>463</v>
      </c>
    </row>
    <row r="512" spans="1:4" x14ac:dyDescent="0.2">
      <c r="A512" s="61" t="s">
        <v>514</v>
      </c>
      <c r="B512">
        <v>2007</v>
      </c>
      <c r="C512">
        <v>1697</v>
      </c>
      <c r="D512" s="61" t="s">
        <v>463</v>
      </c>
    </row>
    <row r="513" spans="1:5" x14ac:dyDescent="0.2">
      <c r="A513" s="61" t="s">
        <v>514</v>
      </c>
      <c r="B513">
        <v>2008</v>
      </c>
      <c r="C513">
        <v>1006</v>
      </c>
      <c r="D513" s="61" t="s">
        <v>463</v>
      </c>
    </row>
    <row r="514" spans="1:5" x14ac:dyDescent="0.2">
      <c r="A514" s="61" t="s">
        <v>515</v>
      </c>
      <c r="B514">
        <v>1960</v>
      </c>
      <c r="C514">
        <v>39</v>
      </c>
      <c r="D514" s="61" t="s">
        <v>522</v>
      </c>
    </row>
    <row r="515" spans="1:5" x14ac:dyDescent="0.2">
      <c r="A515" s="61" t="s">
        <v>515</v>
      </c>
      <c r="B515">
        <v>1961</v>
      </c>
      <c r="C515">
        <v>59</v>
      </c>
      <c r="D515" s="61" t="s">
        <v>522</v>
      </c>
    </row>
    <row r="516" spans="1:5" x14ac:dyDescent="0.2">
      <c r="A516" s="61" t="s">
        <v>515</v>
      </c>
      <c r="B516">
        <v>1962</v>
      </c>
      <c r="C516">
        <v>61</v>
      </c>
      <c r="D516" s="61" t="s">
        <v>522</v>
      </c>
    </row>
    <row r="517" spans="1:5" x14ac:dyDescent="0.2">
      <c r="A517" s="61" t="s">
        <v>515</v>
      </c>
      <c r="B517">
        <v>1963</v>
      </c>
      <c r="C517">
        <v>75</v>
      </c>
      <c r="D517" s="61" t="s">
        <v>522</v>
      </c>
    </row>
    <row r="518" spans="1:5" x14ac:dyDescent="0.2">
      <c r="A518" s="61" t="s">
        <v>515</v>
      </c>
      <c r="B518">
        <v>1964</v>
      </c>
      <c r="C518">
        <v>257</v>
      </c>
      <c r="D518" s="61" t="s">
        <v>522</v>
      </c>
    </row>
    <row r="519" spans="1:5" x14ac:dyDescent="0.2">
      <c r="A519" s="61" t="s">
        <v>515</v>
      </c>
      <c r="B519">
        <v>1965</v>
      </c>
      <c r="C519">
        <v>421</v>
      </c>
      <c r="D519" s="61" t="s">
        <v>522</v>
      </c>
    </row>
    <row r="520" spans="1:5" x14ac:dyDescent="0.2">
      <c r="A520" s="61" t="s">
        <v>515</v>
      </c>
      <c r="B520">
        <v>1966</v>
      </c>
      <c r="C520">
        <v>224</v>
      </c>
      <c r="D520" s="61" t="s">
        <v>522</v>
      </c>
    </row>
    <row r="521" spans="1:5" x14ac:dyDescent="0.2">
      <c r="A521" s="61" t="s">
        <v>515</v>
      </c>
      <c r="B521">
        <v>1967</v>
      </c>
      <c r="C521">
        <v>383</v>
      </c>
      <c r="D521" s="61" t="s">
        <v>522</v>
      </c>
    </row>
    <row r="522" spans="1:5" x14ac:dyDescent="0.2">
      <c r="A522" s="61" t="s">
        <v>515</v>
      </c>
      <c r="B522">
        <v>1968</v>
      </c>
      <c r="C522">
        <v>735</v>
      </c>
      <c r="D522" s="61" t="s">
        <v>522</v>
      </c>
    </row>
    <row r="523" spans="1:5" x14ac:dyDescent="0.2">
      <c r="A523" s="61" t="s">
        <v>515</v>
      </c>
      <c r="B523">
        <v>1969</v>
      </c>
      <c r="C523">
        <v>792</v>
      </c>
      <c r="D523" s="61" t="s">
        <v>522</v>
      </c>
    </row>
    <row r="524" spans="1:5" x14ac:dyDescent="0.2">
      <c r="A524" s="61" t="s">
        <v>515</v>
      </c>
      <c r="B524" s="86">
        <v>1970</v>
      </c>
      <c r="C524">
        <v>807</v>
      </c>
      <c r="D524" s="61" t="s">
        <v>522</v>
      </c>
      <c r="E524">
        <v>1883.3869999999999</v>
      </c>
    </row>
    <row r="525" spans="1:5" x14ac:dyDescent="0.2">
      <c r="A525" s="61" t="s">
        <v>515</v>
      </c>
      <c r="B525">
        <v>1971</v>
      </c>
      <c r="C525">
        <v>1141</v>
      </c>
      <c r="D525" s="61" t="s">
        <v>522</v>
      </c>
      <c r="E525">
        <v>701.49519999999995</v>
      </c>
    </row>
    <row r="526" spans="1:5" x14ac:dyDescent="0.2">
      <c r="A526" s="61" t="s">
        <v>515</v>
      </c>
      <c r="B526">
        <v>1972</v>
      </c>
      <c r="C526">
        <v>698</v>
      </c>
      <c r="D526" s="61" t="s">
        <v>522</v>
      </c>
      <c r="E526">
        <v>2835.7820000000002</v>
      </c>
    </row>
    <row r="527" spans="1:5" x14ac:dyDescent="0.2">
      <c r="A527" s="61" t="s">
        <v>515</v>
      </c>
      <c r="B527">
        <v>1973</v>
      </c>
      <c r="C527">
        <v>535</v>
      </c>
      <c r="D527" s="61" t="s">
        <v>522</v>
      </c>
      <c r="E527">
        <v>4237.9759999999997</v>
      </c>
    </row>
    <row r="528" spans="1:5" x14ac:dyDescent="0.2">
      <c r="A528" s="61" t="s">
        <v>515</v>
      </c>
      <c r="B528">
        <v>1974</v>
      </c>
      <c r="C528">
        <v>498</v>
      </c>
      <c r="D528" s="61" t="s">
        <v>522</v>
      </c>
      <c r="E528">
        <v>2971.7539999999999</v>
      </c>
    </row>
    <row r="529" spans="1:5" x14ac:dyDescent="0.2">
      <c r="A529" s="61" t="s">
        <v>515</v>
      </c>
      <c r="B529">
        <v>1975</v>
      </c>
      <c r="C529">
        <v>331</v>
      </c>
      <c r="D529" s="61" t="s">
        <v>522</v>
      </c>
      <c r="E529">
        <v>2300.8449999999998</v>
      </c>
    </row>
    <row r="530" spans="1:5" x14ac:dyDescent="0.2">
      <c r="A530" s="61" t="s">
        <v>515</v>
      </c>
      <c r="B530">
        <v>1976</v>
      </c>
      <c r="C530">
        <v>341</v>
      </c>
      <c r="D530" s="61" t="s">
        <v>522</v>
      </c>
      <c r="E530">
        <v>872.024</v>
      </c>
    </row>
    <row r="531" spans="1:5" x14ac:dyDescent="0.2">
      <c r="A531" s="61" t="s">
        <v>515</v>
      </c>
      <c r="B531">
        <v>1977</v>
      </c>
      <c r="C531">
        <v>421</v>
      </c>
      <c r="D531" s="61" t="s">
        <v>522</v>
      </c>
      <c r="E531">
        <v>6124.9669999999996</v>
      </c>
    </row>
    <row r="532" spans="1:5" x14ac:dyDescent="0.2">
      <c r="A532" s="61" t="s">
        <v>515</v>
      </c>
      <c r="B532">
        <v>1978</v>
      </c>
      <c r="C532">
        <v>188</v>
      </c>
      <c r="D532" s="61" t="s">
        <v>522</v>
      </c>
      <c r="E532">
        <v>2391.8069999999998</v>
      </c>
    </row>
    <row r="533" spans="1:5" x14ac:dyDescent="0.2">
      <c r="A533" s="61" t="s">
        <v>515</v>
      </c>
      <c r="B533">
        <v>1979</v>
      </c>
      <c r="C533">
        <v>290</v>
      </c>
      <c r="D533" s="61" t="s">
        <v>522</v>
      </c>
      <c r="E533">
        <v>1161.2919999999999</v>
      </c>
    </row>
    <row r="534" spans="1:5" x14ac:dyDescent="0.2">
      <c r="A534" s="61" t="s">
        <v>515</v>
      </c>
      <c r="B534" s="69">
        <v>1980</v>
      </c>
      <c r="C534">
        <v>331</v>
      </c>
      <c r="D534" s="61" t="s">
        <v>522</v>
      </c>
      <c r="E534">
        <v>1540.9280000000001</v>
      </c>
    </row>
    <row r="535" spans="1:5" x14ac:dyDescent="0.2">
      <c r="A535" s="61" t="s">
        <v>515</v>
      </c>
      <c r="B535">
        <v>1981</v>
      </c>
      <c r="C535">
        <v>462</v>
      </c>
      <c r="D535" s="61" t="s">
        <v>522</v>
      </c>
      <c r="E535">
        <v>2823.8110000000001</v>
      </c>
    </row>
    <row r="536" spans="1:5" x14ac:dyDescent="0.2">
      <c r="A536" s="61" t="s">
        <v>515</v>
      </c>
      <c r="B536">
        <v>1982</v>
      </c>
      <c r="C536">
        <v>583</v>
      </c>
      <c r="D536" s="61" t="s">
        <v>522</v>
      </c>
      <c r="E536">
        <v>2367.0219999999999</v>
      </c>
    </row>
    <row r="537" spans="1:5" x14ac:dyDescent="0.2">
      <c r="A537" s="61" t="s">
        <v>515</v>
      </c>
      <c r="B537">
        <v>1983</v>
      </c>
      <c r="C537">
        <v>659</v>
      </c>
      <c r="D537" s="61" t="s">
        <v>522</v>
      </c>
      <c r="E537">
        <v>2779.2620000000002</v>
      </c>
    </row>
    <row r="538" spans="1:5" x14ac:dyDescent="0.2">
      <c r="A538" s="61" t="s">
        <v>515</v>
      </c>
      <c r="B538">
        <v>1984</v>
      </c>
      <c r="C538">
        <v>593</v>
      </c>
      <c r="D538" s="61" t="s">
        <v>522</v>
      </c>
      <c r="E538">
        <v>4315.915</v>
      </c>
    </row>
    <row r="539" spans="1:5" x14ac:dyDescent="0.2">
      <c r="A539" s="61" t="s">
        <v>515</v>
      </c>
      <c r="B539">
        <v>1985</v>
      </c>
      <c r="C539">
        <v>525</v>
      </c>
      <c r="D539" s="61" t="s">
        <v>522</v>
      </c>
      <c r="E539">
        <v>1458.8889999999999</v>
      </c>
    </row>
    <row r="540" spans="1:5" x14ac:dyDescent="0.2">
      <c r="A540" s="61" t="s">
        <v>515</v>
      </c>
      <c r="B540">
        <v>1986</v>
      </c>
      <c r="C540">
        <v>631</v>
      </c>
      <c r="D540" s="61" t="s">
        <v>522</v>
      </c>
      <c r="E540">
        <v>2261.8760000000002</v>
      </c>
    </row>
    <row r="541" spans="1:5" x14ac:dyDescent="0.2">
      <c r="A541" s="61" t="s">
        <v>515</v>
      </c>
      <c r="B541">
        <v>1987</v>
      </c>
      <c r="C541">
        <v>492</v>
      </c>
      <c r="D541" s="61" t="s">
        <v>522</v>
      </c>
      <c r="E541">
        <v>1161.548</v>
      </c>
    </row>
    <row r="542" spans="1:5" x14ac:dyDescent="0.2">
      <c r="A542" s="61" t="s">
        <v>515</v>
      </c>
      <c r="B542">
        <v>1988</v>
      </c>
      <c r="C542">
        <v>541</v>
      </c>
      <c r="D542" s="61" t="s">
        <v>522</v>
      </c>
      <c r="E542">
        <v>1459.83</v>
      </c>
    </row>
    <row r="543" spans="1:5" x14ac:dyDescent="0.2">
      <c r="A543" s="61" t="s">
        <v>515</v>
      </c>
      <c r="B543">
        <v>1989</v>
      </c>
      <c r="C543">
        <v>527</v>
      </c>
      <c r="D543" s="61" t="s">
        <v>522</v>
      </c>
      <c r="E543">
        <v>1576.693</v>
      </c>
    </row>
    <row r="544" spans="1:5" x14ac:dyDescent="0.2">
      <c r="A544" s="61" t="s">
        <v>515</v>
      </c>
      <c r="B544">
        <v>1990</v>
      </c>
      <c r="C544">
        <v>645</v>
      </c>
      <c r="D544" s="61" t="s">
        <v>522</v>
      </c>
      <c r="E544">
        <v>606.57399999999996</v>
      </c>
    </row>
    <row r="545" spans="1:5" x14ac:dyDescent="0.2">
      <c r="A545" s="61" t="s">
        <v>515</v>
      </c>
      <c r="B545">
        <v>1991</v>
      </c>
      <c r="C545">
        <v>608</v>
      </c>
      <c r="D545" s="61" t="s">
        <v>522</v>
      </c>
      <c r="E545">
        <v>1156.7270000000001</v>
      </c>
    </row>
    <row r="546" spans="1:5" x14ac:dyDescent="0.2">
      <c r="A546" s="61" t="s">
        <v>515</v>
      </c>
      <c r="B546">
        <v>1992</v>
      </c>
      <c r="C546">
        <v>831</v>
      </c>
      <c r="D546" s="61" t="s">
        <v>522</v>
      </c>
      <c r="E546">
        <v>460.99200000000002</v>
      </c>
    </row>
    <row r="547" spans="1:5" x14ac:dyDescent="0.2">
      <c r="A547" s="61" t="s">
        <v>515</v>
      </c>
      <c r="B547">
        <v>1993</v>
      </c>
      <c r="C547">
        <v>376</v>
      </c>
      <c r="D547" s="61" t="s">
        <v>522</v>
      </c>
      <c r="E547">
        <v>1092.951</v>
      </c>
    </row>
    <row r="548" spans="1:5" x14ac:dyDescent="0.2">
      <c r="A548" s="61" t="s">
        <v>515</v>
      </c>
      <c r="B548">
        <v>1994</v>
      </c>
      <c r="C548">
        <v>392</v>
      </c>
      <c r="D548" s="61" t="s">
        <v>522</v>
      </c>
      <c r="E548">
        <v>982.38</v>
      </c>
    </row>
    <row r="549" spans="1:5" x14ac:dyDescent="0.2">
      <c r="A549" s="61" t="s">
        <v>515</v>
      </c>
      <c r="B549">
        <v>1995</v>
      </c>
      <c r="C549">
        <v>306</v>
      </c>
      <c r="D549" s="61" t="s">
        <v>522</v>
      </c>
      <c r="E549">
        <v>685.51499999999999</v>
      </c>
    </row>
    <row r="550" spans="1:5" x14ac:dyDescent="0.2">
      <c r="A550" s="61" t="s">
        <v>515</v>
      </c>
      <c r="B550">
        <v>1996</v>
      </c>
      <c r="C550">
        <v>404</v>
      </c>
      <c r="D550" s="61" t="s">
        <v>522</v>
      </c>
      <c r="E550">
        <v>1907.932</v>
      </c>
    </row>
    <row r="551" spans="1:5" x14ac:dyDescent="0.2">
      <c r="A551" s="61" t="s">
        <v>515</v>
      </c>
      <c r="B551">
        <v>1997</v>
      </c>
      <c r="C551">
        <v>415</v>
      </c>
      <c r="D551" s="61" t="s">
        <v>522</v>
      </c>
      <c r="E551">
        <v>3470.9140000000002</v>
      </c>
    </row>
    <row r="552" spans="1:5" x14ac:dyDescent="0.2">
      <c r="A552" s="61" t="s">
        <v>515</v>
      </c>
      <c r="B552">
        <v>1998</v>
      </c>
      <c r="C552">
        <v>292</v>
      </c>
      <c r="D552" s="61" t="s">
        <v>522</v>
      </c>
      <c r="E552">
        <v>1443.4059999999999</v>
      </c>
    </row>
    <row r="553" spans="1:5" x14ac:dyDescent="0.2">
      <c r="A553" s="61" t="s">
        <v>515</v>
      </c>
      <c r="B553">
        <v>1999</v>
      </c>
      <c r="C553">
        <v>243</v>
      </c>
      <c r="D553" s="61" t="s">
        <v>522</v>
      </c>
      <c r="E553">
        <v>1235.875</v>
      </c>
    </row>
    <row r="554" spans="1:5" x14ac:dyDescent="0.2">
      <c r="A554" s="61" t="s">
        <v>515</v>
      </c>
      <c r="B554">
        <v>2000</v>
      </c>
      <c r="C554">
        <v>414</v>
      </c>
      <c r="D554" s="61" t="s">
        <v>522</v>
      </c>
      <c r="E554">
        <v>692.95299999999997</v>
      </c>
    </row>
    <row r="555" spans="1:5" x14ac:dyDescent="0.2">
      <c r="A555" s="61" t="s">
        <v>515</v>
      </c>
      <c r="B555">
        <v>2001</v>
      </c>
      <c r="C555">
        <v>351</v>
      </c>
      <c r="D555" s="61" t="s">
        <v>522</v>
      </c>
      <c r="E555">
        <v>2463.163</v>
      </c>
    </row>
    <row r="556" spans="1:5" x14ac:dyDescent="0.2">
      <c r="A556" s="61" t="s">
        <v>515</v>
      </c>
      <c r="B556">
        <v>2002</v>
      </c>
      <c r="C556">
        <v>320</v>
      </c>
      <c r="D556" s="61" t="s">
        <v>522</v>
      </c>
      <c r="E556">
        <v>2868.3159999999998</v>
      </c>
    </row>
    <row r="557" spans="1:5" x14ac:dyDescent="0.2">
      <c r="A557" s="61" t="s">
        <v>515</v>
      </c>
      <c r="B557">
        <v>2003</v>
      </c>
      <c r="C557">
        <v>384</v>
      </c>
      <c r="D557" s="61" t="s">
        <v>522</v>
      </c>
      <c r="E557">
        <v>1147.9960000000001</v>
      </c>
    </row>
    <row r="558" spans="1:5" x14ac:dyDescent="0.2">
      <c r="A558" s="61" t="s">
        <v>515</v>
      </c>
      <c r="B558">
        <v>2004</v>
      </c>
      <c r="C558">
        <v>277</v>
      </c>
      <c r="D558" s="61" t="s">
        <v>522</v>
      </c>
      <c r="E558">
        <v>748.50400000000002</v>
      </c>
    </row>
    <row r="559" spans="1:5" x14ac:dyDescent="0.2">
      <c r="A559" s="61" t="s">
        <v>515</v>
      </c>
      <c r="B559">
        <v>2005</v>
      </c>
      <c r="C559">
        <v>284</v>
      </c>
      <c r="D559" s="61" t="s">
        <v>522</v>
      </c>
      <c r="E559">
        <v>1748.9580000000001</v>
      </c>
    </row>
    <row r="560" spans="1:5" x14ac:dyDescent="0.2">
      <c r="A560" s="61" t="s">
        <v>515</v>
      </c>
      <c r="B560">
        <v>2006</v>
      </c>
      <c r="C560">
        <v>129</v>
      </c>
      <c r="D560" s="61" t="s">
        <v>522</v>
      </c>
      <c r="E560">
        <v>928.48500000000001</v>
      </c>
    </row>
    <row r="561" spans="1:5" x14ac:dyDescent="0.2">
      <c r="A561" s="61" t="s">
        <v>515</v>
      </c>
      <c r="B561">
        <v>2007</v>
      </c>
      <c r="C561">
        <v>147</v>
      </c>
      <c r="D561" s="61" t="s">
        <v>522</v>
      </c>
      <c r="E561">
        <v>1204.5519999999999</v>
      </c>
    </row>
    <row r="562" spans="1:5" x14ac:dyDescent="0.2">
      <c r="A562" s="61" t="s">
        <v>515</v>
      </c>
      <c r="B562">
        <v>2008</v>
      </c>
      <c r="C562">
        <v>126</v>
      </c>
      <c r="D562" s="61" t="s">
        <v>522</v>
      </c>
      <c r="E562">
        <v>735.673</v>
      </c>
    </row>
    <row r="563" spans="1:5" x14ac:dyDescent="0.2">
      <c r="A563" s="61" t="s">
        <v>516</v>
      </c>
      <c r="B563">
        <v>1960</v>
      </c>
      <c r="C563">
        <v>63</v>
      </c>
      <c r="D563" s="61" t="s">
        <v>528</v>
      </c>
    </row>
    <row r="564" spans="1:5" x14ac:dyDescent="0.2">
      <c r="A564" s="61" t="s">
        <v>516</v>
      </c>
      <c r="B564">
        <v>1961</v>
      </c>
      <c r="C564">
        <v>699</v>
      </c>
      <c r="D564" s="61" t="s">
        <v>528</v>
      </c>
    </row>
    <row r="565" spans="1:5" x14ac:dyDescent="0.2">
      <c r="A565" s="61" t="s">
        <v>516</v>
      </c>
      <c r="B565">
        <v>1962</v>
      </c>
      <c r="C565">
        <v>449</v>
      </c>
      <c r="D565" s="61" t="s">
        <v>528</v>
      </c>
    </row>
    <row r="566" spans="1:5" x14ac:dyDescent="0.2">
      <c r="A566" s="61" t="s">
        <v>516</v>
      </c>
      <c r="B566">
        <v>1963</v>
      </c>
      <c r="C566">
        <v>614</v>
      </c>
      <c r="D566" s="61" t="s">
        <v>528</v>
      </c>
    </row>
    <row r="567" spans="1:5" x14ac:dyDescent="0.2">
      <c r="A567" s="61" t="s">
        <v>516</v>
      </c>
      <c r="B567">
        <v>1964</v>
      </c>
      <c r="C567">
        <v>1280</v>
      </c>
      <c r="D567" s="61" t="s">
        <v>528</v>
      </c>
    </row>
    <row r="568" spans="1:5" x14ac:dyDescent="0.2">
      <c r="A568" s="61" t="s">
        <v>516</v>
      </c>
      <c r="B568">
        <v>1965</v>
      </c>
      <c r="C568">
        <v>1128</v>
      </c>
      <c r="D568" s="61" t="s">
        <v>528</v>
      </c>
    </row>
    <row r="569" spans="1:5" x14ac:dyDescent="0.2">
      <c r="A569" s="61" t="s">
        <v>516</v>
      </c>
      <c r="B569">
        <v>1966</v>
      </c>
      <c r="C569">
        <v>1257</v>
      </c>
      <c r="D569" s="61" t="s">
        <v>528</v>
      </c>
    </row>
    <row r="570" spans="1:5" x14ac:dyDescent="0.2">
      <c r="A570" s="61" t="s">
        <v>516</v>
      </c>
      <c r="B570">
        <v>1967</v>
      </c>
      <c r="C570">
        <v>902</v>
      </c>
      <c r="D570" s="61" t="s">
        <v>528</v>
      </c>
    </row>
    <row r="571" spans="1:5" x14ac:dyDescent="0.2">
      <c r="A571" s="61" t="s">
        <v>516</v>
      </c>
      <c r="B571">
        <v>1968</v>
      </c>
      <c r="C571">
        <v>1143</v>
      </c>
      <c r="D571" s="61" t="s">
        <v>528</v>
      </c>
    </row>
    <row r="572" spans="1:5" x14ac:dyDescent="0.2">
      <c r="A572" s="61" t="s">
        <v>516</v>
      </c>
      <c r="B572">
        <v>1969</v>
      </c>
      <c r="C572">
        <v>1400</v>
      </c>
      <c r="D572" s="61" t="s">
        <v>528</v>
      </c>
    </row>
    <row r="573" spans="1:5" x14ac:dyDescent="0.2">
      <c r="A573" s="61" t="s">
        <v>516</v>
      </c>
      <c r="B573" s="86">
        <v>1970</v>
      </c>
      <c r="C573">
        <v>1478</v>
      </c>
      <c r="D573" s="61" t="s">
        <v>528</v>
      </c>
      <c r="E573">
        <v>262.09975520000006</v>
      </c>
    </row>
    <row r="574" spans="1:5" x14ac:dyDescent="0.2">
      <c r="A574" s="61" t="s">
        <v>516</v>
      </c>
      <c r="B574">
        <v>1971</v>
      </c>
      <c r="C574">
        <v>1483</v>
      </c>
      <c r="D574" s="61" t="s">
        <v>528</v>
      </c>
      <c r="E574">
        <v>161.84315839999999</v>
      </c>
    </row>
    <row r="575" spans="1:5" x14ac:dyDescent="0.2">
      <c r="A575" s="61" t="s">
        <v>516</v>
      </c>
      <c r="B575">
        <v>1972</v>
      </c>
      <c r="C575">
        <v>825</v>
      </c>
      <c r="D575" s="61" t="s">
        <v>528</v>
      </c>
      <c r="E575">
        <v>136.32617439999999</v>
      </c>
    </row>
    <row r="576" spans="1:5" x14ac:dyDescent="0.2">
      <c r="A576" s="61" t="s">
        <v>516</v>
      </c>
      <c r="B576">
        <v>1973</v>
      </c>
      <c r="C576">
        <v>774</v>
      </c>
      <c r="D576" s="61" t="s">
        <v>528</v>
      </c>
      <c r="E576">
        <v>331.55894560000002</v>
      </c>
    </row>
    <row r="577" spans="1:5" x14ac:dyDescent="0.2">
      <c r="A577" s="61" t="s">
        <v>516</v>
      </c>
      <c r="B577">
        <v>1974</v>
      </c>
      <c r="C577">
        <v>974</v>
      </c>
      <c r="D577" s="61" t="s">
        <v>528</v>
      </c>
      <c r="E577">
        <v>597.23154079999995</v>
      </c>
    </row>
    <row r="578" spans="1:5" x14ac:dyDescent="0.2">
      <c r="A578" s="61" t="s">
        <v>516</v>
      </c>
      <c r="B578">
        <v>1975</v>
      </c>
      <c r="C578">
        <v>670</v>
      </c>
      <c r="D578" s="61" t="s">
        <v>528</v>
      </c>
      <c r="E578">
        <v>496.17761679999995</v>
      </c>
    </row>
    <row r="579" spans="1:5" x14ac:dyDescent="0.2">
      <c r="A579" s="61" t="s">
        <v>516</v>
      </c>
      <c r="B579">
        <v>1976</v>
      </c>
      <c r="C579">
        <v>717</v>
      </c>
      <c r="D579" s="61" t="s">
        <v>528</v>
      </c>
      <c r="E579">
        <v>532.86185920000003</v>
      </c>
    </row>
    <row r="580" spans="1:5" x14ac:dyDescent="0.2">
      <c r="A580" s="61" t="s">
        <v>516</v>
      </c>
      <c r="B580">
        <v>1977</v>
      </c>
      <c r="C580">
        <v>1022</v>
      </c>
      <c r="D580" s="61" t="s">
        <v>528</v>
      </c>
      <c r="E580">
        <v>1684.6070399999999</v>
      </c>
    </row>
    <row r="581" spans="1:5" x14ac:dyDescent="0.2">
      <c r="A581" s="61" t="s">
        <v>516</v>
      </c>
      <c r="B581">
        <v>1978</v>
      </c>
      <c r="C581">
        <v>884</v>
      </c>
      <c r="D581" s="61" t="s">
        <v>528</v>
      </c>
      <c r="E581">
        <v>382.53861120000005</v>
      </c>
    </row>
    <row r="582" spans="1:5" x14ac:dyDescent="0.2">
      <c r="A582" s="61" t="s">
        <v>516</v>
      </c>
      <c r="B582">
        <v>1979</v>
      </c>
      <c r="C582">
        <v>847</v>
      </c>
      <c r="D582" s="61" t="s">
        <v>528</v>
      </c>
      <c r="E582">
        <v>2941.4460400000003</v>
      </c>
    </row>
    <row r="583" spans="1:5" x14ac:dyDescent="0.2">
      <c r="A583" s="61" t="s">
        <v>516</v>
      </c>
      <c r="B583" s="69">
        <v>1980</v>
      </c>
      <c r="C583">
        <v>1134</v>
      </c>
      <c r="D583" s="61" t="s">
        <v>528</v>
      </c>
      <c r="E583">
        <v>1612.6697199999999</v>
      </c>
    </row>
    <row r="584" spans="1:5" x14ac:dyDescent="0.2">
      <c r="A584" s="61" t="s">
        <v>516</v>
      </c>
      <c r="B584">
        <v>1981</v>
      </c>
      <c r="C584">
        <v>1411</v>
      </c>
      <c r="D584" s="61" t="s">
        <v>528</v>
      </c>
      <c r="E584">
        <v>2721.974768</v>
      </c>
    </row>
    <row r="585" spans="1:5" x14ac:dyDescent="0.2">
      <c r="A585" s="61" t="s">
        <v>516</v>
      </c>
      <c r="B585">
        <v>1982</v>
      </c>
      <c r="C585">
        <v>1144</v>
      </c>
      <c r="D585" s="61" t="s">
        <v>528</v>
      </c>
      <c r="E585">
        <v>3282.2006000000001</v>
      </c>
    </row>
    <row r="586" spans="1:5" x14ac:dyDescent="0.2">
      <c r="A586" s="61" t="s">
        <v>516</v>
      </c>
      <c r="B586">
        <v>1983</v>
      </c>
      <c r="C586">
        <v>915</v>
      </c>
      <c r="D586" s="61" t="s">
        <v>528</v>
      </c>
      <c r="E586">
        <v>1192.7450880000001</v>
      </c>
    </row>
    <row r="587" spans="1:5" x14ac:dyDescent="0.2">
      <c r="A587" s="61" t="s">
        <v>516</v>
      </c>
      <c r="B587">
        <v>1984</v>
      </c>
      <c r="C587">
        <v>877</v>
      </c>
      <c r="D587" s="61" t="s">
        <v>528</v>
      </c>
      <c r="E587">
        <v>3452.8360899999998</v>
      </c>
    </row>
    <row r="588" spans="1:5" x14ac:dyDescent="0.2">
      <c r="A588" s="61" t="s">
        <v>516</v>
      </c>
      <c r="B588">
        <v>1985</v>
      </c>
      <c r="C588">
        <v>795</v>
      </c>
      <c r="D588" s="61" t="s">
        <v>528</v>
      </c>
      <c r="E588">
        <v>1194.53838</v>
      </c>
    </row>
    <row r="589" spans="1:5" x14ac:dyDescent="0.2">
      <c r="A589" s="61" t="s">
        <v>516</v>
      </c>
      <c r="B589">
        <v>1986</v>
      </c>
      <c r="C589">
        <v>1034</v>
      </c>
      <c r="D589" s="61" t="s">
        <v>528</v>
      </c>
      <c r="E589">
        <v>2812.5435600000001</v>
      </c>
    </row>
    <row r="590" spans="1:5" x14ac:dyDescent="0.2">
      <c r="A590" s="61" t="s">
        <v>516</v>
      </c>
      <c r="B590">
        <v>1987</v>
      </c>
      <c r="C590">
        <v>1044</v>
      </c>
      <c r="D590" s="61" t="s">
        <v>528</v>
      </c>
      <c r="E590">
        <v>2750.0372599999996</v>
      </c>
    </row>
    <row r="591" spans="1:5" x14ac:dyDescent="0.2">
      <c r="A591" s="61" t="s">
        <v>516</v>
      </c>
      <c r="B591">
        <v>1988</v>
      </c>
      <c r="C591">
        <v>1460</v>
      </c>
      <c r="D591" s="61" t="s">
        <v>528</v>
      </c>
      <c r="E591">
        <v>5559.59166</v>
      </c>
    </row>
    <row r="592" spans="1:5" x14ac:dyDescent="0.2">
      <c r="A592" s="61" t="s">
        <v>516</v>
      </c>
      <c r="B592">
        <v>1989</v>
      </c>
      <c r="C592">
        <v>1289</v>
      </c>
      <c r="D592" s="61" t="s">
        <v>528</v>
      </c>
      <c r="E592">
        <v>4559.4887099999996</v>
      </c>
    </row>
    <row r="593" spans="1:5" x14ac:dyDescent="0.2">
      <c r="A593" s="61" t="s">
        <v>516</v>
      </c>
      <c r="B593">
        <v>1990</v>
      </c>
      <c r="C593">
        <v>1886</v>
      </c>
      <c r="D593" s="61" t="s">
        <v>528</v>
      </c>
      <c r="E593">
        <v>6934.3224500000006</v>
      </c>
    </row>
    <row r="594" spans="1:5" x14ac:dyDescent="0.2">
      <c r="A594" s="61" t="s">
        <v>516</v>
      </c>
      <c r="B594">
        <v>1991</v>
      </c>
      <c r="C594">
        <v>607</v>
      </c>
      <c r="D594" s="61" t="s">
        <v>528</v>
      </c>
      <c r="E594">
        <v>4728.55573</v>
      </c>
    </row>
    <row r="595" spans="1:5" x14ac:dyDescent="0.2">
      <c r="A595" s="61" t="s">
        <v>516</v>
      </c>
      <c r="B595">
        <v>1992</v>
      </c>
      <c r="C595">
        <v>567</v>
      </c>
      <c r="D595" s="61" t="s">
        <v>528</v>
      </c>
      <c r="E595">
        <v>6511.5325999999995</v>
      </c>
    </row>
    <row r="596" spans="1:5" x14ac:dyDescent="0.2">
      <c r="A596" s="61" t="s">
        <v>516</v>
      </c>
      <c r="B596">
        <v>1993</v>
      </c>
      <c r="C596">
        <v>345</v>
      </c>
      <c r="D596" s="61" t="s">
        <v>528</v>
      </c>
      <c r="E596">
        <v>3211.20739</v>
      </c>
    </row>
    <row r="597" spans="1:5" x14ac:dyDescent="0.2">
      <c r="A597" s="61" t="s">
        <v>516</v>
      </c>
      <c r="B597">
        <v>1994</v>
      </c>
      <c r="C597">
        <v>522</v>
      </c>
      <c r="D597" s="61" t="s">
        <v>528</v>
      </c>
      <c r="E597">
        <v>3093.3306699999998</v>
      </c>
    </row>
    <row r="598" spans="1:5" x14ac:dyDescent="0.2">
      <c r="A598" s="61" t="s">
        <v>516</v>
      </c>
      <c r="B598">
        <v>1995</v>
      </c>
      <c r="C598">
        <v>924</v>
      </c>
      <c r="D598" s="61" t="s">
        <v>528</v>
      </c>
      <c r="E598">
        <v>4394.6766399999997</v>
      </c>
    </row>
    <row r="599" spans="1:5" x14ac:dyDescent="0.2">
      <c r="A599" s="61" t="s">
        <v>516</v>
      </c>
      <c r="B599">
        <v>1996</v>
      </c>
      <c r="C599">
        <v>934</v>
      </c>
      <c r="D599" s="61" t="s">
        <v>528</v>
      </c>
      <c r="E599">
        <v>4177.7722999999996</v>
      </c>
    </row>
    <row r="600" spans="1:5" x14ac:dyDescent="0.2">
      <c r="A600" s="61" t="s">
        <v>516</v>
      </c>
      <c r="B600">
        <v>1997</v>
      </c>
      <c r="C600">
        <v>780</v>
      </c>
      <c r="D600" s="61" t="s">
        <v>528</v>
      </c>
      <c r="E600">
        <v>4476.29493</v>
      </c>
    </row>
    <row r="601" spans="1:5" x14ac:dyDescent="0.2">
      <c r="A601" s="61" t="s">
        <v>516</v>
      </c>
      <c r="B601">
        <v>1998</v>
      </c>
      <c r="C601">
        <v>517</v>
      </c>
      <c r="D601" s="61" t="s">
        <v>528</v>
      </c>
      <c r="E601">
        <v>2775.6774999999998</v>
      </c>
    </row>
    <row r="602" spans="1:5" x14ac:dyDescent="0.2">
      <c r="A602" s="61" t="s">
        <v>516</v>
      </c>
      <c r="B602">
        <v>1999</v>
      </c>
      <c r="C602">
        <v>525</v>
      </c>
      <c r="D602" s="61" t="s">
        <v>528</v>
      </c>
      <c r="E602">
        <v>2969.9784500000001</v>
      </c>
    </row>
    <row r="603" spans="1:5" x14ac:dyDescent="0.2">
      <c r="A603" s="61" t="s">
        <v>516</v>
      </c>
      <c r="B603">
        <v>2000</v>
      </c>
      <c r="C603">
        <v>596</v>
      </c>
      <c r="D603" s="61" t="s">
        <v>528</v>
      </c>
      <c r="E603">
        <v>4941.2353800000001</v>
      </c>
    </row>
    <row r="604" spans="1:5" x14ac:dyDescent="0.2">
      <c r="A604" s="61" t="s">
        <v>516</v>
      </c>
      <c r="B604">
        <v>2001</v>
      </c>
      <c r="C604">
        <v>540</v>
      </c>
      <c r="D604" s="61" t="s">
        <v>528</v>
      </c>
      <c r="E604">
        <v>3877.8580499999998</v>
      </c>
    </row>
    <row r="605" spans="1:5" x14ac:dyDescent="0.2">
      <c r="A605" s="61" t="s">
        <v>516</v>
      </c>
      <c r="B605">
        <v>2002</v>
      </c>
      <c r="C605">
        <v>651</v>
      </c>
      <c r="D605" s="61" t="s">
        <v>528</v>
      </c>
      <c r="E605">
        <v>4712.2651299999998</v>
      </c>
    </row>
    <row r="606" spans="1:5" x14ac:dyDescent="0.2">
      <c r="A606" s="61" t="s">
        <v>516</v>
      </c>
      <c r="B606">
        <v>2003</v>
      </c>
      <c r="C606">
        <v>810</v>
      </c>
      <c r="D606" s="61" t="s">
        <v>528</v>
      </c>
      <c r="E606">
        <v>4155.2060600000004</v>
      </c>
    </row>
    <row r="607" spans="1:5" x14ac:dyDescent="0.2">
      <c r="A607" s="61" t="s">
        <v>516</v>
      </c>
      <c r="B607">
        <v>2004</v>
      </c>
      <c r="C607">
        <v>875</v>
      </c>
      <c r="D607" s="61" t="s">
        <v>528</v>
      </c>
      <c r="E607">
        <v>5333.9989500000001</v>
      </c>
    </row>
    <row r="608" spans="1:5" x14ac:dyDescent="0.2">
      <c r="A608" s="61" t="s">
        <v>516</v>
      </c>
      <c r="B608">
        <v>2005</v>
      </c>
      <c r="C608">
        <v>660</v>
      </c>
      <c r="D608" s="61" t="s">
        <v>528</v>
      </c>
      <c r="E608">
        <v>4270.7833200000005</v>
      </c>
    </row>
    <row r="609" spans="1:5" x14ac:dyDescent="0.2">
      <c r="A609" s="61" t="s">
        <v>516</v>
      </c>
      <c r="B609">
        <v>2006</v>
      </c>
      <c r="C609">
        <v>807</v>
      </c>
      <c r="D609" s="61" t="s">
        <v>528</v>
      </c>
      <c r="E609">
        <v>3843.5250299999998</v>
      </c>
    </row>
    <row r="610" spans="1:5" x14ac:dyDescent="0.2">
      <c r="A610" s="61" t="s">
        <v>516</v>
      </c>
      <c r="B610">
        <v>2007</v>
      </c>
      <c r="C610">
        <v>1041</v>
      </c>
      <c r="D610" s="61" t="s">
        <v>528</v>
      </c>
      <c r="E610">
        <v>4200.1066900000005</v>
      </c>
    </row>
    <row r="611" spans="1:5" x14ac:dyDescent="0.2">
      <c r="A611" s="61" t="s">
        <v>516</v>
      </c>
      <c r="B611">
        <v>2008</v>
      </c>
      <c r="C611">
        <v>890</v>
      </c>
      <c r="D611" s="61" t="s">
        <v>528</v>
      </c>
      <c r="E611">
        <v>5620.0819099999999</v>
      </c>
    </row>
    <row r="612" spans="1:5" x14ac:dyDescent="0.2">
      <c r="A612" s="61" t="s">
        <v>517</v>
      </c>
      <c r="B612">
        <v>1960</v>
      </c>
      <c r="C612">
        <v>1053</v>
      </c>
      <c r="D612" s="61" t="s">
        <v>522</v>
      </c>
    </row>
    <row r="613" spans="1:5" x14ac:dyDescent="0.2">
      <c r="A613" s="61" t="s">
        <v>517</v>
      </c>
      <c r="B613">
        <v>1961</v>
      </c>
      <c r="C613">
        <v>959</v>
      </c>
      <c r="D613" s="61" t="s">
        <v>522</v>
      </c>
    </row>
    <row r="614" spans="1:5" x14ac:dyDescent="0.2">
      <c r="A614" s="61" t="s">
        <v>517</v>
      </c>
      <c r="B614">
        <v>1962</v>
      </c>
      <c r="C614">
        <v>658</v>
      </c>
      <c r="D614" s="61" t="s">
        <v>522</v>
      </c>
    </row>
    <row r="615" spans="1:5" x14ac:dyDescent="0.2">
      <c r="A615" s="61" t="s">
        <v>517</v>
      </c>
      <c r="B615">
        <v>1963</v>
      </c>
      <c r="C615">
        <v>484</v>
      </c>
      <c r="D615" s="61" t="s">
        <v>522</v>
      </c>
    </row>
    <row r="616" spans="1:5" x14ac:dyDescent="0.2">
      <c r="A616" s="61" t="s">
        <v>517</v>
      </c>
      <c r="B616">
        <v>1964</v>
      </c>
      <c r="C616">
        <v>689</v>
      </c>
      <c r="D616" s="61" t="s">
        <v>522</v>
      </c>
    </row>
    <row r="617" spans="1:5" x14ac:dyDescent="0.2">
      <c r="A617" s="61" t="s">
        <v>517</v>
      </c>
      <c r="B617">
        <v>1965</v>
      </c>
      <c r="C617">
        <v>48</v>
      </c>
      <c r="D617" s="61" t="s">
        <v>522</v>
      </c>
    </row>
    <row r="618" spans="1:5" x14ac:dyDescent="0.2">
      <c r="A618" s="61" t="s">
        <v>517</v>
      </c>
      <c r="B618">
        <v>1966</v>
      </c>
      <c r="C618">
        <v>29</v>
      </c>
      <c r="D618" s="61" t="s">
        <v>522</v>
      </c>
    </row>
    <row r="619" spans="1:5" x14ac:dyDescent="0.2">
      <c r="A619" s="61" t="s">
        <v>517</v>
      </c>
      <c r="B619">
        <v>1967</v>
      </c>
      <c r="C619">
        <v>620</v>
      </c>
      <c r="D619" s="61" t="s">
        <v>522</v>
      </c>
    </row>
    <row r="620" spans="1:5" x14ac:dyDescent="0.2">
      <c r="A620" s="61" t="s">
        <v>517</v>
      </c>
      <c r="B620">
        <v>1968</v>
      </c>
      <c r="C620">
        <v>1023</v>
      </c>
      <c r="D620" s="61" t="s">
        <v>522</v>
      </c>
    </row>
    <row r="621" spans="1:5" x14ac:dyDescent="0.2">
      <c r="A621" s="61" t="s">
        <v>517</v>
      </c>
      <c r="B621">
        <v>1969</v>
      </c>
      <c r="C621">
        <v>1013</v>
      </c>
      <c r="D621" s="61" t="s">
        <v>522</v>
      </c>
    </row>
    <row r="622" spans="1:5" x14ac:dyDescent="0.2">
      <c r="A622" s="61" t="s">
        <v>517</v>
      </c>
      <c r="B622">
        <v>1970</v>
      </c>
      <c r="C622">
        <v>899</v>
      </c>
      <c r="D622" s="61" t="s">
        <v>522</v>
      </c>
      <c r="E622">
        <v>1595.964956</v>
      </c>
    </row>
    <row r="623" spans="1:5" x14ac:dyDescent="0.2">
      <c r="A623" s="61" t="s">
        <v>517</v>
      </c>
      <c r="B623">
        <v>1971</v>
      </c>
      <c r="C623">
        <v>1149</v>
      </c>
      <c r="D623" s="61" t="s">
        <v>522</v>
      </c>
      <c r="E623">
        <v>2511.2107260000002</v>
      </c>
    </row>
    <row r="624" spans="1:5" x14ac:dyDescent="0.2">
      <c r="A624" s="61" t="s">
        <v>517</v>
      </c>
      <c r="B624">
        <v>1972</v>
      </c>
      <c r="C624">
        <v>899</v>
      </c>
      <c r="D624" s="61" t="s">
        <v>522</v>
      </c>
      <c r="E624">
        <v>1959.729979</v>
      </c>
    </row>
    <row r="625" spans="1:5" x14ac:dyDescent="0.2">
      <c r="A625" s="61" t="s">
        <v>517</v>
      </c>
      <c r="B625">
        <v>1973</v>
      </c>
      <c r="C625">
        <v>893</v>
      </c>
      <c r="D625" s="61" t="s">
        <v>522</v>
      </c>
      <c r="E625">
        <v>2559.8279120000002</v>
      </c>
    </row>
    <row r="626" spans="1:5" x14ac:dyDescent="0.2">
      <c r="A626" s="61" t="s">
        <v>517</v>
      </c>
      <c r="B626">
        <v>1974</v>
      </c>
      <c r="C626">
        <v>907</v>
      </c>
      <c r="D626" s="61" t="s">
        <v>522</v>
      </c>
      <c r="E626">
        <v>2425.1926510000003</v>
      </c>
    </row>
    <row r="627" spans="1:5" x14ac:dyDescent="0.2">
      <c r="A627" s="61" t="s">
        <v>517</v>
      </c>
      <c r="B627">
        <v>1975</v>
      </c>
      <c r="C627">
        <v>864</v>
      </c>
      <c r="D627" s="61" t="s">
        <v>522</v>
      </c>
      <c r="E627">
        <v>8356.5646300000008</v>
      </c>
    </row>
    <row r="628" spans="1:5" x14ac:dyDescent="0.2">
      <c r="A628" s="61" t="s">
        <v>517</v>
      </c>
      <c r="B628">
        <v>1976</v>
      </c>
      <c r="C628">
        <v>969</v>
      </c>
      <c r="D628" s="61" t="s">
        <v>522</v>
      </c>
      <c r="E628">
        <v>2962.2329749999994</v>
      </c>
    </row>
    <row r="629" spans="1:5" x14ac:dyDescent="0.2">
      <c r="A629" s="61" t="s">
        <v>517</v>
      </c>
      <c r="B629">
        <v>1977</v>
      </c>
      <c r="C629">
        <v>1225</v>
      </c>
      <c r="D629" s="61" t="s">
        <v>522</v>
      </c>
      <c r="E629">
        <v>6276.5878100000009</v>
      </c>
    </row>
    <row r="630" spans="1:5" x14ac:dyDescent="0.2">
      <c r="A630" s="61" t="s">
        <v>517</v>
      </c>
      <c r="B630">
        <v>1978</v>
      </c>
      <c r="C630">
        <v>750</v>
      </c>
      <c r="D630" s="61" t="s">
        <v>522</v>
      </c>
      <c r="E630">
        <v>2260.2819579999996</v>
      </c>
    </row>
    <row r="631" spans="1:5" x14ac:dyDescent="0.2">
      <c r="A631" s="61" t="s">
        <v>517</v>
      </c>
      <c r="B631">
        <v>1979</v>
      </c>
      <c r="C631">
        <v>1250</v>
      </c>
      <c r="D631" s="61" t="s">
        <v>522</v>
      </c>
      <c r="E631">
        <v>3260.5526199999999</v>
      </c>
    </row>
    <row r="632" spans="1:5" x14ac:dyDescent="0.2">
      <c r="A632" s="61" t="s">
        <v>517</v>
      </c>
      <c r="B632">
        <v>1980</v>
      </c>
      <c r="C632">
        <v>1759</v>
      </c>
      <c r="D632" s="61" t="s">
        <v>522</v>
      </c>
      <c r="E632">
        <v>3435.9882069999999</v>
      </c>
    </row>
    <row r="633" spans="1:5" x14ac:dyDescent="0.2">
      <c r="A633" s="61" t="s">
        <v>517</v>
      </c>
      <c r="B633">
        <v>1981</v>
      </c>
      <c r="C633">
        <v>1538</v>
      </c>
      <c r="D633" s="61" t="s">
        <v>522</v>
      </c>
      <c r="E633">
        <v>3747.12905</v>
      </c>
    </row>
    <row r="634" spans="1:5" x14ac:dyDescent="0.2">
      <c r="A634" s="61" t="s">
        <v>517</v>
      </c>
      <c r="B634">
        <v>1982</v>
      </c>
      <c r="C634">
        <v>1611</v>
      </c>
      <c r="D634" s="61" t="s">
        <v>522</v>
      </c>
      <c r="E634">
        <v>4371.890699999999</v>
      </c>
    </row>
    <row r="635" spans="1:5" x14ac:dyDescent="0.2">
      <c r="A635" s="61" t="s">
        <v>517</v>
      </c>
      <c r="B635">
        <v>1983</v>
      </c>
      <c r="C635">
        <v>1420</v>
      </c>
      <c r="D635" s="61" t="s">
        <v>522</v>
      </c>
      <c r="E635">
        <v>3003.109375</v>
      </c>
    </row>
    <row r="636" spans="1:5" x14ac:dyDescent="0.2">
      <c r="A636" s="61" t="s">
        <v>517</v>
      </c>
      <c r="B636">
        <v>1984</v>
      </c>
      <c r="C636">
        <v>1269</v>
      </c>
      <c r="D636" s="61" t="s">
        <v>522</v>
      </c>
      <c r="E636">
        <v>4018.0039400000005</v>
      </c>
    </row>
    <row r="637" spans="1:5" x14ac:dyDescent="0.2">
      <c r="A637" s="61" t="s">
        <v>517</v>
      </c>
      <c r="B637">
        <v>1985</v>
      </c>
      <c r="C637">
        <v>1401</v>
      </c>
      <c r="D637" s="61" t="s">
        <v>522</v>
      </c>
      <c r="E637">
        <v>1625.4577360000001</v>
      </c>
    </row>
    <row r="638" spans="1:5" x14ac:dyDescent="0.2">
      <c r="A638" s="61" t="s">
        <v>517</v>
      </c>
      <c r="B638">
        <v>1986</v>
      </c>
      <c r="C638">
        <v>1236</v>
      </c>
      <c r="D638" s="61" t="s">
        <v>522</v>
      </c>
      <c r="E638">
        <v>1540.4088039999999</v>
      </c>
    </row>
    <row r="639" spans="1:5" x14ac:dyDescent="0.2">
      <c r="A639" s="61" t="s">
        <v>517</v>
      </c>
      <c r="B639">
        <v>1987</v>
      </c>
      <c r="C639">
        <v>765</v>
      </c>
      <c r="D639" s="61" t="s">
        <v>522</v>
      </c>
      <c r="E639">
        <v>2976.0657000000001</v>
      </c>
    </row>
    <row r="640" spans="1:5" x14ac:dyDescent="0.2">
      <c r="A640" s="61" t="s">
        <v>517</v>
      </c>
      <c r="B640">
        <v>1988</v>
      </c>
      <c r="C640">
        <v>657</v>
      </c>
      <c r="D640" s="61" t="s">
        <v>522</v>
      </c>
      <c r="E640">
        <v>2249.5478789999997</v>
      </c>
    </row>
    <row r="641" spans="1:5" x14ac:dyDescent="0.2">
      <c r="A641" s="61" t="s">
        <v>517</v>
      </c>
      <c r="B641">
        <v>1989</v>
      </c>
      <c r="C641">
        <v>359</v>
      </c>
      <c r="D641" s="61" t="s">
        <v>522</v>
      </c>
      <c r="E641">
        <v>1003.2054909999999</v>
      </c>
    </row>
    <row r="642" spans="1:5" x14ac:dyDescent="0.2">
      <c r="A642" s="61" t="s">
        <v>517</v>
      </c>
      <c r="B642">
        <v>1990</v>
      </c>
      <c r="C642">
        <v>372</v>
      </c>
      <c r="D642" s="61" t="s">
        <v>522</v>
      </c>
      <c r="E642">
        <v>1362.727067</v>
      </c>
    </row>
    <row r="643" spans="1:5" x14ac:dyDescent="0.2">
      <c r="A643" s="61" t="s">
        <v>517</v>
      </c>
      <c r="B643">
        <v>1991</v>
      </c>
      <c r="C643">
        <v>313</v>
      </c>
      <c r="D643" s="61" t="s">
        <v>522</v>
      </c>
      <c r="E643">
        <v>1001.145008</v>
      </c>
    </row>
    <row r="644" spans="1:5" x14ac:dyDescent="0.2">
      <c r="A644" s="61" t="s">
        <v>517</v>
      </c>
      <c r="B644">
        <v>1992</v>
      </c>
      <c r="C644">
        <v>527</v>
      </c>
      <c r="D644" s="61" t="s">
        <v>522</v>
      </c>
      <c r="E644">
        <v>654.21998399999995</v>
      </c>
    </row>
    <row r="645" spans="1:5" x14ac:dyDescent="0.2">
      <c r="A645" s="61" t="s">
        <v>517</v>
      </c>
      <c r="B645">
        <v>1993</v>
      </c>
      <c r="C645">
        <v>494</v>
      </c>
      <c r="D645" s="61" t="s">
        <v>522</v>
      </c>
      <c r="E645">
        <v>2102.1215970000003</v>
      </c>
    </row>
    <row r="646" spans="1:5" x14ac:dyDescent="0.2">
      <c r="A646" s="61" t="s">
        <v>517</v>
      </c>
      <c r="B646">
        <v>1994</v>
      </c>
      <c r="C646">
        <v>366</v>
      </c>
      <c r="D646" s="61" t="s">
        <v>522</v>
      </c>
      <c r="E646">
        <v>1341.074869</v>
      </c>
    </row>
    <row r="647" spans="1:5" x14ac:dyDescent="0.2">
      <c r="A647" s="61" t="s">
        <v>517</v>
      </c>
      <c r="B647">
        <v>1995</v>
      </c>
      <c r="C647">
        <v>228</v>
      </c>
      <c r="D647" s="61" t="s">
        <v>522</v>
      </c>
      <c r="E647">
        <v>2853.1280729999999</v>
      </c>
    </row>
    <row r="648" spans="1:5" x14ac:dyDescent="0.2">
      <c r="A648" s="61" t="s">
        <v>517</v>
      </c>
      <c r="B648">
        <v>1996</v>
      </c>
      <c r="C648">
        <v>358</v>
      </c>
      <c r="D648" s="61" t="s">
        <v>522</v>
      </c>
      <c r="E648">
        <v>4044.3103799999999</v>
      </c>
    </row>
    <row r="649" spans="1:5" x14ac:dyDescent="0.2">
      <c r="A649" s="61" t="s">
        <v>517</v>
      </c>
      <c r="B649">
        <v>1997</v>
      </c>
      <c r="C649">
        <v>566</v>
      </c>
      <c r="D649" s="61" t="s">
        <v>522</v>
      </c>
      <c r="E649">
        <v>3673.7309960000002</v>
      </c>
    </row>
    <row r="650" spans="1:5" x14ac:dyDescent="0.2">
      <c r="A650" s="61" t="s">
        <v>517</v>
      </c>
      <c r="B650">
        <v>1998</v>
      </c>
      <c r="C650">
        <v>281</v>
      </c>
      <c r="D650" s="61" t="s">
        <v>522</v>
      </c>
      <c r="E650">
        <v>1953.1471270000002</v>
      </c>
    </row>
    <row r="651" spans="1:5" x14ac:dyDescent="0.2">
      <c r="A651" s="61" t="s">
        <v>517</v>
      </c>
      <c r="B651">
        <v>1999</v>
      </c>
      <c r="C651">
        <v>268</v>
      </c>
      <c r="D651" s="61" t="s">
        <v>522</v>
      </c>
      <c r="E651">
        <v>1105.2122179999999</v>
      </c>
    </row>
    <row r="652" spans="1:5" x14ac:dyDescent="0.2">
      <c r="A652" s="61" t="s">
        <v>517</v>
      </c>
      <c r="B652">
        <v>2000</v>
      </c>
      <c r="C652">
        <v>136</v>
      </c>
      <c r="D652" s="61" t="s">
        <v>522</v>
      </c>
      <c r="E652">
        <v>803.28123699999992</v>
      </c>
    </row>
    <row r="653" spans="1:5" x14ac:dyDescent="0.2">
      <c r="A653" s="61" t="s">
        <v>517</v>
      </c>
      <c r="B653">
        <v>2001</v>
      </c>
      <c r="C653">
        <v>103</v>
      </c>
      <c r="D653" s="61" t="s">
        <v>522</v>
      </c>
      <c r="E653">
        <v>1407.03007</v>
      </c>
    </row>
    <row r="654" spans="1:5" x14ac:dyDescent="0.2">
      <c r="A654" s="61" t="s">
        <v>517</v>
      </c>
      <c r="B654">
        <v>2002</v>
      </c>
      <c r="C654">
        <v>158</v>
      </c>
      <c r="D654" s="61" t="s">
        <v>522</v>
      </c>
      <c r="E654">
        <v>1124.58852</v>
      </c>
    </row>
    <row r="655" spans="1:5" x14ac:dyDescent="0.2">
      <c r="A655" s="61" t="s">
        <v>517</v>
      </c>
      <c r="B655">
        <v>2003</v>
      </c>
      <c r="C655">
        <v>136</v>
      </c>
      <c r="D655" s="61" t="s">
        <v>522</v>
      </c>
      <c r="E655">
        <v>669.72064999999998</v>
      </c>
    </row>
    <row r="656" spans="1:5" x14ac:dyDescent="0.2">
      <c r="A656" s="61" t="s">
        <v>517</v>
      </c>
      <c r="B656">
        <v>2004</v>
      </c>
      <c r="C656">
        <v>114</v>
      </c>
      <c r="D656" s="61" t="s">
        <v>522</v>
      </c>
      <c r="E656">
        <v>873.22341200000005</v>
      </c>
    </row>
    <row r="657" spans="1:5" x14ac:dyDescent="0.2">
      <c r="A657" s="61" t="s">
        <v>517</v>
      </c>
      <c r="B657">
        <v>2005</v>
      </c>
      <c r="C657">
        <v>87</v>
      </c>
      <c r="D657" s="61" t="s">
        <v>522</v>
      </c>
      <c r="E657">
        <v>707.53560748700011</v>
      </c>
    </row>
    <row r="658" spans="1:5" x14ac:dyDescent="0.2">
      <c r="A658" s="61" t="s">
        <v>517</v>
      </c>
      <c r="B658">
        <v>2006</v>
      </c>
      <c r="C658">
        <v>59</v>
      </c>
      <c r="D658" s="61" t="s">
        <v>522</v>
      </c>
      <c r="E658">
        <v>889.00295499999993</v>
      </c>
    </row>
    <row r="659" spans="1:5" x14ac:dyDescent="0.2">
      <c r="A659" s="61" t="s">
        <v>517</v>
      </c>
      <c r="B659">
        <v>2007</v>
      </c>
      <c r="C659">
        <v>44</v>
      </c>
      <c r="D659" s="61" t="s">
        <v>522</v>
      </c>
      <c r="E659">
        <v>299.790978784</v>
      </c>
    </row>
    <row r="660" spans="1:5" x14ac:dyDescent="0.2">
      <c r="A660" s="61" t="s">
        <v>517</v>
      </c>
      <c r="B660">
        <v>2008</v>
      </c>
      <c r="C660">
        <v>28</v>
      </c>
      <c r="D660" s="61" t="s">
        <v>522</v>
      </c>
      <c r="E660">
        <v>176.29763260000001</v>
      </c>
    </row>
    <row r="661" spans="1:5" x14ac:dyDescent="0.2">
      <c r="A661" s="61" t="s">
        <v>482</v>
      </c>
      <c r="B661">
        <v>1960</v>
      </c>
      <c r="C661">
        <v>2917</v>
      </c>
      <c r="D661" s="61" t="s">
        <v>463</v>
      </c>
    </row>
    <row r="662" spans="1:5" x14ac:dyDescent="0.2">
      <c r="A662" s="61" t="s">
        <v>482</v>
      </c>
      <c r="B662">
        <v>1961</v>
      </c>
      <c r="C662">
        <v>1175</v>
      </c>
      <c r="D662" s="61" t="s">
        <v>463</v>
      </c>
    </row>
    <row r="663" spans="1:5" x14ac:dyDescent="0.2">
      <c r="A663" s="61" t="s">
        <v>482</v>
      </c>
      <c r="B663">
        <v>1962</v>
      </c>
      <c r="C663">
        <v>2888</v>
      </c>
      <c r="D663" s="61" t="s">
        <v>463</v>
      </c>
    </row>
    <row r="664" spans="1:5" x14ac:dyDescent="0.2">
      <c r="A664" s="61" t="s">
        <v>482</v>
      </c>
      <c r="B664">
        <v>1963</v>
      </c>
      <c r="C664">
        <v>1678</v>
      </c>
      <c r="D664" s="61" t="s">
        <v>463</v>
      </c>
    </row>
    <row r="665" spans="1:5" x14ac:dyDescent="0.2">
      <c r="A665" s="61" t="s">
        <v>482</v>
      </c>
      <c r="B665">
        <v>1964</v>
      </c>
      <c r="C665">
        <v>2166</v>
      </c>
      <c r="D665" s="61" t="s">
        <v>463</v>
      </c>
    </row>
    <row r="666" spans="1:5" x14ac:dyDescent="0.2">
      <c r="A666" s="61" t="s">
        <v>482</v>
      </c>
      <c r="B666">
        <v>1965</v>
      </c>
      <c r="C666">
        <v>3976</v>
      </c>
      <c r="D666" s="61" t="s">
        <v>463</v>
      </c>
    </row>
    <row r="667" spans="1:5" x14ac:dyDescent="0.2">
      <c r="A667" s="61" t="s">
        <v>482</v>
      </c>
      <c r="B667">
        <v>1966</v>
      </c>
      <c r="C667">
        <v>4146</v>
      </c>
      <c r="D667" s="61" t="s">
        <v>463</v>
      </c>
    </row>
    <row r="668" spans="1:5" x14ac:dyDescent="0.2">
      <c r="A668" s="61" t="s">
        <v>482</v>
      </c>
      <c r="B668">
        <v>1967</v>
      </c>
      <c r="C668">
        <v>3763</v>
      </c>
      <c r="D668" s="61" t="s">
        <v>463</v>
      </c>
    </row>
    <row r="669" spans="1:5" x14ac:dyDescent="0.2">
      <c r="A669" s="61" t="s">
        <v>482</v>
      </c>
      <c r="B669">
        <v>1968</v>
      </c>
      <c r="C669">
        <v>2928</v>
      </c>
      <c r="D669" s="61" t="s">
        <v>463</v>
      </c>
    </row>
    <row r="670" spans="1:5" x14ac:dyDescent="0.2">
      <c r="A670" s="61" t="s">
        <v>482</v>
      </c>
      <c r="B670">
        <v>1969</v>
      </c>
      <c r="C670">
        <v>4991</v>
      </c>
      <c r="D670" s="61" t="s">
        <v>463</v>
      </c>
    </row>
    <row r="671" spans="1:5" x14ac:dyDescent="0.2">
      <c r="A671" s="61" t="s">
        <v>482</v>
      </c>
      <c r="B671">
        <v>1970</v>
      </c>
      <c r="C671">
        <v>5376</v>
      </c>
      <c r="D671" s="61" t="s">
        <v>463</v>
      </c>
    </row>
    <row r="672" spans="1:5" x14ac:dyDescent="0.2">
      <c r="A672" s="61" t="s">
        <v>482</v>
      </c>
      <c r="B672">
        <v>1971</v>
      </c>
      <c r="C672">
        <v>4699</v>
      </c>
      <c r="D672" s="61" t="s">
        <v>463</v>
      </c>
    </row>
    <row r="673" spans="1:4" x14ac:dyDescent="0.2">
      <c r="A673" s="61" t="s">
        <v>482</v>
      </c>
      <c r="B673">
        <v>1972</v>
      </c>
      <c r="C673">
        <v>4325</v>
      </c>
      <c r="D673" s="61" t="s">
        <v>463</v>
      </c>
    </row>
    <row r="674" spans="1:4" x14ac:dyDescent="0.2">
      <c r="A674" s="61" t="s">
        <v>482</v>
      </c>
      <c r="B674">
        <v>1973</v>
      </c>
      <c r="C674">
        <v>5400</v>
      </c>
      <c r="D674" s="61" t="s">
        <v>463</v>
      </c>
    </row>
    <row r="675" spans="1:4" x14ac:dyDescent="0.2">
      <c r="A675" s="61" t="s">
        <v>482</v>
      </c>
      <c r="B675">
        <v>1974</v>
      </c>
      <c r="C675">
        <v>11002</v>
      </c>
      <c r="D675" s="61" t="s">
        <v>463</v>
      </c>
    </row>
    <row r="676" spans="1:4" x14ac:dyDescent="0.2">
      <c r="A676" s="61" t="s">
        <v>482</v>
      </c>
      <c r="B676">
        <v>1975</v>
      </c>
      <c r="C676">
        <v>7418</v>
      </c>
      <c r="D676" s="61" t="s">
        <v>463</v>
      </c>
    </row>
    <row r="677" spans="1:4" x14ac:dyDescent="0.2">
      <c r="A677" s="61" t="s">
        <v>482</v>
      </c>
      <c r="B677">
        <v>1976</v>
      </c>
      <c r="C677">
        <v>4250</v>
      </c>
      <c r="D677" s="61" t="s">
        <v>463</v>
      </c>
    </row>
    <row r="678" spans="1:4" x14ac:dyDescent="0.2">
      <c r="A678" s="61" t="s">
        <v>482</v>
      </c>
      <c r="B678">
        <v>1977</v>
      </c>
      <c r="C678">
        <v>5595</v>
      </c>
      <c r="D678" s="61" t="s">
        <v>463</v>
      </c>
    </row>
    <row r="679" spans="1:4" x14ac:dyDescent="0.2">
      <c r="A679" s="61" t="s">
        <v>482</v>
      </c>
      <c r="B679">
        <v>1978</v>
      </c>
      <c r="C679">
        <v>4012</v>
      </c>
      <c r="D679" s="61" t="s">
        <v>463</v>
      </c>
    </row>
    <row r="680" spans="1:4" x14ac:dyDescent="0.2">
      <c r="A680" s="61" t="s">
        <v>482</v>
      </c>
      <c r="B680">
        <v>1979</v>
      </c>
      <c r="C680">
        <v>3847</v>
      </c>
      <c r="D680" s="61" t="s">
        <v>463</v>
      </c>
    </row>
    <row r="681" spans="1:4" x14ac:dyDescent="0.2">
      <c r="A681" s="61" t="s">
        <v>482</v>
      </c>
      <c r="B681">
        <v>1980</v>
      </c>
      <c r="C681">
        <v>2312</v>
      </c>
      <c r="D681" s="61" t="s">
        <v>463</v>
      </c>
    </row>
    <row r="682" spans="1:4" x14ac:dyDescent="0.2">
      <c r="A682" s="61" t="s">
        <v>482</v>
      </c>
      <c r="B682">
        <v>1981</v>
      </c>
      <c r="C682">
        <v>2990</v>
      </c>
      <c r="D682" s="61" t="s">
        <v>463</v>
      </c>
    </row>
    <row r="683" spans="1:4" x14ac:dyDescent="0.2">
      <c r="A683" s="61" t="s">
        <v>482</v>
      </c>
      <c r="B683">
        <v>1982</v>
      </c>
      <c r="C683">
        <v>4512</v>
      </c>
      <c r="D683" s="61" t="s">
        <v>463</v>
      </c>
    </row>
    <row r="684" spans="1:4" x14ac:dyDescent="0.2">
      <c r="A684" s="61" t="s">
        <v>482</v>
      </c>
      <c r="B684">
        <v>1983</v>
      </c>
      <c r="C684">
        <v>3547</v>
      </c>
      <c r="D684" s="61" t="s">
        <v>463</v>
      </c>
    </row>
    <row r="685" spans="1:4" x14ac:dyDescent="0.2">
      <c r="A685" s="61" t="s">
        <v>482</v>
      </c>
      <c r="B685">
        <v>1984</v>
      </c>
      <c r="C685">
        <v>2828</v>
      </c>
      <c r="D685" s="61" t="s">
        <v>463</v>
      </c>
    </row>
    <row r="686" spans="1:4" x14ac:dyDescent="0.2">
      <c r="A686" s="61" t="s">
        <v>482</v>
      </c>
      <c r="B686">
        <v>1985</v>
      </c>
      <c r="C686">
        <v>3968</v>
      </c>
      <c r="D686" s="61" t="s">
        <v>463</v>
      </c>
    </row>
    <row r="687" spans="1:4" x14ac:dyDescent="0.2">
      <c r="A687" s="61" t="s">
        <v>482</v>
      </c>
      <c r="B687">
        <v>1986</v>
      </c>
      <c r="C687">
        <v>3333</v>
      </c>
      <c r="D687" s="61" t="s">
        <v>463</v>
      </c>
    </row>
    <row r="688" spans="1:4" x14ac:dyDescent="0.2">
      <c r="A688" s="61" t="s">
        <v>482</v>
      </c>
      <c r="B688">
        <v>1987</v>
      </c>
      <c r="C688">
        <v>3069</v>
      </c>
      <c r="D688" s="61" t="s">
        <v>463</v>
      </c>
    </row>
    <row r="689" spans="1:4" x14ac:dyDescent="0.2">
      <c r="A689" s="61" t="s">
        <v>482</v>
      </c>
      <c r="B689">
        <v>1988</v>
      </c>
      <c r="C689">
        <v>3619</v>
      </c>
      <c r="D689" s="61" t="s">
        <v>463</v>
      </c>
    </row>
    <row r="690" spans="1:4" x14ac:dyDescent="0.2">
      <c r="A690" s="61" t="s">
        <v>482</v>
      </c>
      <c r="B690">
        <v>1989</v>
      </c>
      <c r="C690">
        <v>2869</v>
      </c>
      <c r="D690" s="61" t="s">
        <v>463</v>
      </c>
    </row>
    <row r="691" spans="1:4" x14ac:dyDescent="0.2">
      <c r="A691" s="61" t="s">
        <v>482</v>
      </c>
      <c r="B691">
        <v>1990</v>
      </c>
      <c r="C691">
        <v>2970</v>
      </c>
      <c r="D691" s="61" t="s">
        <v>463</v>
      </c>
    </row>
    <row r="692" spans="1:4" x14ac:dyDescent="0.2">
      <c r="A692" s="61" t="s">
        <v>482</v>
      </c>
      <c r="B692">
        <v>1991</v>
      </c>
      <c r="C692">
        <v>3224</v>
      </c>
      <c r="D692" s="61" t="s">
        <v>463</v>
      </c>
    </row>
    <row r="693" spans="1:4" x14ac:dyDescent="0.2">
      <c r="A693" s="61" t="s">
        <v>482</v>
      </c>
      <c r="B693">
        <v>1992</v>
      </c>
      <c r="C693">
        <v>4808</v>
      </c>
      <c r="D693" s="61" t="s">
        <v>463</v>
      </c>
    </row>
    <row r="694" spans="1:4" x14ac:dyDescent="0.2">
      <c r="A694" s="61" t="s">
        <v>482</v>
      </c>
      <c r="B694">
        <v>1993</v>
      </c>
      <c r="C694">
        <v>4209</v>
      </c>
      <c r="D694" s="61" t="s">
        <v>463</v>
      </c>
    </row>
    <row r="695" spans="1:4" x14ac:dyDescent="0.2">
      <c r="A695" s="61" t="s">
        <v>482</v>
      </c>
      <c r="B695">
        <v>1994</v>
      </c>
      <c r="C695">
        <v>5169</v>
      </c>
      <c r="D695" s="61" t="s">
        <v>463</v>
      </c>
    </row>
    <row r="696" spans="1:4" x14ac:dyDescent="0.2">
      <c r="A696" s="61" t="s">
        <v>482</v>
      </c>
      <c r="B696">
        <v>1995</v>
      </c>
      <c r="C696">
        <v>4477</v>
      </c>
      <c r="D696" s="61" t="s">
        <v>463</v>
      </c>
    </row>
    <row r="697" spans="1:4" x14ac:dyDescent="0.2">
      <c r="A697" s="61" t="s">
        <v>482</v>
      </c>
      <c r="B697">
        <v>1996</v>
      </c>
      <c r="C697">
        <v>2450</v>
      </c>
      <c r="D697" s="61" t="s">
        <v>463</v>
      </c>
    </row>
    <row r="698" spans="1:4" x14ac:dyDescent="0.2">
      <c r="A698" s="61" t="s">
        <v>482</v>
      </c>
      <c r="B698">
        <v>1997</v>
      </c>
      <c r="C698">
        <v>3207</v>
      </c>
      <c r="D698" s="61" t="s">
        <v>463</v>
      </c>
    </row>
    <row r="699" spans="1:4" x14ac:dyDescent="0.2">
      <c r="A699" s="61" t="s">
        <v>482</v>
      </c>
      <c r="B699">
        <v>1998</v>
      </c>
      <c r="C699">
        <v>3741</v>
      </c>
      <c r="D699" s="61" t="s">
        <v>463</v>
      </c>
    </row>
    <row r="700" spans="1:4" x14ac:dyDescent="0.2">
      <c r="A700" s="61" t="s">
        <v>482</v>
      </c>
      <c r="B700">
        <v>1999</v>
      </c>
      <c r="C700">
        <v>3663</v>
      </c>
      <c r="D700" s="61" t="s">
        <v>463</v>
      </c>
    </row>
    <row r="701" spans="1:4" x14ac:dyDescent="0.2">
      <c r="A701" s="61" t="s">
        <v>482</v>
      </c>
      <c r="B701">
        <v>2000</v>
      </c>
      <c r="C701">
        <v>3746</v>
      </c>
      <c r="D701" s="61" t="s">
        <v>463</v>
      </c>
    </row>
    <row r="702" spans="1:4" x14ac:dyDescent="0.2">
      <c r="A702" s="61" t="s">
        <v>482</v>
      </c>
      <c r="B702">
        <v>2001</v>
      </c>
      <c r="C702">
        <v>2756</v>
      </c>
      <c r="D702" s="61" t="s">
        <v>463</v>
      </c>
    </row>
    <row r="703" spans="1:4" x14ac:dyDescent="0.2">
      <c r="A703" s="61" t="s">
        <v>482</v>
      </c>
      <c r="B703">
        <v>2002</v>
      </c>
      <c r="C703">
        <v>1771</v>
      </c>
      <c r="D703" s="61" t="s">
        <v>463</v>
      </c>
    </row>
    <row r="704" spans="1:4" x14ac:dyDescent="0.2">
      <c r="A704" s="61" t="s">
        <v>482</v>
      </c>
      <c r="B704">
        <v>2003</v>
      </c>
      <c r="C704">
        <v>3671</v>
      </c>
      <c r="D704" s="61" t="s">
        <v>463</v>
      </c>
    </row>
    <row r="705" spans="1:4" x14ac:dyDescent="0.2">
      <c r="A705" s="61" t="s">
        <v>482</v>
      </c>
      <c r="B705">
        <v>2004</v>
      </c>
      <c r="C705">
        <v>4167</v>
      </c>
      <c r="D705" s="61" t="s">
        <v>463</v>
      </c>
    </row>
    <row r="706" spans="1:4" x14ac:dyDescent="0.2">
      <c r="A706" s="61" t="s">
        <v>482</v>
      </c>
      <c r="B706">
        <v>2005</v>
      </c>
      <c r="C706">
        <v>2530</v>
      </c>
      <c r="D706" s="61" t="s">
        <v>463</v>
      </c>
    </row>
    <row r="707" spans="1:4" x14ac:dyDescent="0.2">
      <c r="A707" s="61" t="s">
        <v>482</v>
      </c>
      <c r="B707">
        <v>2006</v>
      </c>
      <c r="C707">
        <v>1302</v>
      </c>
      <c r="D707" s="61" t="s">
        <v>463</v>
      </c>
    </row>
    <row r="708" spans="1:4" x14ac:dyDescent="0.2">
      <c r="A708" s="61" t="s">
        <v>482</v>
      </c>
      <c r="B708">
        <v>2007</v>
      </c>
      <c r="C708">
        <v>1927</v>
      </c>
      <c r="D708" s="61" t="s">
        <v>463</v>
      </c>
    </row>
    <row r="709" spans="1:4" x14ac:dyDescent="0.2">
      <c r="A709" s="61" t="s">
        <v>482</v>
      </c>
      <c r="B709">
        <v>2008</v>
      </c>
      <c r="C709">
        <v>1003</v>
      </c>
      <c r="D709" s="61" t="s">
        <v>463</v>
      </c>
    </row>
    <row r="710" spans="1:4" x14ac:dyDescent="0.2">
      <c r="A710" s="61" t="s">
        <v>482</v>
      </c>
      <c r="B710">
        <v>2009</v>
      </c>
      <c r="C710">
        <v>980</v>
      </c>
      <c r="D710" s="61" t="s">
        <v>463</v>
      </c>
    </row>
    <row r="711" spans="1:4" x14ac:dyDescent="0.2">
      <c r="A711" s="61" t="s">
        <v>482</v>
      </c>
      <c r="B711">
        <v>2010</v>
      </c>
      <c r="C711">
        <v>415</v>
      </c>
      <c r="D711" s="61" t="s">
        <v>463</v>
      </c>
    </row>
    <row r="712" spans="1:4" x14ac:dyDescent="0.2">
      <c r="A712" s="61" t="s">
        <v>482</v>
      </c>
      <c r="B712">
        <v>2011</v>
      </c>
      <c r="C712">
        <v>366</v>
      </c>
      <c r="D712" s="61" t="s">
        <v>463</v>
      </c>
    </row>
    <row r="713" spans="1:4" x14ac:dyDescent="0.2">
      <c r="A713" s="61" t="s">
        <v>371</v>
      </c>
      <c r="B713">
        <v>1950</v>
      </c>
      <c r="C713">
        <v>4172</v>
      </c>
    </row>
    <row r="714" spans="1:4" x14ac:dyDescent="0.2">
      <c r="A714" s="61" t="s">
        <v>371</v>
      </c>
      <c r="B714">
        <v>1951</v>
      </c>
      <c r="C714">
        <v>4420</v>
      </c>
    </row>
    <row r="715" spans="1:4" x14ac:dyDescent="0.2">
      <c r="A715" s="61" t="s">
        <v>371</v>
      </c>
      <c r="B715">
        <v>1952</v>
      </c>
      <c r="C715">
        <v>3887</v>
      </c>
    </row>
    <row r="716" spans="1:4" x14ac:dyDescent="0.2">
      <c r="A716" s="61" t="s">
        <v>371</v>
      </c>
      <c r="B716">
        <v>1953</v>
      </c>
      <c r="C716">
        <v>3973</v>
      </c>
    </row>
    <row r="717" spans="1:4" x14ac:dyDescent="0.2">
      <c r="A717" s="61" t="s">
        <v>371</v>
      </c>
      <c r="B717">
        <v>1954</v>
      </c>
      <c r="C717">
        <v>3480</v>
      </c>
    </row>
    <row r="718" spans="1:4" x14ac:dyDescent="0.2">
      <c r="A718" s="61" t="s">
        <v>371</v>
      </c>
      <c r="B718">
        <v>1955</v>
      </c>
      <c r="C718">
        <v>3282</v>
      </c>
    </row>
    <row r="719" spans="1:4" x14ac:dyDescent="0.2">
      <c r="A719" s="61" t="s">
        <v>371</v>
      </c>
      <c r="B719">
        <v>1956</v>
      </c>
      <c r="C719">
        <v>3441</v>
      </c>
    </row>
    <row r="720" spans="1:4" x14ac:dyDescent="0.2">
      <c r="A720" s="61" t="s">
        <v>371</v>
      </c>
      <c r="B720">
        <v>1957</v>
      </c>
      <c r="C720">
        <v>2706</v>
      </c>
    </row>
    <row r="721" spans="1:3" x14ac:dyDescent="0.2">
      <c r="A721" s="61" t="s">
        <v>371</v>
      </c>
      <c r="B721">
        <v>1958</v>
      </c>
      <c r="C721">
        <v>2268</v>
      </c>
    </row>
    <row r="722" spans="1:3" x14ac:dyDescent="0.2">
      <c r="A722" s="61" t="s">
        <v>371</v>
      </c>
      <c r="B722">
        <v>1959</v>
      </c>
      <c r="C722">
        <v>2215</v>
      </c>
    </row>
    <row r="723" spans="1:3" x14ac:dyDescent="0.2">
      <c r="A723" s="61" t="s">
        <v>371</v>
      </c>
      <c r="B723">
        <v>1960</v>
      </c>
      <c r="C723">
        <v>2606</v>
      </c>
    </row>
    <row r="724" spans="1:3" x14ac:dyDescent="0.2">
      <c r="A724" s="61" t="s">
        <v>371</v>
      </c>
      <c r="B724">
        <v>1961</v>
      </c>
      <c r="C724">
        <v>2305</v>
      </c>
    </row>
    <row r="725" spans="1:3" x14ac:dyDescent="0.2">
      <c r="A725" s="61" t="s">
        <v>371</v>
      </c>
      <c r="B725">
        <v>1962</v>
      </c>
      <c r="C725">
        <v>2548</v>
      </c>
    </row>
    <row r="726" spans="1:3" x14ac:dyDescent="0.2">
      <c r="A726" s="61" t="s">
        <v>371</v>
      </c>
      <c r="B726">
        <v>1963</v>
      </c>
      <c r="C726">
        <v>2896</v>
      </c>
    </row>
    <row r="727" spans="1:3" x14ac:dyDescent="0.2">
      <c r="A727" s="61" t="s">
        <v>371</v>
      </c>
      <c r="B727">
        <v>1964</v>
      </c>
      <c r="C727">
        <v>3221</v>
      </c>
    </row>
    <row r="728" spans="1:3" x14ac:dyDescent="0.2">
      <c r="A728" s="61" t="s">
        <v>371</v>
      </c>
      <c r="B728">
        <v>1965</v>
      </c>
      <c r="C728">
        <v>2851</v>
      </c>
    </row>
    <row r="729" spans="1:3" x14ac:dyDescent="0.2">
      <c r="A729" s="61" t="s">
        <v>371</v>
      </c>
      <c r="B729">
        <v>1966</v>
      </c>
      <c r="C729">
        <v>2708</v>
      </c>
    </row>
    <row r="730" spans="1:3" x14ac:dyDescent="0.2">
      <c r="A730" s="61" t="s">
        <v>371</v>
      </c>
      <c r="B730">
        <v>1967</v>
      </c>
      <c r="C730">
        <v>2710</v>
      </c>
    </row>
    <row r="731" spans="1:3" x14ac:dyDescent="0.2">
      <c r="A731" s="61" t="s">
        <v>371</v>
      </c>
      <c r="B731">
        <v>1968</v>
      </c>
      <c r="C731">
        <v>2844</v>
      </c>
    </row>
    <row r="732" spans="1:3" x14ac:dyDescent="0.2">
      <c r="A732" s="61" t="s">
        <v>371</v>
      </c>
      <c r="B732">
        <v>1969</v>
      </c>
      <c r="C732">
        <v>3888</v>
      </c>
    </row>
    <row r="733" spans="1:3" x14ac:dyDescent="0.2">
      <c r="A733" s="61" t="s">
        <v>371</v>
      </c>
      <c r="B733">
        <v>1970</v>
      </c>
      <c r="C733">
        <v>4580</v>
      </c>
    </row>
    <row r="734" spans="1:3" x14ac:dyDescent="0.2">
      <c r="A734" s="61" t="s">
        <v>371</v>
      </c>
      <c r="B734">
        <v>1971</v>
      </c>
      <c r="C734">
        <v>4066</v>
      </c>
    </row>
    <row r="735" spans="1:3" x14ac:dyDescent="0.2">
      <c r="A735" s="61" t="s">
        <v>371</v>
      </c>
      <c r="B735">
        <v>1972</v>
      </c>
      <c r="C735">
        <v>4037</v>
      </c>
    </row>
    <row r="736" spans="1:3" x14ac:dyDescent="0.2">
      <c r="A736" s="61" t="s">
        <v>371</v>
      </c>
      <c r="B736">
        <v>1973</v>
      </c>
      <c r="C736">
        <v>4457</v>
      </c>
    </row>
    <row r="737" spans="1:3" x14ac:dyDescent="0.2">
      <c r="A737" s="61" t="s">
        <v>371</v>
      </c>
      <c r="B737">
        <v>1974</v>
      </c>
      <c r="C737">
        <v>3771</v>
      </c>
    </row>
    <row r="738" spans="1:3" x14ac:dyDescent="0.2">
      <c r="A738" s="61" t="s">
        <v>371</v>
      </c>
      <c r="B738">
        <v>1975</v>
      </c>
      <c r="C738">
        <v>3973</v>
      </c>
    </row>
    <row r="739" spans="1:3" x14ac:dyDescent="0.2">
      <c r="A739" s="61" t="s">
        <v>371</v>
      </c>
      <c r="B739">
        <v>1976</v>
      </c>
      <c r="C739">
        <v>3914</v>
      </c>
    </row>
    <row r="740" spans="1:3" x14ac:dyDescent="0.2">
      <c r="A740" s="61" t="s">
        <v>371</v>
      </c>
      <c r="B740">
        <v>1977</v>
      </c>
      <c r="C740">
        <v>3463</v>
      </c>
    </row>
    <row r="741" spans="1:3" x14ac:dyDescent="0.2">
      <c r="A741" s="61" t="s">
        <v>371</v>
      </c>
      <c r="B741">
        <v>1978</v>
      </c>
      <c r="C741">
        <v>2813</v>
      </c>
    </row>
    <row r="742" spans="1:3" x14ac:dyDescent="0.2">
      <c r="A742" s="61" t="s">
        <v>371</v>
      </c>
      <c r="B742">
        <v>1979</v>
      </c>
      <c r="C742">
        <v>3037</v>
      </c>
    </row>
    <row r="743" spans="1:3" x14ac:dyDescent="0.2">
      <c r="A743" s="61" t="s">
        <v>371</v>
      </c>
      <c r="B743">
        <v>1980</v>
      </c>
      <c r="C743">
        <v>3229</v>
      </c>
    </row>
    <row r="744" spans="1:3" x14ac:dyDescent="0.2">
      <c r="A744" s="61" t="s">
        <v>371</v>
      </c>
      <c r="B744">
        <v>1981</v>
      </c>
      <c r="C744">
        <v>3060</v>
      </c>
    </row>
    <row r="745" spans="1:3" x14ac:dyDescent="0.2">
      <c r="A745" s="61" t="s">
        <v>371</v>
      </c>
      <c r="B745">
        <v>1982</v>
      </c>
      <c r="C745">
        <v>3663</v>
      </c>
    </row>
    <row r="746" spans="1:3" x14ac:dyDescent="0.2">
      <c r="A746" s="61" t="s">
        <v>371</v>
      </c>
      <c r="B746">
        <v>1983</v>
      </c>
      <c r="C746">
        <v>4546</v>
      </c>
    </row>
    <row r="747" spans="1:3" x14ac:dyDescent="0.2">
      <c r="A747" s="61" t="s">
        <v>371</v>
      </c>
      <c r="B747">
        <v>1984</v>
      </c>
      <c r="C747">
        <v>5138</v>
      </c>
    </row>
    <row r="748" spans="1:3" x14ac:dyDescent="0.2">
      <c r="A748" s="61" t="s">
        <v>371</v>
      </c>
      <c r="B748">
        <v>1985</v>
      </c>
      <c r="C748">
        <v>5938</v>
      </c>
    </row>
    <row r="749" spans="1:3" x14ac:dyDescent="0.2">
      <c r="A749" s="61" t="s">
        <v>371</v>
      </c>
      <c r="B749">
        <v>1986</v>
      </c>
      <c r="C749">
        <v>6891</v>
      </c>
    </row>
    <row r="750" spans="1:3" x14ac:dyDescent="0.2">
      <c r="A750" s="61" t="s">
        <v>371</v>
      </c>
      <c r="B750">
        <v>1987</v>
      </c>
      <c r="C750">
        <v>7673</v>
      </c>
    </row>
    <row r="751" spans="1:3" x14ac:dyDescent="0.2">
      <c r="A751" s="61" t="s">
        <v>371</v>
      </c>
      <c r="B751">
        <v>1988</v>
      </c>
      <c r="C751">
        <v>8479</v>
      </c>
    </row>
    <row r="752" spans="1:3" x14ac:dyDescent="0.2">
      <c r="A752" s="61" t="s">
        <v>371</v>
      </c>
      <c r="B752">
        <v>1989</v>
      </c>
      <c r="C752">
        <v>8201</v>
      </c>
    </row>
    <row r="753" spans="1:3" x14ac:dyDescent="0.2">
      <c r="A753" s="61" t="s">
        <v>371</v>
      </c>
      <c r="B753">
        <v>1990</v>
      </c>
      <c r="C753">
        <v>9449</v>
      </c>
    </row>
    <row r="754" spans="1:3" x14ac:dyDescent="0.2">
      <c r="A754" s="61" t="s">
        <v>371</v>
      </c>
      <c r="B754">
        <v>1991</v>
      </c>
      <c r="C754">
        <v>11071</v>
      </c>
    </row>
    <row r="755" spans="1:3" x14ac:dyDescent="0.2">
      <c r="A755" s="61" t="s">
        <v>371</v>
      </c>
      <c r="B755">
        <v>1992</v>
      </c>
      <c r="C755">
        <v>8876</v>
      </c>
    </row>
    <row r="756" spans="1:3" x14ac:dyDescent="0.2">
      <c r="A756" s="61" t="s">
        <v>371</v>
      </c>
      <c r="B756">
        <v>1993</v>
      </c>
      <c r="C756">
        <v>8916</v>
      </c>
    </row>
    <row r="757" spans="1:3" x14ac:dyDescent="0.2">
      <c r="A757" s="61" t="s">
        <v>371</v>
      </c>
      <c r="B757">
        <v>1994</v>
      </c>
      <c r="C757">
        <v>10326</v>
      </c>
    </row>
    <row r="758" spans="1:3" x14ac:dyDescent="0.2">
      <c r="A758" s="61" t="s">
        <v>371</v>
      </c>
      <c r="B758">
        <v>1995</v>
      </c>
      <c r="C758">
        <v>9692</v>
      </c>
    </row>
    <row r="759" spans="1:3" x14ac:dyDescent="0.2">
      <c r="A759" s="61" t="s">
        <v>371</v>
      </c>
      <c r="B759">
        <v>1996</v>
      </c>
      <c r="C759">
        <v>10307</v>
      </c>
    </row>
    <row r="760" spans="1:3" x14ac:dyDescent="0.2">
      <c r="A760" s="61" t="s">
        <v>371</v>
      </c>
      <c r="B760">
        <v>1997</v>
      </c>
      <c r="C760">
        <v>10593</v>
      </c>
    </row>
    <row r="761" spans="1:3" x14ac:dyDescent="0.2">
      <c r="A761" s="61" t="s">
        <v>371</v>
      </c>
      <c r="B761">
        <v>1998</v>
      </c>
      <c r="C761">
        <v>11886</v>
      </c>
    </row>
    <row r="762" spans="1:3" x14ac:dyDescent="0.2">
      <c r="A762" s="61" t="s">
        <v>371</v>
      </c>
      <c r="B762">
        <v>1999</v>
      </c>
      <c r="C762">
        <v>12993</v>
      </c>
    </row>
    <row r="763" spans="1:3" x14ac:dyDescent="0.2">
      <c r="A763" s="61" t="s">
        <v>371</v>
      </c>
      <c r="B763">
        <v>2000</v>
      </c>
      <c r="C763">
        <v>13514</v>
      </c>
    </row>
    <row r="764" spans="1:3" x14ac:dyDescent="0.2">
      <c r="A764" s="61" t="s">
        <v>371</v>
      </c>
      <c r="B764">
        <v>2001</v>
      </c>
      <c r="C764">
        <v>16503</v>
      </c>
    </row>
    <row r="765" spans="1:3" x14ac:dyDescent="0.2">
      <c r="A765" s="61" t="s">
        <v>371</v>
      </c>
      <c r="B765">
        <v>2002</v>
      </c>
      <c r="C765">
        <v>19054</v>
      </c>
    </row>
    <row r="766" spans="1:3" x14ac:dyDescent="0.2">
      <c r="A766" s="61" t="s">
        <v>371</v>
      </c>
      <c r="B766">
        <v>2003</v>
      </c>
      <c r="C766">
        <v>17613</v>
      </c>
    </row>
    <row r="767" spans="1:3" x14ac:dyDescent="0.2">
      <c r="A767" s="61" t="s">
        <v>371</v>
      </c>
      <c r="B767">
        <v>2004</v>
      </c>
      <c r="C767">
        <v>17801</v>
      </c>
    </row>
    <row r="768" spans="1:3" x14ac:dyDescent="0.2">
      <c r="A768" s="61" t="s">
        <v>371</v>
      </c>
      <c r="B768">
        <v>2005</v>
      </c>
      <c r="C768">
        <v>17250</v>
      </c>
    </row>
    <row r="769" spans="1:3" x14ac:dyDescent="0.2">
      <c r="A769" s="61" t="s">
        <v>371</v>
      </c>
      <c r="B769">
        <v>2006</v>
      </c>
      <c r="C769">
        <v>16991</v>
      </c>
    </row>
    <row r="770" spans="1:3" x14ac:dyDescent="0.2">
      <c r="A770" s="61" t="s">
        <v>371</v>
      </c>
      <c r="B770">
        <v>2007</v>
      </c>
      <c r="C770">
        <v>16796</v>
      </c>
    </row>
    <row r="771" spans="1:3" x14ac:dyDescent="0.2">
      <c r="A771" s="61" t="s">
        <v>371</v>
      </c>
      <c r="B771">
        <v>2008</v>
      </c>
      <c r="C771">
        <v>16641</v>
      </c>
    </row>
    <row r="772" spans="1:3" x14ac:dyDescent="0.2">
      <c r="A772" s="61" t="s">
        <v>371</v>
      </c>
      <c r="B772">
        <v>2009</v>
      </c>
      <c r="C772">
        <v>17733</v>
      </c>
    </row>
    <row r="773" spans="1:3" x14ac:dyDescent="0.2">
      <c r="A773" s="61" t="s">
        <v>371</v>
      </c>
      <c r="B773">
        <v>2010</v>
      </c>
      <c r="C773">
        <v>19620</v>
      </c>
    </row>
    <row r="774" spans="1:3" x14ac:dyDescent="0.2">
      <c r="A774" s="61" t="s">
        <v>372</v>
      </c>
      <c r="B774">
        <v>1950</v>
      </c>
      <c r="C774">
        <v>80</v>
      </c>
    </row>
    <row r="775" spans="1:3" x14ac:dyDescent="0.2">
      <c r="A775" s="61" t="s">
        <v>372</v>
      </c>
      <c r="B775">
        <v>1951</v>
      </c>
      <c r="C775">
        <v>99</v>
      </c>
    </row>
    <row r="776" spans="1:3" x14ac:dyDescent="0.2">
      <c r="A776" s="61" t="s">
        <v>372</v>
      </c>
      <c r="B776">
        <v>1952</v>
      </c>
      <c r="C776">
        <v>116</v>
      </c>
    </row>
    <row r="777" spans="1:3" x14ac:dyDescent="0.2">
      <c r="A777" s="61" t="s">
        <v>372</v>
      </c>
      <c r="B777">
        <v>1953</v>
      </c>
      <c r="C777">
        <v>155</v>
      </c>
    </row>
    <row r="778" spans="1:3" x14ac:dyDescent="0.2">
      <c r="A778" s="61" t="s">
        <v>372</v>
      </c>
      <c r="B778">
        <v>1954</v>
      </c>
      <c r="C778">
        <v>156</v>
      </c>
    </row>
    <row r="779" spans="1:3" x14ac:dyDescent="0.2">
      <c r="A779" s="61" t="s">
        <v>372</v>
      </c>
      <c r="B779">
        <v>1955</v>
      </c>
      <c r="C779">
        <v>124</v>
      </c>
    </row>
    <row r="780" spans="1:3" x14ac:dyDescent="0.2">
      <c r="A780" s="61" t="s">
        <v>372</v>
      </c>
      <c r="B780">
        <v>1956</v>
      </c>
      <c r="C780">
        <v>111</v>
      </c>
    </row>
    <row r="781" spans="1:3" x14ac:dyDescent="0.2">
      <c r="A781" s="61" t="s">
        <v>372</v>
      </c>
      <c r="B781">
        <v>1957</v>
      </c>
      <c r="C781">
        <v>125</v>
      </c>
    </row>
    <row r="782" spans="1:3" x14ac:dyDescent="0.2">
      <c r="A782" s="61" t="s">
        <v>372</v>
      </c>
      <c r="B782">
        <v>1958</v>
      </c>
      <c r="C782">
        <v>115</v>
      </c>
    </row>
    <row r="783" spans="1:3" x14ac:dyDescent="0.2">
      <c r="A783" s="61" t="s">
        <v>372</v>
      </c>
      <c r="B783">
        <v>1959</v>
      </c>
      <c r="C783">
        <v>147</v>
      </c>
    </row>
    <row r="784" spans="1:3" x14ac:dyDescent="0.2">
      <c r="A784" s="61" t="s">
        <v>372</v>
      </c>
      <c r="B784">
        <v>1960</v>
      </c>
      <c r="C784">
        <v>151</v>
      </c>
    </row>
    <row r="785" spans="1:3" x14ac:dyDescent="0.2">
      <c r="A785" s="61" t="s">
        <v>372</v>
      </c>
      <c r="B785">
        <v>1961</v>
      </c>
      <c r="C785">
        <v>158</v>
      </c>
    </row>
    <row r="786" spans="1:3" x14ac:dyDescent="0.2">
      <c r="A786" s="61" t="s">
        <v>372</v>
      </c>
      <c r="B786">
        <v>1962</v>
      </c>
      <c r="C786">
        <v>141</v>
      </c>
    </row>
    <row r="787" spans="1:3" x14ac:dyDescent="0.2">
      <c r="A787" s="61" t="s">
        <v>372</v>
      </c>
      <c r="B787">
        <v>1963</v>
      </c>
      <c r="C787">
        <v>168</v>
      </c>
    </row>
    <row r="788" spans="1:3" x14ac:dyDescent="0.2">
      <c r="A788" s="61" t="s">
        <v>372</v>
      </c>
      <c r="B788">
        <v>1964</v>
      </c>
      <c r="C788">
        <v>153</v>
      </c>
    </row>
    <row r="789" spans="1:3" x14ac:dyDescent="0.2">
      <c r="A789" s="61" t="s">
        <v>372</v>
      </c>
      <c r="B789">
        <v>1965</v>
      </c>
      <c r="C789">
        <v>169</v>
      </c>
    </row>
    <row r="790" spans="1:3" x14ac:dyDescent="0.2">
      <c r="A790" s="61" t="s">
        <v>372</v>
      </c>
      <c r="B790">
        <v>1966</v>
      </c>
      <c r="C790">
        <v>184</v>
      </c>
    </row>
    <row r="791" spans="1:3" x14ac:dyDescent="0.2">
      <c r="A791" s="61" t="s">
        <v>372</v>
      </c>
      <c r="B791">
        <v>1967</v>
      </c>
      <c r="C791">
        <v>125</v>
      </c>
    </row>
    <row r="792" spans="1:3" x14ac:dyDescent="0.2">
      <c r="A792" s="61" t="s">
        <v>372</v>
      </c>
      <c r="B792">
        <v>1968</v>
      </c>
      <c r="C792">
        <v>152</v>
      </c>
    </row>
    <row r="793" spans="1:3" x14ac:dyDescent="0.2">
      <c r="A793" s="61" t="s">
        <v>372</v>
      </c>
      <c r="B793">
        <v>1969</v>
      </c>
      <c r="C793">
        <v>142</v>
      </c>
    </row>
    <row r="794" spans="1:3" x14ac:dyDescent="0.2">
      <c r="A794" s="61" t="s">
        <v>372</v>
      </c>
      <c r="B794">
        <v>1970</v>
      </c>
      <c r="C794">
        <v>126</v>
      </c>
    </row>
    <row r="795" spans="1:3" x14ac:dyDescent="0.2">
      <c r="A795" s="61" t="s">
        <v>372</v>
      </c>
      <c r="B795">
        <v>1971</v>
      </c>
      <c r="C795">
        <v>140</v>
      </c>
    </row>
    <row r="796" spans="1:3" x14ac:dyDescent="0.2">
      <c r="A796" s="61" t="s">
        <v>372</v>
      </c>
      <c r="B796">
        <v>1972</v>
      </c>
      <c r="C796">
        <v>116</v>
      </c>
    </row>
    <row r="797" spans="1:3" x14ac:dyDescent="0.2">
      <c r="A797" s="61" t="s">
        <v>372</v>
      </c>
      <c r="B797">
        <v>1973</v>
      </c>
      <c r="C797">
        <v>159</v>
      </c>
    </row>
    <row r="798" spans="1:3" x14ac:dyDescent="0.2">
      <c r="A798" s="61" t="s">
        <v>372</v>
      </c>
      <c r="B798">
        <v>1974</v>
      </c>
      <c r="C798">
        <v>106</v>
      </c>
    </row>
    <row r="799" spans="1:3" x14ac:dyDescent="0.2">
      <c r="A799" s="61" t="s">
        <v>372</v>
      </c>
      <c r="B799">
        <v>1975</v>
      </c>
      <c r="C799">
        <v>108</v>
      </c>
    </row>
    <row r="800" spans="1:3" x14ac:dyDescent="0.2">
      <c r="A800" s="61" t="s">
        <v>372</v>
      </c>
      <c r="B800">
        <v>1976</v>
      </c>
      <c r="C800">
        <v>95</v>
      </c>
    </row>
    <row r="801" spans="1:3" x14ac:dyDescent="0.2">
      <c r="A801" s="61" t="s">
        <v>372</v>
      </c>
      <c r="B801">
        <v>1977</v>
      </c>
      <c r="C801">
        <v>118</v>
      </c>
    </row>
    <row r="802" spans="1:3" x14ac:dyDescent="0.2">
      <c r="A802" s="61" t="s">
        <v>372</v>
      </c>
      <c r="B802">
        <v>1978</v>
      </c>
      <c r="C802">
        <v>108</v>
      </c>
    </row>
    <row r="803" spans="1:3" x14ac:dyDescent="0.2">
      <c r="A803" s="61" t="s">
        <v>372</v>
      </c>
      <c r="B803">
        <v>1979</v>
      </c>
      <c r="C803">
        <v>115</v>
      </c>
    </row>
    <row r="804" spans="1:3" x14ac:dyDescent="0.2">
      <c r="A804" s="61" t="s">
        <v>372</v>
      </c>
      <c r="B804">
        <v>1980</v>
      </c>
      <c r="C804">
        <v>71</v>
      </c>
    </row>
    <row r="805" spans="1:3" x14ac:dyDescent="0.2">
      <c r="A805" s="61" t="s">
        <v>372</v>
      </c>
      <c r="B805">
        <v>1981</v>
      </c>
      <c r="C805">
        <v>126</v>
      </c>
    </row>
    <row r="806" spans="1:3" x14ac:dyDescent="0.2">
      <c r="A806" s="61" t="s">
        <v>372</v>
      </c>
      <c r="B806">
        <v>1982</v>
      </c>
      <c r="C806">
        <v>143</v>
      </c>
    </row>
    <row r="807" spans="1:3" x14ac:dyDescent="0.2">
      <c r="A807" s="61" t="s">
        <v>372</v>
      </c>
      <c r="B807">
        <v>1983</v>
      </c>
      <c r="C807">
        <v>136</v>
      </c>
    </row>
    <row r="808" spans="1:3" x14ac:dyDescent="0.2">
      <c r="A808" s="61" t="s">
        <v>372</v>
      </c>
      <c r="B808">
        <v>1984</v>
      </c>
      <c r="C808">
        <v>164</v>
      </c>
    </row>
    <row r="809" spans="1:3" x14ac:dyDescent="0.2">
      <c r="A809" s="61" t="s">
        <v>372</v>
      </c>
      <c r="B809">
        <v>1985</v>
      </c>
      <c r="C809">
        <v>226</v>
      </c>
    </row>
    <row r="810" spans="1:3" x14ac:dyDescent="0.2">
      <c r="A810" s="61" t="s">
        <v>372</v>
      </c>
      <c r="B810">
        <v>1986</v>
      </c>
      <c r="C810">
        <v>246</v>
      </c>
    </row>
    <row r="811" spans="1:3" x14ac:dyDescent="0.2">
      <c r="A811" s="61" t="s">
        <v>372</v>
      </c>
      <c r="B811">
        <v>1987</v>
      </c>
      <c r="C811">
        <v>330</v>
      </c>
    </row>
    <row r="812" spans="1:3" x14ac:dyDescent="0.2">
      <c r="A812" s="61" t="s">
        <v>372</v>
      </c>
      <c r="B812">
        <v>1988</v>
      </c>
      <c r="C812">
        <v>262</v>
      </c>
    </row>
    <row r="813" spans="1:3" x14ac:dyDescent="0.2">
      <c r="A813" s="61" t="s">
        <v>372</v>
      </c>
      <c r="B813">
        <v>1989</v>
      </c>
      <c r="C813">
        <v>270</v>
      </c>
    </row>
    <row r="814" spans="1:3" x14ac:dyDescent="0.2">
      <c r="A814" s="61" t="s">
        <v>372</v>
      </c>
      <c r="B814">
        <v>1990</v>
      </c>
      <c r="C814">
        <v>254</v>
      </c>
    </row>
    <row r="815" spans="1:3" x14ac:dyDescent="0.2">
      <c r="A815" s="61" t="s">
        <v>372</v>
      </c>
      <c r="B815">
        <v>1991</v>
      </c>
      <c r="C815">
        <v>228</v>
      </c>
    </row>
    <row r="816" spans="1:3" x14ac:dyDescent="0.2">
      <c r="A816" s="61" t="s">
        <v>372</v>
      </c>
      <c r="B816">
        <v>1992</v>
      </c>
      <c r="C816">
        <v>254</v>
      </c>
    </row>
    <row r="817" spans="1:3" x14ac:dyDescent="0.2">
      <c r="A817" s="61" t="s">
        <v>372</v>
      </c>
      <c r="B817">
        <v>1993</v>
      </c>
      <c r="C817">
        <v>239</v>
      </c>
    </row>
    <row r="818" spans="1:3" x14ac:dyDescent="0.2">
      <c r="A818" s="61" t="s">
        <v>372</v>
      </c>
      <c r="B818">
        <v>1994</v>
      </c>
      <c r="C818">
        <v>241</v>
      </c>
    </row>
    <row r="819" spans="1:3" x14ac:dyDescent="0.2">
      <c r="A819" s="61" t="s">
        <v>372</v>
      </c>
      <c r="B819">
        <v>1995</v>
      </c>
      <c r="C819">
        <v>311</v>
      </c>
    </row>
    <row r="820" spans="1:3" x14ac:dyDescent="0.2">
      <c r="A820" s="61" t="s">
        <v>372</v>
      </c>
      <c r="B820">
        <v>1996</v>
      </c>
      <c r="C820">
        <v>546</v>
      </c>
    </row>
    <row r="821" spans="1:3" x14ac:dyDescent="0.2">
      <c r="A821" s="61" t="s">
        <v>372</v>
      </c>
      <c r="B821">
        <v>1997</v>
      </c>
      <c r="C821">
        <v>731</v>
      </c>
    </row>
    <row r="822" spans="1:3" x14ac:dyDescent="0.2">
      <c r="A822" s="61" t="s">
        <v>372</v>
      </c>
      <c r="B822">
        <v>1998</v>
      </c>
      <c r="C822">
        <v>846</v>
      </c>
    </row>
    <row r="823" spans="1:3" x14ac:dyDescent="0.2">
      <c r="A823" s="61" t="s">
        <v>372</v>
      </c>
      <c r="B823">
        <v>1999</v>
      </c>
      <c r="C823">
        <v>956</v>
      </c>
    </row>
    <row r="824" spans="1:3" x14ac:dyDescent="0.2">
      <c r="A824" s="61" t="s">
        <v>372</v>
      </c>
      <c r="B824">
        <v>2000</v>
      </c>
      <c r="C824">
        <v>932</v>
      </c>
    </row>
    <row r="825" spans="1:3" x14ac:dyDescent="0.2">
      <c r="A825" s="61" t="s">
        <v>372</v>
      </c>
      <c r="B825">
        <v>2001</v>
      </c>
      <c r="C825">
        <v>1091</v>
      </c>
    </row>
    <row r="826" spans="1:3" x14ac:dyDescent="0.2">
      <c r="A826" s="61" t="s">
        <v>372</v>
      </c>
      <c r="B826">
        <v>2002</v>
      </c>
      <c r="C826">
        <v>1284</v>
      </c>
    </row>
    <row r="827" spans="1:3" x14ac:dyDescent="0.2">
      <c r="A827" s="61" t="s">
        <v>372</v>
      </c>
      <c r="B827">
        <v>2003</v>
      </c>
      <c r="C827">
        <v>1234</v>
      </c>
    </row>
    <row r="828" spans="1:3" x14ac:dyDescent="0.2">
      <c r="A828" s="61" t="s">
        <v>372</v>
      </c>
      <c r="B828">
        <v>2004</v>
      </c>
      <c r="C828">
        <v>1337</v>
      </c>
    </row>
    <row r="829" spans="1:3" x14ac:dyDescent="0.2">
      <c r="A829" s="61" t="s">
        <v>372</v>
      </c>
      <c r="B829">
        <v>2005</v>
      </c>
      <c r="C829">
        <v>1172</v>
      </c>
    </row>
    <row r="830" spans="1:3" x14ac:dyDescent="0.2">
      <c r="A830" s="61" t="s">
        <v>372</v>
      </c>
      <c r="B830">
        <v>2006</v>
      </c>
      <c r="C830">
        <v>1227</v>
      </c>
    </row>
    <row r="831" spans="1:3" x14ac:dyDescent="0.2">
      <c r="A831" s="61" t="s">
        <v>372</v>
      </c>
      <c r="B831">
        <v>2007</v>
      </c>
      <c r="C831">
        <v>1191</v>
      </c>
    </row>
    <row r="832" spans="1:3" x14ac:dyDescent="0.2">
      <c r="A832" s="61" t="s">
        <v>372</v>
      </c>
      <c r="B832">
        <v>2008</v>
      </c>
      <c r="C832">
        <v>1468</v>
      </c>
    </row>
    <row r="833" spans="1:3" x14ac:dyDescent="0.2">
      <c r="A833" s="61" t="s">
        <v>372</v>
      </c>
      <c r="B833">
        <v>2009</v>
      </c>
      <c r="C833">
        <v>1684</v>
      </c>
    </row>
    <row r="834" spans="1:3" x14ac:dyDescent="0.2">
      <c r="A834" s="61" t="s">
        <v>372</v>
      </c>
      <c r="B834">
        <v>2010</v>
      </c>
      <c r="C834">
        <v>1982</v>
      </c>
    </row>
    <row r="835" spans="1:3" x14ac:dyDescent="0.2">
      <c r="A835" s="61" t="s">
        <v>373</v>
      </c>
      <c r="B835">
        <v>1950</v>
      </c>
      <c r="C835">
        <v>251</v>
      </c>
    </row>
    <row r="836" spans="1:3" x14ac:dyDescent="0.2">
      <c r="A836" s="61" t="s">
        <v>373</v>
      </c>
      <c r="B836">
        <v>1951</v>
      </c>
      <c r="C836">
        <v>223</v>
      </c>
    </row>
    <row r="837" spans="1:3" x14ac:dyDescent="0.2">
      <c r="A837" s="61" t="s">
        <v>373</v>
      </c>
      <c r="B837">
        <v>1952</v>
      </c>
      <c r="C837">
        <v>338</v>
      </c>
    </row>
    <row r="838" spans="1:3" x14ac:dyDescent="0.2">
      <c r="A838" s="61" t="s">
        <v>373</v>
      </c>
      <c r="B838">
        <v>1953</v>
      </c>
      <c r="C838">
        <v>292</v>
      </c>
    </row>
    <row r="839" spans="1:3" x14ac:dyDescent="0.2">
      <c r="A839" s="61" t="s">
        <v>373</v>
      </c>
      <c r="B839">
        <v>1954</v>
      </c>
      <c r="C839">
        <v>263</v>
      </c>
    </row>
    <row r="840" spans="1:3" x14ac:dyDescent="0.2">
      <c r="A840" s="61" t="s">
        <v>373</v>
      </c>
      <c r="B840">
        <v>1955</v>
      </c>
      <c r="C840">
        <v>277</v>
      </c>
    </row>
    <row r="841" spans="1:3" x14ac:dyDescent="0.2">
      <c r="A841" s="61" t="s">
        <v>373</v>
      </c>
      <c r="B841">
        <v>1956</v>
      </c>
      <c r="C841">
        <v>313</v>
      </c>
    </row>
    <row r="842" spans="1:3" x14ac:dyDescent="0.2">
      <c r="A842" s="61" t="s">
        <v>373</v>
      </c>
      <c r="B842">
        <v>1957</v>
      </c>
      <c r="C842">
        <v>286</v>
      </c>
    </row>
    <row r="843" spans="1:3" x14ac:dyDescent="0.2">
      <c r="A843" s="61" t="s">
        <v>373</v>
      </c>
      <c r="B843">
        <v>1958</v>
      </c>
      <c r="C843">
        <v>254</v>
      </c>
    </row>
    <row r="844" spans="1:3" x14ac:dyDescent="0.2">
      <c r="A844" s="61" t="s">
        <v>373</v>
      </c>
      <c r="B844">
        <v>1959</v>
      </c>
      <c r="C844">
        <v>247</v>
      </c>
    </row>
    <row r="845" spans="1:3" x14ac:dyDescent="0.2">
      <c r="A845" s="61" t="s">
        <v>373</v>
      </c>
      <c r="B845">
        <v>1960</v>
      </c>
      <c r="C845">
        <v>257</v>
      </c>
    </row>
    <row r="846" spans="1:3" x14ac:dyDescent="0.2">
      <c r="A846" s="61" t="s">
        <v>373</v>
      </c>
      <c r="B846">
        <v>1961</v>
      </c>
      <c r="C846">
        <v>328</v>
      </c>
    </row>
    <row r="847" spans="1:3" x14ac:dyDescent="0.2">
      <c r="A847" s="61" t="s">
        <v>373</v>
      </c>
      <c r="B847">
        <v>1962</v>
      </c>
      <c r="C847">
        <v>278</v>
      </c>
    </row>
    <row r="848" spans="1:3" x14ac:dyDescent="0.2">
      <c r="A848" s="61" t="s">
        <v>373</v>
      </c>
      <c r="B848">
        <v>1963</v>
      </c>
      <c r="C848">
        <v>308</v>
      </c>
    </row>
    <row r="849" spans="1:3" x14ac:dyDescent="0.2">
      <c r="A849" s="61" t="s">
        <v>373</v>
      </c>
      <c r="B849">
        <v>1964</v>
      </c>
      <c r="C849">
        <v>228</v>
      </c>
    </row>
    <row r="850" spans="1:3" x14ac:dyDescent="0.2">
      <c r="A850" s="61" t="s">
        <v>373</v>
      </c>
      <c r="B850">
        <v>1965</v>
      </c>
      <c r="C850">
        <v>216</v>
      </c>
    </row>
    <row r="851" spans="1:3" x14ac:dyDescent="0.2">
      <c r="A851" s="61" t="s">
        <v>373</v>
      </c>
      <c r="B851">
        <v>1966</v>
      </c>
      <c r="C851">
        <v>206</v>
      </c>
    </row>
    <row r="852" spans="1:3" x14ac:dyDescent="0.2">
      <c r="A852" s="61" t="s">
        <v>373</v>
      </c>
      <c r="B852">
        <v>1967</v>
      </c>
      <c r="C852">
        <v>143</v>
      </c>
    </row>
    <row r="853" spans="1:3" x14ac:dyDescent="0.2">
      <c r="A853" s="61" t="s">
        <v>373</v>
      </c>
      <c r="B853">
        <v>1968</v>
      </c>
      <c r="C853">
        <v>179</v>
      </c>
    </row>
    <row r="854" spans="1:3" x14ac:dyDescent="0.2">
      <c r="A854" s="61" t="s">
        <v>373</v>
      </c>
      <c r="B854">
        <v>1969</v>
      </c>
      <c r="C854">
        <v>258</v>
      </c>
    </row>
    <row r="855" spans="1:3" x14ac:dyDescent="0.2">
      <c r="A855" s="61" t="s">
        <v>373</v>
      </c>
      <c r="B855">
        <v>1970</v>
      </c>
      <c r="C855">
        <v>209</v>
      </c>
    </row>
    <row r="856" spans="1:3" x14ac:dyDescent="0.2">
      <c r="A856" s="61" t="s">
        <v>373</v>
      </c>
      <c r="B856">
        <v>1971</v>
      </c>
      <c r="C856">
        <v>187</v>
      </c>
    </row>
    <row r="857" spans="1:3" x14ac:dyDescent="0.2">
      <c r="A857" s="61" t="s">
        <v>373</v>
      </c>
      <c r="B857">
        <v>1972</v>
      </c>
      <c r="C857">
        <v>183</v>
      </c>
    </row>
    <row r="858" spans="1:3" x14ac:dyDescent="0.2">
      <c r="A858" s="61" t="s">
        <v>373</v>
      </c>
      <c r="B858">
        <v>1973</v>
      </c>
      <c r="C858">
        <v>145</v>
      </c>
    </row>
    <row r="859" spans="1:3" x14ac:dyDescent="0.2">
      <c r="A859" s="61" t="s">
        <v>373</v>
      </c>
      <c r="B859">
        <v>1974</v>
      </c>
      <c r="C859">
        <v>132</v>
      </c>
    </row>
    <row r="860" spans="1:3" x14ac:dyDescent="0.2">
      <c r="A860" s="61" t="s">
        <v>373</v>
      </c>
      <c r="B860">
        <v>1975</v>
      </c>
      <c r="C860">
        <v>99</v>
      </c>
    </row>
    <row r="861" spans="1:3" x14ac:dyDescent="0.2">
      <c r="A861" s="61" t="s">
        <v>373</v>
      </c>
      <c r="B861">
        <v>1976</v>
      </c>
      <c r="C861">
        <v>71</v>
      </c>
    </row>
    <row r="862" spans="1:3" x14ac:dyDescent="0.2">
      <c r="A862" s="61" t="s">
        <v>373</v>
      </c>
      <c r="B862">
        <v>1977</v>
      </c>
      <c r="C862">
        <v>65</v>
      </c>
    </row>
    <row r="863" spans="1:3" x14ac:dyDescent="0.2">
      <c r="A863" s="61" t="s">
        <v>373</v>
      </c>
      <c r="B863">
        <v>1978</v>
      </c>
      <c r="C863">
        <v>78</v>
      </c>
    </row>
    <row r="864" spans="1:3" x14ac:dyDescent="0.2">
      <c r="A864" s="61" t="s">
        <v>373</v>
      </c>
      <c r="B864">
        <v>1979</v>
      </c>
      <c r="C864">
        <v>181</v>
      </c>
    </row>
    <row r="865" spans="1:3" x14ac:dyDescent="0.2">
      <c r="A865" s="61" t="s">
        <v>373</v>
      </c>
      <c r="B865">
        <v>1980</v>
      </c>
      <c r="C865">
        <v>160</v>
      </c>
    </row>
    <row r="866" spans="1:3" x14ac:dyDescent="0.2">
      <c r="A866" s="61" t="s">
        <v>373</v>
      </c>
      <c r="B866">
        <v>1981</v>
      </c>
      <c r="C866">
        <v>167</v>
      </c>
    </row>
    <row r="867" spans="1:3" x14ac:dyDescent="0.2">
      <c r="A867" s="61" t="s">
        <v>373</v>
      </c>
      <c r="B867">
        <v>1982</v>
      </c>
      <c r="C867">
        <v>235</v>
      </c>
    </row>
    <row r="868" spans="1:3" x14ac:dyDescent="0.2">
      <c r="A868" s="61" t="s">
        <v>373</v>
      </c>
      <c r="B868">
        <v>1983</v>
      </c>
      <c r="C868">
        <v>225</v>
      </c>
    </row>
    <row r="869" spans="1:3" x14ac:dyDescent="0.2">
      <c r="A869" s="61" t="s">
        <v>373</v>
      </c>
      <c r="B869">
        <v>1984</v>
      </c>
      <c r="C869">
        <v>211</v>
      </c>
    </row>
    <row r="870" spans="1:3" x14ac:dyDescent="0.2">
      <c r="A870" s="61" t="s">
        <v>373</v>
      </c>
      <c r="B870">
        <v>1985</v>
      </c>
      <c r="C870">
        <v>266</v>
      </c>
    </row>
    <row r="871" spans="1:3" x14ac:dyDescent="0.2">
      <c r="A871" s="61" t="s">
        <v>373</v>
      </c>
      <c r="B871">
        <v>1986</v>
      </c>
      <c r="C871">
        <v>281</v>
      </c>
    </row>
    <row r="872" spans="1:3" x14ac:dyDescent="0.2">
      <c r="A872" s="61" t="s">
        <v>373</v>
      </c>
      <c r="B872">
        <v>1987</v>
      </c>
      <c r="C872">
        <v>328</v>
      </c>
    </row>
    <row r="873" spans="1:3" x14ac:dyDescent="0.2">
      <c r="A873" s="61" t="s">
        <v>373</v>
      </c>
      <c r="B873">
        <v>1988</v>
      </c>
      <c r="C873">
        <v>340</v>
      </c>
    </row>
    <row r="874" spans="1:3" x14ac:dyDescent="0.2">
      <c r="A874" s="61" t="s">
        <v>373</v>
      </c>
      <c r="B874">
        <v>1989</v>
      </c>
      <c r="C874">
        <v>309</v>
      </c>
    </row>
    <row r="875" spans="1:3" x14ac:dyDescent="0.2">
      <c r="A875" s="61" t="s">
        <v>373</v>
      </c>
      <c r="B875">
        <v>1990</v>
      </c>
      <c r="C875">
        <v>222</v>
      </c>
    </row>
    <row r="876" spans="1:3" x14ac:dyDescent="0.2">
      <c r="A876" s="61" t="s">
        <v>373</v>
      </c>
      <c r="B876">
        <v>1991</v>
      </c>
      <c r="C876">
        <v>271</v>
      </c>
    </row>
    <row r="877" spans="1:3" x14ac:dyDescent="0.2">
      <c r="A877" s="61" t="s">
        <v>373</v>
      </c>
      <c r="B877">
        <v>1992</v>
      </c>
      <c r="C877">
        <v>249</v>
      </c>
    </row>
    <row r="878" spans="1:3" x14ac:dyDescent="0.2">
      <c r="A878" s="61" t="s">
        <v>373</v>
      </c>
      <c r="B878">
        <v>1993</v>
      </c>
      <c r="C878">
        <v>257</v>
      </c>
    </row>
    <row r="879" spans="1:3" x14ac:dyDescent="0.2">
      <c r="A879" s="61" t="s">
        <v>373</v>
      </c>
      <c r="B879">
        <v>1994</v>
      </c>
      <c r="C879">
        <v>274</v>
      </c>
    </row>
    <row r="880" spans="1:3" x14ac:dyDescent="0.2">
      <c r="A880" s="61" t="s">
        <v>373</v>
      </c>
      <c r="B880">
        <v>1995</v>
      </c>
      <c r="C880">
        <v>317</v>
      </c>
    </row>
    <row r="881" spans="1:3" x14ac:dyDescent="0.2">
      <c r="A881" s="61" t="s">
        <v>373</v>
      </c>
      <c r="B881">
        <v>1996</v>
      </c>
      <c r="C881">
        <v>421</v>
      </c>
    </row>
    <row r="882" spans="1:3" x14ac:dyDescent="0.2">
      <c r="A882" s="61" t="s">
        <v>373</v>
      </c>
      <c r="B882">
        <v>1997</v>
      </c>
      <c r="C882">
        <v>666</v>
      </c>
    </row>
    <row r="883" spans="1:3" x14ac:dyDescent="0.2">
      <c r="A883" s="61" t="s">
        <v>373</v>
      </c>
      <c r="B883">
        <v>1998</v>
      </c>
      <c r="C883">
        <v>753</v>
      </c>
    </row>
    <row r="884" spans="1:3" x14ac:dyDescent="0.2">
      <c r="A884" s="61" t="s">
        <v>373</v>
      </c>
      <c r="B884">
        <v>1999</v>
      </c>
      <c r="C884">
        <v>813</v>
      </c>
    </row>
    <row r="885" spans="1:3" x14ac:dyDescent="0.2">
      <c r="A885" s="61" t="s">
        <v>373</v>
      </c>
      <c r="B885">
        <v>2000</v>
      </c>
      <c r="C885">
        <v>863</v>
      </c>
    </row>
    <row r="886" spans="1:3" x14ac:dyDescent="0.2">
      <c r="A886" s="61" t="s">
        <v>373</v>
      </c>
      <c r="B886">
        <v>2001</v>
      </c>
      <c r="C886">
        <v>997</v>
      </c>
    </row>
    <row r="887" spans="1:3" x14ac:dyDescent="0.2">
      <c r="A887" s="61" t="s">
        <v>373</v>
      </c>
      <c r="B887">
        <v>2002</v>
      </c>
      <c r="C887">
        <v>1220</v>
      </c>
    </row>
    <row r="888" spans="1:3" x14ac:dyDescent="0.2">
      <c r="A888" s="61" t="s">
        <v>373</v>
      </c>
      <c r="B888">
        <v>2003</v>
      </c>
      <c r="C888">
        <v>1169</v>
      </c>
    </row>
    <row r="889" spans="1:3" x14ac:dyDescent="0.2">
      <c r="A889" s="61" t="s">
        <v>373</v>
      </c>
      <c r="B889">
        <v>2004</v>
      </c>
      <c r="C889">
        <v>1201</v>
      </c>
    </row>
    <row r="890" spans="1:3" x14ac:dyDescent="0.2">
      <c r="A890" s="61" t="s">
        <v>373</v>
      </c>
      <c r="B890">
        <v>2005</v>
      </c>
      <c r="C890">
        <v>1067</v>
      </c>
    </row>
    <row r="891" spans="1:3" x14ac:dyDescent="0.2">
      <c r="A891" s="61" t="s">
        <v>373</v>
      </c>
      <c r="B891">
        <v>2006</v>
      </c>
      <c r="C891">
        <v>1320</v>
      </c>
    </row>
    <row r="892" spans="1:3" x14ac:dyDescent="0.2">
      <c r="A892" s="61" t="s">
        <v>373</v>
      </c>
      <c r="B892">
        <v>2007</v>
      </c>
      <c r="C892">
        <v>1124</v>
      </c>
    </row>
    <row r="893" spans="1:3" x14ac:dyDescent="0.2">
      <c r="A893" s="61" t="s">
        <v>373</v>
      </c>
      <c r="B893">
        <v>2008</v>
      </c>
      <c r="C893">
        <v>1436</v>
      </c>
    </row>
    <row r="894" spans="1:3" x14ac:dyDescent="0.2">
      <c r="A894" s="61" t="s">
        <v>373</v>
      </c>
      <c r="B894">
        <v>2009</v>
      </c>
      <c r="C894">
        <v>1546</v>
      </c>
    </row>
    <row r="895" spans="1:3" x14ac:dyDescent="0.2">
      <c r="A895" s="61" t="s">
        <v>373</v>
      </c>
      <c r="B895">
        <v>2010</v>
      </c>
      <c r="C895">
        <v>1506</v>
      </c>
    </row>
    <row r="896" spans="1:3" x14ac:dyDescent="0.2">
      <c r="A896" s="61" t="s">
        <v>374</v>
      </c>
      <c r="B896">
        <v>1950</v>
      </c>
      <c r="C896">
        <v>339</v>
      </c>
    </row>
    <row r="897" spans="1:3" x14ac:dyDescent="0.2">
      <c r="A897" s="61" t="s">
        <v>374</v>
      </c>
      <c r="B897">
        <v>1951</v>
      </c>
      <c r="C897">
        <v>416</v>
      </c>
    </row>
    <row r="898" spans="1:3" x14ac:dyDescent="0.2">
      <c r="A898" s="61" t="s">
        <v>374</v>
      </c>
      <c r="B898">
        <v>1952</v>
      </c>
      <c r="C898">
        <v>378</v>
      </c>
    </row>
    <row r="899" spans="1:3" x14ac:dyDescent="0.2">
      <c r="A899" s="61" t="s">
        <v>374</v>
      </c>
      <c r="B899">
        <v>1953</v>
      </c>
      <c r="C899">
        <v>450</v>
      </c>
    </row>
    <row r="900" spans="1:3" x14ac:dyDescent="0.2">
      <c r="A900" s="61" t="s">
        <v>374</v>
      </c>
      <c r="B900">
        <v>1954</v>
      </c>
      <c r="C900">
        <v>374</v>
      </c>
    </row>
    <row r="901" spans="1:3" x14ac:dyDescent="0.2">
      <c r="A901" s="61" t="s">
        <v>374</v>
      </c>
      <c r="B901">
        <v>1955</v>
      </c>
      <c r="C901">
        <v>409</v>
      </c>
    </row>
    <row r="902" spans="1:3" x14ac:dyDescent="0.2">
      <c r="A902" s="61" t="s">
        <v>374</v>
      </c>
      <c r="B902">
        <v>1956</v>
      </c>
      <c r="C902">
        <v>371</v>
      </c>
    </row>
    <row r="903" spans="1:3" x14ac:dyDescent="0.2">
      <c r="A903" s="61" t="s">
        <v>374</v>
      </c>
      <c r="B903">
        <v>1957</v>
      </c>
      <c r="C903">
        <v>336</v>
      </c>
    </row>
    <row r="904" spans="1:3" x14ac:dyDescent="0.2">
      <c r="A904" s="61" t="s">
        <v>374</v>
      </c>
      <c r="B904">
        <v>1958</v>
      </c>
      <c r="C904">
        <v>388</v>
      </c>
    </row>
    <row r="905" spans="1:3" x14ac:dyDescent="0.2">
      <c r="A905" s="61" t="s">
        <v>374</v>
      </c>
      <c r="B905">
        <v>1959</v>
      </c>
      <c r="C905">
        <v>261</v>
      </c>
    </row>
    <row r="906" spans="1:3" x14ac:dyDescent="0.2">
      <c r="A906" s="61" t="s">
        <v>374</v>
      </c>
      <c r="B906">
        <v>1960</v>
      </c>
      <c r="C906">
        <v>311</v>
      </c>
    </row>
    <row r="907" spans="1:3" x14ac:dyDescent="0.2">
      <c r="A907" s="61" t="s">
        <v>374</v>
      </c>
      <c r="B907">
        <v>1961</v>
      </c>
      <c r="C907">
        <v>256</v>
      </c>
    </row>
    <row r="908" spans="1:3" x14ac:dyDescent="0.2">
      <c r="A908" s="61" t="s">
        <v>374</v>
      </c>
      <c r="B908">
        <v>1962</v>
      </c>
      <c r="C908">
        <v>237</v>
      </c>
    </row>
    <row r="909" spans="1:3" x14ac:dyDescent="0.2">
      <c r="A909" s="61" t="s">
        <v>374</v>
      </c>
      <c r="B909">
        <v>1963</v>
      </c>
      <c r="C909">
        <v>311</v>
      </c>
    </row>
    <row r="910" spans="1:3" x14ac:dyDescent="0.2">
      <c r="A910" s="61" t="s">
        <v>374</v>
      </c>
      <c r="B910">
        <v>1964</v>
      </c>
      <c r="C910">
        <v>287</v>
      </c>
    </row>
    <row r="911" spans="1:3" x14ac:dyDescent="0.2">
      <c r="A911" s="61" t="s">
        <v>374</v>
      </c>
      <c r="B911">
        <v>1965</v>
      </c>
      <c r="C911">
        <v>274</v>
      </c>
    </row>
    <row r="912" spans="1:3" x14ac:dyDescent="0.2">
      <c r="A912" s="61" t="s">
        <v>374</v>
      </c>
      <c r="B912">
        <v>1966</v>
      </c>
      <c r="C912">
        <v>283</v>
      </c>
    </row>
    <row r="913" spans="1:3" x14ac:dyDescent="0.2">
      <c r="A913" s="61" t="s">
        <v>374</v>
      </c>
      <c r="B913">
        <v>1967</v>
      </c>
      <c r="C913">
        <v>223</v>
      </c>
    </row>
    <row r="914" spans="1:3" x14ac:dyDescent="0.2">
      <c r="A914" s="61" t="s">
        <v>374</v>
      </c>
      <c r="B914">
        <v>1968</v>
      </c>
      <c r="C914">
        <v>283</v>
      </c>
    </row>
    <row r="915" spans="1:3" x14ac:dyDescent="0.2">
      <c r="A915" s="61" t="s">
        <v>374</v>
      </c>
      <c r="B915">
        <v>1969</v>
      </c>
      <c r="C915">
        <v>430</v>
      </c>
    </row>
    <row r="916" spans="1:3" x14ac:dyDescent="0.2">
      <c r="A916" s="61" t="s">
        <v>374</v>
      </c>
      <c r="B916">
        <v>1970</v>
      </c>
      <c r="C916">
        <v>376</v>
      </c>
    </row>
    <row r="917" spans="1:3" x14ac:dyDescent="0.2">
      <c r="A917" s="61" t="s">
        <v>374</v>
      </c>
      <c r="B917">
        <v>1971</v>
      </c>
      <c r="C917">
        <v>362</v>
      </c>
    </row>
    <row r="918" spans="1:3" x14ac:dyDescent="0.2">
      <c r="A918" s="61" t="s">
        <v>374</v>
      </c>
      <c r="B918">
        <v>1972</v>
      </c>
      <c r="C918">
        <v>296</v>
      </c>
    </row>
    <row r="919" spans="1:3" x14ac:dyDescent="0.2">
      <c r="A919" s="61" t="s">
        <v>374</v>
      </c>
      <c r="B919">
        <v>1973</v>
      </c>
      <c r="C919">
        <v>308</v>
      </c>
    </row>
    <row r="920" spans="1:3" x14ac:dyDescent="0.2">
      <c r="A920" s="61" t="s">
        <v>374</v>
      </c>
      <c r="B920">
        <v>1974</v>
      </c>
      <c r="C920">
        <v>282</v>
      </c>
    </row>
    <row r="921" spans="1:3" x14ac:dyDescent="0.2">
      <c r="A921" s="61" t="s">
        <v>374</v>
      </c>
      <c r="B921">
        <v>1975</v>
      </c>
      <c r="C921">
        <v>321</v>
      </c>
    </row>
    <row r="922" spans="1:3" x14ac:dyDescent="0.2">
      <c r="A922" s="61" t="s">
        <v>374</v>
      </c>
      <c r="B922">
        <v>1976</v>
      </c>
      <c r="C922">
        <v>130</v>
      </c>
    </row>
    <row r="923" spans="1:3" x14ac:dyDescent="0.2">
      <c r="A923" s="61" t="s">
        <v>374</v>
      </c>
      <c r="B923">
        <v>1977</v>
      </c>
      <c r="C923">
        <v>362</v>
      </c>
    </row>
    <row r="924" spans="1:3" x14ac:dyDescent="0.2">
      <c r="A924" s="61" t="s">
        <v>374</v>
      </c>
      <c r="B924">
        <v>1978</v>
      </c>
      <c r="C924">
        <v>314</v>
      </c>
    </row>
    <row r="925" spans="1:3" x14ac:dyDescent="0.2">
      <c r="A925" s="61" t="s">
        <v>374</v>
      </c>
      <c r="B925">
        <v>1979</v>
      </c>
      <c r="C925">
        <v>338</v>
      </c>
    </row>
    <row r="926" spans="1:3" x14ac:dyDescent="0.2">
      <c r="A926" s="61" t="s">
        <v>374</v>
      </c>
      <c r="B926">
        <v>1980</v>
      </c>
      <c r="C926">
        <v>233</v>
      </c>
    </row>
    <row r="927" spans="1:3" x14ac:dyDescent="0.2">
      <c r="A927" s="61" t="s">
        <v>374</v>
      </c>
      <c r="B927">
        <v>1981</v>
      </c>
      <c r="C927">
        <v>367</v>
      </c>
    </row>
    <row r="928" spans="1:3" x14ac:dyDescent="0.2">
      <c r="A928" s="61" t="s">
        <v>374</v>
      </c>
      <c r="B928">
        <v>1982</v>
      </c>
      <c r="C928">
        <v>406</v>
      </c>
    </row>
    <row r="929" spans="1:3" x14ac:dyDescent="0.2">
      <c r="A929" s="61" t="s">
        <v>374</v>
      </c>
      <c r="B929">
        <v>1983</v>
      </c>
      <c r="C929">
        <v>378</v>
      </c>
    </row>
    <row r="930" spans="1:3" x14ac:dyDescent="0.2">
      <c r="A930" s="61" t="s">
        <v>374</v>
      </c>
      <c r="B930">
        <v>1984</v>
      </c>
      <c r="C930">
        <v>365</v>
      </c>
    </row>
    <row r="931" spans="1:3" x14ac:dyDescent="0.2">
      <c r="A931" s="61" t="s">
        <v>374</v>
      </c>
      <c r="B931">
        <v>1985</v>
      </c>
      <c r="C931">
        <v>334</v>
      </c>
    </row>
    <row r="932" spans="1:3" x14ac:dyDescent="0.2">
      <c r="A932" s="61" t="s">
        <v>374</v>
      </c>
      <c r="B932">
        <v>1986</v>
      </c>
      <c r="C932">
        <v>315</v>
      </c>
    </row>
    <row r="933" spans="1:3" x14ac:dyDescent="0.2">
      <c r="A933" s="61" t="s">
        <v>374</v>
      </c>
      <c r="B933">
        <v>1987</v>
      </c>
      <c r="C933">
        <v>339</v>
      </c>
    </row>
    <row r="934" spans="1:3" x14ac:dyDescent="0.2">
      <c r="A934" s="61" t="s">
        <v>374</v>
      </c>
      <c r="B934">
        <v>1988</v>
      </c>
      <c r="C934">
        <v>383</v>
      </c>
    </row>
    <row r="935" spans="1:3" x14ac:dyDescent="0.2">
      <c r="A935" s="61" t="s">
        <v>374</v>
      </c>
      <c r="B935">
        <v>1989</v>
      </c>
      <c r="C935">
        <v>467</v>
      </c>
    </row>
    <row r="936" spans="1:3" x14ac:dyDescent="0.2">
      <c r="A936" s="61" t="s">
        <v>374</v>
      </c>
      <c r="B936">
        <v>1990</v>
      </c>
      <c r="C936">
        <v>466</v>
      </c>
    </row>
    <row r="937" spans="1:3" x14ac:dyDescent="0.2">
      <c r="A937" s="61" t="s">
        <v>374</v>
      </c>
      <c r="B937">
        <v>1991</v>
      </c>
      <c r="C937">
        <v>496</v>
      </c>
    </row>
    <row r="938" spans="1:3" x14ac:dyDescent="0.2">
      <c r="A938" s="61" t="s">
        <v>374</v>
      </c>
      <c r="B938">
        <v>1992</v>
      </c>
      <c r="C938">
        <v>512</v>
      </c>
    </row>
    <row r="939" spans="1:3" x14ac:dyDescent="0.2">
      <c r="A939" s="61" t="s">
        <v>374</v>
      </c>
      <c r="B939">
        <v>1993</v>
      </c>
      <c r="C939">
        <v>471</v>
      </c>
    </row>
    <row r="940" spans="1:3" x14ac:dyDescent="0.2">
      <c r="A940" s="61" t="s">
        <v>374</v>
      </c>
      <c r="B940">
        <v>1994</v>
      </c>
      <c r="C940">
        <v>523</v>
      </c>
    </row>
    <row r="941" spans="1:3" x14ac:dyDescent="0.2">
      <c r="A941" s="61" t="s">
        <v>374</v>
      </c>
      <c r="B941">
        <v>1995</v>
      </c>
      <c r="C941">
        <v>648</v>
      </c>
    </row>
    <row r="942" spans="1:3" x14ac:dyDescent="0.2">
      <c r="A942" s="61" t="s">
        <v>374</v>
      </c>
      <c r="B942">
        <v>1996</v>
      </c>
      <c r="C942">
        <v>600</v>
      </c>
    </row>
    <row r="943" spans="1:3" x14ac:dyDescent="0.2">
      <c r="A943" s="61" t="s">
        <v>374</v>
      </c>
      <c r="B943">
        <v>1997</v>
      </c>
      <c r="C943">
        <v>540</v>
      </c>
    </row>
    <row r="944" spans="1:3" x14ac:dyDescent="0.2">
      <c r="A944" s="61" t="s">
        <v>374</v>
      </c>
      <c r="B944">
        <v>1998</v>
      </c>
      <c r="C944">
        <v>695</v>
      </c>
    </row>
    <row r="945" spans="1:3" x14ac:dyDescent="0.2">
      <c r="A945" s="61" t="s">
        <v>374</v>
      </c>
      <c r="B945">
        <v>1999</v>
      </c>
      <c r="C945">
        <v>806</v>
      </c>
    </row>
    <row r="946" spans="1:3" x14ac:dyDescent="0.2">
      <c r="A946" s="61" t="s">
        <v>374</v>
      </c>
      <c r="B946">
        <v>2000</v>
      </c>
      <c r="C946">
        <v>826</v>
      </c>
    </row>
    <row r="947" spans="1:3" x14ac:dyDescent="0.2">
      <c r="A947" s="61" t="s">
        <v>374</v>
      </c>
      <c r="B947">
        <v>2001</v>
      </c>
      <c r="C947">
        <v>983</v>
      </c>
    </row>
    <row r="948" spans="1:3" x14ac:dyDescent="0.2">
      <c r="A948" s="61" t="s">
        <v>374</v>
      </c>
      <c r="B948">
        <v>2002</v>
      </c>
      <c r="C948">
        <v>1137</v>
      </c>
    </row>
    <row r="949" spans="1:3" x14ac:dyDescent="0.2">
      <c r="A949" s="61" t="s">
        <v>374</v>
      </c>
      <c r="B949">
        <v>2003</v>
      </c>
      <c r="C949">
        <v>1134</v>
      </c>
    </row>
    <row r="950" spans="1:3" x14ac:dyDescent="0.2">
      <c r="A950" s="61" t="s">
        <v>374</v>
      </c>
      <c r="B950">
        <v>2004</v>
      </c>
      <c r="C950">
        <v>1038</v>
      </c>
    </row>
    <row r="951" spans="1:3" x14ac:dyDescent="0.2">
      <c r="A951" s="61" t="s">
        <v>374</v>
      </c>
      <c r="B951">
        <v>2005</v>
      </c>
      <c r="C951">
        <v>1074</v>
      </c>
    </row>
    <row r="952" spans="1:3" x14ac:dyDescent="0.2">
      <c r="A952" s="61" t="s">
        <v>374</v>
      </c>
      <c r="B952">
        <v>2006</v>
      </c>
      <c r="C952">
        <v>1674</v>
      </c>
    </row>
    <row r="953" spans="1:3" x14ac:dyDescent="0.2">
      <c r="A953" s="61" t="s">
        <v>374</v>
      </c>
      <c r="B953">
        <v>2007</v>
      </c>
      <c r="C953">
        <v>1413</v>
      </c>
    </row>
    <row r="954" spans="1:3" x14ac:dyDescent="0.2">
      <c r="A954" s="61" t="s">
        <v>374</v>
      </c>
      <c r="B954">
        <v>2008</v>
      </c>
      <c r="C954">
        <v>1805</v>
      </c>
    </row>
    <row r="955" spans="1:3" x14ac:dyDescent="0.2">
      <c r="A955" s="61" t="s">
        <v>374</v>
      </c>
      <c r="B955">
        <v>2009</v>
      </c>
      <c r="C955">
        <v>1594</v>
      </c>
    </row>
    <row r="956" spans="1:3" x14ac:dyDescent="0.2">
      <c r="A956" s="61" t="s">
        <v>374</v>
      </c>
      <c r="B956">
        <v>2010</v>
      </c>
      <c r="C956">
        <v>1851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H75"/>
  <sheetViews>
    <sheetView zoomScale="90" zoomScaleNormal="90" workbookViewId="0">
      <pane xSplit="1" ySplit="4" topLeftCell="B36" activePane="bottomRight" state="frozenSplit"/>
      <selection pane="topRight" activeCell="AG1" sqref="AG1"/>
      <selection pane="bottomLeft" activeCell="AE4" sqref="AE4"/>
      <selection pane="bottomRight" activeCell="D73" sqref="D73"/>
    </sheetView>
  </sheetViews>
  <sheetFormatPr defaultRowHeight="12.75" x14ac:dyDescent="0.2"/>
  <cols>
    <col min="18" max="18" width="9.140625" customWidth="1"/>
    <col min="20" max="21" width="0" hidden="1" customWidth="1"/>
  </cols>
  <sheetData>
    <row r="1" spans="1:60" x14ac:dyDescent="0.2">
      <c r="J1" s="61" t="s">
        <v>578</v>
      </c>
      <c r="R1" s="82"/>
      <c r="S1" s="66" t="s">
        <v>305</v>
      </c>
      <c r="T1" s="82"/>
      <c r="U1" s="82"/>
      <c r="V1" s="82"/>
      <c r="W1" s="82"/>
      <c r="X1" s="82"/>
      <c r="Z1" s="82"/>
      <c r="AA1" s="82"/>
      <c r="AB1" s="82"/>
      <c r="AC1" s="82"/>
      <c r="AD1" s="82"/>
      <c r="AE1" s="82"/>
      <c r="AF1" s="82"/>
      <c r="AG1" s="82"/>
      <c r="AH1" s="82"/>
      <c r="AI1" s="82"/>
      <c r="AJ1" s="82"/>
      <c r="AK1" s="82"/>
      <c r="AL1" s="82"/>
    </row>
    <row r="2" spans="1:60" x14ac:dyDescent="0.2">
      <c r="D2" s="61" t="s">
        <v>320</v>
      </c>
      <c r="M2" s="61" t="s">
        <v>725</v>
      </c>
      <c r="N2" s="99" t="s">
        <v>718</v>
      </c>
      <c r="O2" s="100"/>
      <c r="P2" s="99" t="s">
        <v>722</v>
      </c>
      <c r="R2" s="81" t="s">
        <v>303</v>
      </c>
      <c r="S2" s="61" t="s">
        <v>313</v>
      </c>
      <c r="T2" s="63"/>
      <c r="U2" s="97"/>
      <c r="AH2" s="96" t="s">
        <v>707</v>
      </c>
      <c r="AI2" s="96"/>
    </row>
    <row r="3" spans="1:60" x14ac:dyDescent="0.2">
      <c r="B3" s="61" t="s">
        <v>452</v>
      </c>
      <c r="C3" s="61" t="s">
        <v>349</v>
      </c>
      <c r="D3" s="61" t="s">
        <v>307</v>
      </c>
      <c r="E3" s="95" t="s">
        <v>330</v>
      </c>
      <c r="F3" s="61" t="s">
        <v>338</v>
      </c>
      <c r="G3" s="61" t="s">
        <v>312</v>
      </c>
      <c r="H3" s="61" t="s">
        <v>499</v>
      </c>
      <c r="I3" s="61" t="s">
        <v>505</v>
      </c>
      <c r="J3" s="61" t="s">
        <v>503</v>
      </c>
      <c r="K3" s="61" t="s">
        <v>326</v>
      </c>
      <c r="L3" s="61" t="s">
        <v>716</v>
      </c>
      <c r="M3" s="95" t="s">
        <v>721</v>
      </c>
      <c r="N3" s="99" t="s">
        <v>719</v>
      </c>
      <c r="O3" s="99" t="s">
        <v>720</v>
      </c>
      <c r="P3" s="99" t="s">
        <v>723</v>
      </c>
      <c r="Q3" s="61"/>
      <c r="R3" t="s">
        <v>302</v>
      </c>
      <c r="S3" s="63" t="s">
        <v>304</v>
      </c>
      <c r="T3" s="165" t="s">
        <v>307</v>
      </c>
      <c r="U3" s="97" t="s">
        <v>309</v>
      </c>
      <c r="V3" s="61" t="s">
        <v>310</v>
      </c>
      <c r="W3" t="s">
        <v>469</v>
      </c>
      <c r="X3" s="61" t="s">
        <v>471</v>
      </c>
      <c r="Y3" s="61" t="s">
        <v>729</v>
      </c>
      <c r="Z3" s="61" t="s">
        <v>477</v>
      </c>
      <c r="AA3" s="61" t="s">
        <v>473</v>
      </c>
      <c r="AB3" s="61" t="s">
        <v>475</v>
      </c>
      <c r="AC3" s="61" t="s">
        <v>472</v>
      </c>
      <c r="AD3" s="61" t="s">
        <v>478</v>
      </c>
      <c r="AE3" s="61" t="s">
        <v>479</v>
      </c>
      <c r="AF3" s="61" t="s">
        <v>480</v>
      </c>
      <c r="AG3" s="61" t="s">
        <v>481</v>
      </c>
      <c r="AH3" s="95" t="s">
        <v>482</v>
      </c>
      <c r="AI3" s="95" t="s">
        <v>708</v>
      </c>
      <c r="AJ3" s="61" t="s">
        <v>306</v>
      </c>
      <c r="AK3" s="61" t="s">
        <v>308</v>
      </c>
      <c r="AL3" s="61" t="s">
        <v>483</v>
      </c>
      <c r="AM3" s="61" t="s">
        <v>599</v>
      </c>
      <c r="AN3" s="61" t="s">
        <v>584</v>
      </c>
      <c r="AO3" s="61" t="s">
        <v>585</v>
      </c>
      <c r="AP3" s="61" t="s">
        <v>586</v>
      </c>
      <c r="AQ3" s="61" t="s">
        <v>587</v>
      </c>
      <c r="AR3" s="61" t="s">
        <v>588</v>
      </c>
      <c r="AS3" s="61" t="s">
        <v>589</v>
      </c>
      <c r="AU3" s="61" t="s">
        <v>593</v>
      </c>
      <c r="AW3" s="61" t="s">
        <v>440</v>
      </c>
      <c r="AX3" s="61" t="s">
        <v>439</v>
      </c>
      <c r="BE3" s="61" t="s">
        <v>441</v>
      </c>
    </row>
    <row r="4" spans="1:60" x14ac:dyDescent="0.2">
      <c r="A4" t="s">
        <v>302</v>
      </c>
      <c r="B4" t="s">
        <v>301</v>
      </c>
      <c r="C4" t="s">
        <v>355</v>
      </c>
      <c r="D4" t="s">
        <v>315</v>
      </c>
      <c r="E4" s="95" t="s">
        <v>329</v>
      </c>
      <c r="F4" s="61" t="s">
        <v>337</v>
      </c>
      <c r="G4" t="s">
        <v>470</v>
      </c>
      <c r="H4" s="61" t="s">
        <v>500</v>
      </c>
      <c r="I4" t="s">
        <v>504</v>
      </c>
      <c r="J4" s="61" t="s">
        <v>703</v>
      </c>
      <c r="K4" t="s">
        <v>327</v>
      </c>
      <c r="L4" t="s">
        <v>600</v>
      </c>
      <c r="M4" s="95" t="s">
        <v>717</v>
      </c>
      <c r="N4" s="99" t="s">
        <v>717</v>
      </c>
      <c r="O4" s="99" t="s">
        <v>717</v>
      </c>
      <c r="P4" s="99" t="s">
        <v>717</v>
      </c>
      <c r="Q4" s="61"/>
      <c r="Y4" s="61" t="s">
        <v>730</v>
      </c>
      <c r="AM4" s="61" t="s">
        <v>583</v>
      </c>
      <c r="AT4" s="61"/>
      <c r="AU4" s="61"/>
      <c r="AV4" s="61"/>
      <c r="AW4" t="s">
        <v>363</v>
      </c>
      <c r="AX4" t="s">
        <v>364</v>
      </c>
      <c r="AY4" t="s">
        <v>365</v>
      </c>
      <c r="AZ4" t="s">
        <v>366</v>
      </c>
      <c r="BA4" t="s">
        <v>367</v>
      </c>
      <c r="BB4" t="s">
        <v>368</v>
      </c>
      <c r="BC4" t="s">
        <v>369</v>
      </c>
      <c r="BD4" t="s">
        <v>370</v>
      </c>
      <c r="BE4" s="69" t="s">
        <v>371</v>
      </c>
      <c r="BF4" s="69" t="s">
        <v>372</v>
      </c>
      <c r="BG4" s="69" t="s">
        <v>373</v>
      </c>
      <c r="BH4" s="69" t="s">
        <v>374</v>
      </c>
    </row>
    <row r="5" spans="1:60" x14ac:dyDescent="0.2">
      <c r="A5">
        <v>1947</v>
      </c>
      <c r="M5">
        <f>SUM(N5:P5)</f>
        <v>25.4</v>
      </c>
      <c r="N5">
        <v>22.2</v>
      </c>
      <c r="O5">
        <v>3.2</v>
      </c>
      <c r="P5" s="61"/>
      <c r="Q5" s="61"/>
      <c r="S5" s="63"/>
      <c r="T5" s="165"/>
      <c r="U5" s="97"/>
      <c r="V5" s="61"/>
      <c r="AJ5" s="61"/>
      <c r="AK5" s="61"/>
      <c r="AW5" t="s">
        <v>375</v>
      </c>
      <c r="AX5">
        <v>1947</v>
      </c>
      <c r="AY5">
        <v>912</v>
      </c>
      <c r="AZ5">
        <v>117</v>
      </c>
      <c r="BA5">
        <v>103</v>
      </c>
      <c r="BB5">
        <v>421</v>
      </c>
      <c r="BC5">
        <v>333</v>
      </c>
      <c r="BD5">
        <v>908</v>
      </c>
      <c r="BE5">
        <v>3130</v>
      </c>
      <c r="BF5">
        <v>122</v>
      </c>
      <c r="BG5">
        <v>212</v>
      </c>
      <c r="BH5">
        <v>277</v>
      </c>
    </row>
    <row r="6" spans="1:60" x14ac:dyDescent="0.2">
      <c r="A6">
        <v>1948</v>
      </c>
      <c r="D6" s="61"/>
      <c r="E6" s="95"/>
      <c r="F6" s="61"/>
      <c r="G6" s="61"/>
      <c r="H6" s="61"/>
      <c r="I6" s="61"/>
      <c r="J6" s="61"/>
      <c r="K6" s="61"/>
      <c r="M6">
        <f t="shared" ref="M6:M69" si="0">SUM(N6:P6)</f>
        <v>30.9</v>
      </c>
      <c r="N6" s="61">
        <v>20.9</v>
      </c>
      <c r="O6" s="61">
        <v>10</v>
      </c>
      <c r="P6" s="61"/>
      <c r="Q6" s="61"/>
      <c r="S6" s="63"/>
      <c r="T6" s="165"/>
      <c r="U6" s="97"/>
      <c r="V6" s="61"/>
      <c r="Y6" s="61"/>
      <c r="AJ6" s="61"/>
      <c r="AK6" s="61"/>
      <c r="AW6" t="s">
        <v>376</v>
      </c>
      <c r="AX6">
        <v>1948</v>
      </c>
      <c r="AY6">
        <v>962</v>
      </c>
      <c r="AZ6">
        <v>110</v>
      </c>
      <c r="BA6">
        <v>171</v>
      </c>
      <c r="BB6">
        <v>421</v>
      </c>
      <c r="BC6">
        <v>285</v>
      </c>
      <c r="BD6">
        <v>1016</v>
      </c>
      <c r="BE6">
        <v>3284</v>
      </c>
      <c r="BF6">
        <v>110</v>
      </c>
      <c r="BG6">
        <v>286</v>
      </c>
      <c r="BH6">
        <v>350</v>
      </c>
    </row>
    <row r="7" spans="1:60" x14ac:dyDescent="0.2">
      <c r="A7">
        <v>1949</v>
      </c>
      <c r="D7" s="61"/>
      <c r="E7" s="95"/>
      <c r="F7" s="61"/>
      <c r="G7" s="61"/>
      <c r="H7" s="61"/>
      <c r="I7" s="61"/>
      <c r="J7" s="61"/>
      <c r="K7" s="61"/>
      <c r="M7">
        <f t="shared" si="0"/>
        <v>73.5</v>
      </c>
      <c r="N7" s="61">
        <v>53.5</v>
      </c>
      <c r="O7" s="61">
        <v>20</v>
      </c>
      <c r="P7" s="61"/>
      <c r="Q7" s="61"/>
      <c r="S7" s="63"/>
      <c r="T7" s="165"/>
      <c r="U7" s="97"/>
      <c r="V7" s="61"/>
      <c r="Y7" s="61"/>
      <c r="AJ7" s="61"/>
      <c r="AK7" s="61"/>
      <c r="AW7" t="s">
        <v>377</v>
      </c>
      <c r="AX7">
        <v>1949</v>
      </c>
      <c r="AY7">
        <v>862</v>
      </c>
      <c r="AZ7">
        <v>151</v>
      </c>
      <c r="BA7">
        <v>164</v>
      </c>
      <c r="BB7">
        <v>451</v>
      </c>
      <c r="BC7">
        <v>275</v>
      </c>
      <c r="BD7">
        <v>1117</v>
      </c>
      <c r="BE7">
        <v>3761</v>
      </c>
      <c r="BF7">
        <v>155</v>
      </c>
      <c r="BG7">
        <v>230</v>
      </c>
      <c r="BH7">
        <v>302</v>
      </c>
    </row>
    <row r="8" spans="1:60" x14ac:dyDescent="0.2">
      <c r="A8">
        <v>1950</v>
      </c>
      <c r="D8" s="61"/>
      <c r="E8" s="95"/>
      <c r="F8" s="61"/>
      <c r="G8" s="61"/>
      <c r="H8" s="61"/>
      <c r="I8" s="61"/>
      <c r="J8" s="61"/>
      <c r="K8" s="61"/>
      <c r="M8">
        <f t="shared" si="0"/>
        <v>44.9</v>
      </c>
      <c r="N8" s="61">
        <v>24.5</v>
      </c>
      <c r="O8" s="61">
        <v>20.399999999999999</v>
      </c>
      <c r="P8" s="61"/>
      <c r="Q8" s="61"/>
      <c r="S8" s="63"/>
      <c r="T8" s="165"/>
      <c r="U8" s="97"/>
      <c r="V8" s="61"/>
      <c r="Y8" s="61"/>
      <c r="AJ8" s="61"/>
      <c r="AK8" s="61"/>
      <c r="AW8" t="s">
        <v>378</v>
      </c>
      <c r="AX8">
        <v>1950</v>
      </c>
      <c r="AY8">
        <v>898</v>
      </c>
      <c r="AZ8">
        <v>177</v>
      </c>
      <c r="BA8">
        <v>162</v>
      </c>
      <c r="BB8">
        <v>589</v>
      </c>
      <c r="BC8">
        <v>384</v>
      </c>
      <c r="BD8">
        <v>1146</v>
      </c>
      <c r="BE8">
        <v>4172</v>
      </c>
      <c r="BF8">
        <v>80</v>
      </c>
      <c r="BG8">
        <v>251</v>
      </c>
      <c r="BH8">
        <v>339</v>
      </c>
    </row>
    <row r="9" spans="1:60" x14ac:dyDescent="0.2">
      <c r="A9">
        <v>1951</v>
      </c>
      <c r="D9" s="61"/>
      <c r="E9" s="95"/>
      <c r="F9" s="61"/>
      <c r="G9" s="61"/>
      <c r="H9" s="61"/>
      <c r="I9" s="61"/>
      <c r="J9" s="61"/>
      <c r="K9" s="61"/>
      <c r="M9">
        <f t="shared" si="0"/>
        <v>34</v>
      </c>
      <c r="N9" s="61">
        <v>30.8</v>
      </c>
      <c r="O9" s="61">
        <v>3.2</v>
      </c>
      <c r="P9" s="61"/>
      <c r="Q9" s="61"/>
      <c r="S9" s="63"/>
      <c r="T9" s="165"/>
      <c r="U9" s="97"/>
      <c r="V9" s="61"/>
      <c r="Y9" s="61"/>
      <c r="AJ9" s="61"/>
      <c r="AK9" s="61"/>
      <c r="AW9" t="s">
        <v>379</v>
      </c>
      <c r="AX9">
        <v>1951</v>
      </c>
      <c r="AY9">
        <v>1099</v>
      </c>
      <c r="AZ9">
        <v>246</v>
      </c>
      <c r="BA9">
        <v>191</v>
      </c>
      <c r="BB9">
        <v>628</v>
      </c>
      <c r="BC9">
        <v>501</v>
      </c>
      <c r="BD9">
        <v>1296</v>
      </c>
      <c r="BE9">
        <v>4420</v>
      </c>
      <c r="BF9">
        <v>99</v>
      </c>
      <c r="BG9">
        <v>223</v>
      </c>
      <c r="BH9">
        <v>416</v>
      </c>
    </row>
    <row r="10" spans="1:60" x14ac:dyDescent="0.2">
      <c r="A10">
        <v>1952</v>
      </c>
      <c r="D10" s="61"/>
      <c r="E10" s="95"/>
      <c r="F10" s="61"/>
      <c r="G10" s="61"/>
      <c r="H10" s="61"/>
      <c r="I10" s="61"/>
      <c r="J10" s="61"/>
      <c r="K10" s="61"/>
      <c r="M10">
        <f t="shared" si="0"/>
        <v>39.4</v>
      </c>
      <c r="N10" s="61">
        <v>30.8</v>
      </c>
      <c r="O10" s="61">
        <v>8.6</v>
      </c>
      <c r="P10" s="61"/>
      <c r="Q10" s="61"/>
      <c r="S10" s="63"/>
      <c r="T10" s="165"/>
      <c r="U10" s="97"/>
      <c r="V10" s="61"/>
      <c r="Y10" s="61"/>
      <c r="AJ10" s="61"/>
      <c r="AK10" s="61"/>
      <c r="AW10" t="s">
        <v>380</v>
      </c>
      <c r="AX10">
        <v>1952</v>
      </c>
      <c r="AY10">
        <v>964</v>
      </c>
      <c r="AZ10">
        <v>300</v>
      </c>
      <c r="BA10">
        <v>159</v>
      </c>
      <c r="BB10">
        <v>738</v>
      </c>
      <c r="BC10">
        <v>743</v>
      </c>
      <c r="BD10">
        <v>1151</v>
      </c>
      <c r="BE10">
        <v>3887</v>
      </c>
      <c r="BF10">
        <v>116</v>
      </c>
      <c r="BG10">
        <v>338</v>
      </c>
      <c r="BH10">
        <v>378</v>
      </c>
    </row>
    <row r="11" spans="1:60" x14ac:dyDescent="0.2">
      <c r="A11">
        <v>1953</v>
      </c>
      <c r="B11" s="24">
        <f>'by gear'!N11</f>
        <v>13054</v>
      </c>
      <c r="M11">
        <f t="shared" si="0"/>
        <v>56</v>
      </c>
      <c r="N11" s="61">
        <v>35</v>
      </c>
      <c r="O11" s="61">
        <v>21</v>
      </c>
      <c r="T11" s="165"/>
      <c r="AW11" t="s">
        <v>381</v>
      </c>
      <c r="AX11">
        <v>1953</v>
      </c>
      <c r="AY11">
        <v>1081</v>
      </c>
      <c r="AZ11">
        <v>254</v>
      </c>
      <c r="BA11">
        <v>244</v>
      </c>
      <c r="BB11">
        <v>825</v>
      </c>
      <c r="BC11">
        <v>587</v>
      </c>
      <c r="BD11">
        <v>1415</v>
      </c>
      <c r="BE11">
        <v>3973</v>
      </c>
      <c r="BF11">
        <v>155</v>
      </c>
      <c r="BG11">
        <v>292</v>
      </c>
      <c r="BH11">
        <v>450</v>
      </c>
    </row>
    <row r="12" spans="1:60" x14ac:dyDescent="0.2">
      <c r="A12">
        <v>1954</v>
      </c>
      <c r="B12" s="24">
        <f>'by gear'!N12</f>
        <v>14406</v>
      </c>
      <c r="M12">
        <f t="shared" si="0"/>
        <v>56.3</v>
      </c>
      <c r="N12" s="61">
        <v>46.8</v>
      </c>
      <c r="O12" s="61">
        <v>9.5</v>
      </c>
      <c r="T12" s="165"/>
      <c r="AW12" t="s">
        <v>382</v>
      </c>
      <c r="AX12">
        <v>1954</v>
      </c>
      <c r="AY12">
        <v>1162</v>
      </c>
      <c r="AZ12">
        <v>295</v>
      </c>
      <c r="BA12">
        <v>251</v>
      </c>
      <c r="BB12">
        <v>867</v>
      </c>
      <c r="BC12">
        <v>642</v>
      </c>
      <c r="BD12">
        <v>1177</v>
      </c>
      <c r="BE12">
        <v>3480</v>
      </c>
      <c r="BF12">
        <v>156</v>
      </c>
      <c r="BG12">
        <v>263</v>
      </c>
      <c r="BH12">
        <v>374</v>
      </c>
    </row>
    <row r="13" spans="1:60" x14ac:dyDescent="0.2">
      <c r="A13">
        <v>1955</v>
      </c>
      <c r="B13" s="24">
        <f>'by gear'!N13</f>
        <v>13432</v>
      </c>
      <c r="M13">
        <f t="shared" si="0"/>
        <v>93.7</v>
      </c>
      <c r="N13" s="61">
        <v>54.1</v>
      </c>
      <c r="O13" s="61">
        <v>39.6</v>
      </c>
      <c r="T13" s="165"/>
      <c r="AW13" t="s">
        <v>383</v>
      </c>
      <c r="AX13">
        <v>1955</v>
      </c>
      <c r="AY13">
        <v>1245</v>
      </c>
      <c r="AZ13">
        <v>296</v>
      </c>
      <c r="BA13">
        <v>298</v>
      </c>
      <c r="BB13">
        <v>800</v>
      </c>
      <c r="BC13">
        <v>476</v>
      </c>
      <c r="BD13">
        <v>1207</v>
      </c>
      <c r="BE13">
        <v>3282</v>
      </c>
      <c r="BF13">
        <v>124</v>
      </c>
      <c r="BG13">
        <v>277</v>
      </c>
      <c r="BH13">
        <v>409</v>
      </c>
    </row>
    <row r="14" spans="1:60" x14ac:dyDescent="0.2">
      <c r="A14">
        <v>1956</v>
      </c>
      <c r="B14" s="24">
        <f>'by gear'!N14</f>
        <v>14849</v>
      </c>
      <c r="M14">
        <f t="shared" si="0"/>
        <v>45.199999999999996</v>
      </c>
      <c r="N14" s="61">
        <v>42.8</v>
      </c>
      <c r="O14" s="61">
        <v>2.4</v>
      </c>
      <c r="T14" s="165"/>
      <c r="AW14" t="s">
        <v>384</v>
      </c>
      <c r="AX14">
        <v>1956</v>
      </c>
      <c r="AY14">
        <v>916</v>
      </c>
      <c r="AZ14">
        <v>282</v>
      </c>
      <c r="BA14">
        <v>265</v>
      </c>
      <c r="BB14">
        <v>711</v>
      </c>
      <c r="BC14">
        <v>440</v>
      </c>
      <c r="BD14">
        <v>1293</v>
      </c>
      <c r="BE14">
        <v>3441</v>
      </c>
      <c r="BF14">
        <v>111</v>
      </c>
      <c r="BG14">
        <v>313</v>
      </c>
      <c r="BH14">
        <v>371</v>
      </c>
    </row>
    <row r="15" spans="1:60" x14ac:dyDescent="0.2">
      <c r="A15">
        <v>1957</v>
      </c>
      <c r="B15" s="24">
        <f>'by gear'!N15</f>
        <v>13619</v>
      </c>
      <c r="M15">
        <f t="shared" si="0"/>
        <v>18.7</v>
      </c>
      <c r="N15" s="61">
        <v>13.7</v>
      </c>
      <c r="O15" s="61">
        <v>5</v>
      </c>
      <c r="T15" s="165"/>
      <c r="AW15" t="s">
        <v>385</v>
      </c>
      <c r="AX15">
        <v>1957</v>
      </c>
      <c r="AY15">
        <v>708</v>
      </c>
      <c r="AZ15">
        <v>215</v>
      </c>
      <c r="BA15">
        <v>258</v>
      </c>
      <c r="BB15">
        <v>705</v>
      </c>
      <c r="BC15">
        <v>231</v>
      </c>
      <c r="BD15">
        <v>827</v>
      </c>
      <c r="BE15">
        <v>2706</v>
      </c>
      <c r="BF15">
        <v>125</v>
      </c>
      <c r="BG15">
        <v>286</v>
      </c>
      <c r="BH15">
        <v>336</v>
      </c>
    </row>
    <row r="16" spans="1:60" x14ac:dyDescent="0.2">
      <c r="A16">
        <v>1958</v>
      </c>
      <c r="B16" s="24">
        <f>'by gear'!N16</f>
        <v>11103</v>
      </c>
      <c r="M16">
        <f t="shared" si="0"/>
        <v>40.5</v>
      </c>
      <c r="N16" s="61">
        <v>33.9</v>
      </c>
      <c r="O16" s="61">
        <v>6.6</v>
      </c>
      <c r="T16" s="165"/>
      <c r="AW16" t="s">
        <v>386</v>
      </c>
      <c r="AX16">
        <v>1958</v>
      </c>
      <c r="AY16">
        <v>838</v>
      </c>
      <c r="AZ16">
        <v>278</v>
      </c>
      <c r="BA16">
        <v>217</v>
      </c>
      <c r="BB16">
        <v>513</v>
      </c>
      <c r="BC16">
        <v>235</v>
      </c>
      <c r="BD16">
        <v>919</v>
      </c>
      <c r="BE16">
        <v>2268</v>
      </c>
      <c r="BF16">
        <v>115</v>
      </c>
      <c r="BG16">
        <v>254</v>
      </c>
      <c r="BH16">
        <v>388</v>
      </c>
    </row>
    <row r="17" spans="1:60" x14ac:dyDescent="0.2">
      <c r="A17">
        <v>1959</v>
      </c>
      <c r="B17" s="24">
        <f>'by gear'!N17</f>
        <v>12866</v>
      </c>
      <c r="M17">
        <f t="shared" si="0"/>
        <v>19.600000000000001</v>
      </c>
      <c r="N17" s="61">
        <v>19.600000000000001</v>
      </c>
      <c r="O17" s="61">
        <v>0</v>
      </c>
      <c r="T17" s="165"/>
      <c r="AW17" t="s">
        <v>387</v>
      </c>
      <c r="AX17">
        <v>1959</v>
      </c>
      <c r="AY17">
        <v>882</v>
      </c>
      <c r="AZ17">
        <v>444</v>
      </c>
      <c r="BA17">
        <v>108</v>
      </c>
      <c r="BB17">
        <v>516</v>
      </c>
      <c r="BC17">
        <v>247</v>
      </c>
      <c r="BD17">
        <v>1333</v>
      </c>
      <c r="BE17">
        <v>2215</v>
      </c>
      <c r="BF17">
        <v>147</v>
      </c>
      <c r="BG17">
        <v>247</v>
      </c>
      <c r="BH17">
        <v>261</v>
      </c>
    </row>
    <row r="18" spans="1:60" x14ac:dyDescent="0.2">
      <c r="A18">
        <v>1960</v>
      </c>
      <c r="B18" s="24">
        <f>'by gear'!N18</f>
        <v>12123</v>
      </c>
      <c r="M18">
        <f t="shared" si="0"/>
        <v>17.899999999999999</v>
      </c>
      <c r="N18" s="61">
        <v>17.899999999999999</v>
      </c>
      <c r="O18" s="61">
        <v>0</v>
      </c>
      <c r="R18">
        <v>1960</v>
      </c>
      <c r="S18">
        <v>957</v>
      </c>
      <c r="T18" s="165">
        <v>16261</v>
      </c>
      <c r="U18">
        <v>963</v>
      </c>
      <c r="V18">
        <v>12344</v>
      </c>
      <c r="W18">
        <v>187</v>
      </c>
      <c r="AA18">
        <v>14</v>
      </c>
      <c r="AB18">
        <v>39</v>
      </c>
      <c r="AC18">
        <v>63</v>
      </c>
      <c r="AD18">
        <v>85</v>
      </c>
      <c r="AE18">
        <v>101</v>
      </c>
      <c r="AF18">
        <v>1053</v>
      </c>
      <c r="AH18">
        <v>2917</v>
      </c>
      <c r="AJ18" s="84">
        <v>3919</v>
      </c>
      <c r="AL18">
        <v>2260</v>
      </c>
      <c r="AM18">
        <f>[3]SCALLOP!B3</f>
        <v>1519</v>
      </c>
      <c r="AO18">
        <f>[3]SQUIDS!B3</f>
        <v>0</v>
      </c>
      <c r="AP18">
        <f>[3]BIVALVES!B3</f>
        <v>665</v>
      </c>
      <c r="AQ18">
        <v>3</v>
      </c>
      <c r="AR18" s="84">
        <f>[3]SHRIMPS!B3</f>
        <v>0</v>
      </c>
      <c r="AS18">
        <f>[3]TILEFISH!B3</f>
        <v>0</v>
      </c>
      <c r="AW18" t="s">
        <v>388</v>
      </c>
      <c r="AX18">
        <v>1960</v>
      </c>
      <c r="AY18">
        <v>953</v>
      </c>
      <c r="AZ18">
        <v>285</v>
      </c>
      <c r="BA18">
        <v>159</v>
      </c>
      <c r="BB18">
        <v>472</v>
      </c>
      <c r="BC18">
        <v>360</v>
      </c>
      <c r="BD18">
        <v>1184</v>
      </c>
      <c r="BE18">
        <v>2606</v>
      </c>
      <c r="BF18">
        <v>151</v>
      </c>
      <c r="BG18">
        <v>257</v>
      </c>
      <c r="BH18">
        <v>311</v>
      </c>
    </row>
    <row r="19" spans="1:60" x14ac:dyDescent="0.2">
      <c r="A19">
        <v>1961</v>
      </c>
      <c r="B19" s="24">
        <f>'by gear'!N19</f>
        <v>12423</v>
      </c>
      <c r="E19">
        <v>212</v>
      </c>
      <c r="M19">
        <f t="shared" si="0"/>
        <v>28.299999999999997</v>
      </c>
      <c r="N19" s="61">
        <v>20.9</v>
      </c>
      <c r="O19" s="61">
        <v>7.4</v>
      </c>
      <c r="R19">
        <v>1961</v>
      </c>
      <c r="S19">
        <v>617</v>
      </c>
      <c r="T19" s="165">
        <v>17862</v>
      </c>
      <c r="U19">
        <v>198</v>
      </c>
      <c r="V19">
        <v>13077</v>
      </c>
      <c r="W19">
        <v>2</v>
      </c>
      <c r="AA19">
        <v>9</v>
      </c>
      <c r="AB19">
        <v>59</v>
      </c>
      <c r="AC19">
        <v>699</v>
      </c>
      <c r="AD19">
        <v>25</v>
      </c>
      <c r="AE19">
        <v>177</v>
      </c>
      <c r="AF19">
        <v>959</v>
      </c>
      <c r="AH19">
        <v>1175</v>
      </c>
      <c r="AJ19" s="84">
        <v>51</v>
      </c>
      <c r="AL19">
        <v>3782</v>
      </c>
      <c r="AM19">
        <f>[3]SCALLOP!B4</f>
        <v>2631</v>
      </c>
      <c r="AO19">
        <f>[3]SQUIDS!B4</f>
        <v>1</v>
      </c>
      <c r="AP19">
        <f>[3]BIVALVES!B4</f>
        <v>0</v>
      </c>
      <c r="AQ19">
        <v>4</v>
      </c>
      <c r="AR19" s="84">
        <f>[3]SHRIMPS!B4</f>
        <v>0</v>
      </c>
      <c r="AS19">
        <f>[3]TILEFISH!B4</f>
        <v>0</v>
      </c>
      <c r="AW19" t="s">
        <v>389</v>
      </c>
      <c r="AX19">
        <v>1961</v>
      </c>
      <c r="AY19">
        <v>955</v>
      </c>
      <c r="AZ19">
        <v>211</v>
      </c>
      <c r="BA19">
        <v>162</v>
      </c>
      <c r="BB19">
        <v>309</v>
      </c>
      <c r="BC19">
        <v>228</v>
      </c>
      <c r="BD19">
        <v>1329</v>
      </c>
      <c r="BE19">
        <v>2305</v>
      </c>
      <c r="BF19">
        <v>158</v>
      </c>
      <c r="BG19">
        <v>328</v>
      </c>
      <c r="BH19">
        <v>256</v>
      </c>
    </row>
    <row r="20" spans="1:60" x14ac:dyDescent="0.2">
      <c r="A20">
        <v>1962</v>
      </c>
      <c r="B20" s="24">
        <f>'by gear'!N20</f>
        <v>14656</v>
      </c>
      <c r="E20">
        <v>307</v>
      </c>
      <c r="M20">
        <f t="shared" si="0"/>
        <v>25</v>
      </c>
      <c r="N20" s="61">
        <v>16.8</v>
      </c>
      <c r="O20" s="61">
        <v>8.1999999999999993</v>
      </c>
      <c r="R20">
        <v>1962</v>
      </c>
      <c r="S20">
        <v>785</v>
      </c>
      <c r="T20" s="165">
        <v>17925</v>
      </c>
      <c r="U20">
        <v>242</v>
      </c>
      <c r="V20">
        <v>12812</v>
      </c>
      <c r="W20">
        <v>29</v>
      </c>
      <c r="AA20">
        <v>24</v>
      </c>
      <c r="AB20">
        <v>61</v>
      </c>
      <c r="AC20">
        <v>449</v>
      </c>
      <c r="AD20">
        <v>120</v>
      </c>
      <c r="AE20">
        <v>106</v>
      </c>
      <c r="AF20">
        <v>658</v>
      </c>
      <c r="AH20">
        <v>2888</v>
      </c>
      <c r="AJ20" s="84">
        <v>395</v>
      </c>
      <c r="AL20">
        <v>596</v>
      </c>
      <c r="AM20">
        <f>[3]SCALLOP!B5</f>
        <v>2779</v>
      </c>
      <c r="AO20">
        <f>[3]SQUIDS!B5</f>
        <v>65</v>
      </c>
      <c r="AP20">
        <f>[3]BIVALVES!B5</f>
        <v>528</v>
      </c>
      <c r="AQ20">
        <v>7</v>
      </c>
      <c r="AR20" s="84">
        <f>[3]SHRIMPS!B5</f>
        <v>0</v>
      </c>
      <c r="AS20">
        <f>[3]TILEFISH!B5</f>
        <v>0</v>
      </c>
      <c r="AW20" t="s">
        <v>390</v>
      </c>
      <c r="AX20">
        <v>1962</v>
      </c>
      <c r="AY20">
        <v>970</v>
      </c>
      <c r="AZ20">
        <v>183</v>
      </c>
      <c r="BA20">
        <v>172</v>
      </c>
      <c r="BB20">
        <v>501</v>
      </c>
      <c r="BC20">
        <v>603</v>
      </c>
      <c r="BD20">
        <v>1082</v>
      </c>
      <c r="BE20">
        <v>2548</v>
      </c>
      <c r="BF20">
        <v>141</v>
      </c>
      <c r="BG20">
        <v>278</v>
      </c>
      <c r="BH20">
        <v>237</v>
      </c>
    </row>
    <row r="21" spans="1:60" x14ac:dyDescent="0.2">
      <c r="A21">
        <v>1963</v>
      </c>
      <c r="B21" s="24">
        <f>'by gear'!N21</f>
        <v>15791</v>
      </c>
      <c r="E21">
        <v>250</v>
      </c>
      <c r="G21">
        <v>2928</v>
      </c>
      <c r="I21" s="24">
        <f>[4]total!S7</f>
        <v>62630</v>
      </c>
      <c r="M21">
        <f t="shared" si="0"/>
        <v>44.5</v>
      </c>
      <c r="N21" s="61">
        <v>31.4</v>
      </c>
      <c r="O21" s="61">
        <v>13.1</v>
      </c>
      <c r="R21">
        <v>1963</v>
      </c>
      <c r="S21">
        <v>840</v>
      </c>
      <c r="T21" s="165">
        <v>24414</v>
      </c>
      <c r="U21">
        <v>250</v>
      </c>
      <c r="V21">
        <v>9592</v>
      </c>
      <c r="W21">
        <v>6472</v>
      </c>
      <c r="Y21" s="24"/>
      <c r="AA21">
        <v>84</v>
      </c>
      <c r="AB21">
        <v>75</v>
      </c>
      <c r="AC21">
        <v>614</v>
      </c>
      <c r="AE21">
        <v>97</v>
      </c>
      <c r="AF21">
        <v>484</v>
      </c>
      <c r="AH21">
        <v>1678</v>
      </c>
      <c r="AJ21" s="84">
        <v>16520</v>
      </c>
      <c r="AL21">
        <v>9651</v>
      </c>
      <c r="AM21">
        <f>[3]SCALLOP!B6</f>
        <v>10584</v>
      </c>
      <c r="AN21">
        <f>[3]CRABS!B6</f>
        <v>2</v>
      </c>
      <c r="AO21">
        <f>[3]SQUIDS!B6</f>
        <v>8</v>
      </c>
      <c r="AP21">
        <f>[3]BIVALVES!B6</f>
        <v>416</v>
      </c>
      <c r="AQ21">
        <v>13</v>
      </c>
      <c r="AR21" s="84">
        <f>[3]SHRIMPS!B6</f>
        <v>0</v>
      </c>
      <c r="AS21">
        <f>[3]TILEFISH!B6</f>
        <v>0</v>
      </c>
      <c r="AW21" t="s">
        <v>391</v>
      </c>
      <c r="AX21">
        <v>1963</v>
      </c>
      <c r="AY21">
        <v>843</v>
      </c>
      <c r="AZ21">
        <v>140</v>
      </c>
      <c r="BA21">
        <v>142</v>
      </c>
      <c r="BB21">
        <v>525</v>
      </c>
      <c r="BC21">
        <v>690</v>
      </c>
      <c r="BD21">
        <v>1085</v>
      </c>
      <c r="BE21">
        <v>2896</v>
      </c>
      <c r="BF21">
        <v>168</v>
      </c>
      <c r="BG21">
        <v>308</v>
      </c>
      <c r="BH21">
        <v>311</v>
      </c>
    </row>
    <row r="22" spans="1:60" x14ac:dyDescent="0.2">
      <c r="A22">
        <v>1964</v>
      </c>
      <c r="B22" s="24">
        <f>'by gear'!N22</f>
        <v>20767</v>
      </c>
      <c r="E22">
        <v>512</v>
      </c>
      <c r="G22">
        <v>4938</v>
      </c>
      <c r="I22" s="24">
        <f>[4]total!S8</f>
        <v>88828</v>
      </c>
      <c r="M22">
        <f t="shared" si="0"/>
        <v>29.7</v>
      </c>
      <c r="N22" s="61">
        <v>20.5</v>
      </c>
      <c r="O22" s="61">
        <v>9.1999999999999993</v>
      </c>
      <c r="R22">
        <v>1964</v>
      </c>
      <c r="S22">
        <v>862</v>
      </c>
      <c r="T22" s="165">
        <v>35979</v>
      </c>
      <c r="U22">
        <v>512</v>
      </c>
      <c r="V22">
        <v>6244</v>
      </c>
      <c r="W22">
        <v>18210</v>
      </c>
      <c r="Y22" s="24"/>
      <c r="Z22">
        <v>96</v>
      </c>
      <c r="AA22">
        <v>150</v>
      </c>
      <c r="AB22">
        <v>257</v>
      </c>
      <c r="AC22">
        <v>1280</v>
      </c>
      <c r="AE22">
        <v>52</v>
      </c>
      <c r="AF22">
        <v>689</v>
      </c>
      <c r="AH22">
        <v>2166</v>
      </c>
      <c r="AJ22" s="84">
        <v>1592</v>
      </c>
      <c r="AL22">
        <v>5118</v>
      </c>
      <c r="AM22">
        <f>[3]SCALLOP!B7</f>
        <v>8668</v>
      </c>
      <c r="AN22">
        <f>[3]CRABS!B7</f>
        <v>3</v>
      </c>
      <c r="AO22">
        <f>[3]SQUIDS!B7</f>
        <v>33</v>
      </c>
      <c r="AP22">
        <f>[3]BIVALVES!B7</f>
        <v>564</v>
      </c>
      <c r="AQ22">
        <v>10</v>
      </c>
      <c r="AR22" s="84">
        <f>[3]SHRIMPS!B7</f>
        <v>0</v>
      </c>
      <c r="AS22">
        <f>[3]TILEFISH!B7</f>
        <v>0</v>
      </c>
      <c r="AW22" s="101" t="s">
        <v>392</v>
      </c>
      <c r="AX22" s="101">
        <v>1964</v>
      </c>
      <c r="AY22" s="101">
        <v>778</v>
      </c>
      <c r="AZ22" s="101">
        <v>105</v>
      </c>
      <c r="BA22" s="101">
        <v>107</v>
      </c>
      <c r="BB22" s="101">
        <v>374</v>
      </c>
      <c r="BC22" s="101">
        <v>397</v>
      </c>
      <c r="BD22" s="101">
        <v>1023</v>
      </c>
      <c r="BE22" s="101">
        <v>3221</v>
      </c>
      <c r="BF22" s="101">
        <v>153</v>
      </c>
      <c r="BG22" s="101">
        <v>228</v>
      </c>
      <c r="BH22" s="101">
        <v>287</v>
      </c>
    </row>
    <row r="23" spans="1:60" x14ac:dyDescent="0.2">
      <c r="A23">
        <v>1965</v>
      </c>
      <c r="B23" s="24">
        <f>'by gear'!N23</f>
        <v>24221</v>
      </c>
      <c r="E23">
        <v>694</v>
      </c>
      <c r="G23">
        <v>2120</v>
      </c>
      <c r="I23" s="24">
        <f>[4]total!S9</f>
        <v>125740</v>
      </c>
      <c r="M23">
        <f t="shared" si="0"/>
        <v>19</v>
      </c>
      <c r="N23" s="61">
        <v>13.7</v>
      </c>
      <c r="O23" s="61">
        <v>5.3</v>
      </c>
      <c r="R23">
        <v>1965</v>
      </c>
      <c r="S23">
        <v>665</v>
      </c>
      <c r="T23" s="165">
        <v>29007</v>
      </c>
      <c r="U23">
        <v>694</v>
      </c>
      <c r="V23">
        <v>5652</v>
      </c>
      <c r="W23">
        <v>379</v>
      </c>
      <c r="Y23" s="24"/>
      <c r="AA23">
        <v>224</v>
      </c>
      <c r="AB23">
        <v>421</v>
      </c>
      <c r="AC23">
        <v>1128</v>
      </c>
      <c r="AE23">
        <v>94</v>
      </c>
      <c r="AF23">
        <v>48</v>
      </c>
      <c r="AH23">
        <v>3976</v>
      </c>
      <c r="AJ23" s="84">
        <v>1602</v>
      </c>
      <c r="AL23">
        <v>1694</v>
      </c>
      <c r="AM23">
        <f>[3]SCALLOP!B8</f>
        <v>4371</v>
      </c>
      <c r="AN23">
        <f>[3]CRABS!B8</f>
        <v>2</v>
      </c>
      <c r="AO23">
        <f>[3]SQUIDS!B8</f>
        <v>8</v>
      </c>
      <c r="AP23">
        <f>[3]BIVALVES!B8</f>
        <v>564</v>
      </c>
      <c r="AQ23">
        <v>15</v>
      </c>
      <c r="AR23" s="84">
        <f>[3]SHRIMPS!B8</f>
        <v>0</v>
      </c>
      <c r="AS23">
        <f>[3]TILEFISH!B8</f>
        <v>0</v>
      </c>
      <c r="AW23" s="101" t="s">
        <v>393</v>
      </c>
      <c r="AX23" s="101">
        <v>1965</v>
      </c>
      <c r="AY23" s="101">
        <v>899</v>
      </c>
      <c r="AZ23" s="101">
        <v>77</v>
      </c>
      <c r="BA23" s="101">
        <v>77</v>
      </c>
      <c r="BB23" s="101">
        <v>275</v>
      </c>
      <c r="BC23" s="101">
        <v>322</v>
      </c>
      <c r="BD23" s="101">
        <v>960</v>
      </c>
      <c r="BE23" s="101">
        <v>2851</v>
      </c>
      <c r="BF23" s="101">
        <v>169</v>
      </c>
      <c r="BG23" s="101">
        <v>216</v>
      </c>
      <c r="BH23" s="101">
        <v>274</v>
      </c>
    </row>
    <row r="24" spans="1:60" x14ac:dyDescent="0.2">
      <c r="A24">
        <v>1966</v>
      </c>
      <c r="B24" s="24">
        <f>'by gear'!N24</f>
        <v>24164</v>
      </c>
      <c r="E24">
        <v>726</v>
      </c>
      <c r="G24">
        <v>830</v>
      </c>
      <c r="I24" s="24">
        <f>[4]total!S10</f>
        <v>188031</v>
      </c>
      <c r="M24">
        <f t="shared" si="0"/>
        <v>37.9</v>
      </c>
      <c r="N24" s="61">
        <v>18.2</v>
      </c>
      <c r="O24" s="61">
        <v>19.7</v>
      </c>
      <c r="R24">
        <v>1966</v>
      </c>
      <c r="S24">
        <v>331</v>
      </c>
      <c r="T24" s="165">
        <v>42224</v>
      </c>
      <c r="U24">
        <v>726</v>
      </c>
      <c r="V24">
        <v>14776</v>
      </c>
      <c r="W24">
        <v>6423</v>
      </c>
      <c r="X24">
        <v>4</v>
      </c>
      <c r="Y24" s="24"/>
      <c r="Z24">
        <v>55</v>
      </c>
      <c r="AA24">
        <v>166</v>
      </c>
      <c r="AB24">
        <v>224</v>
      </c>
      <c r="AC24">
        <v>1257</v>
      </c>
      <c r="AE24">
        <v>36</v>
      </c>
      <c r="AF24">
        <v>29</v>
      </c>
      <c r="AH24">
        <v>4146</v>
      </c>
      <c r="AJ24" s="84">
        <v>2180</v>
      </c>
      <c r="AL24">
        <v>1730</v>
      </c>
      <c r="AM24">
        <f>[3]SCALLOP!B9</f>
        <v>2577</v>
      </c>
      <c r="AN24">
        <f>[3]CRABS!B9</f>
        <v>0</v>
      </c>
      <c r="AO24">
        <f>[3]SQUIDS!B9</f>
        <v>3</v>
      </c>
      <c r="AP24">
        <f>[3]BIVALVES!B9</f>
        <v>965</v>
      </c>
      <c r="AQ24">
        <v>27</v>
      </c>
      <c r="AR24" s="84">
        <f>[3]SHRIMPS!B9</f>
        <v>3</v>
      </c>
      <c r="AS24">
        <f>[3]TILEFISH!B9</f>
        <v>0</v>
      </c>
      <c r="AW24" s="101" t="s">
        <v>394</v>
      </c>
      <c r="AX24" s="101">
        <v>1966</v>
      </c>
      <c r="AY24" s="101">
        <v>786</v>
      </c>
      <c r="AZ24" s="101">
        <v>69</v>
      </c>
      <c r="BA24" s="101">
        <v>81</v>
      </c>
      <c r="BB24" s="101">
        <v>236</v>
      </c>
      <c r="BC24" s="101">
        <v>177</v>
      </c>
      <c r="BD24" s="101">
        <v>711</v>
      </c>
      <c r="BE24" s="101">
        <v>2708</v>
      </c>
      <c r="BF24" s="101">
        <v>184</v>
      </c>
      <c r="BG24" s="101">
        <v>206</v>
      </c>
      <c r="BH24" s="101">
        <v>283</v>
      </c>
    </row>
    <row r="25" spans="1:60" x14ac:dyDescent="0.2">
      <c r="A25">
        <v>1967</v>
      </c>
      <c r="B25" s="24">
        <f>'by gear'!N25</f>
        <v>27813</v>
      </c>
      <c r="E25">
        <v>1106</v>
      </c>
      <c r="G25">
        <v>820</v>
      </c>
      <c r="I25" s="24">
        <f>[4]total!S11</f>
        <v>187175</v>
      </c>
      <c r="M25">
        <f t="shared" si="0"/>
        <v>13.2</v>
      </c>
      <c r="N25" s="61">
        <v>9.1</v>
      </c>
      <c r="O25" s="61">
        <v>4.0999999999999996</v>
      </c>
      <c r="R25">
        <v>1967</v>
      </c>
      <c r="S25">
        <v>546</v>
      </c>
      <c r="T25" s="165">
        <v>37307</v>
      </c>
      <c r="U25">
        <v>1106</v>
      </c>
      <c r="V25">
        <v>4602</v>
      </c>
      <c r="W25">
        <v>647</v>
      </c>
      <c r="Y25" s="24"/>
      <c r="Z25">
        <v>4</v>
      </c>
      <c r="AA25">
        <v>225</v>
      </c>
      <c r="AB25">
        <v>383</v>
      </c>
      <c r="AC25">
        <v>902</v>
      </c>
      <c r="AE25">
        <v>61</v>
      </c>
      <c r="AF25">
        <v>620</v>
      </c>
      <c r="AH25">
        <v>3763</v>
      </c>
      <c r="AJ25" s="84">
        <v>871</v>
      </c>
      <c r="AL25">
        <v>3713</v>
      </c>
      <c r="AM25">
        <f>[3]SCALLOP!B10</f>
        <v>2766</v>
      </c>
      <c r="AN25">
        <f>[3]CRABS!B10</f>
        <v>0</v>
      </c>
      <c r="AO25">
        <f>[3]SQUIDS!B10</f>
        <v>0</v>
      </c>
      <c r="AP25">
        <f>[3]BIVALVES!B10</f>
        <v>1802</v>
      </c>
      <c r="AR25" s="84">
        <f>[3]SHRIMPS!B10</f>
        <v>0</v>
      </c>
      <c r="AS25">
        <f>[3]TILEFISH!B10</f>
        <v>0</v>
      </c>
      <c r="AW25" s="101" t="s">
        <v>395</v>
      </c>
      <c r="AX25" s="101">
        <v>1967</v>
      </c>
      <c r="AY25" s="101">
        <v>774</v>
      </c>
      <c r="AZ25" s="101">
        <v>54</v>
      </c>
      <c r="BA25" s="101">
        <v>59</v>
      </c>
      <c r="BB25" s="101">
        <v>243</v>
      </c>
      <c r="BC25" s="101">
        <v>200</v>
      </c>
      <c r="BD25" s="101">
        <v>549</v>
      </c>
      <c r="BE25" s="101">
        <v>2710</v>
      </c>
      <c r="BF25" s="101">
        <v>125</v>
      </c>
      <c r="BG25" s="101">
        <v>143</v>
      </c>
      <c r="BH25" s="101">
        <v>223</v>
      </c>
    </row>
    <row r="26" spans="1:60" x14ac:dyDescent="0.2">
      <c r="A26">
        <v>1968</v>
      </c>
      <c r="B26" s="24">
        <f>'by gear'!N26</f>
        <v>30840</v>
      </c>
      <c r="E26">
        <v>946</v>
      </c>
      <c r="G26">
        <v>1317</v>
      </c>
      <c r="I26" s="24">
        <f>[4]total!S12</f>
        <v>245090</v>
      </c>
      <c r="M26">
        <f t="shared" si="0"/>
        <v>27.6</v>
      </c>
      <c r="N26" s="61">
        <v>15.3</v>
      </c>
      <c r="O26" s="61">
        <v>12.3</v>
      </c>
      <c r="R26">
        <v>1968</v>
      </c>
      <c r="S26">
        <v>604</v>
      </c>
      <c r="T26" s="165">
        <v>32482</v>
      </c>
      <c r="U26">
        <v>946</v>
      </c>
      <c r="V26">
        <v>1989</v>
      </c>
      <c r="W26">
        <v>60</v>
      </c>
      <c r="Y26" s="24"/>
      <c r="Z26">
        <v>8</v>
      </c>
      <c r="AA26">
        <v>205</v>
      </c>
      <c r="AB26">
        <v>735</v>
      </c>
      <c r="AC26">
        <v>1143</v>
      </c>
      <c r="AD26">
        <v>1</v>
      </c>
      <c r="AE26">
        <v>45</v>
      </c>
      <c r="AF26">
        <v>1023</v>
      </c>
      <c r="AH26">
        <v>2928</v>
      </c>
      <c r="AJ26" s="84">
        <v>663</v>
      </c>
      <c r="AL26">
        <v>11090</v>
      </c>
      <c r="AM26">
        <f>[3]SCALLOP!B11</f>
        <v>5343</v>
      </c>
      <c r="AN26">
        <f>[3]CRABS!B11</f>
        <v>7</v>
      </c>
      <c r="AO26">
        <f>[3]SQUIDS!B11</f>
        <v>46</v>
      </c>
      <c r="AP26">
        <f>[3]BIVALVES!B11</f>
        <v>1745</v>
      </c>
      <c r="AQ26">
        <v>19</v>
      </c>
      <c r="AR26" s="84">
        <f>[3]SHRIMPS!B11</f>
        <v>592</v>
      </c>
      <c r="AS26">
        <f>[3]TILEFISH!B11</f>
        <v>0</v>
      </c>
      <c r="AW26" s="101" t="s">
        <v>396</v>
      </c>
      <c r="AX26" s="101">
        <v>1968</v>
      </c>
      <c r="AY26" s="101">
        <v>766</v>
      </c>
      <c r="AZ26" s="101">
        <v>45</v>
      </c>
      <c r="BA26" s="101">
        <v>52</v>
      </c>
      <c r="BB26" s="101">
        <v>169</v>
      </c>
      <c r="BC26" s="101">
        <v>213</v>
      </c>
      <c r="BD26" s="101">
        <v>803</v>
      </c>
      <c r="BE26" s="101">
        <v>2844</v>
      </c>
      <c r="BF26" s="101">
        <v>152</v>
      </c>
      <c r="BG26" s="101">
        <v>179</v>
      </c>
      <c r="BH26" s="101">
        <v>283</v>
      </c>
    </row>
    <row r="27" spans="1:60" x14ac:dyDescent="0.2">
      <c r="A27">
        <v>1969</v>
      </c>
      <c r="B27" s="24">
        <f>'by gear'!N27</f>
        <v>24112</v>
      </c>
      <c r="E27">
        <v>870</v>
      </c>
      <c r="G27">
        <v>3031</v>
      </c>
      <c r="I27" s="24">
        <f>[4]total!S13</f>
        <v>259484</v>
      </c>
      <c r="M27">
        <f t="shared" si="0"/>
        <v>79.8</v>
      </c>
      <c r="N27" s="61">
        <v>19.399999999999999</v>
      </c>
      <c r="O27" s="61">
        <v>60.4</v>
      </c>
      <c r="R27">
        <v>1969</v>
      </c>
      <c r="S27">
        <v>459</v>
      </c>
      <c r="T27" s="165">
        <v>30413</v>
      </c>
      <c r="U27">
        <v>870</v>
      </c>
      <c r="V27">
        <v>2774</v>
      </c>
      <c r="W27">
        <v>1672</v>
      </c>
      <c r="Y27" s="24"/>
      <c r="Z27">
        <v>4</v>
      </c>
      <c r="AA27">
        <v>201</v>
      </c>
      <c r="AB27">
        <v>792</v>
      </c>
      <c r="AC27">
        <v>1400</v>
      </c>
      <c r="AE27">
        <v>24</v>
      </c>
      <c r="AF27">
        <v>1013</v>
      </c>
      <c r="AH27">
        <v>4991</v>
      </c>
      <c r="AJ27" s="84">
        <v>698</v>
      </c>
      <c r="AL27">
        <v>8399</v>
      </c>
      <c r="AM27">
        <f>[3]SCALLOP!B12</f>
        <v>4201</v>
      </c>
      <c r="AN27">
        <f>[3]CRABS!B12</f>
        <v>9</v>
      </c>
      <c r="AO27">
        <f>[3]SQUIDS!B12</f>
        <v>0</v>
      </c>
      <c r="AP27">
        <f>[3]BIVALVES!B12</f>
        <v>2605</v>
      </c>
      <c r="AQ27">
        <v>85</v>
      </c>
      <c r="AR27" s="84">
        <f>[3]SHRIMPS!B12</f>
        <v>678</v>
      </c>
      <c r="AS27">
        <f>[3]TILEFISH!B12</f>
        <v>0</v>
      </c>
      <c r="AW27" s="101" t="s">
        <v>397</v>
      </c>
      <c r="AX27" s="101">
        <v>1969</v>
      </c>
      <c r="AY27" s="101">
        <v>540</v>
      </c>
      <c r="AZ27" s="101">
        <v>44</v>
      </c>
      <c r="BA27" s="101">
        <v>43</v>
      </c>
      <c r="BB27" s="101">
        <v>186</v>
      </c>
      <c r="BC27" s="101">
        <v>229</v>
      </c>
      <c r="BD27" s="101">
        <v>1056</v>
      </c>
      <c r="BE27" s="101">
        <v>3888</v>
      </c>
      <c r="BF27" s="101">
        <v>142</v>
      </c>
      <c r="BG27" s="101">
        <v>258</v>
      </c>
      <c r="BH27" s="101">
        <v>430</v>
      </c>
    </row>
    <row r="28" spans="1:60" s="86" customFormat="1" x14ac:dyDescent="0.2">
      <c r="A28" s="86">
        <v>1970</v>
      </c>
      <c r="B28" s="24">
        <f>'by gear'!N28</f>
        <v>18018</v>
      </c>
      <c r="C28" s="86">
        <f>'by gear'!X28</f>
        <v>3687</v>
      </c>
      <c r="D28" s="86">
        <v>16012</v>
      </c>
      <c r="E28" s="86">
        <v>635</v>
      </c>
      <c r="G28" s="86">
        <v>3961</v>
      </c>
      <c r="I28" s="87">
        <f>[4]total!S14</f>
        <v>209163</v>
      </c>
      <c r="M28">
        <f t="shared" si="0"/>
        <v>66.599999999999994</v>
      </c>
      <c r="N28" s="86">
        <v>12.3</v>
      </c>
      <c r="O28" s="86">
        <v>54.3</v>
      </c>
      <c r="R28" s="86">
        <v>1970</v>
      </c>
      <c r="S28" s="86">
        <v>369</v>
      </c>
      <c r="T28" s="166">
        <v>18139</v>
      </c>
      <c r="U28" s="86">
        <v>635</v>
      </c>
      <c r="V28" s="86">
        <v>4424</v>
      </c>
      <c r="W28" s="86">
        <v>4991</v>
      </c>
      <c r="X28" s="86">
        <v>6</v>
      </c>
      <c r="Y28" s="87"/>
      <c r="AA28" s="86">
        <v>326</v>
      </c>
      <c r="AB28" s="86">
        <v>807</v>
      </c>
      <c r="AC28" s="86">
        <v>1478</v>
      </c>
      <c r="AD28" s="86">
        <v>2</v>
      </c>
      <c r="AE28" s="86">
        <v>6</v>
      </c>
      <c r="AF28" s="86">
        <v>899</v>
      </c>
      <c r="AH28" s="86">
        <v>5376</v>
      </c>
      <c r="AJ28" s="88">
        <v>702</v>
      </c>
      <c r="AL28" s="86">
        <v>5535</v>
      </c>
      <c r="AM28" s="86">
        <f>[3]SCALLOP!B13</f>
        <v>2549</v>
      </c>
      <c r="AN28" s="86">
        <f>[3]CRABS!B13</f>
        <v>85</v>
      </c>
      <c r="AO28" s="86">
        <f>[3]SQUIDS!B13</f>
        <v>26</v>
      </c>
      <c r="AP28" s="86">
        <f>[3]BIVALVES!B13</f>
        <v>3036</v>
      </c>
      <c r="AQ28" s="86">
        <v>62</v>
      </c>
      <c r="AR28" s="88">
        <f>[3]SHRIMPS!B13</f>
        <v>920</v>
      </c>
      <c r="AS28" s="86">
        <f>[3]TILEFISH!B13</f>
        <v>0</v>
      </c>
      <c r="AW28" s="96" t="s">
        <v>398</v>
      </c>
      <c r="AX28" s="96">
        <v>1970</v>
      </c>
      <c r="AY28" s="96">
        <v>713</v>
      </c>
      <c r="AZ28" s="96">
        <v>43</v>
      </c>
      <c r="BA28" s="96">
        <v>40</v>
      </c>
      <c r="BB28" s="96">
        <v>213</v>
      </c>
      <c r="BC28" s="96">
        <v>263</v>
      </c>
      <c r="BD28" s="96">
        <v>836</v>
      </c>
      <c r="BE28" s="96">
        <v>4580</v>
      </c>
      <c r="BF28" s="96">
        <v>126</v>
      </c>
      <c r="BG28" s="96">
        <v>209</v>
      </c>
      <c r="BH28" s="96">
        <v>376</v>
      </c>
    </row>
    <row r="29" spans="1:60" x14ac:dyDescent="0.2">
      <c r="A29">
        <v>1971</v>
      </c>
      <c r="B29" s="24">
        <f>'by gear'!N29</f>
        <v>20300</v>
      </c>
      <c r="C29">
        <f>'by gear'!X29</f>
        <v>5457</v>
      </c>
      <c r="D29">
        <v>16404</v>
      </c>
      <c r="E29">
        <v>545</v>
      </c>
      <c r="G29">
        <v>5656</v>
      </c>
      <c r="I29" s="24">
        <f>[4]total!S15</f>
        <v>93287</v>
      </c>
      <c r="M29">
        <f t="shared" si="0"/>
        <v>99.3</v>
      </c>
      <c r="N29" s="61">
        <v>35.799999999999997</v>
      </c>
      <c r="O29" s="61">
        <v>63.5</v>
      </c>
      <c r="R29">
        <v>1971</v>
      </c>
      <c r="S29">
        <v>417</v>
      </c>
      <c r="T29" s="165">
        <v>17600</v>
      </c>
      <c r="U29">
        <v>545</v>
      </c>
      <c r="V29">
        <v>11776</v>
      </c>
      <c r="W29">
        <v>6190</v>
      </c>
      <c r="X29">
        <v>4</v>
      </c>
      <c r="Y29" s="24"/>
      <c r="Z29">
        <v>134</v>
      </c>
      <c r="AA29">
        <v>218</v>
      </c>
      <c r="AB29">
        <v>1141</v>
      </c>
      <c r="AC29">
        <v>1483</v>
      </c>
      <c r="AD29">
        <v>1</v>
      </c>
      <c r="AE29">
        <v>152</v>
      </c>
      <c r="AF29">
        <v>1149</v>
      </c>
      <c r="AH29">
        <v>4699</v>
      </c>
      <c r="AJ29" s="84">
        <v>1058</v>
      </c>
      <c r="AL29">
        <v>14654</v>
      </c>
      <c r="AM29">
        <f>[3]SCALLOP!B14</f>
        <v>2040</v>
      </c>
      <c r="AN29">
        <f>[3]CRABS!B14</f>
        <v>182</v>
      </c>
      <c r="AO29">
        <f>[3]SQUIDS!B14</f>
        <v>110</v>
      </c>
      <c r="AP29">
        <f>[3]BIVALVES!B14</f>
        <v>4319</v>
      </c>
      <c r="AQ29">
        <v>39</v>
      </c>
      <c r="AR29" s="84">
        <f>[3]SHRIMPS!B14</f>
        <v>260</v>
      </c>
      <c r="AS29">
        <f>[3]TILEFISH!B14</f>
        <v>0</v>
      </c>
      <c r="AW29" s="101" t="s">
        <v>399</v>
      </c>
      <c r="AX29" s="101">
        <v>1971</v>
      </c>
      <c r="AY29" s="101">
        <v>674</v>
      </c>
      <c r="AZ29" s="101">
        <v>59</v>
      </c>
      <c r="BA29" s="101">
        <v>48</v>
      </c>
      <c r="BB29" s="101">
        <v>263</v>
      </c>
      <c r="BC29" s="101">
        <v>276</v>
      </c>
      <c r="BD29" s="101">
        <v>986</v>
      </c>
      <c r="BE29" s="101">
        <v>4066</v>
      </c>
      <c r="BF29" s="101">
        <v>140</v>
      </c>
      <c r="BG29" s="101">
        <v>187</v>
      </c>
      <c r="BH29" s="101">
        <v>362</v>
      </c>
    </row>
    <row r="30" spans="1:60" x14ac:dyDescent="0.2">
      <c r="A30">
        <v>1972</v>
      </c>
      <c r="B30" s="24">
        <f>'by gear'!N30</f>
        <v>20530</v>
      </c>
      <c r="C30">
        <f>'by gear'!X30</f>
        <v>6006</v>
      </c>
      <c r="D30">
        <v>12570</v>
      </c>
      <c r="E30">
        <v>937</v>
      </c>
      <c r="G30">
        <v>7130</v>
      </c>
      <c r="I30" s="24">
        <f>[4]total!S16</f>
        <v>157586</v>
      </c>
      <c r="M30">
        <f t="shared" si="0"/>
        <v>45.3</v>
      </c>
      <c r="N30" s="61">
        <v>11.2</v>
      </c>
      <c r="O30" s="61">
        <v>34.1</v>
      </c>
      <c r="R30">
        <v>1972</v>
      </c>
      <c r="S30">
        <v>463</v>
      </c>
      <c r="T30" s="165">
        <v>13499</v>
      </c>
      <c r="U30">
        <v>566</v>
      </c>
      <c r="V30">
        <v>8972</v>
      </c>
      <c r="W30">
        <v>5204</v>
      </c>
      <c r="X30">
        <v>16</v>
      </c>
      <c r="Y30" s="24"/>
      <c r="Z30">
        <v>21</v>
      </c>
      <c r="AA30">
        <v>164</v>
      </c>
      <c r="AB30">
        <v>698</v>
      </c>
      <c r="AC30">
        <v>825</v>
      </c>
      <c r="AD30">
        <v>681</v>
      </c>
      <c r="AE30">
        <v>22</v>
      </c>
      <c r="AF30">
        <v>899</v>
      </c>
      <c r="AH30">
        <v>4325</v>
      </c>
      <c r="AJ30" s="84">
        <v>605</v>
      </c>
      <c r="AL30">
        <v>8179</v>
      </c>
      <c r="AM30">
        <f>[3]SCALLOP!B15</f>
        <v>2391</v>
      </c>
      <c r="AN30">
        <f>[3]CRABS!B15</f>
        <v>7</v>
      </c>
      <c r="AO30">
        <f>[3]SQUIDS!B15</f>
        <v>39</v>
      </c>
      <c r="AP30">
        <f>[3]BIVALVES!B15</f>
        <v>2267</v>
      </c>
      <c r="AQ30">
        <v>62</v>
      </c>
      <c r="AR30" s="84">
        <f>[3]SHRIMPS!B15</f>
        <v>255</v>
      </c>
      <c r="AS30">
        <f>[3]TILEFISH!B15</f>
        <v>0</v>
      </c>
      <c r="AW30" s="101" t="s">
        <v>400</v>
      </c>
      <c r="AX30" s="101">
        <v>1972</v>
      </c>
      <c r="AY30" s="101">
        <v>641</v>
      </c>
      <c r="AZ30" s="101">
        <v>61</v>
      </c>
      <c r="BA30" s="101">
        <v>43</v>
      </c>
      <c r="BB30" s="101">
        <v>222</v>
      </c>
      <c r="BC30" s="101">
        <v>194</v>
      </c>
      <c r="BD30" s="101">
        <v>616</v>
      </c>
      <c r="BE30" s="101">
        <v>4037</v>
      </c>
      <c r="BF30" s="101">
        <v>116</v>
      </c>
      <c r="BG30" s="101">
        <v>183</v>
      </c>
      <c r="BH30" s="101">
        <v>296</v>
      </c>
    </row>
    <row r="31" spans="1:60" x14ac:dyDescent="0.2">
      <c r="A31">
        <v>1973</v>
      </c>
      <c r="B31" s="24">
        <f>'by gear'!N31</f>
        <v>19991</v>
      </c>
      <c r="C31">
        <f>'by gear'!X31</f>
        <v>5831</v>
      </c>
      <c r="D31">
        <v>12680</v>
      </c>
      <c r="E31">
        <v>778</v>
      </c>
      <c r="G31">
        <v>6900</v>
      </c>
      <c r="I31" s="24">
        <f>[4]total!S17</f>
        <v>115572</v>
      </c>
      <c r="M31">
        <f t="shared" si="0"/>
        <v>38.200000000000003</v>
      </c>
      <c r="N31" s="61">
        <v>11.1</v>
      </c>
      <c r="O31" s="61">
        <v>27.1</v>
      </c>
      <c r="R31">
        <v>1973</v>
      </c>
      <c r="S31">
        <v>402</v>
      </c>
      <c r="T31" s="165">
        <v>13103</v>
      </c>
      <c r="U31">
        <v>339</v>
      </c>
      <c r="V31">
        <v>7126</v>
      </c>
      <c r="W31">
        <v>30085</v>
      </c>
      <c r="X31">
        <v>746</v>
      </c>
      <c r="Y31" s="24"/>
      <c r="Z31">
        <v>1300</v>
      </c>
      <c r="AA31">
        <v>139</v>
      </c>
      <c r="AB31">
        <v>535</v>
      </c>
      <c r="AC31">
        <v>774</v>
      </c>
      <c r="AD31">
        <v>806</v>
      </c>
      <c r="AE31">
        <v>822</v>
      </c>
      <c r="AF31">
        <v>893</v>
      </c>
      <c r="AH31">
        <v>5400</v>
      </c>
      <c r="AJ31" s="84">
        <v>909</v>
      </c>
      <c r="AL31">
        <v>3942</v>
      </c>
      <c r="AM31">
        <f>[3]SCALLOP!B16</f>
        <v>1380</v>
      </c>
      <c r="AN31">
        <f>[3]CRABS!B16</f>
        <v>6</v>
      </c>
      <c r="AO31">
        <f>[3]SQUIDS!B16</f>
        <v>1767</v>
      </c>
      <c r="AP31">
        <f>[3]BIVALVES!B16</f>
        <v>2871</v>
      </c>
      <c r="AQ31">
        <v>55</v>
      </c>
      <c r="AR31" s="84">
        <f>[3]SHRIMPS!B16</f>
        <v>31</v>
      </c>
      <c r="AS31">
        <f>[3]TILEFISH!B16</f>
        <v>0</v>
      </c>
      <c r="AW31" s="101" t="s">
        <v>401</v>
      </c>
      <c r="AX31" s="101">
        <v>1973</v>
      </c>
      <c r="AY31" s="101">
        <v>547</v>
      </c>
      <c r="AZ31" s="101">
        <v>56</v>
      </c>
      <c r="BA31" s="101">
        <v>29</v>
      </c>
      <c r="BB31" s="101">
        <v>218</v>
      </c>
      <c r="BC31" s="101">
        <v>187</v>
      </c>
      <c r="BD31" s="101">
        <v>485</v>
      </c>
      <c r="BE31" s="101">
        <v>4457</v>
      </c>
      <c r="BF31" s="101">
        <v>159</v>
      </c>
      <c r="BG31" s="101">
        <v>145</v>
      </c>
      <c r="BH31" s="101">
        <v>308</v>
      </c>
    </row>
    <row r="32" spans="1:60" x14ac:dyDescent="0.2">
      <c r="A32">
        <v>1974</v>
      </c>
      <c r="B32" s="24">
        <f>'by gear'!N32</f>
        <v>18941</v>
      </c>
      <c r="C32">
        <f>'by gear'!X32</f>
        <v>5161</v>
      </c>
      <c r="D32">
        <v>12434</v>
      </c>
      <c r="E32">
        <v>848</v>
      </c>
      <c r="G32">
        <v>7853</v>
      </c>
      <c r="I32" s="24">
        <f>[4]total!S18</f>
        <v>118745</v>
      </c>
      <c r="M32">
        <f t="shared" si="0"/>
        <v>29.5</v>
      </c>
      <c r="N32" s="61">
        <v>8.6</v>
      </c>
      <c r="O32" s="61">
        <v>20.9</v>
      </c>
      <c r="R32">
        <v>1974</v>
      </c>
      <c r="S32">
        <v>404</v>
      </c>
      <c r="T32" s="165">
        <v>13234</v>
      </c>
      <c r="U32">
        <v>458</v>
      </c>
      <c r="V32">
        <v>6153</v>
      </c>
      <c r="W32">
        <v>8106</v>
      </c>
      <c r="X32">
        <v>2504</v>
      </c>
      <c r="Y32" s="24"/>
      <c r="Z32">
        <v>1350</v>
      </c>
      <c r="AA32">
        <v>236</v>
      </c>
      <c r="AB32">
        <v>498</v>
      </c>
      <c r="AC32">
        <v>974</v>
      </c>
      <c r="AD32">
        <v>716</v>
      </c>
      <c r="AE32">
        <v>553</v>
      </c>
      <c r="AF32">
        <v>907</v>
      </c>
      <c r="AH32">
        <v>11002</v>
      </c>
      <c r="AJ32" s="84">
        <v>1353</v>
      </c>
      <c r="AK32">
        <v>47</v>
      </c>
      <c r="AL32">
        <v>4161</v>
      </c>
      <c r="AM32">
        <f>[3]SCALLOP!B17</f>
        <v>623</v>
      </c>
      <c r="AN32">
        <f>[3]CRABS!B17</f>
        <v>14</v>
      </c>
      <c r="AO32">
        <f>[3]SQUIDS!B17</f>
        <v>277</v>
      </c>
      <c r="AP32">
        <f>[3]BIVALVES!B17</f>
        <v>1371</v>
      </c>
      <c r="AQ32">
        <v>57</v>
      </c>
      <c r="AR32" s="84">
        <f>[3]SHRIMPS!B17</f>
        <v>9</v>
      </c>
      <c r="AS32">
        <f>[3]TILEFISH!B17</f>
        <v>0</v>
      </c>
      <c r="AW32" s="101" t="s">
        <v>402</v>
      </c>
      <c r="AX32" s="101">
        <v>1974</v>
      </c>
      <c r="AY32" s="101">
        <v>748</v>
      </c>
      <c r="AZ32" s="101">
        <v>43</v>
      </c>
      <c r="BA32" s="101">
        <v>30</v>
      </c>
      <c r="BB32" s="101">
        <v>162</v>
      </c>
      <c r="BC32" s="101">
        <v>141</v>
      </c>
      <c r="BD32" s="101">
        <v>595</v>
      </c>
      <c r="BE32" s="101">
        <v>3771</v>
      </c>
      <c r="BF32" s="101">
        <v>106</v>
      </c>
      <c r="BG32" s="101">
        <v>132</v>
      </c>
      <c r="BH32" s="101">
        <v>282</v>
      </c>
    </row>
    <row r="33" spans="1:60" x14ac:dyDescent="0.2">
      <c r="A33">
        <v>1975</v>
      </c>
      <c r="B33" s="24">
        <f>'by gear'!N33</f>
        <v>19584</v>
      </c>
      <c r="C33">
        <f>'by gear'!X33</f>
        <v>5022</v>
      </c>
      <c r="D33">
        <v>16059</v>
      </c>
      <c r="E33">
        <v>751</v>
      </c>
      <c r="G33">
        <v>5729</v>
      </c>
      <c r="I33" s="24">
        <f>[4]total!S19</f>
        <v>123975</v>
      </c>
      <c r="M33">
        <f t="shared" si="0"/>
        <v>65.8</v>
      </c>
      <c r="N33" s="61">
        <v>13.9</v>
      </c>
      <c r="O33" s="61">
        <v>51.9</v>
      </c>
      <c r="R33">
        <v>1975</v>
      </c>
      <c r="S33">
        <v>376</v>
      </c>
      <c r="T33" s="165">
        <v>18250</v>
      </c>
      <c r="U33">
        <v>296</v>
      </c>
      <c r="V33">
        <v>3903</v>
      </c>
      <c r="W33">
        <v>17234</v>
      </c>
      <c r="X33">
        <v>533</v>
      </c>
      <c r="Y33" s="24"/>
      <c r="Z33">
        <v>2104</v>
      </c>
      <c r="AA33">
        <v>213</v>
      </c>
      <c r="AB33">
        <v>331</v>
      </c>
      <c r="AC33">
        <v>670</v>
      </c>
      <c r="AD33">
        <v>834</v>
      </c>
      <c r="AE33">
        <v>2103</v>
      </c>
      <c r="AF33">
        <v>864</v>
      </c>
      <c r="AG33">
        <v>244</v>
      </c>
      <c r="AH33">
        <v>7418</v>
      </c>
      <c r="AJ33" s="84">
        <v>1115</v>
      </c>
      <c r="AL33">
        <v>3443</v>
      </c>
      <c r="AM33">
        <f>[3]SCALLOP!B18</f>
        <v>1083</v>
      </c>
      <c r="AN33">
        <f>[3]CRABS!B18</f>
        <v>14</v>
      </c>
      <c r="AO33">
        <f>[3]SQUIDS!B18</f>
        <v>3250</v>
      </c>
      <c r="AP33">
        <f>[3]BIVALVES!B18</f>
        <v>1220</v>
      </c>
      <c r="AQ33">
        <v>62</v>
      </c>
      <c r="AR33" s="84">
        <f>[3]SHRIMPS!B18</f>
        <v>0</v>
      </c>
      <c r="AS33">
        <f>[3]TILEFISH!B18</f>
        <v>0</v>
      </c>
      <c r="AW33" s="101" t="s">
        <v>403</v>
      </c>
      <c r="AX33" s="101">
        <v>1975</v>
      </c>
      <c r="AY33" s="101">
        <v>893</v>
      </c>
      <c r="AZ33" s="101">
        <v>39</v>
      </c>
      <c r="BA33" s="101">
        <v>37</v>
      </c>
      <c r="BB33" s="101">
        <v>119</v>
      </c>
      <c r="BC33" s="101">
        <v>91</v>
      </c>
      <c r="BD33" s="101">
        <v>531</v>
      </c>
      <c r="BE33" s="101">
        <v>3973</v>
      </c>
      <c r="BF33" s="101">
        <v>108</v>
      </c>
      <c r="BG33" s="101">
        <v>99</v>
      </c>
      <c r="BH33" s="101">
        <v>321</v>
      </c>
    </row>
    <row r="34" spans="1:60" x14ac:dyDescent="0.2">
      <c r="A34">
        <v>1976</v>
      </c>
      <c r="B34" s="24">
        <f>'by gear'!N34</f>
        <v>16142</v>
      </c>
      <c r="C34">
        <f>'by gear'!X34</f>
        <v>2671</v>
      </c>
      <c r="D34">
        <v>16338</v>
      </c>
      <c r="E34">
        <v>579</v>
      </c>
      <c r="G34">
        <v>5453</v>
      </c>
      <c r="I34" s="24">
        <f>[4]total!S20</f>
        <v>102628</v>
      </c>
      <c r="M34">
        <f t="shared" si="0"/>
        <v>87.7</v>
      </c>
      <c r="N34" s="61">
        <v>9.5</v>
      </c>
      <c r="O34" s="61">
        <v>78.2</v>
      </c>
      <c r="R34">
        <v>1976</v>
      </c>
      <c r="S34">
        <v>428</v>
      </c>
      <c r="T34" s="165">
        <v>17424</v>
      </c>
      <c r="U34">
        <v>309</v>
      </c>
      <c r="V34">
        <v>4812</v>
      </c>
      <c r="W34">
        <v>6605</v>
      </c>
      <c r="X34">
        <v>284</v>
      </c>
      <c r="Y34" s="24"/>
      <c r="Z34">
        <v>17</v>
      </c>
      <c r="AA34">
        <v>230</v>
      </c>
      <c r="AB34">
        <v>341</v>
      </c>
      <c r="AC34">
        <v>717</v>
      </c>
      <c r="AD34">
        <v>496</v>
      </c>
      <c r="AE34">
        <v>379</v>
      </c>
      <c r="AF34">
        <v>969</v>
      </c>
      <c r="AH34">
        <v>4250</v>
      </c>
      <c r="AJ34" s="84">
        <v>898</v>
      </c>
      <c r="AL34">
        <v>3187</v>
      </c>
      <c r="AM34">
        <f>[3]SCALLOP!B19</f>
        <v>8757</v>
      </c>
      <c r="AN34">
        <f>[3]CRABS!B19</f>
        <v>7</v>
      </c>
      <c r="AO34">
        <f>[3]SQUIDS!B19</f>
        <v>2805</v>
      </c>
      <c r="AP34">
        <f>[3]BIVALVES!B19</f>
        <v>1117</v>
      </c>
      <c r="AQ34">
        <v>77</v>
      </c>
      <c r="AR34" s="84">
        <f>[3]SHRIMPS!B19</f>
        <v>0</v>
      </c>
      <c r="AS34">
        <f>[3]TILEFISH!B19</f>
        <v>0</v>
      </c>
      <c r="AW34" t="s">
        <v>404</v>
      </c>
      <c r="AX34">
        <v>1976</v>
      </c>
      <c r="AY34">
        <v>749</v>
      </c>
      <c r="AZ34">
        <v>29</v>
      </c>
      <c r="BA34">
        <v>39</v>
      </c>
      <c r="BB34">
        <v>110</v>
      </c>
      <c r="BC34">
        <v>86</v>
      </c>
      <c r="BD34">
        <v>382</v>
      </c>
      <c r="BE34">
        <v>3914</v>
      </c>
      <c r="BF34">
        <v>95</v>
      </c>
      <c r="BG34">
        <v>71</v>
      </c>
      <c r="BH34">
        <v>130</v>
      </c>
    </row>
    <row r="35" spans="1:60" x14ac:dyDescent="0.2">
      <c r="A35">
        <v>1977</v>
      </c>
      <c r="B35" s="24">
        <f>'by gear'!N35</f>
        <v>21988</v>
      </c>
      <c r="C35">
        <f>'by gear'!X35</f>
        <v>3051</v>
      </c>
      <c r="D35">
        <v>19593</v>
      </c>
      <c r="E35">
        <v>938</v>
      </c>
      <c r="G35">
        <v>6085</v>
      </c>
      <c r="I35" s="24">
        <f>[4]total!S21</f>
        <v>116997</v>
      </c>
      <c r="M35">
        <f t="shared" si="0"/>
        <v>108.9</v>
      </c>
      <c r="N35" s="61">
        <v>9</v>
      </c>
      <c r="O35" s="61">
        <v>99.9</v>
      </c>
      <c r="R35">
        <v>1977</v>
      </c>
      <c r="S35">
        <v>457</v>
      </c>
      <c r="T35" s="165">
        <v>21269</v>
      </c>
      <c r="U35">
        <v>449</v>
      </c>
      <c r="V35">
        <v>3225</v>
      </c>
      <c r="W35">
        <v>6071</v>
      </c>
      <c r="X35">
        <v>92</v>
      </c>
      <c r="Y35" s="24"/>
      <c r="Z35">
        <v>521</v>
      </c>
      <c r="AA35">
        <v>302</v>
      </c>
      <c r="AB35">
        <v>421</v>
      </c>
      <c r="AC35">
        <v>1022</v>
      </c>
      <c r="AD35">
        <v>898</v>
      </c>
      <c r="AE35">
        <v>153</v>
      </c>
      <c r="AF35">
        <v>1225</v>
      </c>
      <c r="AH35">
        <v>5595</v>
      </c>
      <c r="AJ35" s="84">
        <v>1119</v>
      </c>
      <c r="AK35">
        <v>3</v>
      </c>
      <c r="AL35">
        <v>3367</v>
      </c>
      <c r="AM35">
        <f>[3]SCALLOP!B20</f>
        <v>5957</v>
      </c>
      <c r="AN35">
        <f>[3]CRABS!B20</f>
        <v>22</v>
      </c>
      <c r="AO35">
        <f>[3]SQUIDS!B20</f>
        <v>1184</v>
      </c>
      <c r="AP35">
        <f>[3]BIVALVES!B20</f>
        <v>1951</v>
      </c>
      <c r="AQ35">
        <v>30</v>
      </c>
      <c r="AR35" s="84">
        <f>[3]SHRIMPS!B20</f>
        <v>1</v>
      </c>
      <c r="AS35">
        <f>[3]TILEFISH!B20</f>
        <v>0</v>
      </c>
      <c r="AW35" t="s">
        <v>405</v>
      </c>
      <c r="AX35">
        <v>1977</v>
      </c>
      <c r="AY35">
        <v>795</v>
      </c>
      <c r="AZ35">
        <v>24</v>
      </c>
      <c r="BA35">
        <v>29</v>
      </c>
      <c r="BB35">
        <v>68</v>
      </c>
      <c r="BC35">
        <v>84</v>
      </c>
      <c r="BD35">
        <v>352</v>
      </c>
      <c r="BE35">
        <v>3463</v>
      </c>
      <c r="BF35">
        <v>118</v>
      </c>
      <c r="BG35">
        <v>65</v>
      </c>
      <c r="BH35">
        <v>362</v>
      </c>
    </row>
    <row r="36" spans="1:60" x14ac:dyDescent="0.2">
      <c r="A36">
        <v>1978</v>
      </c>
      <c r="B36" s="24">
        <f>'by gear'!N36</f>
        <v>23719</v>
      </c>
      <c r="C36">
        <f>'by gear'!X36</f>
        <v>4863</v>
      </c>
      <c r="D36">
        <v>25395</v>
      </c>
      <c r="E36">
        <v>1072</v>
      </c>
      <c r="G36">
        <v>6362</v>
      </c>
      <c r="I36" s="24">
        <f>[4]total!S22</f>
        <v>117450</v>
      </c>
      <c r="M36">
        <f t="shared" si="0"/>
        <v>97.6</v>
      </c>
      <c r="N36" s="61">
        <v>52.8</v>
      </c>
      <c r="O36" s="61">
        <v>44.8</v>
      </c>
      <c r="R36">
        <v>1978</v>
      </c>
      <c r="S36">
        <v>580</v>
      </c>
      <c r="T36" s="165">
        <v>26672</v>
      </c>
      <c r="U36">
        <v>512</v>
      </c>
      <c r="V36">
        <v>2680</v>
      </c>
      <c r="W36">
        <v>2175</v>
      </c>
      <c r="X36">
        <v>9</v>
      </c>
      <c r="Y36" s="24"/>
      <c r="Z36">
        <v>125</v>
      </c>
      <c r="AA36">
        <v>387</v>
      </c>
      <c r="AB36">
        <v>188</v>
      </c>
      <c r="AC36">
        <v>884</v>
      </c>
      <c r="AD36">
        <v>1027</v>
      </c>
      <c r="AE36">
        <v>44</v>
      </c>
      <c r="AF36">
        <v>750</v>
      </c>
      <c r="AH36">
        <v>4012</v>
      </c>
      <c r="AJ36" s="84">
        <v>1409</v>
      </c>
      <c r="AL36">
        <v>891</v>
      </c>
      <c r="AM36">
        <f>[3]SCALLOP!B21</f>
        <v>5002</v>
      </c>
      <c r="AN36">
        <f>[3]CRABS!B21</f>
        <v>53</v>
      </c>
      <c r="AO36">
        <f>[3]SQUIDS!B21</f>
        <v>1501</v>
      </c>
      <c r="AP36">
        <f>[3]BIVALVES!B21</f>
        <v>2015</v>
      </c>
      <c r="AQ36">
        <v>25</v>
      </c>
      <c r="AR36" s="84">
        <f>[3]SHRIMPS!B21</f>
        <v>0</v>
      </c>
      <c r="AS36">
        <f>[3]TILEFISH!B21</f>
        <v>0</v>
      </c>
      <c r="AW36" t="s">
        <v>406</v>
      </c>
      <c r="AX36">
        <v>1978</v>
      </c>
      <c r="AY36">
        <v>838</v>
      </c>
      <c r="AZ36">
        <v>20</v>
      </c>
      <c r="BA36">
        <v>20</v>
      </c>
      <c r="BB36">
        <v>48</v>
      </c>
      <c r="BC36">
        <v>53</v>
      </c>
      <c r="BD36">
        <v>213</v>
      </c>
      <c r="BE36">
        <v>2813</v>
      </c>
      <c r="BF36">
        <v>108</v>
      </c>
      <c r="BG36">
        <v>78</v>
      </c>
      <c r="BH36">
        <v>314</v>
      </c>
    </row>
    <row r="37" spans="1:60" x14ac:dyDescent="0.2">
      <c r="A37">
        <v>1979</v>
      </c>
      <c r="B37" s="24">
        <f>'by gear'!N37</f>
        <v>28683</v>
      </c>
      <c r="C37">
        <f>'by gear'!X37</f>
        <v>4544</v>
      </c>
      <c r="D37">
        <v>24580</v>
      </c>
      <c r="E37">
        <v>1489</v>
      </c>
      <c r="G37">
        <v>5441</v>
      </c>
      <c r="I37" s="24">
        <f>[4]total!S23</f>
        <v>80602</v>
      </c>
      <c r="M37">
        <f t="shared" si="0"/>
        <v>141.1</v>
      </c>
      <c r="N37" s="61">
        <v>20.8</v>
      </c>
      <c r="O37" s="61">
        <v>120.3</v>
      </c>
      <c r="R37">
        <v>1979</v>
      </c>
      <c r="S37">
        <v>639</v>
      </c>
      <c r="T37" s="165">
        <v>24935</v>
      </c>
      <c r="U37">
        <v>828</v>
      </c>
      <c r="V37">
        <v>1521</v>
      </c>
      <c r="W37">
        <v>1157</v>
      </c>
      <c r="X37">
        <v>2</v>
      </c>
      <c r="Y37" s="24"/>
      <c r="Z37">
        <v>78</v>
      </c>
      <c r="AA37">
        <v>291</v>
      </c>
      <c r="AB37">
        <v>290</v>
      </c>
      <c r="AC37">
        <v>847</v>
      </c>
      <c r="AD37">
        <v>1212</v>
      </c>
      <c r="AE37">
        <v>27</v>
      </c>
      <c r="AF37">
        <v>1250</v>
      </c>
      <c r="AH37">
        <v>3847</v>
      </c>
      <c r="AJ37" s="84">
        <v>1251</v>
      </c>
      <c r="AK37">
        <v>5</v>
      </c>
      <c r="AL37">
        <v>851</v>
      </c>
      <c r="AM37">
        <f>[3]SCALLOP!B22</f>
        <v>9581</v>
      </c>
      <c r="AN37">
        <f>[3]CRABS!B22</f>
        <v>17</v>
      </c>
      <c r="AO37">
        <f>[3]SQUIDS!B22</f>
        <v>3764</v>
      </c>
      <c r="AP37">
        <f>[3]BIVALVES!B22</f>
        <v>1679</v>
      </c>
      <c r="AQ37">
        <v>6</v>
      </c>
      <c r="AR37" s="84">
        <f>[3]SHRIMPS!B22</f>
        <v>19</v>
      </c>
      <c r="AS37">
        <f>[3]TILEFISH!B22</f>
        <v>0</v>
      </c>
      <c r="AW37" t="s">
        <v>407</v>
      </c>
      <c r="AX37">
        <v>1979</v>
      </c>
      <c r="AY37">
        <v>1014</v>
      </c>
      <c r="AZ37">
        <v>34</v>
      </c>
      <c r="BA37">
        <v>19</v>
      </c>
      <c r="BB37">
        <v>51</v>
      </c>
      <c r="BC37">
        <v>49</v>
      </c>
      <c r="BD37">
        <v>416</v>
      </c>
      <c r="BE37">
        <v>3037</v>
      </c>
      <c r="BF37">
        <v>115</v>
      </c>
      <c r="BG37">
        <v>181</v>
      </c>
      <c r="BH37">
        <v>338</v>
      </c>
    </row>
    <row r="38" spans="1:60" s="69" customFormat="1" x14ac:dyDescent="0.2">
      <c r="A38" s="69">
        <v>1980</v>
      </c>
      <c r="B38" s="24">
        <f>'by gear'!N38</f>
        <v>31277</v>
      </c>
      <c r="C38">
        <f>'by gear'!X38</f>
        <v>4340</v>
      </c>
      <c r="D38" s="69">
        <v>28604</v>
      </c>
      <c r="E38" s="69">
        <v>1694</v>
      </c>
      <c r="G38" s="91">
        <v>6484.8371999999999</v>
      </c>
      <c r="I38" s="90">
        <f>[4]total!S24</f>
        <v>82141</v>
      </c>
      <c r="M38">
        <f t="shared" si="0"/>
        <v>66.599999999999994</v>
      </c>
      <c r="N38" s="69">
        <v>41.8</v>
      </c>
      <c r="O38" s="69">
        <v>24.8</v>
      </c>
      <c r="R38" s="69">
        <v>1980</v>
      </c>
      <c r="S38" s="69">
        <v>749</v>
      </c>
      <c r="T38" s="167">
        <v>29006</v>
      </c>
      <c r="U38" s="69">
        <v>681</v>
      </c>
      <c r="V38" s="69">
        <v>2351</v>
      </c>
      <c r="W38" s="69">
        <v>6554</v>
      </c>
      <c r="X38" s="69">
        <v>27</v>
      </c>
      <c r="Y38" s="90"/>
      <c r="Z38" s="69">
        <v>97</v>
      </c>
      <c r="AA38" s="69">
        <v>255</v>
      </c>
      <c r="AB38" s="69">
        <v>331</v>
      </c>
      <c r="AC38" s="69">
        <v>1134</v>
      </c>
      <c r="AD38" s="69">
        <v>1858</v>
      </c>
      <c r="AE38" s="69">
        <v>36</v>
      </c>
      <c r="AF38" s="69">
        <v>1759</v>
      </c>
      <c r="AH38" s="69">
        <v>2312</v>
      </c>
      <c r="AJ38" s="91">
        <v>1543</v>
      </c>
      <c r="AK38" s="69">
        <v>7</v>
      </c>
      <c r="AL38" s="69">
        <v>560</v>
      </c>
      <c r="AM38" s="69">
        <f>[3]SCALLOP!B23</f>
        <v>22132</v>
      </c>
      <c r="AN38" s="69">
        <f>[3]CRABS!B23</f>
        <v>15</v>
      </c>
      <c r="AO38" s="69">
        <f>[3]SQUIDS!B23</f>
        <v>17410</v>
      </c>
      <c r="AP38" s="69">
        <f>[3]BIVALVES!B23</f>
        <v>2777</v>
      </c>
      <c r="AR38" s="91">
        <f>[3]SHRIMPS!B23</f>
        <v>0</v>
      </c>
      <c r="AS38" s="69">
        <f>[3]TILEFISH!B23</f>
        <v>0</v>
      </c>
      <c r="AW38" s="96" t="s">
        <v>408</v>
      </c>
      <c r="AX38" s="96">
        <v>1980</v>
      </c>
      <c r="AY38" s="96">
        <v>975</v>
      </c>
      <c r="AZ38" s="96">
        <v>23</v>
      </c>
      <c r="BA38" s="96">
        <v>13</v>
      </c>
      <c r="BB38" s="96">
        <v>41</v>
      </c>
      <c r="BC38" s="96">
        <v>66</v>
      </c>
      <c r="BD38" s="96">
        <v>248</v>
      </c>
      <c r="BE38" s="96">
        <v>3229</v>
      </c>
      <c r="BF38" s="96">
        <v>71</v>
      </c>
      <c r="BG38" s="96">
        <v>160</v>
      </c>
      <c r="BH38" s="96">
        <v>233</v>
      </c>
    </row>
    <row r="39" spans="1:60" x14ac:dyDescent="0.2">
      <c r="A39">
        <v>1981</v>
      </c>
      <c r="B39" s="24">
        <f>'by gear'!N39</f>
        <v>31521</v>
      </c>
      <c r="C39">
        <f>'by gear'!X39</f>
        <v>5485</v>
      </c>
      <c r="D39">
        <v>30365</v>
      </c>
      <c r="E39">
        <v>1362</v>
      </c>
      <c r="G39" s="84">
        <v>8509.3066999999992</v>
      </c>
      <c r="I39" s="24">
        <f>[4]total!S25</f>
        <v>88198</v>
      </c>
      <c r="L39">
        <v>25</v>
      </c>
      <c r="M39" s="84">
        <f t="shared" si="0"/>
        <v>55.6</v>
      </c>
      <c r="N39" s="61">
        <v>20.100000000000001</v>
      </c>
      <c r="O39" s="61">
        <v>35.5</v>
      </c>
      <c r="R39">
        <v>1981</v>
      </c>
      <c r="S39">
        <v>783</v>
      </c>
      <c r="T39" s="165">
        <v>30962</v>
      </c>
      <c r="U39">
        <v>514</v>
      </c>
      <c r="V39">
        <v>2453</v>
      </c>
      <c r="W39">
        <v>3484</v>
      </c>
      <c r="X39">
        <v>29</v>
      </c>
      <c r="Y39" s="24"/>
      <c r="Z39">
        <v>135</v>
      </c>
      <c r="AA39">
        <v>227</v>
      </c>
      <c r="AB39">
        <v>462</v>
      </c>
      <c r="AC39">
        <v>1411</v>
      </c>
      <c r="AD39">
        <v>1556</v>
      </c>
      <c r="AE39">
        <v>1</v>
      </c>
      <c r="AF39">
        <v>1538</v>
      </c>
      <c r="AH39">
        <v>2990</v>
      </c>
      <c r="AJ39" s="84">
        <v>1364</v>
      </c>
      <c r="AL39">
        <v>760</v>
      </c>
      <c r="AM39">
        <f>[3]SCALLOP!B24</f>
        <v>17311</v>
      </c>
      <c r="AN39">
        <f>[3]CRABS!B24</f>
        <v>20</v>
      </c>
      <c r="AO39">
        <f>[3]SQUIDS!B24</f>
        <v>4589</v>
      </c>
      <c r="AP39">
        <f>[3]BIVALVES!B24</f>
        <v>2454</v>
      </c>
      <c r="AQ39">
        <v>4</v>
      </c>
      <c r="AR39" s="84">
        <f>[3]SHRIMPS!B24</f>
        <v>0</v>
      </c>
      <c r="AS39">
        <f>[3]TILEFISH!B24</f>
        <v>0</v>
      </c>
      <c r="AW39" t="s">
        <v>409</v>
      </c>
      <c r="AX39">
        <v>1981</v>
      </c>
      <c r="AY39">
        <v>1267</v>
      </c>
      <c r="AZ39">
        <v>45</v>
      </c>
      <c r="BA39">
        <v>35</v>
      </c>
      <c r="BB39">
        <v>70</v>
      </c>
      <c r="BC39">
        <v>56</v>
      </c>
      <c r="BD39">
        <v>363</v>
      </c>
      <c r="BE39">
        <v>3060</v>
      </c>
      <c r="BF39">
        <v>126</v>
      </c>
      <c r="BG39">
        <v>167</v>
      </c>
      <c r="BH39">
        <v>367</v>
      </c>
    </row>
    <row r="40" spans="1:60" x14ac:dyDescent="0.2">
      <c r="A40">
        <v>1982</v>
      </c>
      <c r="B40" s="24">
        <f>'by gear'!N40</f>
        <v>33134</v>
      </c>
      <c r="C40">
        <f>'by gear'!X40</f>
        <v>5593</v>
      </c>
      <c r="D40">
        <v>23565</v>
      </c>
      <c r="E40">
        <v>1338</v>
      </c>
      <c r="F40">
        <v>18347</v>
      </c>
      <c r="G40" s="84">
        <v>10291.163</v>
      </c>
      <c r="I40" s="24">
        <f>[4]total!S26</f>
        <v>98421</v>
      </c>
      <c r="L40">
        <v>156</v>
      </c>
      <c r="M40" s="84">
        <f t="shared" si="0"/>
        <v>17.8</v>
      </c>
      <c r="N40" s="61">
        <v>14.5</v>
      </c>
      <c r="O40" s="61">
        <v>3.3</v>
      </c>
      <c r="R40">
        <v>1982</v>
      </c>
      <c r="S40">
        <v>911</v>
      </c>
      <c r="T40" s="165">
        <v>24450</v>
      </c>
      <c r="U40">
        <v>377</v>
      </c>
      <c r="V40">
        <v>4347</v>
      </c>
      <c r="W40">
        <v>72</v>
      </c>
      <c r="X40">
        <v>25</v>
      </c>
      <c r="Y40" s="24"/>
      <c r="Z40">
        <v>169</v>
      </c>
      <c r="AA40">
        <v>212</v>
      </c>
      <c r="AB40">
        <v>583</v>
      </c>
      <c r="AC40">
        <v>1144</v>
      </c>
      <c r="AD40">
        <v>1763</v>
      </c>
      <c r="AE40">
        <v>18</v>
      </c>
      <c r="AF40">
        <v>1611</v>
      </c>
      <c r="AH40">
        <v>4512</v>
      </c>
      <c r="AJ40" s="84">
        <v>1771</v>
      </c>
      <c r="AL40">
        <v>797</v>
      </c>
      <c r="AM40">
        <f>[3]SCALLOP!B25</f>
        <v>18828</v>
      </c>
      <c r="AN40">
        <f>[3]CRABS!B25</f>
        <v>41</v>
      </c>
      <c r="AO40">
        <f>[3]SQUIDS!B25</f>
        <v>217</v>
      </c>
      <c r="AP40">
        <f>[3]BIVALVES!B25</f>
        <v>2936</v>
      </c>
      <c r="AQ40">
        <v>21</v>
      </c>
      <c r="AR40" s="84">
        <f>[3]SHRIMPS!B25</f>
        <v>0</v>
      </c>
      <c r="AS40">
        <f>[3]TILEFISH!B25</f>
        <v>0</v>
      </c>
      <c r="AW40" t="s">
        <v>410</v>
      </c>
      <c r="AX40">
        <v>1982</v>
      </c>
      <c r="AY40">
        <v>1227</v>
      </c>
      <c r="AZ40">
        <v>50</v>
      </c>
      <c r="BA40">
        <v>27</v>
      </c>
      <c r="BB40">
        <v>94</v>
      </c>
      <c r="BC40">
        <v>70</v>
      </c>
      <c r="BD40">
        <v>448</v>
      </c>
      <c r="BE40">
        <v>3663</v>
      </c>
      <c r="BF40">
        <v>143</v>
      </c>
      <c r="BG40">
        <v>235</v>
      </c>
      <c r="BH40">
        <v>406</v>
      </c>
    </row>
    <row r="41" spans="1:60" x14ac:dyDescent="0.2">
      <c r="A41">
        <v>1983</v>
      </c>
      <c r="B41" s="24">
        <f>'by gear'!N41</f>
        <v>29471</v>
      </c>
      <c r="C41">
        <f>'by gear'!X41</f>
        <v>3785</v>
      </c>
      <c r="D41">
        <v>24841</v>
      </c>
      <c r="E41">
        <v>1687</v>
      </c>
      <c r="F41">
        <v>16448</v>
      </c>
      <c r="G41" s="84">
        <v>9541.6654999999992</v>
      </c>
      <c r="I41" s="24">
        <f>[4]total!S27</f>
        <v>86599</v>
      </c>
      <c r="L41">
        <v>106</v>
      </c>
      <c r="M41" s="84">
        <f t="shared" si="0"/>
        <v>19.7</v>
      </c>
      <c r="N41" s="61">
        <v>19.5</v>
      </c>
      <c r="O41" s="61">
        <v>0.2</v>
      </c>
      <c r="R41">
        <v>1983</v>
      </c>
      <c r="S41">
        <v>870</v>
      </c>
      <c r="T41" s="165">
        <v>25401</v>
      </c>
      <c r="U41">
        <v>584</v>
      </c>
      <c r="V41">
        <v>3926</v>
      </c>
      <c r="W41">
        <v>1479</v>
      </c>
      <c r="X41">
        <v>47</v>
      </c>
      <c r="Y41" s="24"/>
      <c r="Z41">
        <v>288</v>
      </c>
      <c r="AA41">
        <v>321</v>
      </c>
      <c r="AB41">
        <v>659</v>
      </c>
      <c r="AC41">
        <v>915</v>
      </c>
      <c r="AD41">
        <v>2023</v>
      </c>
      <c r="AE41">
        <v>32</v>
      </c>
      <c r="AF41">
        <v>1420</v>
      </c>
      <c r="AH41">
        <v>3547</v>
      </c>
      <c r="AJ41" s="84">
        <v>811</v>
      </c>
      <c r="AL41">
        <v>1109</v>
      </c>
      <c r="AM41">
        <f>[3]SCALLOP!B26</f>
        <v>15325</v>
      </c>
      <c r="AN41">
        <f>[3]CRABS!B26</f>
        <v>328</v>
      </c>
      <c r="AO41">
        <f>[3]SQUIDS!B26</f>
        <v>29</v>
      </c>
      <c r="AP41">
        <f>[3]BIVALVES!B26</f>
        <v>2916</v>
      </c>
      <c r="AQ41">
        <v>66</v>
      </c>
      <c r="AR41" s="84">
        <f>[3]SHRIMPS!B26</f>
        <v>0</v>
      </c>
      <c r="AS41">
        <f>[3]TILEFISH!B26</f>
        <v>0</v>
      </c>
      <c r="AW41" t="s">
        <v>411</v>
      </c>
      <c r="AX41">
        <v>1983</v>
      </c>
      <c r="AY41">
        <v>1658</v>
      </c>
      <c r="AZ41">
        <v>63</v>
      </c>
      <c r="BA41">
        <v>62</v>
      </c>
      <c r="BB41">
        <v>120</v>
      </c>
      <c r="BC41">
        <v>109</v>
      </c>
      <c r="BD41">
        <v>461</v>
      </c>
      <c r="BE41">
        <v>4546</v>
      </c>
      <c r="BF41">
        <v>136</v>
      </c>
      <c r="BG41">
        <v>225</v>
      </c>
      <c r="BH41">
        <v>378</v>
      </c>
    </row>
    <row r="42" spans="1:60" x14ac:dyDescent="0.2">
      <c r="A42">
        <v>1984</v>
      </c>
      <c r="B42" s="24">
        <f>'by gear'!N42</f>
        <v>25528</v>
      </c>
      <c r="C42">
        <f>'by gear'!X42</f>
        <v>2877</v>
      </c>
      <c r="D42">
        <v>19682</v>
      </c>
      <c r="E42">
        <v>1422</v>
      </c>
      <c r="F42">
        <v>15291</v>
      </c>
      <c r="G42" s="84">
        <v>10867.9</v>
      </c>
      <c r="I42" s="24">
        <f>[4]total!S28</f>
        <v>79909</v>
      </c>
      <c r="L42">
        <v>28</v>
      </c>
      <c r="M42" s="84">
        <f t="shared" si="0"/>
        <v>10.8</v>
      </c>
      <c r="N42" s="61">
        <v>8</v>
      </c>
      <c r="O42" s="61">
        <v>2.8</v>
      </c>
      <c r="R42">
        <v>1984</v>
      </c>
      <c r="S42">
        <v>927</v>
      </c>
      <c r="T42" s="165">
        <v>19909</v>
      </c>
      <c r="U42">
        <v>335</v>
      </c>
      <c r="V42">
        <v>4006</v>
      </c>
      <c r="W42">
        <v>7</v>
      </c>
      <c r="X42">
        <v>1</v>
      </c>
      <c r="Y42" s="24"/>
      <c r="Z42">
        <v>352</v>
      </c>
      <c r="AA42">
        <v>172</v>
      </c>
      <c r="AB42">
        <v>593</v>
      </c>
      <c r="AC42">
        <v>877</v>
      </c>
      <c r="AD42">
        <v>1995</v>
      </c>
      <c r="AE42">
        <v>58</v>
      </c>
      <c r="AF42">
        <v>1269</v>
      </c>
      <c r="AH42">
        <v>2828</v>
      </c>
      <c r="AJ42" s="84">
        <v>471</v>
      </c>
      <c r="AL42">
        <v>1564</v>
      </c>
      <c r="AM42">
        <f>[3]SCALLOP!B27</f>
        <v>9904</v>
      </c>
      <c r="AN42">
        <f>[3]CRABS!B27</f>
        <v>297</v>
      </c>
      <c r="AO42">
        <f>[3]SQUIDS!B27</f>
        <v>1</v>
      </c>
      <c r="AP42">
        <f>[3]BIVALVES!B27</f>
        <v>3633</v>
      </c>
      <c r="AQ42">
        <v>136</v>
      </c>
      <c r="AR42" s="84">
        <f>[3]SHRIMPS!B27</f>
        <v>0</v>
      </c>
      <c r="AS42">
        <f>[3]TILEFISH!B27</f>
        <v>0</v>
      </c>
      <c r="AW42" t="s">
        <v>412</v>
      </c>
      <c r="AX42">
        <v>1984</v>
      </c>
      <c r="AY42">
        <v>1502</v>
      </c>
      <c r="AZ42">
        <v>74</v>
      </c>
      <c r="BA42">
        <v>69</v>
      </c>
      <c r="BB42">
        <v>169</v>
      </c>
      <c r="BC42">
        <v>140</v>
      </c>
      <c r="BD42">
        <v>1044</v>
      </c>
      <c r="BE42">
        <v>5138</v>
      </c>
      <c r="BF42">
        <v>164</v>
      </c>
      <c r="BG42">
        <v>211</v>
      </c>
      <c r="BH42">
        <v>365</v>
      </c>
    </row>
    <row r="43" spans="1:60" x14ac:dyDescent="0.2">
      <c r="A43">
        <v>1985</v>
      </c>
      <c r="B43" s="24">
        <f>'by gear'!N43</f>
        <v>21499</v>
      </c>
      <c r="C43">
        <f>'by gear'!X43</f>
        <v>2131</v>
      </c>
      <c r="D43">
        <v>15314</v>
      </c>
      <c r="E43">
        <v>1516</v>
      </c>
      <c r="F43">
        <v>19511</v>
      </c>
      <c r="G43" s="84">
        <v>10384.438</v>
      </c>
      <c r="I43" s="24">
        <f>[4]total!S29</f>
        <v>130095</v>
      </c>
      <c r="L43">
        <v>16</v>
      </c>
      <c r="M43" s="84">
        <f t="shared" si="0"/>
        <v>80.7</v>
      </c>
      <c r="N43" s="61">
        <v>6.3</v>
      </c>
      <c r="O43" s="61">
        <v>74.400000000000006</v>
      </c>
      <c r="R43">
        <v>1985</v>
      </c>
      <c r="S43">
        <v>745</v>
      </c>
      <c r="T43" s="165">
        <v>15340</v>
      </c>
      <c r="U43">
        <v>317</v>
      </c>
      <c r="V43">
        <v>4442</v>
      </c>
      <c r="W43">
        <v>9</v>
      </c>
      <c r="X43">
        <v>11</v>
      </c>
      <c r="Y43" s="24"/>
      <c r="Z43">
        <v>369</v>
      </c>
      <c r="AA43">
        <v>73</v>
      </c>
      <c r="AB43">
        <v>525</v>
      </c>
      <c r="AC43">
        <v>795</v>
      </c>
      <c r="AD43">
        <v>2200</v>
      </c>
      <c r="AE43">
        <v>2</v>
      </c>
      <c r="AF43">
        <v>1401</v>
      </c>
      <c r="AH43">
        <v>3968</v>
      </c>
      <c r="AJ43" s="84">
        <v>164</v>
      </c>
      <c r="AL43">
        <v>2110</v>
      </c>
      <c r="AM43">
        <f>[3]SCALLOP!B28</f>
        <v>7741</v>
      </c>
      <c r="AN43">
        <f>[3]CRABS!B28</f>
        <v>357</v>
      </c>
      <c r="AO43">
        <f>[3]SQUIDS!B28</f>
        <v>7</v>
      </c>
      <c r="AP43">
        <f>[3]BIVALVES!B28</f>
        <v>3931</v>
      </c>
      <c r="AQ43">
        <v>95</v>
      </c>
      <c r="AR43" s="84">
        <f>[3]SHRIMPS!B28</f>
        <v>0</v>
      </c>
      <c r="AS43">
        <f>[3]TILEFISH!B28</f>
        <v>0</v>
      </c>
      <c r="AW43" t="s">
        <v>413</v>
      </c>
      <c r="AX43">
        <v>1985</v>
      </c>
      <c r="AY43">
        <v>1721</v>
      </c>
      <c r="AZ43">
        <v>113</v>
      </c>
      <c r="BA43">
        <v>60</v>
      </c>
      <c r="BB43">
        <v>183</v>
      </c>
      <c r="BC43">
        <v>180</v>
      </c>
      <c r="BD43">
        <v>1658</v>
      </c>
      <c r="BE43">
        <v>5938</v>
      </c>
      <c r="BF43">
        <v>226</v>
      </c>
      <c r="BG43">
        <v>266</v>
      </c>
      <c r="BH43">
        <v>334</v>
      </c>
    </row>
    <row r="44" spans="1:60" x14ac:dyDescent="0.2">
      <c r="A44">
        <v>1986</v>
      </c>
      <c r="B44" s="24">
        <f>'by gear'!N44</f>
        <v>20040</v>
      </c>
      <c r="C44">
        <f>'by gear'!X44</f>
        <v>1764</v>
      </c>
      <c r="D44">
        <v>15507</v>
      </c>
      <c r="E44">
        <v>2355</v>
      </c>
      <c r="F44">
        <v>17520</v>
      </c>
      <c r="G44" s="84">
        <v>9765.0789999999997</v>
      </c>
      <c r="I44" s="24">
        <f>[4]total!S30</f>
        <v>92878</v>
      </c>
      <c r="L44" s="84">
        <v>5</v>
      </c>
      <c r="M44" s="84">
        <f t="shared" si="0"/>
        <v>60.2</v>
      </c>
      <c r="N44" s="61">
        <v>5.7</v>
      </c>
      <c r="O44" s="61">
        <v>54.5</v>
      </c>
      <c r="R44">
        <v>1986</v>
      </c>
      <c r="S44">
        <v>501</v>
      </c>
      <c r="T44" s="165">
        <v>15331</v>
      </c>
      <c r="U44">
        <v>592</v>
      </c>
      <c r="V44">
        <v>5634</v>
      </c>
      <c r="W44">
        <v>222</v>
      </c>
      <c r="X44">
        <v>8</v>
      </c>
      <c r="Y44" s="24"/>
      <c r="Z44">
        <v>540</v>
      </c>
      <c r="AA44">
        <v>111</v>
      </c>
      <c r="AB44">
        <v>631</v>
      </c>
      <c r="AC44">
        <v>1034</v>
      </c>
      <c r="AD44">
        <v>3234</v>
      </c>
      <c r="AE44">
        <v>17</v>
      </c>
      <c r="AF44">
        <v>1236</v>
      </c>
      <c r="AH44">
        <v>3333</v>
      </c>
      <c r="AJ44" s="84">
        <v>111</v>
      </c>
      <c r="AL44">
        <v>3834</v>
      </c>
      <c r="AM44" s="84">
        <f>[3]SCALLOP!B29</f>
        <v>5191</v>
      </c>
      <c r="AN44">
        <f>[3]CRABS!B29</f>
        <v>39</v>
      </c>
      <c r="AO44">
        <f>[3]SQUIDS!B29</f>
        <v>36</v>
      </c>
      <c r="AP44">
        <f>[3]BIVALVES!B29</f>
        <v>4454</v>
      </c>
      <c r="AQ44">
        <v>119</v>
      </c>
      <c r="AR44" s="84">
        <f>[3]SHRIMPS!B29</f>
        <v>0</v>
      </c>
      <c r="AS44">
        <f>[3]TILEFISH!B29</f>
        <v>0</v>
      </c>
      <c r="AW44" t="s">
        <v>414</v>
      </c>
      <c r="AX44">
        <v>1986</v>
      </c>
      <c r="AY44">
        <v>2420</v>
      </c>
      <c r="AZ44">
        <v>154</v>
      </c>
      <c r="BA44">
        <v>85</v>
      </c>
      <c r="BB44">
        <v>223</v>
      </c>
      <c r="BC44">
        <v>284</v>
      </c>
      <c r="BD44">
        <v>2385</v>
      </c>
      <c r="BE44">
        <v>6891</v>
      </c>
      <c r="BF44">
        <v>246</v>
      </c>
      <c r="BG44">
        <v>281</v>
      </c>
      <c r="BH44">
        <v>315</v>
      </c>
    </row>
    <row r="45" spans="1:60" x14ac:dyDescent="0.2">
      <c r="A45">
        <v>1987</v>
      </c>
      <c r="B45" s="24">
        <f>'by gear'!N45</f>
        <v>19005</v>
      </c>
      <c r="C45">
        <f>'by gear'!X45</f>
        <v>3414</v>
      </c>
      <c r="D45">
        <v>13763</v>
      </c>
      <c r="E45">
        <v>1559</v>
      </c>
      <c r="F45">
        <v>16460</v>
      </c>
      <c r="G45" s="84">
        <v>10071.98</v>
      </c>
      <c r="I45" s="24">
        <f>[4]total!S31</f>
        <v>119240</v>
      </c>
      <c r="L45" s="84">
        <v>0</v>
      </c>
      <c r="M45" s="84">
        <f t="shared" si="0"/>
        <v>63.6</v>
      </c>
      <c r="N45" s="61">
        <v>15</v>
      </c>
      <c r="O45" s="61">
        <v>48.6</v>
      </c>
      <c r="R45">
        <v>1987</v>
      </c>
      <c r="S45">
        <v>484</v>
      </c>
      <c r="T45" s="165">
        <v>13797</v>
      </c>
      <c r="U45">
        <v>262</v>
      </c>
      <c r="V45">
        <v>5080</v>
      </c>
      <c r="W45">
        <v>31</v>
      </c>
      <c r="X45">
        <v>264</v>
      </c>
      <c r="Y45" s="24"/>
      <c r="Z45">
        <v>396</v>
      </c>
      <c r="AA45">
        <v>109</v>
      </c>
      <c r="AB45">
        <v>492</v>
      </c>
      <c r="AC45">
        <v>1044</v>
      </c>
      <c r="AD45">
        <v>2380</v>
      </c>
      <c r="AE45">
        <v>31</v>
      </c>
      <c r="AF45">
        <v>765</v>
      </c>
      <c r="AH45">
        <v>3069</v>
      </c>
      <c r="AJ45" s="84">
        <v>278</v>
      </c>
      <c r="AK45">
        <v>47</v>
      </c>
      <c r="AL45">
        <v>2477</v>
      </c>
      <c r="AM45" s="84">
        <f>[3]SCALLOP!B30</f>
        <v>8043</v>
      </c>
      <c r="AN45">
        <f>[3]CRABS!B30</f>
        <v>118</v>
      </c>
      <c r="AO45">
        <f>[3]SQUIDS!B30</f>
        <v>16</v>
      </c>
      <c r="AP45">
        <f>[3]BIVALVES!B30</f>
        <v>3830</v>
      </c>
      <c r="AQ45">
        <v>215</v>
      </c>
      <c r="AR45" s="84">
        <f>[3]SHRIMPS!B30</f>
        <v>0</v>
      </c>
      <c r="AS45">
        <f>[3]TILEFISH!B30</f>
        <v>0</v>
      </c>
      <c r="AW45" t="s">
        <v>415</v>
      </c>
      <c r="AX45">
        <v>1987</v>
      </c>
      <c r="AY45">
        <v>2763</v>
      </c>
      <c r="AZ45">
        <v>200</v>
      </c>
      <c r="BA45">
        <v>99</v>
      </c>
      <c r="BB45">
        <v>303</v>
      </c>
      <c r="BC45">
        <v>258</v>
      </c>
      <c r="BD45">
        <v>2794</v>
      </c>
      <c r="BE45">
        <v>7673</v>
      </c>
      <c r="BF45">
        <v>330</v>
      </c>
      <c r="BG45">
        <v>328</v>
      </c>
      <c r="BH45">
        <v>339</v>
      </c>
    </row>
    <row r="46" spans="1:60" x14ac:dyDescent="0.2">
      <c r="A46">
        <v>1988</v>
      </c>
      <c r="B46" s="24">
        <f>'by gear'!N46</f>
        <v>20537</v>
      </c>
      <c r="C46">
        <f>'by gear'!X46</f>
        <v>2626</v>
      </c>
      <c r="D46">
        <v>11233</v>
      </c>
      <c r="E46">
        <v>1568</v>
      </c>
      <c r="F46">
        <v>17899</v>
      </c>
      <c r="G46" s="84">
        <v>8334.7479999999996</v>
      </c>
      <c r="I46" s="24">
        <f>[4]total!S32</f>
        <v>147881</v>
      </c>
      <c r="J46" s="84">
        <v>4.7366386370000004</v>
      </c>
      <c r="L46" s="84">
        <v>5</v>
      </c>
      <c r="M46" s="84">
        <f t="shared" si="0"/>
        <v>149.20000000000002</v>
      </c>
      <c r="N46" s="61">
        <v>14.3</v>
      </c>
      <c r="O46" s="236">
        <v>134.9</v>
      </c>
      <c r="R46">
        <v>1988</v>
      </c>
      <c r="S46">
        <v>609</v>
      </c>
      <c r="T46" s="165">
        <v>11295</v>
      </c>
      <c r="U46">
        <v>366</v>
      </c>
      <c r="V46">
        <v>3245</v>
      </c>
      <c r="W46">
        <v>5919</v>
      </c>
      <c r="Y46" s="24"/>
      <c r="Z46">
        <v>290</v>
      </c>
      <c r="AA46">
        <v>79</v>
      </c>
      <c r="AB46">
        <v>541</v>
      </c>
      <c r="AC46">
        <v>1460</v>
      </c>
      <c r="AD46">
        <v>2205</v>
      </c>
      <c r="AE46">
        <v>59</v>
      </c>
      <c r="AF46">
        <v>657</v>
      </c>
      <c r="AH46">
        <v>3619</v>
      </c>
      <c r="AJ46" s="84">
        <v>267</v>
      </c>
      <c r="AK46">
        <v>63</v>
      </c>
      <c r="AL46">
        <v>1505</v>
      </c>
      <c r="AM46" s="84">
        <f>[3]SCALLOP!B31</f>
        <v>28533</v>
      </c>
      <c r="AN46">
        <f>[3]CRABS!B31</f>
        <v>18</v>
      </c>
      <c r="AO46">
        <f>[3]SQUIDS!B31</f>
        <v>31</v>
      </c>
      <c r="AP46">
        <f>[3]BIVALVES!B31</f>
        <v>2088</v>
      </c>
      <c r="AQ46">
        <v>125</v>
      </c>
      <c r="AR46" s="84">
        <f>[3]SHRIMPS!B31</f>
        <v>0</v>
      </c>
      <c r="AS46">
        <f>[3]TILEFISH!B31</f>
        <v>0</v>
      </c>
      <c r="AW46" t="s">
        <v>416</v>
      </c>
      <c r="AX46">
        <v>1988</v>
      </c>
      <c r="AY46">
        <v>3072</v>
      </c>
      <c r="AZ46">
        <v>203</v>
      </c>
      <c r="BA46">
        <v>77</v>
      </c>
      <c r="BB46">
        <v>326</v>
      </c>
      <c r="BC46">
        <v>222</v>
      </c>
      <c r="BD46">
        <v>2589</v>
      </c>
      <c r="BE46">
        <v>8479</v>
      </c>
      <c r="BF46">
        <v>262</v>
      </c>
      <c r="BG46">
        <v>340</v>
      </c>
      <c r="BH46">
        <v>383</v>
      </c>
    </row>
    <row r="47" spans="1:60" x14ac:dyDescent="0.2">
      <c r="A47">
        <v>1989</v>
      </c>
      <c r="B47" s="24">
        <f>'by gear'!N47</f>
        <v>19885</v>
      </c>
      <c r="C47">
        <f>'by gear'!X47</f>
        <v>2955</v>
      </c>
      <c r="D47">
        <v>6794</v>
      </c>
      <c r="E47">
        <v>1013</v>
      </c>
      <c r="F47">
        <v>13724</v>
      </c>
      <c r="G47" s="84">
        <v>7948.2730000000001</v>
      </c>
      <c r="I47" s="24">
        <f>[4]total!S33</f>
        <v>121500</v>
      </c>
      <c r="J47" s="84">
        <v>80.46899273150008</v>
      </c>
      <c r="K47">
        <v>70</v>
      </c>
      <c r="L47" s="84">
        <v>337</v>
      </c>
      <c r="M47" s="84">
        <f t="shared" si="0"/>
        <v>122.4</v>
      </c>
      <c r="N47" s="236">
        <v>6</v>
      </c>
      <c r="O47" s="236">
        <v>116.4</v>
      </c>
      <c r="R47">
        <v>1989</v>
      </c>
      <c r="S47">
        <v>444</v>
      </c>
      <c r="T47" s="165">
        <v>6803</v>
      </c>
      <c r="U47">
        <v>481</v>
      </c>
      <c r="V47">
        <v>1989</v>
      </c>
      <c r="W47">
        <v>6317</v>
      </c>
      <c r="X47">
        <v>166</v>
      </c>
      <c r="Y47" s="24"/>
      <c r="Z47">
        <v>231</v>
      </c>
      <c r="AA47">
        <v>50</v>
      </c>
      <c r="AB47">
        <v>527</v>
      </c>
      <c r="AC47">
        <v>1289</v>
      </c>
      <c r="AD47">
        <v>976</v>
      </c>
      <c r="AE47">
        <v>38</v>
      </c>
      <c r="AF47">
        <v>359</v>
      </c>
      <c r="AH47">
        <v>2869</v>
      </c>
      <c r="AJ47" s="84">
        <v>299</v>
      </c>
      <c r="AK47">
        <v>29</v>
      </c>
      <c r="AL47">
        <v>1026</v>
      </c>
      <c r="AM47" s="84">
        <f>[3]SCALLOP!B32</f>
        <v>40409</v>
      </c>
      <c r="AN47">
        <f>[3]CRABS!B32</f>
        <v>41</v>
      </c>
      <c r="AO47">
        <f>[3]SQUIDS!B32</f>
        <v>48</v>
      </c>
      <c r="AP47">
        <f>[3]BIVALVES!B32</f>
        <v>1627</v>
      </c>
      <c r="AQ47">
        <v>142</v>
      </c>
      <c r="AR47" s="84">
        <f>[3]SHRIMPS!B32</f>
        <v>3</v>
      </c>
      <c r="AS47">
        <f>[3]TILEFISH!B32</f>
        <v>10</v>
      </c>
      <c r="AW47" t="s">
        <v>417</v>
      </c>
      <c r="AX47">
        <v>1989</v>
      </c>
      <c r="AY47">
        <v>3714</v>
      </c>
      <c r="AZ47">
        <v>257</v>
      </c>
      <c r="BA47">
        <v>132</v>
      </c>
      <c r="BB47">
        <v>482</v>
      </c>
      <c r="BC47">
        <v>239</v>
      </c>
      <c r="BD47">
        <v>1888</v>
      </c>
      <c r="BE47">
        <v>8201</v>
      </c>
      <c r="BF47">
        <v>270</v>
      </c>
      <c r="BG47">
        <v>309</v>
      </c>
      <c r="BH47">
        <v>467</v>
      </c>
    </row>
    <row r="48" spans="1:60" x14ac:dyDescent="0.2">
      <c r="A48">
        <v>1990</v>
      </c>
      <c r="B48" s="24">
        <f>'by gear'!N48</f>
        <v>23904</v>
      </c>
      <c r="C48">
        <f>'by gear'!X48</f>
        <v>2914</v>
      </c>
      <c r="D48">
        <v>7504</v>
      </c>
      <c r="E48">
        <v>2112</v>
      </c>
      <c r="F48">
        <v>15595</v>
      </c>
      <c r="G48" s="84">
        <v>8199.3599999999988</v>
      </c>
      <c r="I48" s="24">
        <f>[4]total!S34</f>
        <v>131320</v>
      </c>
      <c r="J48" s="84">
        <v>86.185674447750003</v>
      </c>
      <c r="K48">
        <v>119</v>
      </c>
      <c r="L48" s="84">
        <v>207</v>
      </c>
      <c r="M48" s="84">
        <f t="shared" si="0"/>
        <v>95.67</v>
      </c>
      <c r="N48" s="236">
        <v>4.8</v>
      </c>
      <c r="O48" s="236">
        <v>90.7</v>
      </c>
      <c r="P48" s="237">
        <v>0.17</v>
      </c>
      <c r="R48">
        <v>1990</v>
      </c>
      <c r="S48">
        <v>455</v>
      </c>
      <c r="T48" s="165">
        <v>7551</v>
      </c>
      <c r="U48">
        <v>470</v>
      </c>
      <c r="V48">
        <v>1997</v>
      </c>
      <c r="W48">
        <v>3195</v>
      </c>
      <c r="X48">
        <v>724</v>
      </c>
      <c r="Y48" s="24"/>
      <c r="Z48">
        <v>410</v>
      </c>
      <c r="AA48">
        <v>79</v>
      </c>
      <c r="AB48">
        <v>645</v>
      </c>
      <c r="AC48">
        <v>1886</v>
      </c>
      <c r="AD48">
        <v>3012</v>
      </c>
      <c r="AE48">
        <v>43</v>
      </c>
      <c r="AF48">
        <v>372</v>
      </c>
      <c r="AG48">
        <v>1</v>
      </c>
      <c r="AH48">
        <v>2970</v>
      </c>
      <c r="AI48" s="96">
        <v>86891</v>
      </c>
      <c r="AJ48" s="84">
        <v>261</v>
      </c>
      <c r="AK48">
        <v>99</v>
      </c>
      <c r="AL48">
        <v>1297</v>
      </c>
      <c r="AM48" s="84">
        <f>[3]SCALLOP!B33</f>
        <v>27827</v>
      </c>
      <c r="AN48">
        <f>[3]CRABS!B33</f>
        <v>30</v>
      </c>
      <c r="AO48">
        <f>[3]SQUIDS!B33</f>
        <v>997</v>
      </c>
      <c r="AP48">
        <f>[3]BIVALVES!B33</f>
        <v>1697</v>
      </c>
      <c r="AQ48">
        <v>118</v>
      </c>
      <c r="AR48" s="84">
        <f>[3]SHRIMPS!B33</f>
        <v>0</v>
      </c>
      <c r="AS48">
        <f>[3]TILEFISH!B33</f>
        <v>27</v>
      </c>
      <c r="AW48" t="s">
        <v>418</v>
      </c>
      <c r="AX48">
        <v>1990</v>
      </c>
      <c r="AY48">
        <v>3790</v>
      </c>
      <c r="AZ48">
        <v>172</v>
      </c>
      <c r="BA48">
        <v>119</v>
      </c>
      <c r="BB48">
        <v>365</v>
      </c>
      <c r="BC48">
        <v>303</v>
      </c>
      <c r="BD48">
        <v>2037</v>
      </c>
      <c r="BE48">
        <v>9449</v>
      </c>
      <c r="BF48">
        <v>254</v>
      </c>
      <c r="BG48">
        <v>222</v>
      </c>
      <c r="BH48">
        <v>466</v>
      </c>
    </row>
    <row r="49" spans="1:60" x14ac:dyDescent="0.2">
      <c r="A49">
        <v>1991</v>
      </c>
      <c r="B49" s="24">
        <f>'by gear'!N49</f>
        <v>27749</v>
      </c>
      <c r="C49">
        <f>'by gear'!X49</f>
        <v>3739</v>
      </c>
      <c r="D49">
        <v>9772</v>
      </c>
      <c r="E49">
        <v>2872</v>
      </c>
      <c r="F49">
        <v>18602</v>
      </c>
      <c r="G49" s="84">
        <v>7875.482</v>
      </c>
      <c r="I49" s="24">
        <f>[4]total!S35</f>
        <v>102255</v>
      </c>
      <c r="J49" s="84">
        <v>40.052208920000027</v>
      </c>
      <c r="K49">
        <v>213</v>
      </c>
      <c r="L49" s="84">
        <v>215</v>
      </c>
      <c r="M49" s="84">
        <f t="shared" si="0"/>
        <v>126.77</v>
      </c>
      <c r="N49" s="236">
        <v>39.200000000000003</v>
      </c>
      <c r="O49" s="236">
        <v>87.5</v>
      </c>
      <c r="P49" s="237">
        <v>7.0000000000000007E-2</v>
      </c>
      <c r="R49">
        <v>1991</v>
      </c>
      <c r="S49">
        <v>371</v>
      </c>
      <c r="T49" s="165">
        <v>9697</v>
      </c>
      <c r="U49">
        <v>979</v>
      </c>
      <c r="V49">
        <v>1641</v>
      </c>
      <c r="W49">
        <v>10153</v>
      </c>
      <c r="X49">
        <v>143</v>
      </c>
      <c r="Y49" s="24"/>
      <c r="Z49">
        <v>340</v>
      </c>
      <c r="AA49">
        <v>143</v>
      </c>
      <c r="AB49">
        <v>608</v>
      </c>
      <c r="AC49">
        <v>607</v>
      </c>
      <c r="AD49">
        <v>3473</v>
      </c>
      <c r="AE49">
        <v>11</v>
      </c>
      <c r="AF49">
        <v>313</v>
      </c>
      <c r="AG49">
        <v>13</v>
      </c>
      <c r="AH49">
        <v>3224</v>
      </c>
      <c r="AI49" s="96">
        <v>71309</v>
      </c>
      <c r="AJ49" s="84">
        <v>426</v>
      </c>
      <c r="AK49">
        <v>314</v>
      </c>
      <c r="AL49">
        <v>1440</v>
      </c>
      <c r="AM49" s="84">
        <f>[3]SCALLOP!B34</f>
        <v>21163</v>
      </c>
      <c r="AN49">
        <f>[3]CRABS!B34</f>
        <v>19</v>
      </c>
      <c r="AO49">
        <f>[3]SQUIDS!B34</f>
        <v>224</v>
      </c>
      <c r="AP49">
        <f>[3]BIVALVES!B34</f>
        <v>1663</v>
      </c>
      <c r="AQ49">
        <v>104</v>
      </c>
      <c r="AR49" s="84">
        <f>[3]SHRIMPS!B34</f>
        <v>0</v>
      </c>
      <c r="AS49">
        <f>[3]TILEFISH!B34</f>
        <v>11</v>
      </c>
      <c r="AW49" t="s">
        <v>419</v>
      </c>
      <c r="AX49">
        <v>1991</v>
      </c>
      <c r="AY49">
        <v>3526</v>
      </c>
      <c r="AZ49">
        <v>168</v>
      </c>
      <c r="BA49">
        <v>151</v>
      </c>
      <c r="BB49">
        <v>401</v>
      </c>
      <c r="BC49">
        <v>298</v>
      </c>
      <c r="BD49">
        <v>2420</v>
      </c>
      <c r="BE49">
        <v>11071</v>
      </c>
      <c r="BF49">
        <v>228</v>
      </c>
      <c r="BG49">
        <v>271</v>
      </c>
      <c r="BH49">
        <v>496</v>
      </c>
    </row>
    <row r="50" spans="1:60" x14ac:dyDescent="0.2">
      <c r="A50">
        <v>1992</v>
      </c>
      <c r="B50" s="24">
        <f>'by gear'!N50</f>
        <v>26080</v>
      </c>
      <c r="C50">
        <f>'by gear'!X50</f>
        <v>4533</v>
      </c>
      <c r="D50">
        <v>10508</v>
      </c>
      <c r="E50">
        <v>2682</v>
      </c>
      <c r="F50">
        <v>16639</v>
      </c>
      <c r="G50" s="84">
        <v>10919.18</v>
      </c>
      <c r="H50" s="25">
        <v>93.654089261551817</v>
      </c>
      <c r="I50" s="24">
        <f>[4]total!S36</f>
        <v>116694</v>
      </c>
      <c r="J50" s="84">
        <v>153.87824499987499</v>
      </c>
      <c r="K50">
        <v>376</v>
      </c>
      <c r="L50" s="84">
        <v>454</v>
      </c>
      <c r="M50" s="84">
        <f t="shared" si="0"/>
        <v>120.93</v>
      </c>
      <c r="N50" s="236">
        <v>61.7</v>
      </c>
      <c r="O50" s="236">
        <v>59</v>
      </c>
      <c r="P50" s="237">
        <v>0.23</v>
      </c>
      <c r="R50">
        <v>1992</v>
      </c>
      <c r="S50">
        <v>367</v>
      </c>
      <c r="T50" s="165">
        <v>10532</v>
      </c>
      <c r="U50">
        <v>421</v>
      </c>
      <c r="V50">
        <v>2163</v>
      </c>
      <c r="W50">
        <v>6529</v>
      </c>
      <c r="X50">
        <v>517</v>
      </c>
      <c r="Y50" s="24"/>
      <c r="Z50">
        <v>460</v>
      </c>
      <c r="AA50">
        <v>120</v>
      </c>
      <c r="AB50">
        <v>831</v>
      </c>
      <c r="AC50">
        <v>567</v>
      </c>
      <c r="AD50">
        <v>3985</v>
      </c>
      <c r="AE50">
        <v>10</v>
      </c>
      <c r="AF50">
        <v>527</v>
      </c>
      <c r="AG50">
        <v>39</v>
      </c>
      <c r="AH50">
        <v>4808</v>
      </c>
      <c r="AI50" s="96">
        <v>38783</v>
      </c>
      <c r="AJ50" s="84">
        <v>268</v>
      </c>
      <c r="AK50">
        <v>558</v>
      </c>
      <c r="AL50">
        <v>1817</v>
      </c>
      <c r="AM50" s="84">
        <f>[3]SCALLOP!B35</f>
        <v>24289</v>
      </c>
      <c r="AN50">
        <f>[3]CRABS!B35</f>
        <v>46</v>
      </c>
      <c r="AO50">
        <f>[3]SQUIDS!B35</f>
        <v>238</v>
      </c>
      <c r="AP50">
        <f>[3]BIVALVES!B35</f>
        <v>1527</v>
      </c>
      <c r="AQ50">
        <v>239</v>
      </c>
      <c r="AR50" s="84">
        <f>[3]SHRIMPS!B35</f>
        <v>3</v>
      </c>
      <c r="AS50">
        <f>[3]TILEFISH!B35</f>
        <v>16</v>
      </c>
      <c r="AW50" t="s">
        <v>420</v>
      </c>
      <c r="AX50">
        <v>1992</v>
      </c>
      <c r="AY50">
        <v>2778</v>
      </c>
      <c r="AZ50">
        <v>150</v>
      </c>
      <c r="BA50">
        <v>167</v>
      </c>
      <c r="BB50">
        <v>358</v>
      </c>
      <c r="BC50">
        <v>304</v>
      </c>
      <c r="BD50">
        <v>1849</v>
      </c>
      <c r="BE50">
        <v>8876</v>
      </c>
      <c r="BF50">
        <v>254</v>
      </c>
      <c r="BG50">
        <v>249</v>
      </c>
      <c r="BH50">
        <v>512</v>
      </c>
    </row>
    <row r="51" spans="1:60" x14ac:dyDescent="0.2">
      <c r="A51">
        <v>1993</v>
      </c>
      <c r="B51" s="24">
        <f>'by gear'!N51</f>
        <v>16026</v>
      </c>
      <c r="C51">
        <f>'by gear'!X51</f>
        <v>2616</v>
      </c>
      <c r="D51">
        <v>6947</v>
      </c>
      <c r="E51">
        <v>2139</v>
      </c>
      <c r="F51">
        <v>14410</v>
      </c>
      <c r="G51" s="84">
        <v>9757.7469999999994</v>
      </c>
      <c r="H51" s="25">
        <v>213.08357746488855</v>
      </c>
      <c r="I51" s="24">
        <f>[4]total!S37</f>
        <v>118645</v>
      </c>
      <c r="J51" s="84">
        <v>274.23827960174998</v>
      </c>
      <c r="K51">
        <v>221</v>
      </c>
      <c r="L51" s="84">
        <v>575</v>
      </c>
      <c r="M51" s="84">
        <f t="shared" si="0"/>
        <v>188.01000000000002</v>
      </c>
      <c r="N51" s="236">
        <v>71.400000000000006</v>
      </c>
      <c r="O51" s="236">
        <v>115.9</v>
      </c>
      <c r="P51" s="15">
        <v>0.71</v>
      </c>
      <c r="R51">
        <v>1993</v>
      </c>
      <c r="S51">
        <v>421</v>
      </c>
      <c r="T51" s="165">
        <v>6964</v>
      </c>
      <c r="U51">
        <v>10</v>
      </c>
      <c r="V51">
        <v>4913</v>
      </c>
      <c r="W51">
        <v>11407</v>
      </c>
      <c r="X51">
        <v>697</v>
      </c>
      <c r="Y51" s="24">
        <v>27.853000000000002</v>
      </c>
      <c r="Z51">
        <v>570</v>
      </c>
      <c r="AA51">
        <v>54</v>
      </c>
      <c r="AB51">
        <v>376</v>
      </c>
      <c r="AC51">
        <v>345</v>
      </c>
      <c r="AD51">
        <v>3298</v>
      </c>
      <c r="AE51">
        <v>26</v>
      </c>
      <c r="AF51">
        <v>494</v>
      </c>
      <c r="AG51">
        <v>18</v>
      </c>
      <c r="AH51">
        <v>4209</v>
      </c>
      <c r="AI51" s="96">
        <v>32015</v>
      </c>
      <c r="AJ51" s="84">
        <v>173</v>
      </c>
      <c r="AK51">
        <v>1032</v>
      </c>
      <c r="AL51">
        <v>1795</v>
      </c>
      <c r="AM51" s="84">
        <f>[3]SCALLOP!B36</f>
        <v>26882</v>
      </c>
      <c r="AN51">
        <f>[3]CRABS!B36</f>
        <v>78</v>
      </c>
      <c r="AO51">
        <f>[3]SQUIDS!B36</f>
        <v>1689</v>
      </c>
      <c r="AP51">
        <f>[3]BIVALVES!B36</f>
        <v>1155</v>
      </c>
      <c r="AQ51">
        <v>278</v>
      </c>
      <c r="AR51" s="84">
        <f>[3]SHRIMPS!B36</f>
        <v>12</v>
      </c>
      <c r="AS51">
        <f>[3]TILEFISH!B36</f>
        <v>14</v>
      </c>
      <c r="AW51" t="s">
        <v>421</v>
      </c>
      <c r="AX51">
        <v>1993</v>
      </c>
      <c r="AY51">
        <v>2458</v>
      </c>
      <c r="AZ51">
        <v>104</v>
      </c>
      <c r="BA51">
        <v>132</v>
      </c>
      <c r="BB51">
        <v>284</v>
      </c>
      <c r="BC51">
        <v>279</v>
      </c>
      <c r="BD51">
        <v>1731</v>
      </c>
      <c r="BE51">
        <v>8916</v>
      </c>
      <c r="BF51">
        <v>239</v>
      </c>
      <c r="BG51">
        <v>257</v>
      </c>
      <c r="BH51">
        <v>471</v>
      </c>
    </row>
    <row r="52" spans="1:60" x14ac:dyDescent="0.2">
      <c r="A52">
        <v>1994</v>
      </c>
      <c r="B52" s="24">
        <f>'by gear'!N52</f>
        <v>13045</v>
      </c>
      <c r="C52">
        <f>'by gear'!X52</f>
        <v>1382</v>
      </c>
      <c r="D52">
        <v>4405</v>
      </c>
      <c r="E52">
        <v>1779</v>
      </c>
      <c r="F52">
        <v>10836</v>
      </c>
      <c r="G52" s="84">
        <v>4189.4650000000001</v>
      </c>
      <c r="H52" s="25">
        <v>158.53043226091881</v>
      </c>
      <c r="I52" s="24">
        <f>[4]total!S38</f>
        <v>92308</v>
      </c>
      <c r="J52" s="84">
        <v>242.77158258037485</v>
      </c>
      <c r="K52">
        <v>289</v>
      </c>
      <c r="L52" s="84">
        <v>1403</v>
      </c>
      <c r="M52" s="84">
        <f t="shared" si="0"/>
        <v>232.07</v>
      </c>
      <c r="N52" s="236">
        <v>99.5</v>
      </c>
      <c r="O52" s="236">
        <v>131</v>
      </c>
      <c r="P52" s="15">
        <v>1.57</v>
      </c>
      <c r="R52">
        <v>1994</v>
      </c>
      <c r="S52">
        <v>391</v>
      </c>
      <c r="T52" s="165">
        <v>4417</v>
      </c>
      <c r="U52">
        <v>82</v>
      </c>
      <c r="V52">
        <v>5017</v>
      </c>
      <c r="W52">
        <v>199</v>
      </c>
      <c r="X52">
        <v>806</v>
      </c>
      <c r="Y52" s="24">
        <v>140.52300000000008</v>
      </c>
      <c r="Z52">
        <v>1168</v>
      </c>
      <c r="AA52">
        <v>96</v>
      </c>
      <c r="AB52">
        <v>392</v>
      </c>
      <c r="AC52">
        <v>522</v>
      </c>
      <c r="AD52">
        <v>2197</v>
      </c>
      <c r="AE52">
        <v>96</v>
      </c>
      <c r="AF52">
        <v>366</v>
      </c>
      <c r="AG52">
        <v>49</v>
      </c>
      <c r="AH52">
        <v>5169</v>
      </c>
      <c r="AI52" s="96">
        <v>31236</v>
      </c>
      <c r="AJ52" s="84">
        <v>230</v>
      </c>
      <c r="AK52">
        <v>1789</v>
      </c>
      <c r="AL52">
        <v>1682</v>
      </c>
      <c r="AM52" s="84">
        <f>[3]SCALLOP!B37</f>
        <v>35719</v>
      </c>
      <c r="AN52">
        <f>[3]CRABS!B37</f>
        <v>165</v>
      </c>
      <c r="AO52">
        <f>[3]SQUIDS!B37</f>
        <v>98</v>
      </c>
      <c r="AP52">
        <f>[3]BIVALVES!B37</f>
        <v>1409</v>
      </c>
      <c r="AQ52">
        <v>228</v>
      </c>
      <c r="AR52" s="84">
        <f>[3]SHRIMPS!B37</f>
        <v>9</v>
      </c>
      <c r="AS52">
        <f>[3]TILEFISH!B37</f>
        <v>7</v>
      </c>
      <c r="AW52" t="s">
        <v>422</v>
      </c>
      <c r="AX52">
        <v>1994</v>
      </c>
      <c r="AY52">
        <v>2190</v>
      </c>
      <c r="AZ52">
        <v>104</v>
      </c>
      <c r="BA52">
        <v>130</v>
      </c>
      <c r="BB52">
        <v>240</v>
      </c>
      <c r="BC52">
        <v>262</v>
      </c>
      <c r="BD52">
        <v>1968</v>
      </c>
      <c r="BE52">
        <v>10326</v>
      </c>
      <c r="BF52">
        <v>241</v>
      </c>
      <c r="BG52">
        <v>274</v>
      </c>
      <c r="BH52">
        <v>523</v>
      </c>
    </row>
    <row r="53" spans="1:60" x14ac:dyDescent="0.2">
      <c r="A53">
        <v>1995</v>
      </c>
      <c r="B53" s="24">
        <f>'by gear'!N53</f>
        <v>8767</v>
      </c>
      <c r="C53">
        <f>'by gear'!X53</f>
        <v>1710</v>
      </c>
      <c r="D53">
        <v>5660</v>
      </c>
      <c r="E53">
        <v>728</v>
      </c>
      <c r="F53">
        <v>7144</v>
      </c>
      <c r="G53" s="84">
        <v>4726.3010000000004</v>
      </c>
      <c r="H53" s="25">
        <v>200.44484930767771</v>
      </c>
      <c r="I53" s="24">
        <f>[4]total!S39</f>
        <v>77315</v>
      </c>
      <c r="J53" s="84">
        <v>304.98773364062521</v>
      </c>
      <c r="K53">
        <v>413</v>
      </c>
      <c r="L53" s="84">
        <v>2002</v>
      </c>
      <c r="M53" s="84">
        <f t="shared" si="0"/>
        <v>232.94</v>
      </c>
      <c r="N53" s="236">
        <v>116</v>
      </c>
      <c r="O53" s="236">
        <v>113.7</v>
      </c>
      <c r="P53" s="15">
        <v>3.24</v>
      </c>
      <c r="R53">
        <v>1995</v>
      </c>
      <c r="S53">
        <v>250</v>
      </c>
      <c r="T53" s="165">
        <v>5667</v>
      </c>
      <c r="U53">
        <v>27</v>
      </c>
      <c r="V53">
        <v>4654</v>
      </c>
      <c r="W53">
        <v>916</v>
      </c>
      <c r="X53">
        <v>374</v>
      </c>
      <c r="Y53" s="24">
        <v>101.63900000000007</v>
      </c>
      <c r="Z53">
        <v>935</v>
      </c>
      <c r="AA53">
        <v>134</v>
      </c>
      <c r="AB53">
        <v>306</v>
      </c>
      <c r="AC53">
        <v>924</v>
      </c>
      <c r="AD53">
        <v>1179</v>
      </c>
      <c r="AE53">
        <v>137</v>
      </c>
      <c r="AF53">
        <v>228</v>
      </c>
      <c r="AG53">
        <v>34</v>
      </c>
      <c r="AH53">
        <v>4477</v>
      </c>
      <c r="AI53" s="96">
        <v>27424</v>
      </c>
      <c r="AJ53" s="84">
        <v>141</v>
      </c>
      <c r="AK53">
        <v>2050</v>
      </c>
      <c r="AL53">
        <v>987</v>
      </c>
      <c r="AM53" s="84">
        <f>[3]SCALLOP!B38</f>
        <v>34697</v>
      </c>
      <c r="AN53">
        <f>[3]CRABS!B38</f>
        <v>549</v>
      </c>
      <c r="AO53">
        <f>[3]SQUIDS!B38</f>
        <v>118</v>
      </c>
      <c r="AP53">
        <f>[3]BIVALVES!B38</f>
        <v>1811</v>
      </c>
      <c r="AQ53">
        <v>167</v>
      </c>
      <c r="AR53" s="84">
        <f>[3]SHRIMPS!B38</f>
        <v>1</v>
      </c>
      <c r="AS53">
        <f>[3]TILEFISH!B38</f>
        <v>9</v>
      </c>
      <c r="AW53" t="s">
        <v>423</v>
      </c>
      <c r="AX53">
        <v>1995</v>
      </c>
      <c r="AY53">
        <v>2141</v>
      </c>
      <c r="AZ53">
        <v>107</v>
      </c>
      <c r="BA53">
        <v>126</v>
      </c>
      <c r="BB53">
        <v>229</v>
      </c>
      <c r="BC53">
        <v>219</v>
      </c>
      <c r="BD53">
        <v>1395</v>
      </c>
      <c r="BE53">
        <v>9692</v>
      </c>
      <c r="BF53">
        <v>311</v>
      </c>
      <c r="BG53">
        <v>317</v>
      </c>
      <c r="BH53">
        <v>648</v>
      </c>
    </row>
    <row r="54" spans="1:60" x14ac:dyDescent="0.2">
      <c r="A54">
        <v>1996</v>
      </c>
      <c r="B54" s="24">
        <f>'by gear'!N54</f>
        <v>10572</v>
      </c>
      <c r="C54">
        <f>'by gear'!X54</f>
        <v>1237</v>
      </c>
      <c r="D54">
        <v>6237</v>
      </c>
      <c r="E54">
        <v>598</v>
      </c>
      <c r="F54">
        <v>6441</v>
      </c>
      <c r="G54" s="84">
        <v>3177.4209999999994</v>
      </c>
      <c r="H54" s="25">
        <v>235.14286376519178</v>
      </c>
      <c r="I54" s="24">
        <f>[4]total!S40</f>
        <v>83487</v>
      </c>
      <c r="J54" s="84">
        <v>163.08276877687507</v>
      </c>
      <c r="K54">
        <v>306</v>
      </c>
      <c r="L54" s="84">
        <v>743</v>
      </c>
      <c r="M54" s="84">
        <f t="shared" si="0"/>
        <v>174.36</v>
      </c>
      <c r="N54" s="236">
        <v>69.8</v>
      </c>
      <c r="O54" s="236">
        <v>101.7</v>
      </c>
      <c r="P54" s="15">
        <v>2.86</v>
      </c>
      <c r="R54">
        <v>1996</v>
      </c>
      <c r="S54">
        <v>297</v>
      </c>
      <c r="T54" s="165">
        <v>6241</v>
      </c>
      <c r="U54">
        <v>63</v>
      </c>
      <c r="V54">
        <v>3670</v>
      </c>
      <c r="W54">
        <v>2946</v>
      </c>
      <c r="X54">
        <v>55</v>
      </c>
      <c r="Y54" s="24">
        <v>39.846000000000011</v>
      </c>
      <c r="Z54">
        <v>1071</v>
      </c>
      <c r="AA54">
        <v>149</v>
      </c>
      <c r="AB54">
        <v>404</v>
      </c>
      <c r="AC54">
        <v>934</v>
      </c>
      <c r="AD54">
        <v>905</v>
      </c>
      <c r="AE54">
        <v>74</v>
      </c>
      <c r="AF54">
        <v>358</v>
      </c>
      <c r="AG54">
        <v>24</v>
      </c>
      <c r="AH54">
        <v>2450</v>
      </c>
      <c r="AI54" s="96">
        <v>37547</v>
      </c>
      <c r="AJ54" s="84">
        <v>260</v>
      </c>
      <c r="AK54">
        <v>2182</v>
      </c>
      <c r="AL54">
        <v>841</v>
      </c>
      <c r="AM54" s="84">
        <f>[3]SCALLOP!B39</f>
        <v>15150</v>
      </c>
      <c r="AN54">
        <f>[3]CRABS!B39</f>
        <v>872</v>
      </c>
      <c r="AO54">
        <f>[3]SQUIDS!B39</f>
        <v>145</v>
      </c>
      <c r="AP54">
        <f>[3]BIVALVES!B39</f>
        <v>677</v>
      </c>
      <c r="AQ54">
        <v>200</v>
      </c>
      <c r="AR54" s="84">
        <f>[3]SHRIMPS!B39</f>
        <v>0</v>
      </c>
      <c r="AS54">
        <f>[3]TILEFISH!B39</f>
        <v>6</v>
      </c>
      <c r="AW54" t="s">
        <v>424</v>
      </c>
      <c r="AX54">
        <v>1996</v>
      </c>
      <c r="AY54">
        <v>1616</v>
      </c>
      <c r="AZ54">
        <v>75</v>
      </c>
      <c r="BA54">
        <v>90</v>
      </c>
      <c r="BB54">
        <v>176</v>
      </c>
      <c r="BC54">
        <v>225</v>
      </c>
      <c r="BD54">
        <v>1825</v>
      </c>
      <c r="BE54">
        <v>10307</v>
      </c>
      <c r="BF54">
        <v>546</v>
      </c>
      <c r="BG54">
        <v>421</v>
      </c>
      <c r="BH54">
        <v>600</v>
      </c>
    </row>
    <row r="55" spans="1:60" x14ac:dyDescent="0.2">
      <c r="A55">
        <v>1997</v>
      </c>
      <c r="B55" s="24">
        <f>'by gear'!N55</f>
        <v>11238</v>
      </c>
      <c r="C55">
        <f>'by gear'!X55</f>
        <v>1625</v>
      </c>
      <c r="D55">
        <v>6538</v>
      </c>
      <c r="E55">
        <v>543</v>
      </c>
      <c r="F55">
        <v>9759</v>
      </c>
      <c r="G55" s="84">
        <v>2985.8789999999999</v>
      </c>
      <c r="H55" s="25">
        <v>247.77187333717376</v>
      </c>
      <c r="I55" s="24">
        <f>[4]total!S41</f>
        <v>95421</v>
      </c>
      <c r="J55" s="84">
        <v>269.26719039299996</v>
      </c>
      <c r="K55">
        <v>317</v>
      </c>
      <c r="L55" s="84">
        <v>500</v>
      </c>
      <c r="M55" s="84">
        <f t="shared" si="0"/>
        <v>174.82999999999998</v>
      </c>
      <c r="N55" s="236">
        <v>60.5</v>
      </c>
      <c r="O55" s="236">
        <v>110.2</v>
      </c>
      <c r="P55" s="15">
        <v>4.13</v>
      </c>
      <c r="R55">
        <v>1997</v>
      </c>
      <c r="S55">
        <v>339</v>
      </c>
      <c r="T55" s="165">
        <v>6535</v>
      </c>
      <c r="U55">
        <v>150</v>
      </c>
      <c r="V55">
        <v>5487</v>
      </c>
      <c r="W55">
        <v>3694</v>
      </c>
      <c r="X55">
        <v>242</v>
      </c>
      <c r="Y55" s="24">
        <v>64.350999999999999</v>
      </c>
      <c r="Z55">
        <v>1247</v>
      </c>
      <c r="AA55">
        <v>36</v>
      </c>
      <c r="AB55">
        <v>415</v>
      </c>
      <c r="AC55">
        <v>780</v>
      </c>
      <c r="AD55">
        <v>571</v>
      </c>
      <c r="AE55">
        <v>71</v>
      </c>
      <c r="AF55">
        <v>566</v>
      </c>
      <c r="AG55">
        <v>18</v>
      </c>
      <c r="AH55">
        <v>3207</v>
      </c>
      <c r="AI55" s="96">
        <v>38449</v>
      </c>
      <c r="AJ55" s="84">
        <v>104</v>
      </c>
      <c r="AK55">
        <v>1853</v>
      </c>
      <c r="AL55">
        <v>1410</v>
      </c>
      <c r="AM55" s="84">
        <f>[3]SCALLOP!B40</f>
        <v>11192</v>
      </c>
      <c r="AN55">
        <f>[3]CRABS!B40</f>
        <v>1170</v>
      </c>
      <c r="AO55">
        <f>[3]SQUIDS!B40</f>
        <v>467</v>
      </c>
      <c r="AP55">
        <f>[3]BIVALVES!B40</f>
        <v>447</v>
      </c>
      <c r="AQ55">
        <v>232</v>
      </c>
      <c r="AR55" s="84">
        <f>[3]SHRIMPS!B40</f>
        <v>12</v>
      </c>
      <c r="AS55">
        <f>[3]TILEFISH!B40</f>
        <v>6</v>
      </c>
      <c r="AW55" t="s">
        <v>425</v>
      </c>
      <c r="AX55">
        <v>1997</v>
      </c>
      <c r="AY55">
        <v>1398</v>
      </c>
      <c r="AZ55">
        <v>51</v>
      </c>
      <c r="BA55">
        <v>80</v>
      </c>
      <c r="BB55">
        <v>148</v>
      </c>
      <c r="BC55">
        <v>243</v>
      </c>
      <c r="BD55">
        <v>1867</v>
      </c>
      <c r="BE55">
        <v>10593</v>
      </c>
      <c r="BF55">
        <v>731</v>
      </c>
      <c r="BG55">
        <v>666</v>
      </c>
      <c r="BH55">
        <v>540</v>
      </c>
    </row>
    <row r="56" spans="1:60" x14ac:dyDescent="0.2">
      <c r="A56">
        <v>1998</v>
      </c>
      <c r="B56" s="24">
        <f>'by gear'!N56</f>
        <v>8283</v>
      </c>
      <c r="C56">
        <f>'by gear'!X56</f>
        <v>1445</v>
      </c>
      <c r="D56">
        <v>7887</v>
      </c>
      <c r="E56">
        <v>484</v>
      </c>
      <c r="F56">
        <v>10534</v>
      </c>
      <c r="G56" s="84">
        <v>1649.1469999999997</v>
      </c>
      <c r="H56" s="25">
        <v>144.0580494883439</v>
      </c>
      <c r="I56" s="24">
        <f>[4]total!S42</f>
        <v>102474</v>
      </c>
      <c r="J56" s="84">
        <v>331.40594725000017</v>
      </c>
      <c r="K56">
        <v>220</v>
      </c>
      <c r="L56" s="84">
        <f>500+98</f>
        <v>598</v>
      </c>
      <c r="M56" s="84">
        <f t="shared" si="0"/>
        <v>181.5</v>
      </c>
      <c r="N56" s="236">
        <v>73.3</v>
      </c>
      <c r="O56" s="236">
        <v>87.7</v>
      </c>
      <c r="P56" s="15">
        <v>20.5</v>
      </c>
      <c r="R56">
        <v>1998</v>
      </c>
      <c r="S56">
        <v>222</v>
      </c>
      <c r="T56" s="165">
        <v>7888</v>
      </c>
      <c r="U56">
        <v>112</v>
      </c>
      <c r="V56">
        <v>5590</v>
      </c>
      <c r="W56">
        <v>423</v>
      </c>
      <c r="X56">
        <v>846</v>
      </c>
      <c r="Y56" s="24">
        <v>32.204000000000001</v>
      </c>
      <c r="Z56">
        <v>750</v>
      </c>
      <c r="AA56">
        <v>41</v>
      </c>
      <c r="AB56">
        <v>292</v>
      </c>
      <c r="AC56">
        <v>517</v>
      </c>
      <c r="AD56">
        <v>614</v>
      </c>
      <c r="AE56">
        <v>44</v>
      </c>
      <c r="AF56">
        <v>281</v>
      </c>
      <c r="AG56">
        <v>21</v>
      </c>
      <c r="AH56">
        <v>3741</v>
      </c>
      <c r="AI56" s="96">
        <v>34548</v>
      </c>
      <c r="AJ56" s="84">
        <v>26</v>
      </c>
      <c r="AK56">
        <v>2094</v>
      </c>
      <c r="AL56">
        <v>888</v>
      </c>
      <c r="AM56" s="84">
        <f>[3]SCALLOP!B41</f>
        <v>14395</v>
      </c>
      <c r="AN56">
        <f>[3]CRABS!B41</f>
        <v>1528</v>
      </c>
      <c r="AO56">
        <f>[3]SQUIDS!B41</f>
        <v>0</v>
      </c>
      <c r="AP56">
        <f>[3]BIVALVES!B41</f>
        <v>365</v>
      </c>
      <c r="AQ56">
        <v>197</v>
      </c>
      <c r="AR56" s="84">
        <f>[3]SHRIMPS!B41</f>
        <v>26</v>
      </c>
      <c r="AS56">
        <f>[3]TILEFISH!B41</f>
        <v>1</v>
      </c>
      <c r="AW56" t="s">
        <v>426</v>
      </c>
      <c r="AX56">
        <v>1998</v>
      </c>
      <c r="AY56">
        <v>1347</v>
      </c>
      <c r="AZ56">
        <v>64</v>
      </c>
      <c r="BA56">
        <v>70</v>
      </c>
      <c r="BB56">
        <v>200</v>
      </c>
      <c r="BC56">
        <v>309</v>
      </c>
      <c r="BD56">
        <v>2104</v>
      </c>
      <c r="BE56">
        <v>11886</v>
      </c>
      <c r="BF56">
        <v>846</v>
      </c>
      <c r="BG56">
        <v>753</v>
      </c>
      <c r="BH56">
        <v>695</v>
      </c>
    </row>
    <row r="57" spans="1:60" x14ac:dyDescent="0.2">
      <c r="A57">
        <v>1999</v>
      </c>
      <c r="B57" s="24">
        <f>'by gear'!N57</f>
        <v>6304</v>
      </c>
      <c r="C57">
        <f>'by gear'!X57</f>
        <v>997</v>
      </c>
      <c r="D57">
        <v>6621</v>
      </c>
      <c r="E57">
        <v>509</v>
      </c>
      <c r="F57">
        <v>4760</v>
      </c>
      <c r="G57" s="84">
        <v>1551.0240000000001</v>
      </c>
      <c r="H57" s="25">
        <v>133.80948767719221</v>
      </c>
      <c r="I57" s="24">
        <f>[4]total!S43</f>
        <v>110525.8</v>
      </c>
      <c r="J57" s="84">
        <v>319.3931195264999</v>
      </c>
      <c r="K57">
        <v>229</v>
      </c>
      <c r="L57" s="84">
        <f>200+293</f>
        <v>493</v>
      </c>
      <c r="M57" s="84">
        <f t="shared" si="0"/>
        <v>195.17999999999998</v>
      </c>
      <c r="N57" s="236">
        <v>75.599999999999994</v>
      </c>
      <c r="O57" s="236">
        <v>119.1</v>
      </c>
      <c r="P57" s="15">
        <v>0.48</v>
      </c>
      <c r="R57">
        <v>1999</v>
      </c>
      <c r="S57">
        <v>237</v>
      </c>
      <c r="T57" s="165">
        <v>6623</v>
      </c>
      <c r="U57">
        <v>100</v>
      </c>
      <c r="V57">
        <v>4265</v>
      </c>
      <c r="W57">
        <v>4553</v>
      </c>
      <c r="X57">
        <v>1798</v>
      </c>
      <c r="Y57" s="24">
        <v>29.393999999999998</v>
      </c>
      <c r="Z57">
        <v>813</v>
      </c>
      <c r="AA57">
        <v>68</v>
      </c>
      <c r="AB57">
        <v>243</v>
      </c>
      <c r="AC57">
        <v>525</v>
      </c>
      <c r="AD57">
        <v>497</v>
      </c>
      <c r="AE57">
        <v>29</v>
      </c>
      <c r="AF57">
        <v>268</v>
      </c>
      <c r="AG57">
        <v>87</v>
      </c>
      <c r="AH57">
        <v>3663</v>
      </c>
      <c r="AI57" s="96">
        <v>29297</v>
      </c>
      <c r="AJ57" s="84">
        <v>12</v>
      </c>
      <c r="AK57">
        <v>2212</v>
      </c>
      <c r="AL57">
        <v>55</v>
      </c>
      <c r="AM57" s="84">
        <f>[3]SCALLOP!B42</f>
        <v>16138</v>
      </c>
      <c r="AN57">
        <f>[3]CRABS!B42</f>
        <v>1495</v>
      </c>
      <c r="AO57">
        <f>[3]SQUIDS!B42</f>
        <v>5</v>
      </c>
      <c r="AP57">
        <f>[3]BIVALVES!B42</f>
        <v>586</v>
      </c>
      <c r="AQ57">
        <v>149</v>
      </c>
      <c r="AR57" s="84">
        <f>[3]SHRIMPS!B42</f>
        <v>15</v>
      </c>
      <c r="AS57">
        <f>[3]TILEFISH!B42</f>
        <v>1</v>
      </c>
      <c r="AW57" t="s">
        <v>427</v>
      </c>
      <c r="AX57">
        <v>1999</v>
      </c>
      <c r="AY57">
        <v>1425</v>
      </c>
      <c r="AZ57">
        <v>55</v>
      </c>
      <c r="BA57">
        <v>70</v>
      </c>
      <c r="BB57">
        <v>217</v>
      </c>
      <c r="BC57">
        <v>316</v>
      </c>
      <c r="BD57">
        <v>2162</v>
      </c>
      <c r="BE57">
        <v>12993</v>
      </c>
      <c r="BF57">
        <v>956</v>
      </c>
      <c r="BG57">
        <v>813</v>
      </c>
      <c r="BH57">
        <v>806</v>
      </c>
    </row>
    <row r="58" spans="1:60" x14ac:dyDescent="0.2">
      <c r="A58">
        <v>2000</v>
      </c>
      <c r="B58" s="24">
        <f>'by gear'!N58</f>
        <v>5755</v>
      </c>
      <c r="C58">
        <f>'by gear'!X58</f>
        <v>921</v>
      </c>
      <c r="D58">
        <v>6961</v>
      </c>
      <c r="E58">
        <v>577</v>
      </c>
      <c r="F58">
        <v>4768</v>
      </c>
      <c r="G58" s="84">
        <v>2103.8009999999999</v>
      </c>
      <c r="H58" s="25">
        <v>95.818566916302174</v>
      </c>
      <c r="I58" s="24">
        <f>[4]total!S44</f>
        <v>105326</v>
      </c>
      <c r="J58" s="84">
        <v>147.03934733649984</v>
      </c>
      <c r="K58">
        <v>229</v>
      </c>
      <c r="L58" s="84">
        <f>748+200</f>
        <v>948</v>
      </c>
      <c r="M58" s="84">
        <f t="shared" si="0"/>
        <v>159.68</v>
      </c>
      <c r="N58" s="236">
        <v>90</v>
      </c>
      <c r="O58" s="236">
        <v>69</v>
      </c>
      <c r="P58" s="15">
        <v>0.68</v>
      </c>
      <c r="R58">
        <v>2000</v>
      </c>
      <c r="S58">
        <v>222</v>
      </c>
      <c r="T58" s="165">
        <v>6959</v>
      </c>
      <c r="U58">
        <v>130</v>
      </c>
      <c r="V58">
        <v>4658</v>
      </c>
      <c r="W58">
        <v>4328</v>
      </c>
      <c r="X58">
        <v>2545</v>
      </c>
      <c r="Y58" s="24">
        <v>62.749000000000009</v>
      </c>
      <c r="Z58">
        <v>901</v>
      </c>
      <c r="AA58">
        <v>64</v>
      </c>
      <c r="AB58">
        <v>414</v>
      </c>
      <c r="AC58">
        <v>596</v>
      </c>
      <c r="AD58">
        <v>469</v>
      </c>
      <c r="AE58">
        <v>13</v>
      </c>
      <c r="AF58">
        <v>136</v>
      </c>
      <c r="AG58">
        <v>166</v>
      </c>
      <c r="AH58">
        <v>3746</v>
      </c>
      <c r="AI58" s="96">
        <v>23177</v>
      </c>
      <c r="AJ58" s="84">
        <v>7</v>
      </c>
      <c r="AK58">
        <v>1987</v>
      </c>
      <c r="AL58">
        <v>21</v>
      </c>
      <c r="AM58" s="84">
        <f>[3]SCALLOP!B43</f>
        <v>20023</v>
      </c>
      <c r="AN58">
        <f>[3]CRABS!B43</f>
        <v>2122</v>
      </c>
      <c r="AO58">
        <f>[3]SQUIDS!B43</f>
        <v>6</v>
      </c>
      <c r="AP58">
        <f>[3]BIVALVES!B43</f>
        <v>687</v>
      </c>
      <c r="AQ58">
        <v>98</v>
      </c>
      <c r="AR58" s="84">
        <f>[3]SHRIMPS!B43</f>
        <v>17</v>
      </c>
      <c r="AS58">
        <f>[3]TILEFISH!B43</f>
        <v>0</v>
      </c>
      <c r="AW58" t="s">
        <v>428</v>
      </c>
      <c r="AX58">
        <v>2000</v>
      </c>
      <c r="AY58">
        <v>1505</v>
      </c>
      <c r="AZ58">
        <v>59</v>
      </c>
      <c r="BA58">
        <v>54</v>
      </c>
      <c r="BB58">
        <v>299</v>
      </c>
      <c r="BC58">
        <v>448</v>
      </c>
      <c r="BD58">
        <v>2297</v>
      </c>
      <c r="BE58">
        <v>13514</v>
      </c>
      <c r="BF58">
        <v>932</v>
      </c>
      <c r="BG58">
        <v>863</v>
      </c>
      <c r="BH58">
        <v>826</v>
      </c>
    </row>
    <row r="59" spans="1:60" x14ac:dyDescent="0.2">
      <c r="A59">
        <v>2001</v>
      </c>
      <c r="B59" s="24">
        <f>'by gear'!N59</f>
        <v>5707</v>
      </c>
      <c r="C59">
        <f>'by gear'!X59</f>
        <v>1386</v>
      </c>
      <c r="D59">
        <v>8486</v>
      </c>
      <c r="E59">
        <v>340</v>
      </c>
      <c r="F59">
        <v>5400</v>
      </c>
      <c r="G59" s="84">
        <v>2072.4450000000002</v>
      </c>
      <c r="H59" s="25">
        <v>66.211874292452947</v>
      </c>
      <c r="I59" s="24">
        <f>[4]total!S45</f>
        <v>107186</v>
      </c>
      <c r="J59" s="84">
        <v>206.95266648100014</v>
      </c>
      <c r="K59">
        <v>345</v>
      </c>
      <c r="L59" s="84">
        <f>999+99</f>
        <v>1098</v>
      </c>
      <c r="M59" s="84">
        <f t="shared" si="0"/>
        <v>134.64000000000001</v>
      </c>
      <c r="N59" s="236">
        <v>68.5</v>
      </c>
      <c r="O59" s="236">
        <v>64.3</v>
      </c>
      <c r="P59" s="15">
        <v>1.84</v>
      </c>
      <c r="R59">
        <v>2001</v>
      </c>
      <c r="S59">
        <v>266</v>
      </c>
      <c r="T59" s="165">
        <v>8484</v>
      </c>
      <c r="U59">
        <v>72</v>
      </c>
      <c r="V59">
        <v>4229</v>
      </c>
      <c r="W59">
        <v>9057</v>
      </c>
      <c r="X59">
        <v>3432</v>
      </c>
      <c r="Y59" s="24">
        <v>109.629</v>
      </c>
      <c r="Z59">
        <v>913</v>
      </c>
      <c r="AA59">
        <v>28</v>
      </c>
      <c r="AB59">
        <v>351</v>
      </c>
      <c r="AC59">
        <v>540</v>
      </c>
      <c r="AD59">
        <v>336</v>
      </c>
      <c r="AE59">
        <v>30</v>
      </c>
      <c r="AF59">
        <v>103</v>
      </c>
      <c r="AG59">
        <v>174</v>
      </c>
      <c r="AH59">
        <v>2756</v>
      </c>
      <c r="AI59" s="96">
        <v>38305</v>
      </c>
      <c r="AJ59" s="84">
        <v>11</v>
      </c>
      <c r="AK59">
        <v>1785</v>
      </c>
      <c r="AL59">
        <v>15</v>
      </c>
      <c r="AM59" s="84">
        <f>[3]SCALLOP!B44</f>
        <v>26341</v>
      </c>
      <c r="AN59">
        <f>[3]CRABS!B44</f>
        <v>2783</v>
      </c>
      <c r="AO59">
        <f>[3]SQUIDS!B44</f>
        <v>20</v>
      </c>
      <c r="AP59">
        <f>[3]BIVALVES!B44</f>
        <v>1576</v>
      </c>
      <c r="AQ59">
        <v>107</v>
      </c>
      <c r="AR59" s="84">
        <f>[3]SHRIMPS!B44</f>
        <v>21</v>
      </c>
      <c r="AS59">
        <f>[3]TILEFISH!B44</f>
        <v>0</v>
      </c>
      <c r="AW59" t="s">
        <v>429</v>
      </c>
      <c r="AX59">
        <v>2001</v>
      </c>
      <c r="AY59">
        <v>1819</v>
      </c>
      <c r="AZ59">
        <v>71</v>
      </c>
      <c r="BA59">
        <v>98</v>
      </c>
      <c r="BB59">
        <v>304</v>
      </c>
      <c r="BC59">
        <v>433</v>
      </c>
      <c r="BD59">
        <v>2521</v>
      </c>
      <c r="BE59">
        <v>16503</v>
      </c>
      <c r="BF59">
        <v>1091</v>
      </c>
      <c r="BG59">
        <v>997</v>
      </c>
      <c r="BH59">
        <v>983</v>
      </c>
    </row>
    <row r="60" spans="1:60" x14ac:dyDescent="0.2">
      <c r="A60">
        <v>2002</v>
      </c>
      <c r="B60" s="24">
        <f>'by gear'!N60</f>
        <v>5893</v>
      </c>
      <c r="C60">
        <f>'by gear'!X60</f>
        <v>361</v>
      </c>
      <c r="D60">
        <v>7997</v>
      </c>
      <c r="E60">
        <v>251</v>
      </c>
      <c r="F60">
        <v>6485</v>
      </c>
      <c r="G60" s="84">
        <v>2287.3959999999997</v>
      </c>
      <c r="H60" s="25">
        <v>38.778374279266536</v>
      </c>
      <c r="I60" s="24">
        <f>[4]total!S46</f>
        <v>99582</v>
      </c>
      <c r="J60" s="84">
        <v>257.14890243649921</v>
      </c>
      <c r="K60">
        <v>344</v>
      </c>
      <c r="L60" s="84">
        <f>649+98</f>
        <v>747</v>
      </c>
      <c r="M60" s="84">
        <f t="shared" si="0"/>
        <v>118</v>
      </c>
      <c r="N60" s="236">
        <v>52.3</v>
      </c>
      <c r="O60" s="236">
        <v>63.3</v>
      </c>
      <c r="P60" s="15">
        <v>2.4</v>
      </c>
      <c r="R60">
        <v>2002</v>
      </c>
      <c r="S60">
        <v>317</v>
      </c>
      <c r="T60" s="165">
        <v>8000</v>
      </c>
      <c r="U60">
        <v>57</v>
      </c>
      <c r="V60">
        <v>4832</v>
      </c>
      <c r="W60">
        <v>3115</v>
      </c>
      <c r="X60">
        <v>3202</v>
      </c>
      <c r="Y60" s="24">
        <v>113.46599999999999</v>
      </c>
      <c r="Z60">
        <v>900</v>
      </c>
      <c r="AA60">
        <v>20</v>
      </c>
      <c r="AB60">
        <v>320</v>
      </c>
      <c r="AC60">
        <v>651</v>
      </c>
      <c r="AD60">
        <v>166</v>
      </c>
      <c r="AE60">
        <v>21</v>
      </c>
      <c r="AF60">
        <v>158</v>
      </c>
      <c r="AG60">
        <v>141</v>
      </c>
      <c r="AH60">
        <v>1771</v>
      </c>
      <c r="AI60" s="96">
        <v>62485</v>
      </c>
      <c r="AJ60" s="84">
        <v>10</v>
      </c>
      <c r="AK60">
        <v>1384</v>
      </c>
      <c r="AL60">
        <v>5</v>
      </c>
      <c r="AM60" s="84">
        <f>[3]SCALLOP!B45</f>
        <v>35752</v>
      </c>
      <c r="AN60">
        <f>[3]CRABS!B45</f>
        <v>2362</v>
      </c>
      <c r="AO60">
        <f>[3]SQUIDS!B45</f>
        <v>4</v>
      </c>
      <c r="AP60">
        <f>[3]BIVALVES!B45</f>
        <v>2057</v>
      </c>
      <c r="AQ60">
        <v>25</v>
      </c>
      <c r="AR60" s="84">
        <f>[3]SHRIMPS!B45</f>
        <v>7</v>
      </c>
      <c r="AS60">
        <f>[3]TILEFISH!B45</f>
        <v>4</v>
      </c>
      <c r="AW60" t="s">
        <v>430</v>
      </c>
      <c r="AX60">
        <v>2002</v>
      </c>
      <c r="AY60">
        <v>1395</v>
      </c>
      <c r="AZ60">
        <v>65</v>
      </c>
      <c r="BA60">
        <v>79</v>
      </c>
      <c r="BB60">
        <v>313</v>
      </c>
      <c r="BC60">
        <v>358</v>
      </c>
      <c r="BD60">
        <v>2753</v>
      </c>
      <c r="BE60">
        <v>19054</v>
      </c>
      <c r="BF60">
        <v>1284</v>
      </c>
      <c r="BG60">
        <v>1220</v>
      </c>
      <c r="BH60">
        <v>1137</v>
      </c>
    </row>
    <row r="61" spans="1:60" x14ac:dyDescent="0.2">
      <c r="A61">
        <v>2003</v>
      </c>
      <c r="B61" s="24">
        <f>'by gear'!N61</f>
        <v>5667</v>
      </c>
      <c r="C61">
        <f>'by gear'!X61</f>
        <v>346</v>
      </c>
      <c r="D61">
        <v>8706</v>
      </c>
      <c r="E61">
        <v>231</v>
      </c>
      <c r="F61">
        <v>7839</v>
      </c>
      <c r="G61" s="84">
        <v>1767.0104999999996</v>
      </c>
      <c r="H61" s="25">
        <v>72.851711440152272</v>
      </c>
      <c r="I61" s="24">
        <f>[4]total!S47</f>
        <v>103887</v>
      </c>
      <c r="J61" s="84">
        <v>232.16730100649963</v>
      </c>
      <c r="K61">
        <v>118</v>
      </c>
      <c r="L61" s="84">
        <f>1003+97</f>
        <v>1100</v>
      </c>
      <c r="M61" s="84">
        <f t="shared" si="0"/>
        <v>95.85</v>
      </c>
      <c r="N61" s="236">
        <v>35</v>
      </c>
      <c r="O61" s="236">
        <v>59</v>
      </c>
      <c r="P61" s="15">
        <v>1.85</v>
      </c>
      <c r="R61">
        <v>2003</v>
      </c>
      <c r="S61">
        <v>325</v>
      </c>
      <c r="T61" s="165">
        <v>8672</v>
      </c>
      <c r="U61">
        <v>65</v>
      </c>
      <c r="V61">
        <v>3144</v>
      </c>
      <c r="W61">
        <v>842</v>
      </c>
      <c r="X61">
        <v>1139</v>
      </c>
      <c r="Y61" s="24">
        <v>59.0017</v>
      </c>
      <c r="Z61">
        <v>1239</v>
      </c>
      <c r="AA61">
        <v>14</v>
      </c>
      <c r="AB61">
        <v>384</v>
      </c>
      <c r="AC61">
        <v>810</v>
      </c>
      <c r="AD61">
        <v>167</v>
      </c>
      <c r="AE61">
        <v>19</v>
      </c>
      <c r="AF61">
        <v>136</v>
      </c>
      <c r="AG61">
        <v>122</v>
      </c>
      <c r="AH61">
        <v>3671</v>
      </c>
      <c r="AI61" s="96">
        <v>79804</v>
      </c>
      <c r="AJ61" s="84">
        <v>2</v>
      </c>
      <c r="AK61">
        <v>1415</v>
      </c>
      <c r="AL61">
        <v>3</v>
      </c>
      <c r="AM61" s="84">
        <f>[3]SCALLOP!B46</f>
        <v>36165</v>
      </c>
      <c r="AN61">
        <f>[3]CRABS!B46</f>
        <v>1319</v>
      </c>
      <c r="AO61">
        <f>[3]SQUIDS!B46</f>
        <v>7</v>
      </c>
      <c r="AP61">
        <f>[3]BIVALVES!B46</f>
        <v>506</v>
      </c>
      <c r="AR61" s="84">
        <f>[3]SHRIMPS!B46</f>
        <v>0</v>
      </c>
      <c r="AS61">
        <f>[3]TILEFISH!B46</f>
        <v>0</v>
      </c>
      <c r="AW61" t="s">
        <v>431</v>
      </c>
      <c r="AX61">
        <v>2003</v>
      </c>
      <c r="AY61">
        <v>1659</v>
      </c>
      <c r="AZ61">
        <v>138</v>
      </c>
      <c r="BA61">
        <v>73</v>
      </c>
      <c r="BB61">
        <v>432</v>
      </c>
      <c r="BC61">
        <v>389</v>
      </c>
      <c r="BD61">
        <v>2320</v>
      </c>
      <c r="BE61">
        <v>17613</v>
      </c>
      <c r="BF61">
        <v>1234</v>
      </c>
      <c r="BG61">
        <v>1169</v>
      </c>
      <c r="BH61">
        <v>1134</v>
      </c>
    </row>
    <row r="62" spans="1:60" x14ac:dyDescent="0.2">
      <c r="A62">
        <v>2004</v>
      </c>
      <c r="B62" s="24">
        <f>'by gear'!N62</f>
        <v>5010</v>
      </c>
      <c r="C62">
        <f>'by gear'!X62</f>
        <v>293</v>
      </c>
      <c r="D62">
        <v>6553</v>
      </c>
      <c r="E62">
        <v>155</v>
      </c>
      <c r="F62">
        <v>8012</v>
      </c>
      <c r="G62" s="84">
        <v>1652.5348999999985</v>
      </c>
      <c r="H62" s="25">
        <v>71.330598199360495</v>
      </c>
      <c r="I62" s="24">
        <f>[4]total!S48</f>
        <v>104147</v>
      </c>
      <c r="J62" s="84">
        <v>175.90199873900002</v>
      </c>
      <c r="L62" s="84">
        <f>2007+185</f>
        <v>2192</v>
      </c>
      <c r="M62" s="84">
        <f t="shared" si="0"/>
        <v>115.01</v>
      </c>
      <c r="N62" s="236">
        <v>57.7</v>
      </c>
      <c r="O62" s="236">
        <v>55.8</v>
      </c>
      <c r="P62" s="15">
        <v>1.51</v>
      </c>
      <c r="R62">
        <v>2004</v>
      </c>
      <c r="S62">
        <v>361</v>
      </c>
      <c r="T62" s="165">
        <v>6521</v>
      </c>
      <c r="U62">
        <v>44</v>
      </c>
      <c r="V62">
        <v>2067</v>
      </c>
      <c r="W62">
        <v>1140</v>
      </c>
      <c r="X62">
        <v>2332</v>
      </c>
      <c r="Y62" s="24">
        <v>108.66900000000001</v>
      </c>
      <c r="Z62">
        <v>1020</v>
      </c>
      <c r="AA62">
        <v>22</v>
      </c>
      <c r="AB62">
        <v>277</v>
      </c>
      <c r="AC62">
        <v>875</v>
      </c>
      <c r="AD62">
        <v>188</v>
      </c>
      <c r="AE62">
        <v>31</v>
      </c>
      <c r="AF62">
        <v>114</v>
      </c>
      <c r="AH62">
        <v>4167</v>
      </c>
      <c r="AI62" s="96">
        <v>109297</v>
      </c>
      <c r="AJ62" s="84">
        <v>4</v>
      </c>
      <c r="AK62">
        <v>1290</v>
      </c>
      <c r="AL62">
        <v>6</v>
      </c>
      <c r="AM62" s="84">
        <f>[3]SCALLOP!B47</f>
        <v>41526</v>
      </c>
      <c r="AN62">
        <f>[3]CRABS!B47</f>
        <v>1370</v>
      </c>
      <c r="AO62">
        <f>[3]SQUIDS!B47</f>
        <v>3</v>
      </c>
      <c r="AP62">
        <f>[3]BIVALVES!B47</f>
        <v>1496</v>
      </c>
      <c r="AQ62">
        <v>117</v>
      </c>
      <c r="AR62" s="84">
        <f>[3]SHRIMPS!B47</f>
        <v>1</v>
      </c>
      <c r="AS62">
        <f>[3]TILEFISH!B47</f>
        <v>0</v>
      </c>
      <c r="AW62" t="s">
        <v>432</v>
      </c>
      <c r="AX62">
        <v>2004</v>
      </c>
      <c r="AY62">
        <v>1850</v>
      </c>
      <c r="AZ62">
        <v>198</v>
      </c>
      <c r="BA62">
        <v>84</v>
      </c>
      <c r="BB62">
        <v>518</v>
      </c>
      <c r="BC62">
        <v>289</v>
      </c>
      <c r="BD62">
        <v>1955</v>
      </c>
      <c r="BE62">
        <v>17801</v>
      </c>
      <c r="BF62">
        <v>1337</v>
      </c>
      <c r="BG62">
        <v>1201</v>
      </c>
      <c r="BH62">
        <v>1038</v>
      </c>
    </row>
    <row r="63" spans="1:60" x14ac:dyDescent="0.2">
      <c r="A63">
        <v>2005</v>
      </c>
      <c r="B63" s="24">
        <f>'by gear'!N63</f>
        <v>4117</v>
      </c>
      <c r="C63">
        <f>'by gear'!X63</f>
        <v>148</v>
      </c>
      <c r="D63">
        <v>5633</v>
      </c>
      <c r="E63">
        <v>143</v>
      </c>
      <c r="F63">
        <v>6928</v>
      </c>
      <c r="G63" s="84">
        <v>1831.3231000000048</v>
      </c>
      <c r="H63" s="25">
        <v>21.551622848101843</v>
      </c>
      <c r="I63" s="24">
        <f>[4]total!S49</f>
        <v>69456.350000000006</v>
      </c>
      <c r="J63" s="84">
        <v>163.91752054049942</v>
      </c>
      <c r="L63" s="84">
        <f>1068+38</f>
        <v>1106</v>
      </c>
      <c r="M63" s="84">
        <f t="shared" si="0"/>
        <v>95.14</v>
      </c>
      <c r="N63" s="236">
        <v>46.2</v>
      </c>
      <c r="O63" s="236">
        <v>45.9</v>
      </c>
      <c r="P63" s="15">
        <v>3.04</v>
      </c>
      <c r="R63">
        <v>2005</v>
      </c>
      <c r="S63">
        <v>384</v>
      </c>
      <c r="T63" s="165">
        <v>5630</v>
      </c>
      <c r="U63">
        <v>29</v>
      </c>
      <c r="V63">
        <v>3169</v>
      </c>
      <c r="W63">
        <v>508</v>
      </c>
      <c r="X63">
        <v>2221</v>
      </c>
      <c r="Y63" s="24">
        <v>99.549300000000017</v>
      </c>
      <c r="Z63">
        <v>936</v>
      </c>
      <c r="AA63">
        <v>20</v>
      </c>
      <c r="AB63">
        <v>284</v>
      </c>
      <c r="AC63">
        <v>660</v>
      </c>
      <c r="AD63">
        <v>183</v>
      </c>
      <c r="AE63">
        <v>37</v>
      </c>
      <c r="AF63">
        <v>87</v>
      </c>
      <c r="AG63">
        <v>180</v>
      </c>
      <c r="AH63">
        <v>2530</v>
      </c>
      <c r="AI63" s="96">
        <v>97841</v>
      </c>
      <c r="AJ63" s="84">
        <v>1</v>
      </c>
      <c r="AK63">
        <v>1498</v>
      </c>
      <c r="AL63">
        <v>11</v>
      </c>
      <c r="AM63" s="84">
        <f>[3]SCALLOP!B48</f>
        <v>24765</v>
      </c>
      <c r="AN63">
        <f>[3]CRABS!B48</f>
        <v>1162</v>
      </c>
      <c r="AO63">
        <f>[3]SQUIDS!B48</f>
        <v>0</v>
      </c>
      <c r="AP63">
        <f>[3]BIVALVES!B48</f>
        <v>1354</v>
      </c>
      <c r="AR63" s="84">
        <f>[3]SHRIMPS!B48</f>
        <v>2</v>
      </c>
      <c r="AS63">
        <f>[3]TILEFISH!B48</f>
        <v>1</v>
      </c>
      <c r="AW63" t="s">
        <v>433</v>
      </c>
      <c r="AX63">
        <v>2005</v>
      </c>
      <c r="AY63">
        <v>2036</v>
      </c>
      <c r="AZ63">
        <v>411</v>
      </c>
      <c r="BA63">
        <v>112</v>
      </c>
      <c r="BB63">
        <v>925</v>
      </c>
      <c r="BC63">
        <v>403</v>
      </c>
      <c r="BD63">
        <v>2519</v>
      </c>
      <c r="BE63">
        <v>17250</v>
      </c>
      <c r="BF63">
        <v>1172</v>
      </c>
      <c r="BG63">
        <v>1067</v>
      </c>
      <c r="BH63">
        <v>1074</v>
      </c>
    </row>
    <row r="64" spans="1:60" x14ac:dyDescent="0.2">
      <c r="A64">
        <v>2006</v>
      </c>
      <c r="B64" s="24">
        <f>'by gear'!N64</f>
        <v>3700</v>
      </c>
      <c r="C64">
        <f>'by gear'!X64</f>
        <v>181</v>
      </c>
      <c r="D64">
        <v>4746</v>
      </c>
      <c r="E64">
        <v>162</v>
      </c>
      <c r="F64">
        <v>3469</v>
      </c>
      <c r="G64" s="84">
        <v>1223.3503999999937</v>
      </c>
      <c r="H64" s="25">
        <v>25.724685970797466</v>
      </c>
      <c r="I64" s="24">
        <f>[4]total!S50</f>
        <v>74964</v>
      </c>
      <c r="J64" s="84">
        <v>256.21280112099998</v>
      </c>
      <c r="L64" s="84">
        <f>912+14</f>
        <v>926</v>
      </c>
      <c r="M64" s="84">
        <f t="shared" si="0"/>
        <v>115.86</v>
      </c>
      <c r="N64" s="236">
        <v>64.7</v>
      </c>
      <c r="O64" s="236">
        <v>48.7</v>
      </c>
      <c r="P64" s="15">
        <v>2.46</v>
      </c>
      <c r="R64">
        <v>2006</v>
      </c>
      <c r="S64">
        <v>491</v>
      </c>
      <c r="T64" s="165">
        <v>4742</v>
      </c>
      <c r="U64">
        <v>30</v>
      </c>
      <c r="V64">
        <v>2986</v>
      </c>
      <c r="W64">
        <v>244</v>
      </c>
      <c r="X64">
        <v>2278</v>
      </c>
      <c r="Y64" s="24">
        <v>193.33069999999998</v>
      </c>
      <c r="Z64">
        <v>334</v>
      </c>
      <c r="AA64">
        <v>16</v>
      </c>
      <c r="AB64">
        <v>129</v>
      </c>
      <c r="AC64">
        <v>807</v>
      </c>
      <c r="AD64">
        <v>204</v>
      </c>
      <c r="AE64">
        <v>22</v>
      </c>
      <c r="AF64">
        <v>59</v>
      </c>
      <c r="AG64">
        <v>188</v>
      </c>
      <c r="AH64">
        <v>1302</v>
      </c>
      <c r="AI64" s="96">
        <v>111923</v>
      </c>
      <c r="AK64">
        <v>1180</v>
      </c>
      <c r="AM64" s="84">
        <f>[3]SCALLOP!B49</f>
        <v>23814</v>
      </c>
      <c r="AN64">
        <f>[3]CRABS!B49</f>
        <v>951</v>
      </c>
      <c r="AO64">
        <f>[3]SQUIDS!B49</f>
        <v>0</v>
      </c>
      <c r="AP64">
        <f>[3]BIVALVES!B49</f>
        <v>950</v>
      </c>
      <c r="AQ64">
        <v>116</v>
      </c>
      <c r="AR64" s="84">
        <f>[3]SHRIMPS!B49</f>
        <v>4</v>
      </c>
      <c r="AS64">
        <f>[3]TILEFISH!B49</f>
        <v>0</v>
      </c>
      <c r="AW64" t="s">
        <v>434</v>
      </c>
      <c r="AX64">
        <v>2006</v>
      </c>
      <c r="AY64">
        <v>1966</v>
      </c>
      <c r="AZ64">
        <v>668</v>
      </c>
      <c r="BA64">
        <v>187</v>
      </c>
      <c r="BB64">
        <v>1497</v>
      </c>
      <c r="BC64">
        <v>602</v>
      </c>
      <c r="BD64">
        <v>2556</v>
      </c>
      <c r="BE64">
        <v>16991</v>
      </c>
      <c r="BF64">
        <v>1227</v>
      </c>
      <c r="BG64">
        <v>1320</v>
      </c>
      <c r="BH64">
        <v>1674</v>
      </c>
    </row>
    <row r="65" spans="1:60" x14ac:dyDescent="0.2">
      <c r="A65">
        <v>2007</v>
      </c>
      <c r="B65" s="24">
        <f>'by gear'!N65</f>
        <v>3790</v>
      </c>
      <c r="D65">
        <v>6876</v>
      </c>
      <c r="E65">
        <v>195</v>
      </c>
      <c r="F65">
        <v>4679</v>
      </c>
      <c r="G65" s="84">
        <v>938.72559999999783</v>
      </c>
      <c r="H65" s="25">
        <v>21.170151868739165</v>
      </c>
      <c r="I65" s="24">
        <f>[4]total!S51</f>
        <v>88191.039999999994</v>
      </c>
      <c r="J65" s="84">
        <v>93.22968092450003</v>
      </c>
      <c r="L65" s="84">
        <f>1198+1</f>
        <v>1199</v>
      </c>
      <c r="M65" s="84">
        <f t="shared" si="0"/>
        <v>50.730000000000004</v>
      </c>
      <c r="N65" s="236">
        <v>28.1</v>
      </c>
      <c r="O65" s="236">
        <v>20.6</v>
      </c>
      <c r="P65" s="15">
        <v>2.0299999999999998</v>
      </c>
      <c r="R65">
        <v>2007</v>
      </c>
      <c r="S65">
        <v>465</v>
      </c>
      <c r="T65" s="165">
        <v>6867</v>
      </c>
      <c r="U65">
        <v>63</v>
      </c>
      <c r="V65">
        <v>3082</v>
      </c>
      <c r="W65">
        <v>1697</v>
      </c>
      <c r="X65">
        <v>2362</v>
      </c>
      <c r="Y65" s="24">
        <v>83.900900000000007</v>
      </c>
      <c r="Z65">
        <v>189</v>
      </c>
      <c r="AA65">
        <v>21</v>
      </c>
      <c r="AB65">
        <v>147</v>
      </c>
      <c r="AC65">
        <v>1041</v>
      </c>
      <c r="AD65">
        <v>224</v>
      </c>
      <c r="AE65">
        <v>23</v>
      </c>
      <c r="AF65">
        <v>44</v>
      </c>
      <c r="AG65">
        <v>141</v>
      </c>
      <c r="AH65">
        <v>1927</v>
      </c>
      <c r="AI65" s="96">
        <v>79446</v>
      </c>
      <c r="AJ65">
        <v>7</v>
      </c>
      <c r="AK65">
        <v>1226</v>
      </c>
      <c r="AM65" s="84">
        <f>[3]SCALLOP!B50</f>
        <v>24533</v>
      </c>
      <c r="AN65">
        <f>[3]CRABS!B50</f>
        <v>827</v>
      </c>
      <c r="AO65">
        <f>[3]SQUIDS!B50</f>
        <v>0</v>
      </c>
      <c r="AP65">
        <f>[3]BIVALVES!B50</f>
        <v>560</v>
      </c>
      <c r="AQ65">
        <v>20</v>
      </c>
      <c r="AR65" s="84">
        <f>[3]SHRIMPS!B50</f>
        <v>0</v>
      </c>
      <c r="AS65">
        <f>[3]TILEFISH!B50</f>
        <v>0</v>
      </c>
      <c r="AW65" t="s">
        <v>435</v>
      </c>
      <c r="AX65">
        <v>2007</v>
      </c>
      <c r="AY65">
        <v>2024</v>
      </c>
      <c r="AZ65">
        <v>800</v>
      </c>
      <c r="BA65">
        <v>216</v>
      </c>
      <c r="BB65">
        <v>1888</v>
      </c>
      <c r="BC65">
        <v>632</v>
      </c>
      <c r="BD65">
        <v>3033</v>
      </c>
      <c r="BE65">
        <v>16796</v>
      </c>
      <c r="BF65">
        <v>1191</v>
      </c>
      <c r="BG65">
        <v>1124</v>
      </c>
      <c r="BH65">
        <v>1413</v>
      </c>
    </row>
    <row r="66" spans="1:60" x14ac:dyDescent="0.2">
      <c r="A66">
        <v>2008</v>
      </c>
      <c r="B66" s="24">
        <f>'by gear'!N66</f>
        <v>4132</v>
      </c>
      <c r="D66">
        <v>5369</v>
      </c>
      <c r="E66">
        <v>135</v>
      </c>
      <c r="F66">
        <v>4115</v>
      </c>
      <c r="G66" s="84">
        <v>1236.8907999999988</v>
      </c>
      <c r="H66" s="25">
        <v>40.221241603541309</v>
      </c>
      <c r="I66" s="24">
        <f>[4]total!S52</f>
        <v>63034.380000000005</v>
      </c>
      <c r="J66" s="84">
        <v>68.11267215345184</v>
      </c>
      <c r="L66" s="84">
        <v>393</v>
      </c>
      <c r="M66" s="84">
        <f t="shared" si="0"/>
        <v>3.59</v>
      </c>
      <c r="N66" s="61" t="s">
        <v>449</v>
      </c>
      <c r="O66" s="61" t="s">
        <v>449</v>
      </c>
      <c r="P66" s="15">
        <v>3.59</v>
      </c>
      <c r="R66">
        <v>2008</v>
      </c>
      <c r="S66">
        <v>474</v>
      </c>
      <c r="T66" s="165">
        <v>5371</v>
      </c>
      <c r="U66">
        <v>15</v>
      </c>
      <c r="V66">
        <v>3850</v>
      </c>
      <c r="W66">
        <v>1006</v>
      </c>
      <c r="X66">
        <v>1536</v>
      </c>
      <c r="Y66" s="24">
        <v>141.80949999999999</v>
      </c>
      <c r="Z66">
        <v>238</v>
      </c>
      <c r="AA66">
        <v>5</v>
      </c>
      <c r="AB66">
        <v>126</v>
      </c>
      <c r="AC66">
        <v>890</v>
      </c>
      <c r="AD66">
        <v>213</v>
      </c>
      <c r="AE66">
        <v>7</v>
      </c>
      <c r="AF66">
        <v>28</v>
      </c>
      <c r="AG66">
        <v>144</v>
      </c>
      <c r="AH66">
        <v>1003</v>
      </c>
      <c r="AI66" s="96">
        <v>52096</v>
      </c>
      <c r="AJ66">
        <v>3</v>
      </c>
      <c r="AK66">
        <v>1654</v>
      </c>
      <c r="AM66" s="84">
        <f>[3]SCALLOP!B51</f>
        <v>15929</v>
      </c>
      <c r="AN66">
        <f>[3]CRABS!B51</f>
        <v>892</v>
      </c>
      <c r="AO66">
        <f>[3]SQUIDS!B51</f>
        <v>1150</v>
      </c>
      <c r="AP66">
        <f>[3]BIVALVES!B51</f>
        <v>901</v>
      </c>
      <c r="AQ66">
        <v>12</v>
      </c>
      <c r="AR66" s="84">
        <f>[3]SHRIMPS!B51</f>
        <v>1</v>
      </c>
      <c r="AS66">
        <f>[3]TILEFISH!B51</f>
        <v>3</v>
      </c>
      <c r="AW66" s="101" t="s">
        <v>436</v>
      </c>
      <c r="AX66" s="101">
        <v>2008</v>
      </c>
      <c r="AY66" s="101">
        <v>2849</v>
      </c>
      <c r="AZ66" s="101">
        <v>1089</v>
      </c>
      <c r="BA66" s="101">
        <v>413</v>
      </c>
      <c r="BB66" s="101">
        <v>1993</v>
      </c>
      <c r="BC66" s="101">
        <v>704</v>
      </c>
      <c r="BD66" s="101">
        <v>2599</v>
      </c>
      <c r="BE66" s="101">
        <v>16641</v>
      </c>
      <c r="BF66" s="101">
        <v>1468</v>
      </c>
      <c r="BG66" s="101">
        <v>1436</v>
      </c>
      <c r="BH66" s="101">
        <v>1805</v>
      </c>
    </row>
    <row r="67" spans="1:60" x14ac:dyDescent="0.2">
      <c r="A67">
        <v>2009</v>
      </c>
      <c r="B67" s="24"/>
      <c r="D67">
        <v>5504</v>
      </c>
      <c r="E67">
        <v>176</v>
      </c>
      <c r="F67">
        <v>3819</v>
      </c>
      <c r="G67" s="84">
        <v>1152.9797999999982</v>
      </c>
      <c r="H67" s="25">
        <v>21.144816167023126</v>
      </c>
      <c r="I67" s="24">
        <f>[4]total!S53</f>
        <v>70963</v>
      </c>
      <c r="L67">
        <v>0</v>
      </c>
      <c r="M67" s="84">
        <f t="shared" si="0"/>
        <v>1.42</v>
      </c>
      <c r="N67" s="61" t="s">
        <v>449</v>
      </c>
      <c r="O67" s="61" t="s">
        <v>449</v>
      </c>
      <c r="P67" s="15">
        <v>1.42</v>
      </c>
      <c r="T67" s="165"/>
      <c r="Y67" s="24"/>
      <c r="AH67" s="96">
        <v>980</v>
      </c>
      <c r="AI67" s="96">
        <v>65613</v>
      </c>
      <c r="AW67" s="101" t="s">
        <v>437</v>
      </c>
      <c r="AX67" s="101">
        <v>2009</v>
      </c>
      <c r="AY67" s="101">
        <v>2178</v>
      </c>
      <c r="AZ67" s="101">
        <v>1099</v>
      </c>
      <c r="BA67" s="101">
        <v>452</v>
      </c>
      <c r="BB67" s="101">
        <v>2227</v>
      </c>
      <c r="BC67" s="101">
        <v>829</v>
      </c>
      <c r="BD67" s="101">
        <v>3402</v>
      </c>
      <c r="BE67" s="101">
        <v>17733</v>
      </c>
      <c r="BF67" s="101">
        <v>1684</v>
      </c>
      <c r="BG67" s="101">
        <v>1546</v>
      </c>
      <c r="BH67" s="101">
        <v>1594</v>
      </c>
    </row>
    <row r="68" spans="1:60" x14ac:dyDescent="0.2">
      <c r="A68">
        <v>2010</v>
      </c>
      <c r="B68" s="24"/>
      <c r="D68">
        <v>5663</v>
      </c>
      <c r="E68">
        <v>239</v>
      </c>
      <c r="F68" s="98">
        <v>3218</v>
      </c>
      <c r="G68" s="84">
        <v>1421.9710000000002</v>
      </c>
      <c r="I68" s="24">
        <f>[4]total!S54</f>
        <v>71460</v>
      </c>
      <c r="L68">
        <v>201</v>
      </c>
      <c r="M68" s="84">
        <f t="shared" si="0"/>
        <v>22.26</v>
      </c>
      <c r="N68" s="236">
        <v>5.6</v>
      </c>
      <c r="O68" s="236">
        <v>15.4</v>
      </c>
      <c r="P68" s="15">
        <v>1.26</v>
      </c>
      <c r="T68" s="165"/>
      <c r="Y68" s="24"/>
      <c r="AH68" s="96">
        <v>416</v>
      </c>
      <c r="AI68" s="96">
        <v>49422</v>
      </c>
      <c r="AW68" t="s">
        <v>438</v>
      </c>
      <c r="AX68">
        <v>2010</v>
      </c>
      <c r="AY68">
        <v>2568</v>
      </c>
      <c r="AZ68">
        <v>926</v>
      </c>
      <c r="BA68">
        <v>371</v>
      </c>
      <c r="BB68">
        <v>1912</v>
      </c>
      <c r="BC68">
        <v>657</v>
      </c>
      <c r="BD68">
        <v>3376</v>
      </c>
      <c r="BE68">
        <v>19620</v>
      </c>
      <c r="BF68">
        <v>1982</v>
      </c>
      <c r="BG68">
        <v>1506</v>
      </c>
      <c r="BH68">
        <v>1851</v>
      </c>
    </row>
    <row r="69" spans="1:60" x14ac:dyDescent="0.2">
      <c r="A69">
        <v>2011</v>
      </c>
      <c r="B69" s="24"/>
      <c r="G69" s="84">
        <v>1898.9122380000001</v>
      </c>
      <c r="I69" s="24">
        <f>[4]total!S55</f>
        <v>66767.3</v>
      </c>
      <c r="M69" s="84">
        <f t="shared" si="0"/>
        <v>16.920000000000002</v>
      </c>
      <c r="N69" s="236">
        <v>4.7</v>
      </c>
      <c r="O69" s="236">
        <v>7.8</v>
      </c>
      <c r="P69" s="15">
        <v>4.42</v>
      </c>
      <c r="T69" s="165"/>
      <c r="Y69" s="24"/>
      <c r="AH69" s="96">
        <v>366</v>
      </c>
      <c r="AI69" s="96">
        <v>9845</v>
      </c>
    </row>
    <row r="70" spans="1:60" x14ac:dyDescent="0.2">
      <c r="A70">
        <v>2012</v>
      </c>
      <c r="B70" s="24"/>
      <c r="G70" s="84">
        <v>1320.252242</v>
      </c>
      <c r="I70" s="24">
        <f>[4]total!S56</f>
        <v>49373.26</v>
      </c>
      <c r="M70" s="84">
        <f t="shared" ref="M70" si="1">SUM(N70:P70)</f>
        <v>4.1900000000000004</v>
      </c>
      <c r="N70" s="61" t="s">
        <v>449</v>
      </c>
      <c r="O70" s="61" t="s">
        <v>449</v>
      </c>
      <c r="P70" s="15">
        <v>4.1900000000000004</v>
      </c>
      <c r="T70" s="165"/>
      <c r="Y70" s="24"/>
    </row>
    <row r="71" spans="1:60" x14ac:dyDescent="0.2">
      <c r="A71">
        <v>2013</v>
      </c>
      <c r="B71" s="24"/>
      <c r="G71" s="84">
        <v>569.67739399999994</v>
      </c>
      <c r="I71" s="24">
        <f>[4]total!S57</f>
        <v>54462.13</v>
      </c>
      <c r="T71" s="165"/>
      <c r="Y71" s="24"/>
    </row>
    <row r="72" spans="1:60" s="86" customFormat="1" x14ac:dyDescent="0.2">
      <c r="A72" s="85" t="s">
        <v>583</v>
      </c>
      <c r="B72" s="87">
        <f t="shared" ref="B72:BG72" si="2">AVERAGE(B11:B71)</f>
        <v>17067.339285714286</v>
      </c>
      <c r="C72" s="87">
        <f t="shared" si="2"/>
        <v>2894.5135135135133</v>
      </c>
      <c r="D72" s="87">
        <f>AVERAGE(D11:D71)</f>
        <v>12348.926829268292</v>
      </c>
      <c r="E72" s="87">
        <f t="shared" si="2"/>
        <v>935.18</v>
      </c>
      <c r="F72" s="87">
        <f t="shared" si="2"/>
        <v>10643.172413793103</v>
      </c>
      <c r="G72" s="87">
        <f t="shared" si="2"/>
        <v>4809.0522818431364</v>
      </c>
      <c r="H72" s="87">
        <f t="shared" si="2"/>
        <v>105.62771478603756</v>
      </c>
      <c r="I72" s="87">
        <f t="shared" si="2"/>
        <v>109786.06392156861</v>
      </c>
      <c r="J72" s="87">
        <f t="shared" si="2"/>
        <v>184.34053677353336</v>
      </c>
      <c r="K72" s="87">
        <f t="shared" si="2"/>
        <v>253.93333333333334</v>
      </c>
      <c r="L72" s="87">
        <f>AVERAGE(L11:L71)</f>
        <v>592.6</v>
      </c>
      <c r="M72" s="87">
        <f t="shared" ref="M72" si="3">AVERAGE(M11:M71)</f>
        <v>78.917500000000004</v>
      </c>
      <c r="N72" s="87"/>
      <c r="O72" s="87"/>
      <c r="P72" s="87"/>
      <c r="Q72" s="87"/>
      <c r="R72" s="87">
        <f t="shared" si="2"/>
        <v>1984</v>
      </c>
      <c r="S72" s="87">
        <f t="shared" si="2"/>
        <v>507.73469387755102</v>
      </c>
      <c r="T72" s="87">
        <f t="shared" si="2"/>
        <v>16197.020408163266</v>
      </c>
      <c r="U72" s="87">
        <f t="shared" si="2"/>
        <v>385.14285714285717</v>
      </c>
      <c r="V72" s="87">
        <f t="shared" si="2"/>
        <v>5047.7755102040819</v>
      </c>
      <c r="W72" s="87">
        <f t="shared" si="2"/>
        <v>4325.408163265306</v>
      </c>
      <c r="X72" s="87">
        <f t="shared" si="2"/>
        <v>821.20512820512818</v>
      </c>
      <c r="Y72" s="87">
        <f t="shared" ref="Y72" si="4">AVERAGE(Y11:Y71)</f>
        <v>87.994693750000025</v>
      </c>
      <c r="Z72" s="87">
        <f t="shared" si="2"/>
        <v>537.62790697674416</v>
      </c>
      <c r="AA72" s="87">
        <f t="shared" si="2"/>
        <v>133.61224489795919</v>
      </c>
      <c r="AB72" s="87">
        <f t="shared" si="2"/>
        <v>420.08163265306121</v>
      </c>
      <c r="AC72" s="87">
        <f t="shared" si="2"/>
        <v>901.81632653061229</v>
      </c>
      <c r="AD72" s="87">
        <f t="shared" si="2"/>
        <v>1138.953488372093</v>
      </c>
      <c r="AE72" s="87">
        <f t="shared" si="2"/>
        <v>124.28571428571429</v>
      </c>
      <c r="AF72" s="87">
        <f t="shared" si="2"/>
        <v>674.16326530612241</v>
      </c>
      <c r="AG72" s="87">
        <f t="shared" si="2"/>
        <v>94.94736842105263</v>
      </c>
      <c r="AH72" s="87">
        <f t="shared" si="2"/>
        <v>3502.9230769230771</v>
      </c>
      <c r="AI72" s="87"/>
      <c r="AJ72" s="87">
        <f t="shared" si="2"/>
        <v>998.64583333333337</v>
      </c>
      <c r="AK72" s="87">
        <f t="shared" si="2"/>
        <v>1069.3461538461538</v>
      </c>
      <c r="AL72" s="87">
        <f t="shared" si="2"/>
        <v>2701.2608695652175</v>
      </c>
      <c r="AM72" s="87">
        <f t="shared" si="2"/>
        <v>14990.183673469388</v>
      </c>
      <c r="AN72" s="87">
        <f t="shared" si="2"/>
        <v>466.17391304347825</v>
      </c>
      <c r="AO72" s="87">
        <f t="shared" si="2"/>
        <v>866.16326530612241</v>
      </c>
      <c r="AP72" s="87">
        <f t="shared" si="2"/>
        <v>1709.591836734694</v>
      </c>
      <c r="AQ72" s="87">
        <f t="shared" si="2"/>
        <v>88.62222222222222</v>
      </c>
      <c r="AR72" s="87">
        <f t="shared" si="2"/>
        <v>59.224489795918366</v>
      </c>
      <c r="AS72" s="87">
        <f t="shared" si="2"/>
        <v>2.3673469387755102</v>
      </c>
      <c r="AT72" s="87"/>
      <c r="AU72" s="87"/>
      <c r="AV72" s="87"/>
      <c r="AW72" s="87"/>
      <c r="AX72" s="87">
        <f t="shared" si="2"/>
        <v>1981.5</v>
      </c>
      <c r="AY72" s="87">
        <f t="shared" si="2"/>
        <v>1509.3965517241379</v>
      </c>
      <c r="AZ72" s="87">
        <f t="shared" si="2"/>
        <v>197.25862068965517</v>
      </c>
      <c r="BA72" s="87">
        <f t="shared" si="2"/>
        <v>120.03448275862068</v>
      </c>
      <c r="BB72" s="87">
        <f t="shared" si="2"/>
        <v>459.27586206896552</v>
      </c>
      <c r="BC72" s="87">
        <f t="shared" si="2"/>
        <v>307.36206896551727</v>
      </c>
      <c r="BD72" s="87">
        <f t="shared" si="2"/>
        <v>1481.5862068965516</v>
      </c>
      <c r="BE72" s="87">
        <f t="shared" si="2"/>
        <v>7560.2758620689656</v>
      </c>
      <c r="BF72" s="87">
        <f t="shared" si="2"/>
        <v>428.43103448275861</v>
      </c>
      <c r="BG72" s="87">
        <f t="shared" si="2"/>
        <v>446.5</v>
      </c>
      <c r="BH72" s="87">
        <f>AVERAGE(BH11:BH71)</f>
        <v>559.41379310344826</v>
      </c>
    </row>
    <row r="73" spans="1:60" s="69" customFormat="1" x14ac:dyDescent="0.2">
      <c r="A73" s="89" t="s">
        <v>590</v>
      </c>
      <c r="B73" s="90">
        <f t="shared" ref="B73:BG73" si="5">AVERAGE(B28:B71)</f>
        <v>16808.51282051282</v>
      </c>
      <c r="C73" s="90">
        <f t="shared" si="5"/>
        <v>2894.5135135135133</v>
      </c>
      <c r="D73" s="90">
        <f t="shared" si="5"/>
        <v>12348.926829268292</v>
      </c>
      <c r="E73" s="90">
        <f t="shared" si="5"/>
        <v>1003.3170731707318</v>
      </c>
      <c r="F73" s="90">
        <f t="shared" si="5"/>
        <v>10643.172413793103</v>
      </c>
      <c r="G73" s="90">
        <f t="shared" si="5"/>
        <v>5210.8560539545442</v>
      </c>
      <c r="H73" s="90">
        <f t="shared" si="5"/>
        <v>105.62771478603756</v>
      </c>
      <c r="I73" s="90">
        <f t="shared" si="5"/>
        <v>100957.07409090908</v>
      </c>
      <c r="J73" s="90">
        <f t="shared" si="5"/>
        <v>184.34053677353336</v>
      </c>
      <c r="K73" s="90">
        <f t="shared" si="5"/>
        <v>253.93333333333334</v>
      </c>
      <c r="L73" s="90">
        <f t="shared" ref="L73:M73" si="6">AVERAGE(L28:L71)</f>
        <v>592.6</v>
      </c>
      <c r="M73" s="90">
        <f t="shared" si="6"/>
        <v>94.933720930232568</v>
      </c>
      <c r="N73" s="90"/>
      <c r="O73" s="90"/>
      <c r="P73" s="90"/>
      <c r="Q73" s="90"/>
      <c r="R73" s="90">
        <f t="shared" si="5"/>
        <v>1989</v>
      </c>
      <c r="S73" s="90">
        <f t="shared" si="5"/>
        <v>467</v>
      </c>
      <c r="T73" s="90">
        <f t="shared" si="5"/>
        <v>13071.282051282051</v>
      </c>
      <c r="U73" s="90">
        <f t="shared" si="5"/>
        <v>317.05128205128204</v>
      </c>
      <c r="V73" s="90">
        <f t="shared" si="5"/>
        <v>4191.7692307692305</v>
      </c>
      <c r="W73" s="90">
        <f t="shared" si="5"/>
        <v>4560.6153846153848</v>
      </c>
      <c r="X73" s="90">
        <f t="shared" si="5"/>
        <v>842.71052631578948</v>
      </c>
      <c r="Y73" s="90">
        <f t="shared" ref="Y73" si="7">AVERAGE(Y28:Y71)</f>
        <v>87.994693750000025</v>
      </c>
      <c r="Z73" s="90">
        <f t="shared" si="5"/>
        <v>603.97368421052636</v>
      </c>
      <c r="AA73" s="90">
        <f t="shared" si="5"/>
        <v>134.48717948717947</v>
      </c>
      <c r="AB73" s="90">
        <f t="shared" si="5"/>
        <v>449.69230769230768</v>
      </c>
      <c r="AC73" s="90">
        <f t="shared" si="5"/>
        <v>903.9487179487179</v>
      </c>
      <c r="AD73" s="90">
        <f t="shared" si="5"/>
        <v>1249.8461538461538</v>
      </c>
      <c r="AE73" s="90">
        <f t="shared" si="5"/>
        <v>135.82051282051282</v>
      </c>
      <c r="AF73" s="90">
        <f t="shared" si="5"/>
        <v>678.41025641025647</v>
      </c>
      <c r="AG73" s="90">
        <f t="shared" si="5"/>
        <v>94.94736842105263</v>
      </c>
      <c r="AH73" s="90">
        <f t="shared" si="5"/>
        <v>3607.7142857142858</v>
      </c>
      <c r="AI73" s="90"/>
      <c r="AJ73" s="90">
        <f t="shared" si="5"/>
        <v>511.68421052631578</v>
      </c>
      <c r="AK73" s="90">
        <f t="shared" si="5"/>
        <v>1069.3461538461538</v>
      </c>
      <c r="AL73" s="90">
        <f t="shared" si="5"/>
        <v>2117.3611111111113</v>
      </c>
      <c r="AM73" s="90">
        <f t="shared" si="5"/>
        <v>17668.717948717949</v>
      </c>
      <c r="AN73" s="90">
        <f t="shared" si="5"/>
        <v>549.25641025641028</v>
      </c>
      <c r="AO73" s="90">
        <f t="shared" si="5"/>
        <v>1084.051282051282</v>
      </c>
      <c r="AP73" s="90">
        <f t="shared" si="5"/>
        <v>1895.2820512820513</v>
      </c>
      <c r="AQ73" s="90">
        <f t="shared" si="5"/>
        <v>105.69444444444444</v>
      </c>
      <c r="AR73" s="90">
        <f t="shared" si="5"/>
        <v>41.769230769230766</v>
      </c>
      <c r="AS73" s="90">
        <f t="shared" si="5"/>
        <v>2.9743589743589745</v>
      </c>
      <c r="AT73" s="90"/>
      <c r="AU73" s="90"/>
      <c r="AV73" s="90"/>
      <c r="AW73" s="90"/>
      <c r="AX73" s="90">
        <f t="shared" si="5"/>
        <v>1990</v>
      </c>
      <c r="AY73" s="90">
        <f t="shared" si="5"/>
        <v>1767.0487804878048</v>
      </c>
      <c r="AZ73" s="90">
        <f t="shared" si="5"/>
        <v>199.1219512195122</v>
      </c>
      <c r="BA73" s="90">
        <f t="shared" si="5"/>
        <v>104.07317073170732</v>
      </c>
      <c r="BB73" s="90">
        <f t="shared" si="5"/>
        <v>449.04878048780489</v>
      </c>
      <c r="BC73" s="90">
        <f t="shared" si="5"/>
        <v>281.70731707317071</v>
      </c>
      <c r="BD73" s="90">
        <f t="shared" si="5"/>
        <v>1658.0243902439024</v>
      </c>
      <c r="BE73" s="90">
        <f t="shared" si="5"/>
        <v>9476.9268292682918</v>
      </c>
      <c r="BF73" s="90">
        <f t="shared" si="5"/>
        <v>545.68292682926824</v>
      </c>
      <c r="BG73" s="90">
        <f t="shared" si="5"/>
        <v>525.95121951219517</v>
      </c>
      <c r="BH73" s="90">
        <f>AVERAGE(BH28:BH71)</f>
        <v>657.60975609756099</v>
      </c>
    </row>
    <row r="75" spans="1:60" x14ac:dyDescent="0.2">
      <c r="BD75" s="61" t="s">
        <v>442</v>
      </c>
      <c r="BE75">
        <f>MEDIAN(BE43:BE67)</f>
        <v>11071</v>
      </c>
      <c r="BF75">
        <f t="shared" ref="BF75:BH75" si="8">MEDIAN(BF43:BF67)</f>
        <v>731</v>
      </c>
      <c r="BG75">
        <f t="shared" si="8"/>
        <v>666</v>
      </c>
      <c r="BH75">
        <f t="shared" si="8"/>
        <v>648</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workbookViewId="0">
      <selection activeCell="N17" sqref="N2:N17"/>
    </sheetView>
  </sheetViews>
  <sheetFormatPr defaultRowHeight="12.75" x14ac:dyDescent="0.2"/>
  <sheetData>
    <row r="1" spans="1:14" x14ac:dyDescent="0.2">
      <c r="A1" t="s">
        <v>457</v>
      </c>
      <c r="B1" t="s">
        <v>558</v>
      </c>
      <c r="C1" t="s">
        <v>559</v>
      </c>
      <c r="D1" t="s">
        <v>560</v>
      </c>
      <c r="E1" t="s">
        <v>561</v>
      </c>
      <c r="F1" t="s">
        <v>562</v>
      </c>
      <c r="G1" t="s">
        <v>563</v>
      </c>
      <c r="H1" t="s">
        <v>564</v>
      </c>
      <c r="I1" t="s">
        <v>565</v>
      </c>
      <c r="J1" t="s">
        <v>566</v>
      </c>
      <c r="K1" t="s">
        <v>567</v>
      </c>
      <c r="L1" t="s">
        <v>568</v>
      </c>
      <c r="M1" t="s">
        <v>569</v>
      </c>
      <c r="N1" t="s">
        <v>570</v>
      </c>
    </row>
    <row r="2" spans="1:14" x14ac:dyDescent="0.2">
      <c r="A2" t="s">
        <v>452</v>
      </c>
      <c r="B2">
        <v>1953</v>
      </c>
      <c r="C2">
        <v>2008</v>
      </c>
      <c r="D2" t="s">
        <v>463</v>
      </c>
      <c r="E2">
        <v>33.134</v>
      </c>
      <c r="F2">
        <v>13.054</v>
      </c>
      <c r="G2">
        <v>4.1319999999999997</v>
      </c>
      <c r="H2">
        <v>245</v>
      </c>
      <c r="I2">
        <v>0.27114084724572102</v>
      </c>
      <c r="J2">
        <v>0.17346308849769301</v>
      </c>
      <c r="K2">
        <v>290.14257796241998</v>
      </c>
      <c r="L2">
        <v>0.137555441454943</v>
      </c>
      <c r="M2">
        <v>19.667376102697101</v>
      </c>
      <c r="N2">
        <v>3.7060981008797803E-2</v>
      </c>
    </row>
    <row r="3" spans="1:14" x14ac:dyDescent="0.2">
      <c r="A3" t="s">
        <v>304</v>
      </c>
      <c r="B3">
        <v>1960</v>
      </c>
      <c r="C3">
        <v>2008</v>
      </c>
      <c r="D3" t="s">
        <v>520</v>
      </c>
      <c r="E3">
        <v>0.95699999999999996</v>
      </c>
      <c r="F3">
        <v>0.95699999999999996</v>
      </c>
      <c r="G3">
        <v>0.47399999999999998</v>
      </c>
      <c r="H3">
        <v>10529</v>
      </c>
      <c r="I3">
        <v>6.2141574401789898E-2</v>
      </c>
      <c r="J3">
        <v>0.42695049939291002</v>
      </c>
      <c r="K3">
        <v>26.110211519989601</v>
      </c>
      <c r="L3">
        <v>0.19583425132701399</v>
      </c>
      <c r="M3">
        <v>0.40563241295397601</v>
      </c>
      <c r="N3">
        <v>0.32256371996545902</v>
      </c>
    </row>
    <row r="4" spans="1:14" x14ac:dyDescent="0.2">
      <c r="A4" t="s">
        <v>349</v>
      </c>
      <c r="B4">
        <v>1970</v>
      </c>
      <c r="C4">
        <v>2006</v>
      </c>
      <c r="D4" t="s">
        <v>522</v>
      </c>
      <c r="E4">
        <v>6.0060000000000002</v>
      </c>
      <c r="F4">
        <v>3.6869999999999998</v>
      </c>
      <c r="G4">
        <v>0.18099999999999999</v>
      </c>
      <c r="H4">
        <v>2516</v>
      </c>
      <c r="I4">
        <v>0.119686539875934</v>
      </c>
      <c r="J4">
        <v>0.33224148513048801</v>
      </c>
      <c r="K4">
        <v>98.758426216106699</v>
      </c>
      <c r="L4">
        <v>0.18014788623536501</v>
      </c>
      <c r="M4">
        <v>2.9550135793496199</v>
      </c>
      <c r="N4">
        <v>0.221516272375786</v>
      </c>
    </row>
    <row r="5" spans="1:14" x14ac:dyDescent="0.2">
      <c r="A5" t="s">
        <v>307</v>
      </c>
      <c r="B5">
        <v>1970</v>
      </c>
      <c r="C5">
        <v>2010</v>
      </c>
      <c r="D5" t="s">
        <v>463</v>
      </c>
      <c r="E5">
        <v>30.364999999999998</v>
      </c>
      <c r="F5">
        <v>16.012</v>
      </c>
      <c r="G5">
        <v>5.6630000000000003</v>
      </c>
      <c r="H5">
        <v>153</v>
      </c>
      <c r="I5">
        <v>0.26980507062013798</v>
      </c>
      <c r="J5">
        <v>0.1649413633639</v>
      </c>
      <c r="K5">
        <v>234.870525422551</v>
      </c>
      <c r="L5">
        <v>0.11605079569876001</v>
      </c>
      <c r="M5">
        <v>15.842314674555</v>
      </c>
      <c r="N5">
        <v>8.0173260904399704E-2</v>
      </c>
    </row>
    <row r="6" spans="1:14" x14ac:dyDescent="0.2">
      <c r="A6" t="s">
        <v>510</v>
      </c>
      <c r="B6">
        <v>1961</v>
      </c>
      <c r="C6">
        <v>2010</v>
      </c>
      <c r="D6" t="s">
        <v>522</v>
      </c>
      <c r="E6">
        <v>2.8719999999999999</v>
      </c>
      <c r="F6">
        <v>0.21199999999999999</v>
      </c>
      <c r="G6">
        <v>0.23899999999999999</v>
      </c>
      <c r="H6">
        <v>1604</v>
      </c>
      <c r="I6">
        <v>0.112072746012116</v>
      </c>
      <c r="J6">
        <v>0.34495893176265302</v>
      </c>
      <c r="K6">
        <v>29.856011595241799</v>
      </c>
      <c r="L6">
        <v>0.181564751194494</v>
      </c>
      <c r="M6">
        <v>0.83651130111208005</v>
      </c>
      <c r="N6">
        <v>0.18505820972494799</v>
      </c>
    </row>
    <row r="7" spans="1:14" x14ac:dyDescent="0.2">
      <c r="A7" t="s">
        <v>511</v>
      </c>
      <c r="B7">
        <v>1982</v>
      </c>
      <c r="C7">
        <v>2010</v>
      </c>
      <c r="D7" t="s">
        <v>463</v>
      </c>
      <c r="E7">
        <v>19.510999999999999</v>
      </c>
      <c r="F7">
        <v>18.347000000000001</v>
      </c>
      <c r="G7">
        <v>3.218</v>
      </c>
      <c r="H7">
        <v>648</v>
      </c>
      <c r="I7">
        <v>0.30019068770227603</v>
      </c>
      <c r="J7">
        <v>0.20317742411286299</v>
      </c>
      <c r="K7">
        <v>172.24323760547401</v>
      </c>
      <c r="L7">
        <v>0.12933147650235499</v>
      </c>
      <c r="M7">
        <v>12.926453987213501</v>
      </c>
      <c r="N7">
        <v>0.114935374437557</v>
      </c>
    </row>
    <row r="8" spans="1:14" x14ac:dyDescent="0.2">
      <c r="A8" t="s">
        <v>512</v>
      </c>
      <c r="B8">
        <v>1963</v>
      </c>
      <c r="C8">
        <v>2013</v>
      </c>
      <c r="D8" t="s">
        <v>522</v>
      </c>
      <c r="E8">
        <v>10.919180000000001</v>
      </c>
      <c r="F8">
        <v>2.9279999999999999</v>
      </c>
      <c r="G8">
        <v>0.56967739399999995</v>
      </c>
      <c r="H8">
        <v>1768</v>
      </c>
      <c r="I8">
        <v>0.11655517146689801</v>
      </c>
      <c r="J8">
        <v>0.35468653902182801</v>
      </c>
      <c r="K8">
        <v>154.39617568081599</v>
      </c>
      <c r="L8">
        <v>0.19054890827717999</v>
      </c>
      <c r="M8">
        <v>4.4989181825776896</v>
      </c>
      <c r="N8">
        <v>0.186670749442998</v>
      </c>
    </row>
    <row r="9" spans="1:14" x14ac:dyDescent="0.2">
      <c r="A9" t="s">
        <v>310</v>
      </c>
      <c r="B9">
        <v>1960</v>
      </c>
      <c r="C9">
        <v>2008</v>
      </c>
      <c r="D9" t="s">
        <v>463</v>
      </c>
      <c r="E9">
        <v>14.776</v>
      </c>
      <c r="F9">
        <v>12.343999999999999</v>
      </c>
      <c r="G9">
        <v>3.85</v>
      </c>
      <c r="H9">
        <v>234</v>
      </c>
      <c r="I9">
        <v>0.24090529273380601</v>
      </c>
      <c r="J9">
        <v>9.2671331901618206E-2</v>
      </c>
      <c r="K9">
        <v>104.476091741746</v>
      </c>
      <c r="L9">
        <v>4.6397660860536503E-2</v>
      </c>
      <c r="M9">
        <v>6.2922108661823399</v>
      </c>
      <c r="N9">
        <v>7.0683952875544104E-2</v>
      </c>
    </row>
    <row r="10" spans="1:14" x14ac:dyDescent="0.2">
      <c r="A10" t="s">
        <v>514</v>
      </c>
      <c r="B10">
        <v>1960</v>
      </c>
      <c r="C10">
        <v>2008</v>
      </c>
      <c r="D10" t="s">
        <v>463</v>
      </c>
      <c r="E10">
        <v>30.085000000000001</v>
      </c>
      <c r="F10">
        <v>0.187</v>
      </c>
      <c r="G10">
        <v>1.006</v>
      </c>
      <c r="H10">
        <v>815</v>
      </c>
      <c r="I10">
        <v>0.261555324166661</v>
      </c>
      <c r="J10">
        <v>0.126607473579918</v>
      </c>
      <c r="K10">
        <v>81.399429505551694</v>
      </c>
      <c r="L10">
        <v>6.5317838662255406E-2</v>
      </c>
      <c r="M10">
        <v>5.3226135428264696</v>
      </c>
      <c r="N10">
        <v>6.4846298536202204E-2</v>
      </c>
    </row>
    <row r="11" spans="1:14" x14ac:dyDescent="0.2">
      <c r="A11" t="s">
        <v>515</v>
      </c>
      <c r="B11">
        <v>1960</v>
      </c>
      <c r="C11">
        <v>2008</v>
      </c>
      <c r="D11" t="s">
        <v>522</v>
      </c>
      <c r="E11">
        <v>1.141</v>
      </c>
      <c r="F11">
        <v>3.9E-2</v>
      </c>
      <c r="G11">
        <v>0.126</v>
      </c>
      <c r="H11">
        <v>2130</v>
      </c>
      <c r="I11">
        <v>0.124475259097999</v>
      </c>
      <c r="J11">
        <v>0.40247843590188997</v>
      </c>
      <c r="K11">
        <v>11.442456981313301</v>
      </c>
      <c r="L11">
        <v>0.26465889134055498</v>
      </c>
      <c r="M11">
        <v>0.356075699366668</v>
      </c>
      <c r="N11">
        <v>0.16580739587236601</v>
      </c>
    </row>
    <row r="12" spans="1:14" x14ac:dyDescent="0.2">
      <c r="A12" t="s">
        <v>517</v>
      </c>
      <c r="B12">
        <v>1960</v>
      </c>
      <c r="C12">
        <v>2008</v>
      </c>
      <c r="D12" t="s">
        <v>522</v>
      </c>
      <c r="E12">
        <v>1.7589999999999999</v>
      </c>
      <c r="F12">
        <v>1.0529999999999999</v>
      </c>
      <c r="G12">
        <v>2.8000000000000001E-2</v>
      </c>
      <c r="H12">
        <v>2879</v>
      </c>
      <c r="I12">
        <v>0.10824492983392101</v>
      </c>
      <c r="J12">
        <v>0.322087537131857</v>
      </c>
      <c r="K12">
        <v>26.1963669121237</v>
      </c>
      <c r="L12">
        <v>0.21228609488573399</v>
      </c>
      <c r="M12">
        <v>0.70890597457662097</v>
      </c>
      <c r="N12">
        <v>0.166435640496195</v>
      </c>
    </row>
    <row r="13" spans="1:14" x14ac:dyDescent="0.2">
      <c r="A13" t="s">
        <v>482</v>
      </c>
      <c r="B13">
        <v>1960</v>
      </c>
      <c r="C13">
        <v>2008</v>
      </c>
      <c r="D13" t="s">
        <v>463</v>
      </c>
      <c r="E13">
        <v>11.002000000000001</v>
      </c>
      <c r="F13">
        <v>2.9169999999999998</v>
      </c>
      <c r="G13">
        <v>1.0029999999999999</v>
      </c>
      <c r="H13">
        <v>910</v>
      </c>
      <c r="I13">
        <v>0.27928288966110798</v>
      </c>
      <c r="J13">
        <v>0.16847252499814899</v>
      </c>
      <c r="K13">
        <v>55.377855873423499</v>
      </c>
      <c r="L13">
        <v>0.127750509669321</v>
      </c>
      <c r="M13">
        <v>3.8665219028915199</v>
      </c>
      <c r="N13">
        <v>4.52229510372162E-2</v>
      </c>
    </row>
    <row r="14" spans="1:14" x14ac:dyDescent="0.2">
      <c r="A14" t="s">
        <v>371</v>
      </c>
      <c r="B14">
        <v>1950</v>
      </c>
      <c r="C14">
        <v>2010</v>
      </c>
      <c r="E14">
        <v>19.62</v>
      </c>
      <c r="F14">
        <v>4.1719999999999997</v>
      </c>
      <c r="G14">
        <v>19.62</v>
      </c>
      <c r="H14">
        <v>7198</v>
      </c>
      <c r="I14">
        <v>0.56200242755661001</v>
      </c>
      <c r="J14">
        <v>0.41321607301468899</v>
      </c>
      <c r="K14">
        <v>118.64383913364</v>
      </c>
      <c r="L14">
        <v>0.33486124323071098</v>
      </c>
      <c r="M14">
        <v>16.669531401935402</v>
      </c>
      <c r="N14">
        <v>0.14974694607210701</v>
      </c>
    </row>
    <row r="15" spans="1:14" x14ac:dyDescent="0.2">
      <c r="A15" t="s">
        <v>372</v>
      </c>
      <c r="B15">
        <v>1950</v>
      </c>
      <c r="C15">
        <v>2010</v>
      </c>
      <c r="E15">
        <v>1.982</v>
      </c>
      <c r="F15">
        <v>0.08</v>
      </c>
      <c r="G15">
        <v>1.982</v>
      </c>
      <c r="H15">
        <v>9522</v>
      </c>
      <c r="I15">
        <v>0.619168568730737</v>
      </c>
      <c r="J15">
        <v>0.40607562315509699</v>
      </c>
      <c r="K15">
        <v>8.9751947313207907</v>
      </c>
      <c r="L15">
        <v>0.29560409160507101</v>
      </c>
      <c r="M15">
        <v>1.38928961896789</v>
      </c>
      <c r="N15">
        <v>0.206228475584669</v>
      </c>
    </row>
    <row r="16" spans="1:14" x14ac:dyDescent="0.2">
      <c r="A16" t="s">
        <v>373</v>
      </c>
      <c r="B16">
        <v>1950</v>
      </c>
      <c r="C16">
        <v>2010</v>
      </c>
      <c r="E16">
        <v>1.546</v>
      </c>
      <c r="F16">
        <v>0.251</v>
      </c>
      <c r="G16">
        <v>1.506</v>
      </c>
      <c r="H16">
        <v>8547</v>
      </c>
      <c r="I16">
        <v>0.59881840404412501</v>
      </c>
      <c r="J16">
        <v>0.40277746022942901</v>
      </c>
      <c r="K16">
        <v>8.2790858208164693</v>
      </c>
      <c r="L16">
        <v>0.29792022511156402</v>
      </c>
      <c r="M16">
        <v>1.23941723954142</v>
      </c>
      <c r="N16">
        <v>0.187465829631624</v>
      </c>
    </row>
    <row r="17" spans="1:14" x14ac:dyDescent="0.2">
      <c r="A17" t="s">
        <v>374</v>
      </c>
      <c r="B17">
        <v>1950</v>
      </c>
      <c r="C17">
        <v>2010</v>
      </c>
      <c r="E17">
        <v>1.851</v>
      </c>
      <c r="F17">
        <v>0.33900000000000002</v>
      </c>
      <c r="G17">
        <v>1.851</v>
      </c>
      <c r="H17">
        <v>9401</v>
      </c>
      <c r="I17">
        <v>0.60102873312935701</v>
      </c>
      <c r="J17">
        <v>0.39737854986441001</v>
      </c>
      <c r="K17">
        <v>9.3679518829531503</v>
      </c>
      <c r="L17">
        <v>0.28191907002865602</v>
      </c>
      <c r="M17">
        <v>1.4076020630570301</v>
      </c>
      <c r="N17">
        <v>0.20312395318790499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B series</vt:lpstr>
      <vt:lpstr>Stock status clean</vt:lpstr>
      <vt:lpstr>summary</vt:lpstr>
      <vt:lpstr>Stock status</vt:lpstr>
      <vt:lpstr>trial</vt:lpstr>
      <vt:lpstr>by gear</vt:lpstr>
      <vt:lpstr>C for msy</vt:lpstr>
      <vt:lpstr>landings Sylvie</vt:lpstr>
      <vt:lpstr>msy</vt:lpstr>
      <vt:lpstr>survey</vt:lpstr>
      <vt:lpstr>4Xs &amp; 5Yb landings by year</vt:lpstr>
      <vt:lpstr>Species grouping details</vt:lpstr>
      <vt:lpstr>MRPA aquaculture stats</vt:lpstr>
      <vt:lpstr>2014 MRPA aquaculture sites</vt:lpstr>
      <vt:lpstr>Sites in use - 2011 map</vt:lpstr>
      <vt:lpstr>Sites in use - 2010 map</vt:lpstr>
      <vt:lpstr>Aquaculture methods</vt:lpstr>
    </vt:vector>
  </TitlesOfParts>
  <Company>AFA/APA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gails</dc:creator>
  <cp:lastModifiedBy>Sylvie</cp:lastModifiedBy>
  <cp:lastPrinted>2015-03-17T19:14:57Z</cp:lastPrinted>
  <dcterms:created xsi:type="dcterms:W3CDTF">2004-07-06T18:06:31Z</dcterms:created>
  <dcterms:modified xsi:type="dcterms:W3CDTF">2015-04-10T18:33:41Z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