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DATOS CRUDOS\05 AGUAS LIMPIAS\AGUAS LIMPIAS 2019\DATOS CRUDOS\"/>
    </mc:Choice>
  </mc:AlternateContent>
  <bookViews>
    <workbookView xWindow="0" yWindow="0" windowWidth="21600" windowHeight="9630" activeTab="3"/>
  </bookViews>
  <sheets>
    <sheet name="FAO PESTICIDAS" sheetId="1" r:id="rId1"/>
    <sheet name="HECTAREAS PLANTADAS MSE" sheetId="7" r:id="rId2"/>
    <sheet name="cw_chemical_trend MSE" sheetId="2" r:id="rId3"/>
    <sheet name="cw_chemical_trend" sheetId="6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2" l="1"/>
  <c r="I8" i="2"/>
  <c r="L2" i="7"/>
  <c r="L65" i="7" l="1"/>
  <c r="L32" i="7"/>
  <c r="K65" i="7"/>
  <c r="K32" i="7"/>
  <c r="L71" i="7" l="1"/>
  <c r="L72" i="7"/>
  <c r="L73" i="7"/>
  <c r="L74" i="7"/>
  <c r="L75" i="7"/>
  <c r="L76" i="7"/>
  <c r="L78" i="7"/>
  <c r="L79" i="7"/>
  <c r="L80" i="7"/>
  <c r="L81" i="7"/>
  <c r="L82" i="7"/>
  <c r="L83" i="7"/>
  <c r="L84" i="7"/>
  <c r="L85" i="7"/>
  <c r="L86" i="7"/>
  <c r="L87" i="7"/>
  <c r="L88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4" i="7"/>
  <c r="L105" i="7"/>
  <c r="L106" i="7"/>
  <c r="L107" i="7"/>
  <c r="L70" i="7"/>
  <c r="J32" i="7"/>
  <c r="J65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64" i="7"/>
  <c r="K31" i="7"/>
  <c r="L63" i="7"/>
  <c r="L62" i="7"/>
  <c r="L61" i="7"/>
  <c r="L59" i="7"/>
  <c r="L58" i="7"/>
  <c r="K27" i="7"/>
  <c r="K57" i="7"/>
  <c r="K24" i="7"/>
  <c r="L56" i="7"/>
  <c r="K23" i="7"/>
  <c r="L55" i="7"/>
  <c r="L54" i="7"/>
  <c r="L53" i="7"/>
  <c r="K20" i="7"/>
  <c r="L52" i="7"/>
  <c r="K19" i="7"/>
  <c r="L51" i="7"/>
  <c r="L50" i="7"/>
  <c r="L49" i="7"/>
  <c r="L48" i="7"/>
  <c r="K15" i="7"/>
  <c r="K47" i="7"/>
  <c r="K13" i="7"/>
  <c r="L46" i="7"/>
  <c r="K12" i="7"/>
  <c r="L45" i="7"/>
  <c r="K11" i="7"/>
  <c r="L44" i="7"/>
  <c r="K10" i="7"/>
  <c r="K43" i="7"/>
  <c r="K9" i="7"/>
  <c r="K41" i="7"/>
  <c r="K7" i="7"/>
  <c r="L42" i="7"/>
  <c r="K40" i="7"/>
  <c r="K6" i="7"/>
  <c r="K39" i="7"/>
  <c r="K5" i="7"/>
  <c r="K38" i="7"/>
  <c r="K4" i="7"/>
  <c r="K37" i="7"/>
  <c r="K3" i="7"/>
  <c r="C108" i="7"/>
  <c r="D108" i="7"/>
  <c r="E108" i="7"/>
  <c r="F108" i="7"/>
  <c r="H108" i="7"/>
  <c r="I108" i="7"/>
  <c r="J108" i="7"/>
  <c r="K108" i="7"/>
  <c r="B108" i="7"/>
  <c r="C8" i="6" l="1"/>
  <c r="C9" i="6"/>
  <c r="C6" i="6"/>
  <c r="C2" i="6"/>
  <c r="G103" i="7" l="1"/>
  <c r="L103" i="7" s="1"/>
  <c r="G89" i="7"/>
  <c r="L89" i="7" s="1"/>
  <c r="G77" i="7"/>
  <c r="L77" i="7" s="1"/>
  <c r="G108" i="7" l="1"/>
  <c r="L108" i="7" s="1"/>
  <c r="L37" i="7"/>
  <c r="L40" i="7"/>
  <c r="L43" i="7"/>
  <c r="L38" i="7"/>
  <c r="L36" i="7"/>
  <c r="L41" i="7"/>
  <c r="L60" i="7"/>
  <c r="L39" i="7"/>
  <c r="C57" i="7" l="1"/>
  <c r="B57" i="7"/>
  <c r="C56" i="7"/>
  <c r="B56" i="7"/>
  <c r="C47" i="7"/>
  <c r="L47" i="7" s="1"/>
  <c r="B23" i="7"/>
  <c r="B19" i="7"/>
  <c r="B9" i="7"/>
  <c r="L57" i="7" l="1"/>
  <c r="B65" i="7"/>
  <c r="C3" i="2" s="1"/>
  <c r="F3" i="2" s="1"/>
  <c r="F65" i="7"/>
  <c r="C7" i="2" s="1"/>
  <c r="F7" i="2" s="1"/>
  <c r="G65" i="7"/>
  <c r="C8" i="2" s="1"/>
  <c r="F8" i="2" s="1"/>
  <c r="D65" i="7"/>
  <c r="C5" i="2" s="1"/>
  <c r="F5" i="2" s="1"/>
  <c r="C4" i="6" s="1"/>
  <c r="C65" i="7"/>
  <c r="C4" i="2" s="1"/>
  <c r="F4" i="2" s="1"/>
  <c r="J8" i="2" s="1"/>
  <c r="C3" i="6" s="1"/>
  <c r="I65" i="7"/>
  <c r="C10" i="2" s="1"/>
  <c r="F10" i="2" s="1"/>
  <c r="E65" i="7"/>
  <c r="C6" i="2" s="1"/>
  <c r="F6" i="2" s="1"/>
  <c r="J10" i="2" s="1"/>
  <c r="C5" i="6" s="1"/>
  <c r="H65" i="7"/>
  <c r="C9" i="2" s="1"/>
  <c r="F9" i="2" s="1"/>
  <c r="B5" i="7" l="1"/>
  <c r="C5" i="7"/>
  <c r="C9" i="7"/>
  <c r="B10" i="7"/>
  <c r="C10" i="7"/>
  <c r="B11" i="7"/>
  <c r="C11" i="7"/>
  <c r="C4" i="7"/>
  <c r="B13" i="7"/>
  <c r="C13" i="7"/>
  <c r="C19" i="7"/>
  <c r="B20" i="7"/>
  <c r="C20" i="7"/>
  <c r="B22" i="7"/>
  <c r="C23" i="7"/>
  <c r="B24" i="7"/>
  <c r="C24" i="7"/>
  <c r="B31" i="7"/>
  <c r="C31" i="7"/>
  <c r="B32" i="7" l="1"/>
  <c r="B3" i="2" s="1"/>
  <c r="E3" i="2" s="1"/>
  <c r="D32" i="7"/>
  <c r="B5" i="2" s="1"/>
  <c r="E5" i="2" s="1"/>
  <c r="G32" i="7"/>
  <c r="B8" i="2" s="1"/>
  <c r="E8" i="2" s="1"/>
  <c r="F32" i="7"/>
  <c r="B7" i="2" s="1"/>
  <c r="E7" i="2" s="1"/>
  <c r="H32" i="7"/>
  <c r="B9" i="2" s="1"/>
  <c r="E9" i="2" s="1"/>
  <c r="I32" i="7"/>
  <c r="B10" i="2" s="1"/>
  <c r="E10" i="2" s="1"/>
  <c r="E32" i="7"/>
  <c r="B6" i="2" s="1"/>
  <c r="E6" i="2" s="1"/>
  <c r="C32" i="7"/>
  <c r="B4" i="2" s="1"/>
  <c r="E4" i="2" s="1"/>
  <c r="C7" i="6" s="1"/>
</calcChain>
</file>

<file path=xl/sharedStrings.xml><?xml version="1.0" encoding="utf-8"?>
<sst xmlns="http://schemas.openxmlformats.org/spreadsheetml/2006/main" count="119" uniqueCount="57">
  <si>
    <t>AÑO</t>
  </si>
  <si>
    <t>Manabí Tendencia</t>
  </si>
  <si>
    <t>Santa Elena Tendencia</t>
  </si>
  <si>
    <t>Manabí Pendiente</t>
  </si>
  <si>
    <t>Santa Elena pendiente</t>
  </si>
  <si>
    <t>rgn_id</t>
  </si>
  <si>
    <t>year</t>
  </si>
  <si>
    <t>trend</t>
  </si>
  <si>
    <t>[1] FAOSTAT (2019) http://www.fao.org/faostat/en/#data/EP</t>
  </si>
  <si>
    <t>PESTICIDAS (kg/ha) [1]</t>
  </si>
  <si>
    <t>Uso de Pesticidas Manabí (ton)</t>
  </si>
  <si>
    <t>Uso de pesticidas Santa Elena (ton)</t>
  </si>
  <si>
    <r>
      <rPr>
        <b/>
        <sz val="9"/>
        <color rgb="FFFF0000"/>
        <rFont val="Calibri"/>
        <family val="2"/>
        <scheme val="minor"/>
      </rPr>
      <t>Uso de p</t>
    </r>
    <r>
      <rPr>
        <b/>
        <sz val="9"/>
        <color rgb="FF000000"/>
        <rFont val="Calibri"/>
        <family val="2"/>
        <scheme val="minor"/>
      </rPr>
      <t>esticidas Ecuador (kg/ha)</t>
    </r>
  </si>
  <si>
    <t>TOTAL (ha)</t>
  </si>
  <si>
    <t>Siembra en Manabí (Ha)</t>
  </si>
  <si>
    <t>Siembra en Santa Elena (Ha)</t>
  </si>
  <si>
    <t>HECTAREAS PLANTADAS
MANABÍ</t>
  </si>
  <si>
    <t>HECTAREAS PLANTADAS
SANTA ELENA</t>
  </si>
  <si>
    <t>HECTAREAS PLANTADAS
NACIONALES</t>
  </si>
  <si>
    <t>ARROZ (EN CÁSCARA)</t>
  </si>
  <si>
    <t>ARVEJA SECA (GRANO SECO)</t>
  </si>
  <si>
    <t>ARVEJA TIERNA (EN VAINA)</t>
  </si>
  <si>
    <t>CEBADA (GRANO SECO)</t>
  </si>
  <si>
    <t>FRÉJOL SECO (GRANO SECO)</t>
  </si>
  <si>
    <t>FRÉJOL TIERNO (EN VAINA)</t>
  </si>
  <si>
    <t>HABA SECA (GRANO SECO)</t>
  </si>
  <si>
    <t>HABA TIERNA (EN VAINA)</t>
  </si>
  <si>
    <t>MAÍZ DURO CHOCLO (EN CHOCLO)</t>
  </si>
  <si>
    <t>MAÍZ DURO SECO (GRANO SECO)</t>
  </si>
  <si>
    <t>MAÍZ SUAVE CHOCLO (EN CHOCLO)</t>
  </si>
  <si>
    <t>MAÍZ SUAVE SECO (GRANO SECO)</t>
  </si>
  <si>
    <t>PAPA (TUBÉRCULO FRESCO)</t>
  </si>
  <si>
    <t>TOMATE RIÑÓN (FRUTA FRESCA)</t>
  </si>
  <si>
    <t>TRIGO (GRANO SECO)</t>
  </si>
  <si>
    <t>YUCA (RAÍZ FRESCA)</t>
  </si>
  <si>
    <t>BANANO (FRUTA FRESCA)</t>
  </si>
  <si>
    <t>CACAO (ALMENDRA SECA)</t>
  </si>
  <si>
    <t>CAFÉ (GRANO ORO)</t>
  </si>
  <si>
    <t>CAÑA DE AZÚCAR PARA AZÚCAR (TALLO FRESCO)</t>
  </si>
  <si>
    <t>CAÑA DE AZÚCAR PARA OTROS USOS (TALLO FRESCO)</t>
  </si>
  <si>
    <t>MARACUYÁ (FRUTA FRESCA)</t>
  </si>
  <si>
    <t>NARANJA (FRUTA FRESCA)</t>
  </si>
  <si>
    <t>PALMA AFRICANA (FRUTA FRESCA)</t>
  </si>
  <si>
    <t>PLÁTANO (FRUTA FRESCA)</t>
  </si>
  <si>
    <t>TOMATE DE ÁRBOL (FRUTA FRESCA)</t>
  </si>
  <si>
    <t>MANGO (FRUTA FRESCA)</t>
  </si>
  <si>
    <t>BRÓCOLI (REPOLLO)</t>
  </si>
  <si>
    <t>SOYA (GRANO SECO)</t>
  </si>
  <si>
    <t>PALMITO (TALLO FRESCO)</t>
  </si>
  <si>
    <t>QUINUA (GRANO SECO)</t>
  </si>
  <si>
    <t>AGUACATE (FRUTA FRESCA)</t>
  </si>
  <si>
    <t>LIMÓN (FRUTA FRESCA)</t>
  </si>
  <si>
    <t>ORITO (FRUTA FRESCA)</t>
  </si>
  <si>
    <t>MANÍ (GRANO DESCASCARADO)</t>
  </si>
  <si>
    <t>TABACO (HOJA SECA)</t>
  </si>
  <si>
    <t>CEBOLLA BLANCA (TALLO FRESCO)</t>
  </si>
  <si>
    <t>PIÑA (FRUTA FRESCA)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</si>
</sst>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name val="Segoe UI"/>
      <family val="2"/>
    </font>
    <font>
      <b/>
      <sz val="9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4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/>
    </xf>
    <xf numFmtId="0" fontId="0" fillId="0" borderId="1" xfId="0" applyBorder="1"/>
    <xf numFmtId="49" fontId="4" fillId="0" borderId="1" xfId="0" applyNumberFormat="1" applyFont="1" applyBorder="1" applyAlignment="1">
      <alignment horizontal="center" vertical="center"/>
    </xf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7" fillId="0" borderId="0" xfId="0" applyFont="1"/>
    <xf numFmtId="164" fontId="0" fillId="0" borderId="1" xfId="0" applyNumberFormat="1" applyBorder="1"/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/>
    <xf numFmtId="2" fontId="0" fillId="0" borderId="0" xfId="0" applyNumberFormat="1" applyFill="1" applyBorder="1"/>
    <xf numFmtId="0" fontId="0" fillId="0" borderId="0" xfId="0" applyNumberFormat="1"/>
    <xf numFmtId="3" fontId="0" fillId="0" borderId="1" xfId="0" applyNumberFormat="1" applyFill="1" applyBorder="1"/>
    <xf numFmtId="4" fontId="2" fillId="0" borderId="1" xfId="0" applyNumberFormat="1" applyFont="1" applyFill="1" applyBorder="1" applyAlignment="1">
      <alignment wrapText="1"/>
    </xf>
    <xf numFmtId="4" fontId="1" fillId="0" borderId="1" xfId="0" applyNumberFormat="1" applyFont="1" applyFill="1" applyBorder="1" applyAlignment="1"/>
    <xf numFmtId="4" fontId="11" fillId="0" borderId="1" xfId="0" applyNumberFormat="1" applyFont="1" applyFill="1" applyBorder="1" applyAlignment="1"/>
    <xf numFmtId="4" fontId="0" fillId="0" borderId="0" xfId="0" applyNumberFormat="1" applyFill="1"/>
    <xf numFmtId="4" fontId="13" fillId="4" borderId="1" xfId="0" applyNumberFormat="1" applyFont="1" applyFill="1" applyBorder="1" applyAlignment="1">
      <alignment vertical="center" wrapText="1"/>
    </xf>
    <xf numFmtId="4" fontId="0" fillId="0" borderId="1" xfId="0" applyNumberFormat="1" applyFill="1" applyBorder="1" applyAlignment="1">
      <alignment horizontal="right"/>
    </xf>
    <xf numFmtId="4" fontId="0" fillId="0" borderId="1" xfId="0" applyNumberFormat="1" applyBorder="1"/>
    <xf numFmtId="4" fontId="0" fillId="0" borderId="0" xfId="0" applyNumberFormat="1"/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Fill="1" applyBorder="1" applyAlignment="1">
      <alignment horizontal="right" wrapText="1"/>
    </xf>
    <xf numFmtId="4" fontId="10" fillId="0" borderId="1" xfId="0" applyNumberFormat="1" applyFont="1" applyFill="1" applyBorder="1" applyAlignment="1">
      <alignment horizontal="right" wrapText="1"/>
    </xf>
    <xf numFmtId="4" fontId="13" fillId="4" borderId="1" xfId="0" applyNumberFormat="1" applyFont="1" applyFill="1" applyBorder="1" applyAlignment="1">
      <alignment vertical="center"/>
    </xf>
    <xf numFmtId="4" fontId="0" fillId="3" borderId="1" xfId="0" applyNumberFormat="1" applyFill="1" applyBorder="1" applyAlignment="1">
      <alignment horizontal="right"/>
    </xf>
    <xf numFmtId="4" fontId="0" fillId="0" borderId="1" xfId="0" applyNumberFormat="1" applyFill="1" applyBorder="1"/>
    <xf numFmtId="4" fontId="13" fillId="5" borderId="1" xfId="0" applyNumberFormat="1" applyFont="1" applyFill="1" applyBorder="1" applyAlignment="1">
      <alignment vertical="center" wrapText="1"/>
    </xf>
    <xf numFmtId="4" fontId="1" fillId="0" borderId="1" xfId="0" applyNumberFormat="1" applyFont="1" applyFill="1" applyBorder="1"/>
    <xf numFmtId="4" fontId="10" fillId="0" borderId="1" xfId="0" applyNumberFormat="1" applyFont="1" applyFill="1" applyBorder="1" applyAlignment="1"/>
    <xf numFmtId="4" fontId="0" fillId="0" borderId="1" xfId="0" applyNumberFormat="1" applyFont="1" applyFill="1" applyBorder="1" applyAlignment="1"/>
    <xf numFmtId="3" fontId="0" fillId="0" borderId="0" xfId="0" applyNumberFormat="1" applyFill="1" applyAlignment="1"/>
    <xf numFmtId="3" fontId="0" fillId="0" borderId="0" xfId="0" applyNumberFormat="1" applyFill="1"/>
    <xf numFmtId="49" fontId="1" fillId="0" borderId="2" xfId="0" applyNumberFormat="1" applyFont="1" applyFill="1" applyBorder="1" applyAlignment="1"/>
    <xf numFmtId="49" fontId="11" fillId="0" borderId="2" xfId="0" applyNumberFormat="1" applyFont="1" applyFill="1" applyBorder="1" applyAlignment="1"/>
    <xf numFmtId="49" fontId="1" fillId="0" borderId="1" xfId="0" applyNumberFormat="1" applyFont="1" applyFill="1" applyBorder="1" applyAlignment="1"/>
    <xf numFmtId="49" fontId="11" fillId="0" borderId="1" xfId="0" applyNumberFormat="1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DE PESTICIDAS - ECUADOR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'FAO PESTICIDAS'!$B$1</c:f>
              <c:strCache>
                <c:ptCount val="1"/>
                <c:pt idx="0">
                  <c:v>PESTICIDAS (kg/ha) [1]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08456891817683"/>
                  <c:y val="-4.79323417906095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'FAO PESTICIDAS'!$A$2:$A$28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'FAO PESTICIDAS'!$B$2:$B$28</c:f>
              <c:numCache>
                <c:formatCode>General</c:formatCode>
                <c:ptCount val="27"/>
                <c:pt idx="0">
                  <c:v>0.87</c:v>
                </c:pt>
                <c:pt idx="1">
                  <c:v>0.79</c:v>
                </c:pt>
                <c:pt idx="2">
                  <c:v>0.67</c:v>
                </c:pt>
                <c:pt idx="3">
                  <c:v>0.62</c:v>
                </c:pt>
                <c:pt idx="4">
                  <c:v>0.88</c:v>
                </c:pt>
                <c:pt idx="5">
                  <c:v>0.89</c:v>
                </c:pt>
                <c:pt idx="6">
                  <c:v>0.8</c:v>
                </c:pt>
                <c:pt idx="7">
                  <c:v>2.5299999999999998</c:v>
                </c:pt>
                <c:pt idx="8">
                  <c:v>7.16</c:v>
                </c:pt>
                <c:pt idx="9">
                  <c:v>4.7699999999999996</c:v>
                </c:pt>
                <c:pt idx="10">
                  <c:v>6.02</c:v>
                </c:pt>
                <c:pt idx="11">
                  <c:v>2.62</c:v>
                </c:pt>
                <c:pt idx="12">
                  <c:v>0.5</c:v>
                </c:pt>
                <c:pt idx="13">
                  <c:v>12.32</c:v>
                </c:pt>
                <c:pt idx="14">
                  <c:v>11.81</c:v>
                </c:pt>
                <c:pt idx="15">
                  <c:v>7.33</c:v>
                </c:pt>
                <c:pt idx="16">
                  <c:v>3.25</c:v>
                </c:pt>
                <c:pt idx="17">
                  <c:v>5.86</c:v>
                </c:pt>
                <c:pt idx="18">
                  <c:v>6.16</c:v>
                </c:pt>
                <c:pt idx="19">
                  <c:v>3.79</c:v>
                </c:pt>
                <c:pt idx="20">
                  <c:v>12.27</c:v>
                </c:pt>
                <c:pt idx="21">
                  <c:v>6.91</c:v>
                </c:pt>
                <c:pt idx="22">
                  <c:v>4.53</c:v>
                </c:pt>
                <c:pt idx="23">
                  <c:v>2.4300000000000002</c:v>
                </c:pt>
                <c:pt idx="24">
                  <c:v>4.45</c:v>
                </c:pt>
                <c:pt idx="25">
                  <c:v>11.98</c:v>
                </c:pt>
                <c:pt idx="26">
                  <c:v>12.36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ED-4A37-BAC5-C16C02010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46240"/>
        <c:axId val="427447360"/>
      </c:scatterChart>
      <c:valAx>
        <c:axId val="427446240"/>
        <c:scaling>
          <c:orientation val="minMax"/>
          <c:max val="2016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7447360"/>
        <c:crosses val="autoZero"/>
        <c:crossBetween val="midCat"/>
        <c:majorUnit val="2"/>
      </c:valAx>
      <c:valAx>
        <c:axId val="4274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Uso [kg/ha]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74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MSE'!$A$6:$A$10</c:f>
              <c:numCache>
                <c:formatCode>@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'cw_chemical_trend MSE'!$F$6:$F$10</c:f>
              <c:numCache>
                <c:formatCode>0.0</c:formatCode>
                <c:ptCount val="5"/>
                <c:pt idx="0">
                  <c:v>31.587690000000002</c:v>
                </c:pt>
                <c:pt idx="1">
                  <c:v>19.534770000000002</c:v>
                </c:pt>
                <c:pt idx="2">
                  <c:v>44.749200000000002</c:v>
                </c:pt>
                <c:pt idx="3">
                  <c:v>58.007160000000006</c:v>
                </c:pt>
                <c:pt idx="4">
                  <c:v>81.378239999999991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30-4018-BD2A-F4F3C3F0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29248"/>
        <c:axId val="277829808"/>
      </c:scatterChart>
      <c:valAx>
        <c:axId val="27782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7829808"/>
        <c:crosses val="autoZero"/>
        <c:crossBetween val="midCat"/>
      </c:valAx>
      <c:valAx>
        <c:axId val="2778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782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DE CONTAMINACIÓN QUÍMICA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SANTA ELENA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cw_chemical_trend!$B$2:$B$5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cw_chemical_trend!$C$2:$C$5</c:f>
              <c:numCache>
                <c:formatCode>0.00</c:formatCode>
                <c:ptCount val="4"/>
                <c:pt idx="0">
                  <c:v>-1</c:v>
                </c:pt>
                <c:pt idx="1">
                  <c:v>-0.71752132933687496</c:v>
                </c:pt>
                <c:pt idx="2">
                  <c:v>-9.6371198857713777E-3</c:v>
                </c:pt>
                <c:pt idx="3">
                  <c:v>-1.9896991517898269E-2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9B6-4CA8-A17A-94F5AA14B184}"/>
            </c:ext>
          </c:extLst>
        </c:ser>
        <c:ser>
          <c:idx val="1"/>
          <c:order val="1"/>
          <c:tx>
            <c:v>MANABÍ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cw_chemical_trend!$B$2:$B$5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cw_chemical_trend!$C$6:$C$9</c:f>
              <c:numCache>
                <c:formatCode>0.00</c:formatCode>
                <c:ptCount val="4"/>
                <c:pt idx="0">
                  <c:v>-1</c:v>
                </c:pt>
                <c:pt idx="1">
                  <c:v>-0.84528505522019615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9B6-4CA8-A17A-94F5AA14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627856"/>
        <c:axId val="562628416"/>
      </c:lineChart>
      <c:catAx>
        <c:axId val="56262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2628416"/>
        <c:crosses val="autoZero"/>
        <c:auto val="1"/>
        <c:lblAlgn val="ctr"/>
        <c:lblOffset val="100"/>
        <c:tickMarkSkip val="1"/>
        <c:noMultiLvlLbl val="1"/>
      </c:catAx>
      <c:valAx>
        <c:axId val="5626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Tendencia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2627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Área sembrada (ha) en Manabí y Santa Elena, 2009-2018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170312313607308"/>
          <c:y val="0.11508420780795836"/>
          <c:w val="0.76829688080093428"/>
          <c:h val="0.63533412541176715"/>
        </c:manualLayout>
      </c:layout>
      <c:bar3DChart>
        <c:barDir val="col"/>
        <c:grouping val="stacked"/>
        <c:varyColors val="0"/>
        <c:ser>
          <c:idx val="0"/>
          <c:order val="0"/>
          <c:tx>
            <c:v>Siembra Manabí (ha)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'HECTAREAS PLANTADAS MSE'!$B$1:$K$1</c:f>
              <c:numCache>
                <c:formatCode>@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'HECTAREAS PLANTADAS MSE'!$B$32:$K$32</c:f>
              <c:numCache>
                <c:formatCode>#,##0</c:formatCode>
                <c:ptCount val="10"/>
                <c:pt idx="0">
                  <c:v>335426</c:v>
                </c:pt>
                <c:pt idx="1">
                  <c:v>324770</c:v>
                </c:pt>
                <c:pt idx="2">
                  <c:v>333349</c:v>
                </c:pt>
                <c:pt idx="3">
                  <c:v>305977</c:v>
                </c:pt>
                <c:pt idx="4">
                  <c:v>312981</c:v>
                </c:pt>
                <c:pt idx="5">
                  <c:v>311901</c:v>
                </c:pt>
                <c:pt idx="6">
                  <c:v>713580</c:v>
                </c:pt>
                <c:pt idx="7">
                  <c:v>347672</c:v>
                </c:pt>
                <c:pt idx="8">
                  <c:v>318640</c:v>
                </c:pt>
                <c:pt idx="9">
                  <c:v>334958.93833447748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3F-43C9-8BE9-4BC655DA2BEA}"/>
            </c:ext>
          </c:extLst>
        </c:ser>
        <c:ser>
          <c:idx val="1"/>
          <c:order val="1"/>
          <c:tx>
            <c:v>Siembra Santa Elena (ha)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'HECTAREAS PLANTADAS MSE'!$B$1:$K$1</c:f>
              <c:numCache>
                <c:formatCode>@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'HECTAREAS PLANTADAS MSE'!$B$65:$K$65</c:f>
              <c:numCache>
                <c:formatCode>#,##0</c:formatCode>
                <c:ptCount val="10"/>
                <c:pt idx="0">
                  <c:v>6313</c:v>
                </c:pt>
                <c:pt idx="1">
                  <c:v>6321</c:v>
                </c:pt>
                <c:pt idx="2">
                  <c:v>9438</c:v>
                </c:pt>
                <c:pt idx="3">
                  <c:v>6973</c:v>
                </c:pt>
                <c:pt idx="4">
                  <c:v>8039</c:v>
                </c:pt>
                <c:pt idx="5">
                  <c:v>10056</c:v>
                </c:pt>
                <c:pt idx="6">
                  <c:v>4842</c:v>
                </c:pt>
                <c:pt idx="7">
                  <c:v>6584</c:v>
                </c:pt>
                <c:pt idx="8">
                  <c:v>6287</c:v>
                </c:pt>
                <c:pt idx="9">
                  <c:v>6703.9356853828458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3F-43C9-8BE9-4BC655DA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450720"/>
        <c:axId val="427451280"/>
        <c:axId val="0"/>
      </c:bar3DChart>
      <c:catAx>
        <c:axId val="42745072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7451280"/>
        <c:crosses val="autoZero"/>
        <c:auto val="1"/>
        <c:lblAlgn val="ctr"/>
        <c:lblOffset val="100"/>
        <c:noMultiLvlLbl val="0"/>
      </c:catAx>
      <c:valAx>
        <c:axId val="4274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7450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85783027121609"/>
                  <c:y val="-0.57052675707203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MSE'!$A$3:$A$7</c:f>
              <c:numCache>
                <c:formatCode>@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xVal>
          <c:yVal>
            <c:numRef>
              <c:f>'cw_chemical_trend MSE'!$E$3:$E$7</c:f>
              <c:numCache>
                <c:formatCode>0.0</c:formatCode>
                <c:ptCount val="5"/>
                <c:pt idx="0">
                  <c:v>1271.2645400000001</c:v>
                </c:pt>
                <c:pt idx="1">
                  <c:v>3984.9278999999997</c:v>
                </c:pt>
                <c:pt idx="2">
                  <c:v>2303.4415899999999</c:v>
                </c:pt>
                <c:pt idx="3">
                  <c:v>1386.07581</c:v>
                </c:pt>
                <c:pt idx="4">
                  <c:v>760.54383000000007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22-48A8-ABD5-84DFF0419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54592"/>
        <c:axId val="418055152"/>
      </c:scatterChart>
      <c:valAx>
        <c:axId val="4180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8055152"/>
        <c:crosses val="autoZero"/>
        <c:crossBetween val="midCat"/>
      </c:valAx>
      <c:valAx>
        <c:axId val="4180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80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43569553805774"/>
                  <c:y val="-0.43954943132108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MSE'!$A$3:$A$7</c:f>
              <c:numCache>
                <c:formatCode>@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xVal>
          <c:yVal>
            <c:numRef>
              <c:f>'cw_chemical_trend MSE'!$F$3:$F$7</c:f>
              <c:numCache>
                <c:formatCode>0.0</c:formatCode>
                <c:ptCount val="5"/>
                <c:pt idx="0">
                  <c:v>23.926269999999999</c:v>
                </c:pt>
                <c:pt idx="1">
                  <c:v>77.558669999999992</c:v>
                </c:pt>
                <c:pt idx="2">
                  <c:v>65.216580000000008</c:v>
                </c:pt>
                <c:pt idx="3">
                  <c:v>31.587690000000002</c:v>
                </c:pt>
                <c:pt idx="4">
                  <c:v>19.534770000000002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585-491D-8286-CDFFBAE5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57392"/>
        <c:axId val="418057952"/>
      </c:scatterChart>
      <c:valAx>
        <c:axId val="4180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8057952"/>
        <c:crosses val="autoZero"/>
        <c:crossBetween val="midCat"/>
      </c:valAx>
      <c:valAx>
        <c:axId val="4180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805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</a:t>
            </a:r>
            <a:r>
              <a:rPr lang="es-EC" baseline="0"/>
              <a:t> MANABÍ 20014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276427236988389"/>
                  <c:y val="-0.580505249343832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MSE'!$A$4:$A$8</c:f>
              <c:numCache>
                <c:formatCode>@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'cw_chemical_trend MSE'!$E$4:$E$8</c:f>
              <c:numCache>
                <c:formatCode>0.0</c:formatCode>
                <c:ptCount val="5"/>
                <c:pt idx="0">
                  <c:v>3984.9278999999997</c:v>
                </c:pt>
                <c:pt idx="1">
                  <c:v>2303.4415899999999</c:v>
                </c:pt>
                <c:pt idx="2">
                  <c:v>1386.07581</c:v>
                </c:pt>
                <c:pt idx="3">
                  <c:v>760.54383000000007</c:v>
                </c:pt>
                <c:pt idx="4">
                  <c:v>1387.9594500000001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D6-4C27-ADE2-AD8E4EF81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60192"/>
        <c:axId val="411113776"/>
      </c:scatterChart>
      <c:valAx>
        <c:axId val="41806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1113776"/>
        <c:crosses val="autoZero"/>
        <c:crossBetween val="midCat"/>
      </c:valAx>
      <c:valAx>
        <c:axId val="4111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80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98801399825022"/>
                  <c:y val="-0.42842410323709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MSE'!$A$4:$A$8</c:f>
              <c:numCache>
                <c:formatCode>@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'cw_chemical_trend MSE'!$F$4:$F$8</c:f>
              <c:numCache>
                <c:formatCode>0.0</c:formatCode>
                <c:ptCount val="5"/>
                <c:pt idx="0">
                  <c:v>77.558669999999992</c:v>
                </c:pt>
                <c:pt idx="1">
                  <c:v>65.216580000000008</c:v>
                </c:pt>
                <c:pt idx="2">
                  <c:v>31.587690000000002</c:v>
                </c:pt>
                <c:pt idx="3">
                  <c:v>19.534770000000002</c:v>
                </c:pt>
                <c:pt idx="4">
                  <c:v>44.749200000000002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52-4A5B-8819-4B068645A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16016"/>
        <c:axId val="411116576"/>
      </c:scatterChart>
      <c:valAx>
        <c:axId val="41111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1116576"/>
        <c:crosses val="autoZero"/>
        <c:crossBetween val="midCat"/>
      </c:valAx>
      <c:valAx>
        <c:axId val="4111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111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</a:t>
            </a:r>
            <a:r>
              <a:rPr lang="es-EC" baseline="0"/>
              <a:t> MANABÍ 2015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MSE'!$A$5:$A$9</c:f>
              <c:numCache>
                <c:formatCode>@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'cw_chemical_trend MSE'!$E$5:$E$9</c:f>
              <c:numCache>
                <c:formatCode>0.0</c:formatCode>
                <c:ptCount val="5"/>
                <c:pt idx="0">
                  <c:v>2303.4415899999999</c:v>
                </c:pt>
                <c:pt idx="1">
                  <c:v>1386.07581</c:v>
                </c:pt>
                <c:pt idx="2">
                  <c:v>760.54383000000007</c:v>
                </c:pt>
                <c:pt idx="3">
                  <c:v>1387.9594500000001</c:v>
                </c:pt>
                <c:pt idx="4">
                  <c:v>8548.6884000000009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57-4F56-9175-7D371E04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18816"/>
        <c:axId val="411119376"/>
      </c:scatterChart>
      <c:valAx>
        <c:axId val="41111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1119376"/>
        <c:crosses val="autoZero"/>
        <c:crossBetween val="midCat"/>
      </c:valAx>
      <c:valAx>
        <c:axId val="4111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111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TEDENCIA SANTA ELENA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MSE'!$A$5:$A$9</c:f>
              <c:numCache>
                <c:formatCode>@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'cw_chemical_trend MSE'!$F$5:$F$9</c:f>
              <c:numCache>
                <c:formatCode>0.0</c:formatCode>
                <c:ptCount val="5"/>
                <c:pt idx="0">
                  <c:v>65.216580000000008</c:v>
                </c:pt>
                <c:pt idx="1">
                  <c:v>31.587690000000002</c:v>
                </c:pt>
                <c:pt idx="2">
                  <c:v>19.534770000000002</c:v>
                </c:pt>
                <c:pt idx="3">
                  <c:v>44.749200000000002</c:v>
                </c:pt>
                <c:pt idx="4">
                  <c:v>58.007160000000006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3D-4A86-9C49-76658A6F5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23648"/>
        <c:axId val="277824208"/>
      </c:scatterChart>
      <c:valAx>
        <c:axId val="2778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7824208"/>
        <c:crosses val="autoZero"/>
        <c:crossBetween val="midCat"/>
      </c:valAx>
      <c:valAx>
        <c:axId val="2778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78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</a:t>
            </a:r>
            <a:r>
              <a:rPr lang="en-US" baseline="0"/>
              <a:t> </a:t>
            </a:r>
            <a:r>
              <a:rPr lang="en-US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830227471566055"/>
                  <c:y val="-0.19950459317585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MSE'!$A$6:$A$10</c:f>
              <c:numCache>
                <c:formatCode>@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'cw_chemical_trend MSE'!$E$6:$E$10</c:f>
              <c:numCache>
                <c:formatCode>0.0</c:formatCode>
                <c:ptCount val="5"/>
                <c:pt idx="0">
                  <c:v>1386.07581</c:v>
                </c:pt>
                <c:pt idx="1">
                  <c:v>760.54383000000007</c:v>
                </c:pt>
                <c:pt idx="2">
                  <c:v>1387.9594500000001</c:v>
                </c:pt>
                <c:pt idx="3">
                  <c:v>8548.6884000000009</c:v>
                </c:pt>
                <c:pt idx="4">
                  <c:v>4297.2259199999999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19C-4F02-98C8-458D6047B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26448"/>
        <c:axId val="277827008"/>
      </c:scatterChart>
      <c:valAx>
        <c:axId val="2778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7827008"/>
        <c:crosses val="autoZero"/>
        <c:crossBetween val="midCat"/>
      </c:valAx>
      <c:valAx>
        <c:axId val="2778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782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1</xdr:row>
      <xdr:rowOff>109537</xdr:rowOff>
    </xdr:from>
    <xdr:to>
      <xdr:col>13</xdr:col>
      <xdr:colOff>209550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190499</xdr:colOff>
      <xdr:row>3</xdr:row>
      <xdr:rowOff>2720</xdr:rowOff>
    </xdr:from>
    <xdr:to>
      <xdr:col>20</xdr:col>
      <xdr:colOff>212912</xdr:colOff>
      <xdr:row>24</xdr:row>
      <xdr:rowOff>168089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13</xdr:row>
      <xdr:rowOff>152400</xdr:rowOff>
    </xdr:from>
    <xdr:to>
      <xdr:col>5</xdr:col>
      <xdr:colOff>257175</xdr:colOff>
      <xdr:row>28</xdr:row>
      <xdr:rowOff>38100</xdr:rowOff>
    </xdr:to>
    <xdr:graphicFrame macro="">
      <xdr:nvGraphicFramePr>
        <xdr:cNvPr id="28" name="Gráfico 27">
          <a:extLst>
            <a:ext uri="{FF2B5EF4-FFF2-40B4-BE49-F238E27FC236}">
              <a16:creationId xmlns="" xmlns:a16="http://schemas.microsoft.com/office/drawing/2014/main" id="{1656BC36-A5BE-4C0D-8BC9-BA0126DF7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14</xdr:row>
      <xdr:rowOff>28575</xdr:rowOff>
    </xdr:from>
    <xdr:to>
      <xdr:col>11</xdr:col>
      <xdr:colOff>495300</xdr:colOff>
      <xdr:row>28</xdr:row>
      <xdr:rowOff>104775</xdr:rowOff>
    </xdr:to>
    <xdr:graphicFrame macro="">
      <xdr:nvGraphicFramePr>
        <xdr:cNvPr id="30" name="Gráfico 29">
          <a:extLst>
            <a:ext uri="{FF2B5EF4-FFF2-40B4-BE49-F238E27FC236}">
              <a16:creationId xmlns="" xmlns:a16="http://schemas.microsoft.com/office/drawing/2014/main" id="{A6277007-670A-47D3-84DE-1C93390B2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28</xdr:row>
      <xdr:rowOff>180975</xdr:rowOff>
    </xdr:from>
    <xdr:to>
      <xdr:col>5</xdr:col>
      <xdr:colOff>276225</xdr:colOff>
      <xdr:row>43</xdr:row>
      <xdr:rowOff>66675</xdr:rowOff>
    </xdr:to>
    <xdr:graphicFrame macro="">
      <xdr:nvGraphicFramePr>
        <xdr:cNvPr id="32" name="Gráfico 31">
          <a:extLst>
            <a:ext uri="{FF2B5EF4-FFF2-40B4-BE49-F238E27FC236}">
              <a16:creationId xmlns="" xmlns:a16="http://schemas.microsoft.com/office/drawing/2014/main" id="{5D7D6B48-E601-402C-A97F-C15AE9F7A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485775</xdr:colOff>
      <xdr:row>28</xdr:row>
      <xdr:rowOff>161925</xdr:rowOff>
    </xdr:from>
    <xdr:to>
      <xdr:col>11</xdr:col>
      <xdr:colOff>485775</xdr:colOff>
      <xdr:row>43</xdr:row>
      <xdr:rowOff>47625</xdr:rowOff>
    </xdr:to>
    <xdr:graphicFrame macro="">
      <xdr:nvGraphicFramePr>
        <xdr:cNvPr id="34" name="Gráfico 33">
          <a:extLst>
            <a:ext uri="{FF2B5EF4-FFF2-40B4-BE49-F238E27FC236}">
              <a16:creationId xmlns="" xmlns:a16="http://schemas.microsoft.com/office/drawing/2014/main" id="{D0B1DAC8-755A-419A-9AF8-51F7E67F0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276225</xdr:colOff>
      <xdr:row>43</xdr:row>
      <xdr:rowOff>142875</xdr:rowOff>
    </xdr:from>
    <xdr:to>
      <xdr:col>5</xdr:col>
      <xdr:colOff>276225</xdr:colOff>
      <xdr:row>58</xdr:row>
      <xdr:rowOff>28575</xdr:rowOff>
    </xdr:to>
    <xdr:graphicFrame macro="">
      <xdr:nvGraphicFramePr>
        <xdr:cNvPr id="36" name="Gráfico 35">
          <a:extLst>
            <a:ext uri="{FF2B5EF4-FFF2-40B4-BE49-F238E27FC236}">
              <a16:creationId xmlns="" xmlns:a16="http://schemas.microsoft.com/office/drawing/2014/main" id="{80C05F7F-1569-42DF-8C2C-122C38D9A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476250</xdr:colOff>
      <xdr:row>44</xdr:row>
      <xdr:rowOff>9525</xdr:rowOff>
    </xdr:from>
    <xdr:to>
      <xdr:col>11</xdr:col>
      <xdr:colOff>476250</xdr:colOff>
      <xdr:row>58</xdr:row>
      <xdr:rowOff>85725</xdr:rowOff>
    </xdr:to>
    <xdr:graphicFrame macro="">
      <xdr:nvGraphicFramePr>
        <xdr:cNvPr id="38" name="Gráfico 37">
          <a:extLst>
            <a:ext uri="{FF2B5EF4-FFF2-40B4-BE49-F238E27FC236}">
              <a16:creationId xmlns="" xmlns:a16="http://schemas.microsoft.com/office/drawing/2014/main" id="{F66C0F1C-2F2A-4C8D-A1AE-838FB6F97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152400</xdr:rowOff>
    </xdr:from>
    <xdr:to>
      <xdr:col>5</xdr:col>
      <xdr:colOff>0</xdr:colOff>
      <xdr:row>73</xdr:row>
      <xdr:rowOff>38100</xdr:rowOff>
    </xdr:to>
    <xdr:graphicFrame macro="">
      <xdr:nvGraphicFramePr>
        <xdr:cNvPr id="40" name="Gráfico 39">
          <a:extLst>
            <a:ext uri="{FF2B5EF4-FFF2-40B4-BE49-F238E27FC236}">
              <a16:creationId xmlns="" xmlns:a16="http://schemas.microsoft.com/office/drawing/2014/main" id="{14A4DE04-1A71-47D4-8109-A173C12FE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462243</xdr:colOff>
      <xdr:row>59</xdr:row>
      <xdr:rowOff>45943</xdr:rowOff>
    </xdr:from>
    <xdr:to>
      <xdr:col>11</xdr:col>
      <xdr:colOff>644338</xdr:colOff>
      <xdr:row>73</xdr:row>
      <xdr:rowOff>122144</xdr:rowOff>
    </xdr:to>
    <xdr:graphicFrame macro="">
      <xdr:nvGraphicFramePr>
        <xdr:cNvPr id="42" name="Gráfico 41">
          <a:extLst>
            <a:ext uri="{FF2B5EF4-FFF2-40B4-BE49-F238E27FC236}">
              <a16:creationId xmlns="" xmlns:a16="http://schemas.microsoft.com/office/drawing/2014/main" id="{59CDAE6C-09D4-41AB-B2DE-C868CF5B8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1</xdr:row>
      <xdr:rowOff>71437</xdr:rowOff>
    </xdr:from>
    <xdr:to>
      <xdr:col>9</xdr:col>
      <xdr:colOff>657225</xdr:colOff>
      <xdr:row>15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UDI~1\AppData\Local\Temp\Tabulados%20ESPAC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&amp;HProyectos\Documents\kc\ESPAC\INDICE_PUBLICACION%20ESPAC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9"/>
      <sheetName val="T18"/>
      <sheetName val="T20"/>
      <sheetName val="T21"/>
      <sheetName val="T22"/>
      <sheetName val="T23"/>
      <sheetName val="T24"/>
      <sheetName val="T25"/>
      <sheetName val="T26"/>
      <sheetName val="T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T58"/>
      <sheetName val="T59"/>
      <sheetName val="T60"/>
      <sheetName val="T61"/>
      <sheetName val="T62"/>
      <sheetName val="T63"/>
      <sheetName val="T64"/>
      <sheetName val="T65"/>
      <sheetName val="T66"/>
      <sheetName val="T67"/>
      <sheetName val="T68"/>
      <sheetName val="T69"/>
      <sheetName val="Sup tipo de semilla"/>
      <sheetName val="P_agrícola"/>
      <sheetName val="P_pecuaria"/>
      <sheetName val="Sup_regada"/>
      <sheetName val="Sup_regada por método"/>
      <sheetName val="Acceso a la tierra"/>
      <sheetName val="índice de participación"/>
      <sheetName val="volumen de producción"/>
      <sheetName val="Glosar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52">
          <cell r="D52">
            <v>2005.8276599051026</v>
          </cell>
        </row>
        <row r="53">
          <cell r="D53">
            <v>1208.2391683763008</v>
          </cell>
        </row>
        <row r="54">
          <cell r="D54">
            <v>1588.3809353507938</v>
          </cell>
        </row>
        <row r="55">
          <cell r="D55">
            <v>14.01069665610688</v>
          </cell>
        </row>
      </sheetData>
      <sheetData sheetId="14">
        <row r="52">
          <cell r="D52">
            <v>107722.86053972354</v>
          </cell>
        </row>
        <row r="53">
          <cell r="D53">
            <v>19249.164185246449</v>
          </cell>
        </row>
        <row r="54">
          <cell r="D54">
            <v>338.94715549928708</v>
          </cell>
        </row>
        <row r="55">
          <cell r="D55">
            <v>61.458979723951259</v>
          </cell>
        </row>
      </sheetData>
      <sheetData sheetId="15">
        <row r="52">
          <cell r="D52">
            <v>16655.082175606436</v>
          </cell>
        </row>
        <row r="53">
          <cell r="D53">
            <v>2223.3548283207438</v>
          </cell>
        </row>
        <row r="54">
          <cell r="D54">
            <v>149.97007654780151</v>
          </cell>
        </row>
        <row r="55">
          <cell r="D55">
            <v>246.063808193206</v>
          </cell>
        </row>
      </sheetData>
      <sheetData sheetId="16" refreshError="1"/>
      <sheetData sheetId="17">
        <row r="52">
          <cell r="D52">
            <v>945.1104147116489</v>
          </cell>
        </row>
        <row r="54">
          <cell r="D54">
            <v>159.07794000136511</v>
          </cell>
        </row>
      </sheetData>
      <sheetData sheetId="18" refreshError="1"/>
      <sheetData sheetId="19">
        <row r="52">
          <cell r="D52">
            <v>1763.4300924168999</v>
          </cell>
        </row>
        <row r="53">
          <cell r="D53">
            <v>492.55465435930608</v>
          </cell>
        </row>
        <row r="54">
          <cell r="D54">
            <v>109.19834593781118</v>
          </cell>
        </row>
      </sheetData>
      <sheetData sheetId="20">
        <row r="52">
          <cell r="D52">
            <v>1663.8269446608995</v>
          </cell>
        </row>
        <row r="53">
          <cell r="D53">
            <v>226.17223434431816</v>
          </cell>
        </row>
        <row r="54">
          <cell r="D54">
            <v>45.981777937932542</v>
          </cell>
        </row>
      </sheetData>
      <sheetData sheetId="21">
        <row r="52">
          <cell r="D52">
            <v>422.54678502770025</v>
          </cell>
        </row>
        <row r="53">
          <cell r="D53">
            <v>2381.5827183931278</v>
          </cell>
        </row>
      </sheetData>
      <sheetData sheetId="22" refreshError="1"/>
      <sheetData sheetId="23">
        <row r="52">
          <cell r="D52">
            <v>19266.957547196813</v>
          </cell>
        </row>
        <row r="53">
          <cell r="D53">
            <v>2942.0680366316715</v>
          </cell>
        </row>
      </sheetData>
      <sheetData sheetId="24" refreshError="1"/>
      <sheetData sheetId="25">
        <row r="52">
          <cell r="D52">
            <v>21.714355731885675</v>
          </cell>
        </row>
        <row r="53">
          <cell r="D53">
            <v>41.935394853986971</v>
          </cell>
        </row>
      </sheetData>
      <sheetData sheetId="26">
        <row r="52">
          <cell r="D52">
            <v>34077.31878121262</v>
          </cell>
        </row>
        <row r="53">
          <cell r="D53">
            <v>15580.879609143685</v>
          </cell>
        </row>
        <row r="54">
          <cell r="D54">
            <v>450.09992316434449</v>
          </cell>
        </row>
        <row r="55">
          <cell r="D55">
            <v>321.53348457326416</v>
          </cell>
        </row>
      </sheetData>
      <sheetData sheetId="27" refreshError="1"/>
      <sheetData sheetId="28">
        <row r="52">
          <cell r="D52">
            <v>5971.66022914716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2">
          <cell r="D52">
            <v>186.91110119366905</v>
          </cell>
        </row>
        <row r="53">
          <cell r="D53">
            <v>193.04614195026957</v>
          </cell>
        </row>
      </sheetData>
      <sheetData sheetId="35">
        <row r="52">
          <cell r="D52">
            <v>111.07833065840413</v>
          </cell>
        </row>
        <row r="53">
          <cell r="D53">
            <v>701.15927687876842</v>
          </cell>
        </row>
      </sheetData>
      <sheetData sheetId="36" refreshError="1"/>
      <sheetData sheetId="37" refreshError="1"/>
      <sheetData sheetId="38">
        <row r="52">
          <cell r="D52">
            <v>29.556325868404183</v>
          </cell>
        </row>
        <row r="53">
          <cell r="D53">
            <v>49.256201233107149</v>
          </cell>
        </row>
      </sheetData>
      <sheetData sheetId="39">
        <row r="52">
          <cell r="D52">
            <v>93156.824996938929</v>
          </cell>
        </row>
        <row r="53">
          <cell r="D53">
            <v>2361.7214209083404</v>
          </cell>
        </row>
        <row r="54">
          <cell r="D54">
            <v>2949.2125617969814</v>
          </cell>
        </row>
      </sheetData>
      <sheetData sheetId="40" refreshError="1"/>
      <sheetData sheetId="41" refreshError="1"/>
      <sheetData sheetId="42">
        <row r="52">
          <cell r="D52">
            <v>796.17855586599921</v>
          </cell>
        </row>
        <row r="53">
          <cell r="D53">
            <v>97.84357345153073</v>
          </cell>
        </row>
      </sheetData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>
        <row r="52">
          <cell r="D52">
            <v>1307.5362140953682</v>
          </cell>
        </row>
        <row r="53">
          <cell r="D53">
            <v>376.53984042445512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 23"/>
      <sheetName val="T 24"/>
      <sheetName val="T 25"/>
      <sheetName val="T26"/>
      <sheetName val="T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39"/>
      <sheetName val="GR 40"/>
      <sheetName val="GR 41"/>
      <sheetName val="GR 47"/>
      <sheetName val="GR 48"/>
      <sheetName val="GR 49"/>
      <sheetName val="GR 50"/>
      <sheetName val="GR 51"/>
      <sheetName val="GR 54"/>
      <sheetName val="GR 55"/>
      <sheetName val="GR 56"/>
      <sheetName val="GR 57"/>
    </sheetNames>
    <sheetDataSet>
      <sheetData sheetId="0"/>
      <sheetData sheetId="1"/>
      <sheetData sheetId="2">
        <row r="13">
          <cell r="C13">
            <v>185876.06302040999</v>
          </cell>
        </row>
        <row r="14">
          <cell r="C14">
            <v>10796.588426810002</v>
          </cell>
        </row>
      </sheetData>
      <sheetData sheetId="3"/>
      <sheetData sheetId="4"/>
      <sheetData sheetId="5"/>
      <sheetData sheetId="6">
        <row r="19">
          <cell r="C19">
            <v>6868.4125109599936</v>
          </cell>
        </row>
        <row r="20">
          <cell r="C20">
            <v>3.3340799999999993</v>
          </cell>
        </row>
        <row r="41">
          <cell r="C41">
            <v>28290.797925940002</v>
          </cell>
        </row>
        <row r="42">
          <cell r="C42" t="str">
            <v>.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O25" sqref="O25"/>
    </sheetView>
  </sheetViews>
  <sheetFormatPr baseColWidth="10" defaultColWidth="9.140625" defaultRowHeight="15" x14ac:dyDescent="0.25"/>
  <cols>
    <col min="1" max="1" width="6.42578125" customWidth="1"/>
    <col min="2" max="2" width="33" bestFit="1" customWidth="1"/>
  </cols>
  <sheetData>
    <row r="1" spans="1:2" x14ac:dyDescent="0.25">
      <c r="A1" s="6" t="s">
        <v>0</v>
      </c>
      <c r="B1" s="6" t="s">
        <v>9</v>
      </c>
    </row>
    <row r="2" spans="1:2" x14ac:dyDescent="0.25">
      <c r="A2" s="3">
        <v>1990</v>
      </c>
      <c r="B2" s="3">
        <v>0.87</v>
      </c>
    </row>
    <row r="3" spans="1:2" x14ac:dyDescent="0.25">
      <c r="A3" s="3">
        <v>1991</v>
      </c>
      <c r="B3" s="3">
        <v>0.79</v>
      </c>
    </row>
    <row r="4" spans="1:2" x14ac:dyDescent="0.25">
      <c r="A4" s="3">
        <v>1992</v>
      </c>
      <c r="B4" s="3">
        <v>0.67</v>
      </c>
    </row>
    <row r="5" spans="1:2" x14ac:dyDescent="0.25">
      <c r="A5" s="3">
        <v>1993</v>
      </c>
      <c r="B5" s="3">
        <v>0.62</v>
      </c>
    </row>
    <row r="6" spans="1:2" x14ac:dyDescent="0.25">
      <c r="A6" s="3">
        <v>1994</v>
      </c>
      <c r="B6" s="3">
        <v>0.88</v>
      </c>
    </row>
    <row r="7" spans="1:2" x14ac:dyDescent="0.25">
      <c r="A7" s="3">
        <v>1995</v>
      </c>
      <c r="B7" s="3">
        <v>0.89</v>
      </c>
    </row>
    <row r="8" spans="1:2" x14ac:dyDescent="0.25">
      <c r="A8" s="3">
        <v>1996</v>
      </c>
      <c r="B8" s="3">
        <v>0.8</v>
      </c>
    </row>
    <row r="9" spans="1:2" x14ac:dyDescent="0.25">
      <c r="A9" s="3">
        <v>1997</v>
      </c>
      <c r="B9" s="3">
        <v>2.5299999999999998</v>
      </c>
    </row>
    <row r="10" spans="1:2" x14ac:dyDescent="0.25">
      <c r="A10" s="3">
        <v>1998</v>
      </c>
      <c r="B10" s="3">
        <v>7.16</v>
      </c>
    </row>
    <row r="11" spans="1:2" x14ac:dyDescent="0.25">
      <c r="A11" s="3">
        <v>1999</v>
      </c>
      <c r="B11" s="3">
        <v>4.7699999999999996</v>
      </c>
    </row>
    <row r="12" spans="1:2" x14ac:dyDescent="0.25">
      <c r="A12" s="3">
        <v>2000</v>
      </c>
      <c r="B12" s="3">
        <v>6.02</v>
      </c>
    </row>
    <row r="13" spans="1:2" x14ac:dyDescent="0.25">
      <c r="A13" s="3">
        <v>2001</v>
      </c>
      <c r="B13" s="3">
        <v>2.62</v>
      </c>
    </row>
    <row r="14" spans="1:2" x14ac:dyDescent="0.25">
      <c r="A14" s="3">
        <v>2002</v>
      </c>
      <c r="B14" s="3">
        <v>0.5</v>
      </c>
    </row>
    <row r="15" spans="1:2" x14ac:dyDescent="0.25">
      <c r="A15" s="3">
        <v>2003</v>
      </c>
      <c r="B15" s="3">
        <v>12.32</v>
      </c>
    </row>
    <row r="16" spans="1:2" x14ac:dyDescent="0.25">
      <c r="A16" s="3">
        <v>2004</v>
      </c>
      <c r="B16" s="3">
        <v>11.81</v>
      </c>
    </row>
    <row r="17" spans="1:2" x14ac:dyDescent="0.25">
      <c r="A17" s="3">
        <v>2005</v>
      </c>
      <c r="B17" s="3">
        <v>7.33</v>
      </c>
    </row>
    <row r="18" spans="1:2" x14ac:dyDescent="0.25">
      <c r="A18" s="3">
        <v>2006</v>
      </c>
      <c r="B18" s="3">
        <v>3.25</v>
      </c>
    </row>
    <row r="19" spans="1:2" x14ac:dyDescent="0.25">
      <c r="A19" s="3">
        <v>2007</v>
      </c>
      <c r="B19" s="3">
        <v>5.86</v>
      </c>
    </row>
    <row r="20" spans="1:2" x14ac:dyDescent="0.25">
      <c r="A20" s="3">
        <v>2008</v>
      </c>
      <c r="B20" s="3">
        <v>6.16</v>
      </c>
    </row>
    <row r="21" spans="1:2" x14ac:dyDescent="0.25">
      <c r="A21" s="3">
        <v>2009</v>
      </c>
      <c r="B21" s="3">
        <v>3.79</v>
      </c>
    </row>
    <row r="22" spans="1:2" x14ac:dyDescent="0.25">
      <c r="A22" s="3">
        <v>2010</v>
      </c>
      <c r="B22" s="3">
        <v>12.27</v>
      </c>
    </row>
    <row r="23" spans="1:2" x14ac:dyDescent="0.25">
      <c r="A23" s="3">
        <v>2011</v>
      </c>
      <c r="B23" s="3">
        <v>6.91</v>
      </c>
    </row>
    <row r="24" spans="1:2" x14ac:dyDescent="0.25">
      <c r="A24" s="3">
        <v>2012</v>
      </c>
      <c r="B24" s="3">
        <v>4.53</v>
      </c>
    </row>
    <row r="25" spans="1:2" x14ac:dyDescent="0.25">
      <c r="A25" s="3">
        <v>2013</v>
      </c>
      <c r="B25" s="3">
        <v>2.4300000000000002</v>
      </c>
    </row>
    <row r="26" spans="1:2" x14ac:dyDescent="0.25">
      <c r="A26" s="3">
        <v>2014</v>
      </c>
      <c r="B26" s="3">
        <v>4.45</v>
      </c>
    </row>
    <row r="27" spans="1:2" x14ac:dyDescent="0.25">
      <c r="A27" s="3">
        <v>2015</v>
      </c>
      <c r="B27" s="3">
        <v>11.98</v>
      </c>
    </row>
    <row r="28" spans="1:2" x14ac:dyDescent="0.25">
      <c r="A28" s="3">
        <v>2016</v>
      </c>
      <c r="B28" s="3">
        <v>12.36</v>
      </c>
    </row>
    <row r="31" spans="1:2" x14ac:dyDescent="0.25">
      <c r="A31" t="s">
        <v>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zoomScale="85" zoomScaleNormal="85" workbookViewId="0">
      <selection activeCell="L3" sqref="L3"/>
    </sheetView>
  </sheetViews>
  <sheetFormatPr baseColWidth="10" defaultRowHeight="15" x14ac:dyDescent="0.25"/>
  <cols>
    <col min="1" max="1" width="32.28515625" style="21" bestFit="1" customWidth="1"/>
    <col min="2" max="3" width="15.5703125" style="21" bestFit="1" customWidth="1"/>
    <col min="4" max="4" width="17" style="21" bestFit="1" customWidth="1"/>
    <col min="5" max="10" width="15.5703125" style="21" bestFit="1" customWidth="1"/>
    <col min="11" max="11" width="11.7109375" style="25" bestFit="1" customWidth="1"/>
    <col min="12" max="12" width="12" style="37" bestFit="1" customWidth="1"/>
    <col min="13" max="16384" width="11.42578125" style="21"/>
  </cols>
  <sheetData>
    <row r="1" spans="1:21" ht="42" x14ac:dyDescent="0.35">
      <c r="A1" s="18" t="s">
        <v>16</v>
      </c>
      <c r="B1" s="38">
        <v>2009</v>
      </c>
      <c r="C1" s="38">
        <v>2010</v>
      </c>
      <c r="D1" s="38">
        <v>2011</v>
      </c>
      <c r="E1" s="38">
        <v>2012</v>
      </c>
      <c r="F1" s="38">
        <v>2013</v>
      </c>
      <c r="G1" s="39">
        <v>2014</v>
      </c>
      <c r="H1" s="38">
        <v>2015</v>
      </c>
      <c r="I1" s="39">
        <v>2016</v>
      </c>
      <c r="J1" s="40">
        <v>2017</v>
      </c>
      <c r="K1" s="41">
        <v>2018</v>
      </c>
      <c r="L1" s="36"/>
    </row>
    <row r="2" spans="1:21" x14ac:dyDescent="0.25">
      <c r="A2" s="22" t="s">
        <v>50</v>
      </c>
      <c r="B2" s="23"/>
      <c r="C2" s="23"/>
      <c r="D2" s="23"/>
      <c r="E2" s="23"/>
      <c r="F2" s="23"/>
      <c r="G2" s="23"/>
      <c r="H2" s="23"/>
      <c r="I2" s="23">
        <v>7</v>
      </c>
      <c r="J2" s="23">
        <v>4</v>
      </c>
      <c r="K2" s="24">
        <v>12</v>
      </c>
      <c r="L2" s="37">
        <f>AVERAGE(C2:K2)</f>
        <v>7.666666666666667</v>
      </c>
      <c r="M2" s="25"/>
      <c r="N2" s="25"/>
      <c r="O2" s="25"/>
      <c r="P2" s="25"/>
      <c r="Q2" s="25"/>
      <c r="R2" s="25"/>
      <c r="S2" s="25"/>
      <c r="T2" s="25"/>
      <c r="U2" s="25"/>
    </row>
    <row r="3" spans="1:21" x14ac:dyDescent="0.25">
      <c r="A3" s="22" t="s">
        <v>35</v>
      </c>
      <c r="B3" s="23">
        <v>10690</v>
      </c>
      <c r="C3" s="23"/>
      <c r="D3" s="23">
        <v>7990</v>
      </c>
      <c r="E3" s="23">
        <v>6435</v>
      </c>
      <c r="F3" s="23">
        <v>5291</v>
      </c>
      <c r="G3" s="26">
        <v>9104</v>
      </c>
      <c r="H3" s="23">
        <v>9095</v>
      </c>
      <c r="I3" s="26">
        <v>4720</v>
      </c>
      <c r="J3" s="23">
        <v>3162</v>
      </c>
      <c r="K3" s="24">
        <f>SUM([1]T13!$D$52:$D$53)</f>
        <v>3214.0668282814031</v>
      </c>
      <c r="L3" s="37">
        <f t="shared" ref="L3:L32" si="0">AVERAGE(C3:K3)</f>
        <v>6126.383353535175</v>
      </c>
    </row>
    <row r="4" spans="1:21" x14ac:dyDescent="0.25">
      <c r="A4" s="22" t="s">
        <v>36</v>
      </c>
      <c r="B4" s="27">
        <v>103699</v>
      </c>
      <c r="C4" s="27">
        <f>59428+43918</f>
        <v>103346</v>
      </c>
      <c r="D4" s="27">
        <v>98658</v>
      </c>
      <c r="E4" s="27">
        <v>97382</v>
      </c>
      <c r="F4" s="27">
        <v>97799</v>
      </c>
      <c r="G4" s="28">
        <v>98071</v>
      </c>
      <c r="H4" s="27">
        <v>104848</v>
      </c>
      <c r="I4" s="28">
        <v>125840</v>
      </c>
      <c r="J4" s="27">
        <v>124774</v>
      </c>
      <c r="K4" s="24">
        <f>SUM([1]T14!$D$52:$D$53)</f>
        <v>126972.02472496999</v>
      </c>
      <c r="L4" s="37">
        <f t="shared" si="0"/>
        <v>108632.22496944111</v>
      </c>
    </row>
    <row r="5" spans="1:21" x14ac:dyDescent="0.25">
      <c r="A5" s="22" t="s">
        <v>37</v>
      </c>
      <c r="B5" s="23">
        <f>44029+34053</f>
        <v>78082</v>
      </c>
      <c r="C5" s="23">
        <f>40126+36114</f>
        <v>76240</v>
      </c>
      <c r="D5" s="23">
        <v>59767</v>
      </c>
      <c r="E5" s="23">
        <v>49578</v>
      </c>
      <c r="F5" s="23">
        <v>44608</v>
      </c>
      <c r="G5" s="26">
        <v>34995</v>
      </c>
      <c r="H5" s="23">
        <v>41945</v>
      </c>
      <c r="I5" s="26">
        <v>30348</v>
      </c>
      <c r="J5" s="23">
        <v>12509</v>
      </c>
      <c r="K5" s="24">
        <f>SUM([1]T15!$D$52:$D$53)</f>
        <v>18878.437003927182</v>
      </c>
      <c r="L5" s="37">
        <f t="shared" si="0"/>
        <v>40985.381889325246</v>
      </c>
    </row>
    <row r="6" spans="1:21" x14ac:dyDescent="0.25">
      <c r="A6" s="29" t="s">
        <v>38</v>
      </c>
      <c r="B6" s="23">
        <v>1083</v>
      </c>
      <c r="C6" s="23">
        <v>998</v>
      </c>
      <c r="D6" s="23">
        <v>566</v>
      </c>
      <c r="E6" s="23">
        <v>579</v>
      </c>
      <c r="F6" s="23">
        <v>219</v>
      </c>
      <c r="G6" s="26">
        <v>3333</v>
      </c>
      <c r="H6" s="23">
        <v>1383</v>
      </c>
      <c r="I6" s="26">
        <v>2009</v>
      </c>
      <c r="J6" s="23">
        <v>549</v>
      </c>
      <c r="K6" s="24">
        <f>SUM([1]T17!$D$52)</f>
        <v>945.1104147116489</v>
      </c>
      <c r="L6" s="37">
        <f t="shared" si="0"/>
        <v>1175.6789349679611</v>
      </c>
    </row>
    <row r="7" spans="1:21" x14ac:dyDescent="0.25">
      <c r="A7" s="29" t="s">
        <v>51</v>
      </c>
      <c r="B7" s="23"/>
      <c r="C7" s="23"/>
      <c r="D7" s="23"/>
      <c r="E7" s="23"/>
      <c r="F7" s="23"/>
      <c r="G7" s="23"/>
      <c r="H7" s="23"/>
      <c r="I7" s="23">
        <v>3052</v>
      </c>
      <c r="J7" s="23">
        <v>2952</v>
      </c>
      <c r="K7" s="24">
        <f>SUM([1]T18!$D$52:$D$53)</f>
        <v>2255.9847467762061</v>
      </c>
      <c r="L7" s="37">
        <f t="shared" si="0"/>
        <v>2753.328248925402</v>
      </c>
    </row>
    <row r="8" spans="1:21" x14ac:dyDescent="0.25">
      <c r="A8" s="29" t="s">
        <v>45</v>
      </c>
      <c r="B8" s="23"/>
      <c r="C8" s="23"/>
      <c r="D8" s="23"/>
      <c r="E8" s="23"/>
      <c r="F8" s="23"/>
      <c r="G8" s="23">
        <v>263</v>
      </c>
      <c r="H8" s="23">
        <v>132</v>
      </c>
      <c r="I8" s="23">
        <v>180</v>
      </c>
      <c r="J8" s="23">
        <v>86</v>
      </c>
      <c r="K8" s="24">
        <v>35</v>
      </c>
      <c r="L8" s="37">
        <f t="shared" si="0"/>
        <v>139.19999999999999</v>
      </c>
    </row>
    <row r="9" spans="1:21" x14ac:dyDescent="0.25">
      <c r="A9" s="22" t="s">
        <v>40</v>
      </c>
      <c r="B9" s="30">
        <f>6689+417</f>
        <v>7106</v>
      </c>
      <c r="C9" s="23">
        <f>3825+182</f>
        <v>4007</v>
      </c>
      <c r="D9" s="23">
        <v>4197</v>
      </c>
      <c r="E9" s="23">
        <v>2234</v>
      </c>
      <c r="F9" s="23">
        <v>1189</v>
      </c>
      <c r="G9" s="26">
        <v>4160</v>
      </c>
      <c r="H9" s="23">
        <v>3409</v>
      </c>
      <c r="I9" s="26">
        <v>3678</v>
      </c>
      <c r="J9" s="23">
        <v>624</v>
      </c>
      <c r="K9" s="24">
        <f>SUM([1]T20!$D$52:$D$53)</f>
        <v>1889.9991790052177</v>
      </c>
      <c r="L9" s="37">
        <f t="shared" si="0"/>
        <v>2820.8887976672468</v>
      </c>
    </row>
    <row r="10" spans="1:21" x14ac:dyDescent="0.25">
      <c r="A10" s="22" t="s">
        <v>41</v>
      </c>
      <c r="B10" s="23">
        <f>3249+728</f>
        <v>3977</v>
      </c>
      <c r="C10" s="23">
        <f>597+3695</f>
        <v>4292</v>
      </c>
      <c r="D10" s="23">
        <v>6393</v>
      </c>
      <c r="E10" s="23">
        <v>1356</v>
      </c>
      <c r="F10" s="23">
        <v>1236</v>
      </c>
      <c r="G10" s="26">
        <v>1971</v>
      </c>
      <c r="H10" s="23">
        <v>5372</v>
      </c>
      <c r="I10" s="26">
        <v>2918</v>
      </c>
      <c r="J10" s="23">
        <v>4881</v>
      </c>
      <c r="K10" s="31">
        <f>SUM([1]T21!$D$52:$D$53)</f>
        <v>2804.1295034208279</v>
      </c>
      <c r="L10" s="37">
        <f t="shared" si="0"/>
        <v>3469.2366114912029</v>
      </c>
    </row>
    <row r="11" spans="1:21" ht="20.25" customHeight="1" x14ac:dyDescent="0.25">
      <c r="A11" s="22" t="s">
        <v>42</v>
      </c>
      <c r="B11" s="23">
        <f>1282+100</f>
        <v>1382</v>
      </c>
      <c r="C11" s="23">
        <f>1199</f>
        <v>1199</v>
      </c>
      <c r="D11" s="23">
        <v>1040</v>
      </c>
      <c r="E11" s="23">
        <v>2010</v>
      </c>
      <c r="F11" s="23">
        <v>2611</v>
      </c>
      <c r="G11" s="26">
        <v>8079</v>
      </c>
      <c r="H11" s="23">
        <v>11219</v>
      </c>
      <c r="I11" s="26">
        <v>22617</v>
      </c>
      <c r="J11" s="23">
        <v>3234</v>
      </c>
      <c r="K11" s="31">
        <f>SUM([1]T23!$D$52:$D$53)</f>
        <v>22209.025583828483</v>
      </c>
      <c r="L11" s="37">
        <f t="shared" si="0"/>
        <v>8246.4472870920526</v>
      </c>
    </row>
    <row r="12" spans="1:21" x14ac:dyDescent="0.25">
      <c r="A12" s="22" t="s">
        <v>56</v>
      </c>
      <c r="B12" s="23"/>
      <c r="C12" s="23"/>
      <c r="D12" s="23"/>
      <c r="E12" s="23"/>
      <c r="F12" s="23"/>
      <c r="G12" s="23"/>
      <c r="H12" s="23">
        <v>35</v>
      </c>
      <c r="I12" s="23">
        <v>1</v>
      </c>
      <c r="J12" s="23">
        <v>50</v>
      </c>
      <c r="K12" s="31">
        <f>SUM([1]T25!$D$52:$D$53)</f>
        <v>63.649750585872646</v>
      </c>
      <c r="L12" s="37">
        <f t="shared" si="0"/>
        <v>37.412437646468163</v>
      </c>
    </row>
    <row r="13" spans="1:21" x14ac:dyDescent="0.25">
      <c r="A13" s="22" t="s">
        <v>43</v>
      </c>
      <c r="B13" s="23">
        <f>31069+14985</f>
        <v>46054</v>
      </c>
      <c r="C13" s="23">
        <f>31884+20728</f>
        <v>52612</v>
      </c>
      <c r="D13" s="23">
        <v>43114</v>
      </c>
      <c r="E13" s="23">
        <v>47869</v>
      </c>
      <c r="F13" s="23">
        <v>50376</v>
      </c>
      <c r="G13" s="26">
        <v>47373</v>
      </c>
      <c r="H13" s="23">
        <v>414518</v>
      </c>
      <c r="I13" s="26">
        <v>41112</v>
      </c>
      <c r="J13" s="23">
        <v>48914</v>
      </c>
      <c r="K13" s="31">
        <f>SUM([1]T26!$D$52:$D$53)</f>
        <v>49658.198390356309</v>
      </c>
      <c r="L13" s="37">
        <f t="shared" si="0"/>
        <v>88394.022043372912</v>
      </c>
    </row>
    <row r="14" spans="1:21" ht="19.5" customHeight="1" x14ac:dyDescent="0.25">
      <c r="A14" s="22" t="s">
        <v>44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6">
        <v>0</v>
      </c>
      <c r="H14" s="23">
        <v>0</v>
      </c>
      <c r="I14" s="23">
        <v>0</v>
      </c>
      <c r="J14" s="23">
        <v>0</v>
      </c>
      <c r="K14" s="31">
        <v>0</v>
      </c>
      <c r="L14" s="37">
        <f t="shared" si="0"/>
        <v>0</v>
      </c>
    </row>
    <row r="15" spans="1:21" x14ac:dyDescent="0.25">
      <c r="A15" s="32" t="s">
        <v>19</v>
      </c>
      <c r="B15" s="23">
        <v>15749</v>
      </c>
      <c r="C15" s="23">
        <v>14375</v>
      </c>
      <c r="D15" s="23">
        <v>12743</v>
      </c>
      <c r="E15" s="23">
        <v>15855</v>
      </c>
      <c r="F15" s="23">
        <v>19084</v>
      </c>
      <c r="G15" s="26">
        <v>15584</v>
      </c>
      <c r="H15" s="23">
        <v>17180</v>
      </c>
      <c r="I15" s="26">
        <v>14874</v>
      </c>
      <c r="J15" s="23">
        <v>10901</v>
      </c>
      <c r="K15" s="31">
        <f>SUM([1]T28!$D$52)</f>
        <v>5971.66022914716</v>
      </c>
      <c r="L15" s="37">
        <f t="shared" si="0"/>
        <v>14063.073358794129</v>
      </c>
    </row>
    <row r="16" spans="1:21" x14ac:dyDescent="0.25">
      <c r="A16" s="32" t="s">
        <v>20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6">
        <v>0</v>
      </c>
      <c r="H16" s="23">
        <v>0</v>
      </c>
      <c r="I16" s="23">
        <v>0</v>
      </c>
      <c r="J16" s="23">
        <v>0</v>
      </c>
      <c r="K16" s="31">
        <v>0</v>
      </c>
      <c r="L16" s="37">
        <f t="shared" si="0"/>
        <v>0</v>
      </c>
    </row>
    <row r="17" spans="1:12" x14ac:dyDescent="0.25">
      <c r="A17" s="32" t="s">
        <v>21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6">
        <v>0</v>
      </c>
      <c r="H17" s="23">
        <v>0</v>
      </c>
      <c r="I17" s="23">
        <v>0</v>
      </c>
      <c r="J17" s="23">
        <v>0</v>
      </c>
      <c r="K17" s="31">
        <v>0</v>
      </c>
      <c r="L17" s="37">
        <f t="shared" si="0"/>
        <v>0</v>
      </c>
    </row>
    <row r="18" spans="1:12" x14ac:dyDescent="0.25">
      <c r="A18" s="32" t="s">
        <v>55</v>
      </c>
      <c r="B18" s="23"/>
      <c r="C18" s="23"/>
      <c r="D18" s="23"/>
      <c r="E18" s="23"/>
      <c r="F18" s="23"/>
      <c r="G18" s="26"/>
      <c r="H18" s="23"/>
      <c r="I18" s="23"/>
      <c r="J18" s="23"/>
      <c r="K18" s="31">
        <v>135</v>
      </c>
      <c r="L18" s="37">
        <f t="shared" si="0"/>
        <v>135</v>
      </c>
    </row>
    <row r="19" spans="1:12" x14ac:dyDescent="0.25">
      <c r="A19" s="32" t="s">
        <v>23</v>
      </c>
      <c r="B19" s="23">
        <f>99+521</f>
        <v>620</v>
      </c>
      <c r="C19" s="23">
        <f>307+751</f>
        <v>1058</v>
      </c>
      <c r="D19" s="23">
        <v>675</v>
      </c>
      <c r="E19" s="23">
        <v>361</v>
      </c>
      <c r="F19" s="23">
        <v>914</v>
      </c>
      <c r="G19" s="26">
        <v>687</v>
      </c>
      <c r="H19" s="23">
        <v>530</v>
      </c>
      <c r="I19" s="26">
        <v>206</v>
      </c>
      <c r="J19" s="23">
        <v>343</v>
      </c>
      <c r="K19" s="31">
        <f>SUM([1]T34!$D$52:$D$53)</f>
        <v>379.95724314393863</v>
      </c>
      <c r="L19" s="37">
        <f t="shared" si="0"/>
        <v>572.66191590488199</v>
      </c>
    </row>
    <row r="20" spans="1:12" x14ac:dyDescent="0.25">
      <c r="A20" s="32" t="s">
        <v>24</v>
      </c>
      <c r="B20" s="23">
        <f>1006+121</f>
        <v>1127</v>
      </c>
      <c r="C20" s="23">
        <f>159+610</f>
        <v>769</v>
      </c>
      <c r="D20" s="23">
        <v>1737</v>
      </c>
      <c r="E20" s="23">
        <v>2272</v>
      </c>
      <c r="F20" s="23">
        <v>708</v>
      </c>
      <c r="G20" s="26">
        <v>537</v>
      </c>
      <c r="H20" s="23">
        <v>268</v>
      </c>
      <c r="I20" s="26">
        <v>349</v>
      </c>
      <c r="J20" s="23">
        <v>764</v>
      </c>
      <c r="K20" s="31">
        <f>SUM([1]T35!$D$52:$D$53)</f>
        <v>812.23760753717261</v>
      </c>
      <c r="L20" s="37">
        <f t="shared" si="0"/>
        <v>912.91528972635251</v>
      </c>
    </row>
    <row r="21" spans="1:12" x14ac:dyDescent="0.25">
      <c r="A21" s="32" t="s">
        <v>25</v>
      </c>
      <c r="B21" s="23">
        <v>0</v>
      </c>
      <c r="C21" s="23">
        <v>109</v>
      </c>
      <c r="D21" s="23">
        <v>437</v>
      </c>
      <c r="E21" s="23">
        <v>54</v>
      </c>
      <c r="F21" s="23">
        <v>90</v>
      </c>
      <c r="G21" s="26">
        <v>257</v>
      </c>
      <c r="H21" s="23">
        <v>14</v>
      </c>
      <c r="I21" s="26">
        <v>6</v>
      </c>
      <c r="J21" s="23">
        <v>687</v>
      </c>
      <c r="K21" s="31">
        <v>37</v>
      </c>
      <c r="L21" s="37">
        <f t="shared" si="0"/>
        <v>187.88888888888889</v>
      </c>
    </row>
    <row r="22" spans="1:12" x14ac:dyDescent="0.25">
      <c r="A22" s="32" t="s">
        <v>26</v>
      </c>
      <c r="B22" s="23">
        <f>326+270</f>
        <v>596</v>
      </c>
      <c r="C22" s="23">
        <v>418</v>
      </c>
      <c r="D22" s="23">
        <v>628</v>
      </c>
      <c r="E22" s="23">
        <v>2191</v>
      </c>
      <c r="F22" s="23">
        <v>0</v>
      </c>
      <c r="G22" s="26">
        <v>400</v>
      </c>
      <c r="H22" s="23">
        <v>430</v>
      </c>
      <c r="I22" s="26">
        <v>194</v>
      </c>
      <c r="J22" s="23">
        <v>266</v>
      </c>
      <c r="K22" s="31">
        <v>373</v>
      </c>
      <c r="L22" s="37">
        <f t="shared" si="0"/>
        <v>544.44444444444446</v>
      </c>
    </row>
    <row r="23" spans="1:12" x14ac:dyDescent="0.25">
      <c r="A23" s="32" t="s">
        <v>27</v>
      </c>
      <c r="B23" s="23">
        <f>1859+2239</f>
        <v>4098</v>
      </c>
      <c r="C23" s="23">
        <f>1723+2732</f>
        <v>4455</v>
      </c>
      <c r="D23" s="23">
        <v>38126</v>
      </c>
      <c r="E23" s="23">
        <v>3549</v>
      </c>
      <c r="F23" s="23">
        <v>16960</v>
      </c>
      <c r="G23" s="26">
        <v>2131</v>
      </c>
      <c r="H23" s="23">
        <v>2673</v>
      </c>
      <c r="I23" s="26">
        <v>840</v>
      </c>
      <c r="J23" s="23">
        <v>335</v>
      </c>
      <c r="K23" s="31">
        <f>SUM([1]T38!$D$52:$D$53)</f>
        <v>78.812527101511336</v>
      </c>
      <c r="L23" s="37">
        <f t="shared" si="0"/>
        <v>7683.090280789057</v>
      </c>
    </row>
    <row r="24" spans="1:12" x14ac:dyDescent="0.25">
      <c r="A24" s="32" t="s">
        <v>28</v>
      </c>
      <c r="B24" s="23">
        <f>34871+21248</f>
        <v>56119</v>
      </c>
      <c r="C24" s="23">
        <f>27875+28519</f>
        <v>56394</v>
      </c>
      <c r="D24" s="23">
        <v>54865</v>
      </c>
      <c r="E24" s="23">
        <v>72607</v>
      </c>
      <c r="F24" s="23">
        <v>70007</v>
      </c>
      <c r="G24" s="26">
        <v>81221</v>
      </c>
      <c r="H24" s="23">
        <v>96589</v>
      </c>
      <c r="I24" s="26">
        <v>88419</v>
      </c>
      <c r="J24" s="23">
        <v>96274</v>
      </c>
      <c r="K24" s="31">
        <f>SUM([1]T39!$D$52:$D$53)</f>
        <v>95518.546417847276</v>
      </c>
      <c r="L24" s="37">
        <f t="shared" si="0"/>
        <v>79099.394046427478</v>
      </c>
    </row>
    <row r="25" spans="1:12" x14ac:dyDescent="0.25">
      <c r="A25" s="32" t="s">
        <v>29</v>
      </c>
      <c r="B25" s="23">
        <v>1838</v>
      </c>
      <c r="C25" s="23">
        <v>1218</v>
      </c>
      <c r="D25" s="23">
        <v>293</v>
      </c>
      <c r="E25" s="23">
        <v>115</v>
      </c>
      <c r="F25" s="23">
        <v>73</v>
      </c>
      <c r="G25" s="26">
        <v>0</v>
      </c>
      <c r="H25" s="23">
        <v>9</v>
      </c>
      <c r="I25" s="26">
        <v>7</v>
      </c>
      <c r="J25" s="23">
        <v>98</v>
      </c>
      <c r="K25" s="31">
        <v>0</v>
      </c>
      <c r="L25" s="37">
        <f t="shared" si="0"/>
        <v>201.44444444444446</v>
      </c>
    </row>
    <row r="26" spans="1:12" x14ac:dyDescent="0.25">
      <c r="A26" s="32" t="s">
        <v>30</v>
      </c>
      <c r="B26" s="23">
        <v>0</v>
      </c>
      <c r="C26" s="23">
        <v>0</v>
      </c>
      <c r="D26" s="23">
        <v>142</v>
      </c>
      <c r="E26" s="23">
        <v>14</v>
      </c>
      <c r="F26" s="23">
        <v>12</v>
      </c>
      <c r="G26" s="26">
        <v>0</v>
      </c>
      <c r="H26" s="23">
        <v>79</v>
      </c>
      <c r="I26" s="26">
        <v>0</v>
      </c>
      <c r="J26" s="23">
        <v>0</v>
      </c>
      <c r="K26" s="31">
        <v>0</v>
      </c>
      <c r="L26" s="37">
        <f t="shared" si="0"/>
        <v>27.444444444444443</v>
      </c>
    </row>
    <row r="27" spans="1:12" x14ac:dyDescent="0.25">
      <c r="A27" s="32" t="s">
        <v>53</v>
      </c>
      <c r="B27" s="23"/>
      <c r="C27" s="23"/>
      <c r="D27" s="23"/>
      <c r="E27" s="23"/>
      <c r="F27" s="23"/>
      <c r="G27" s="23"/>
      <c r="H27" s="23"/>
      <c r="I27" s="23">
        <v>2761</v>
      </c>
      <c r="J27" s="23">
        <v>2633</v>
      </c>
      <c r="K27" s="31">
        <f>SUM([1]T42!$D$52:$D$53)</f>
        <v>894.0221293175299</v>
      </c>
      <c r="L27" s="37">
        <f t="shared" si="0"/>
        <v>2096.0073764391768</v>
      </c>
    </row>
    <row r="28" spans="1:12" x14ac:dyDescent="0.25">
      <c r="A28" s="32" t="s">
        <v>31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6">
        <v>0</v>
      </c>
      <c r="H28" s="23">
        <v>0</v>
      </c>
      <c r="I28" s="23">
        <v>0</v>
      </c>
      <c r="J28" s="23">
        <v>0</v>
      </c>
      <c r="K28" s="31">
        <v>0</v>
      </c>
      <c r="L28" s="37">
        <f t="shared" si="0"/>
        <v>0</v>
      </c>
    </row>
    <row r="29" spans="1:12" x14ac:dyDescent="0.25">
      <c r="A29" s="32" t="s">
        <v>47</v>
      </c>
      <c r="B29" s="23"/>
      <c r="C29" s="23"/>
      <c r="D29" s="23"/>
      <c r="E29" s="23"/>
      <c r="F29" s="23"/>
      <c r="G29" s="26">
        <v>0</v>
      </c>
      <c r="H29" s="23">
        <v>0</v>
      </c>
      <c r="I29" s="23">
        <v>15</v>
      </c>
      <c r="J29" s="23">
        <v>111</v>
      </c>
      <c r="K29" s="31">
        <v>57</v>
      </c>
      <c r="L29" s="37">
        <f t="shared" si="0"/>
        <v>36.6</v>
      </c>
    </row>
    <row r="30" spans="1:12" x14ac:dyDescent="0.25">
      <c r="A30" s="32" t="s">
        <v>32</v>
      </c>
      <c r="B30" s="23">
        <v>403</v>
      </c>
      <c r="C30" s="23">
        <v>449</v>
      </c>
      <c r="D30" s="23">
        <v>170</v>
      </c>
      <c r="E30" s="23">
        <v>12</v>
      </c>
      <c r="F30" s="23">
        <v>48</v>
      </c>
      <c r="G30" s="26">
        <v>175</v>
      </c>
      <c r="H30" s="23">
        <v>7</v>
      </c>
      <c r="I30" s="26">
        <v>122</v>
      </c>
      <c r="J30" s="23">
        <v>46</v>
      </c>
      <c r="K30" s="31">
        <v>80</v>
      </c>
      <c r="L30" s="37">
        <f t="shared" si="0"/>
        <v>123.22222222222223</v>
      </c>
    </row>
    <row r="31" spans="1:12" x14ac:dyDescent="0.25">
      <c r="A31" s="32" t="s">
        <v>34</v>
      </c>
      <c r="B31" s="23">
        <f>1770+1033</f>
        <v>2803</v>
      </c>
      <c r="C31" s="23">
        <f>1501+1330</f>
        <v>2831</v>
      </c>
      <c r="D31" s="23">
        <v>1808</v>
      </c>
      <c r="E31" s="23">
        <v>1504</v>
      </c>
      <c r="F31" s="23">
        <v>1756</v>
      </c>
      <c r="G31" s="26">
        <v>3560</v>
      </c>
      <c r="H31" s="23">
        <v>3845</v>
      </c>
      <c r="I31" s="26">
        <v>3397</v>
      </c>
      <c r="J31" s="23">
        <v>4443</v>
      </c>
      <c r="K31" s="31">
        <f>SUM([1]T49!$D$52:$D$53)</f>
        <v>1684.0760545198234</v>
      </c>
      <c r="L31" s="37">
        <f t="shared" si="0"/>
        <v>2758.6751171688693</v>
      </c>
    </row>
    <row r="32" spans="1:12" x14ac:dyDescent="0.25">
      <c r="A32" s="33" t="s">
        <v>13</v>
      </c>
      <c r="B32" s="17">
        <f t="shared" ref="B32:K32" si="1">SUM(B2:B31)</f>
        <v>335426</v>
      </c>
      <c r="C32" s="17">
        <f t="shared" si="1"/>
        <v>324770</v>
      </c>
      <c r="D32" s="17">
        <f t="shared" si="1"/>
        <v>333349</v>
      </c>
      <c r="E32" s="17">
        <f t="shared" si="1"/>
        <v>305977</v>
      </c>
      <c r="F32" s="17">
        <f t="shared" si="1"/>
        <v>312981</v>
      </c>
      <c r="G32" s="17">
        <f t="shared" si="1"/>
        <v>311901</v>
      </c>
      <c r="H32" s="17">
        <f t="shared" si="1"/>
        <v>713580</v>
      </c>
      <c r="I32" s="17">
        <f t="shared" si="1"/>
        <v>347672</v>
      </c>
      <c r="J32" s="17">
        <f t="shared" si="1"/>
        <v>318640</v>
      </c>
      <c r="K32" s="17">
        <f t="shared" si="1"/>
        <v>334958.93833447748</v>
      </c>
      <c r="L32" s="37">
        <f t="shared" si="0"/>
        <v>367092.10425938643</v>
      </c>
    </row>
    <row r="33" spans="1:12" x14ac:dyDescent="0.25">
      <c r="K33" s="21"/>
    </row>
    <row r="34" spans="1:12" x14ac:dyDescent="0.25">
      <c r="K34" s="21"/>
    </row>
    <row r="35" spans="1:12" ht="42" x14ac:dyDescent="0.35">
      <c r="A35" s="18" t="s">
        <v>17</v>
      </c>
      <c r="B35" s="38">
        <v>2009</v>
      </c>
      <c r="C35" s="38">
        <v>2010</v>
      </c>
      <c r="D35" s="38">
        <v>2011</v>
      </c>
      <c r="E35" s="38">
        <v>2012</v>
      </c>
      <c r="F35" s="38">
        <v>2013</v>
      </c>
      <c r="G35" s="39">
        <v>2014</v>
      </c>
      <c r="H35" s="38">
        <v>2015</v>
      </c>
      <c r="I35" s="39">
        <v>2016</v>
      </c>
      <c r="J35" s="40">
        <v>2017</v>
      </c>
      <c r="K35" s="41">
        <v>2018</v>
      </c>
    </row>
    <row r="36" spans="1:12" x14ac:dyDescent="0.25">
      <c r="A36" s="22" t="s">
        <v>50</v>
      </c>
      <c r="B36" s="23"/>
      <c r="C36" s="23"/>
      <c r="D36" s="23"/>
      <c r="E36" s="23"/>
      <c r="F36" s="23"/>
      <c r="G36" s="23"/>
      <c r="H36" s="23"/>
      <c r="I36" s="23">
        <v>9</v>
      </c>
      <c r="J36" s="23">
        <v>0</v>
      </c>
      <c r="K36" s="24">
        <v>41</v>
      </c>
      <c r="L36" s="37">
        <f t="shared" ref="L36:L41" si="2">AVERAGE(B36:J36)</f>
        <v>4.5</v>
      </c>
    </row>
    <row r="37" spans="1:12" x14ac:dyDescent="0.25">
      <c r="A37" s="22" t="s">
        <v>35</v>
      </c>
      <c r="B37" s="23">
        <v>88</v>
      </c>
      <c r="C37" s="23"/>
      <c r="D37" s="23">
        <v>170</v>
      </c>
      <c r="E37" s="23">
        <v>72</v>
      </c>
      <c r="F37" s="23">
        <v>91</v>
      </c>
      <c r="G37" s="26">
        <v>656</v>
      </c>
      <c r="H37" s="23">
        <v>250</v>
      </c>
      <c r="I37" s="26">
        <v>364</v>
      </c>
      <c r="J37" s="23">
        <v>1552</v>
      </c>
      <c r="K37" s="24">
        <f>SUM([1]T13!$D$54:$D$55)</f>
        <v>1602.3916320069006</v>
      </c>
      <c r="L37" s="37">
        <f t="shared" si="2"/>
        <v>405.375</v>
      </c>
    </row>
    <row r="38" spans="1:12" x14ac:dyDescent="0.25">
      <c r="A38" s="22" t="s">
        <v>36</v>
      </c>
      <c r="B38" s="23">
        <v>0</v>
      </c>
      <c r="C38" s="23">
        <v>337</v>
      </c>
      <c r="D38" s="23">
        <v>141</v>
      </c>
      <c r="E38" s="23">
        <v>184</v>
      </c>
      <c r="F38" s="23">
        <v>216</v>
      </c>
      <c r="G38" s="26">
        <v>314</v>
      </c>
      <c r="H38" s="23">
        <v>278</v>
      </c>
      <c r="I38" s="26">
        <v>129</v>
      </c>
      <c r="J38" s="23">
        <v>303</v>
      </c>
      <c r="K38" s="24">
        <f>SUM([1]T14!$D$54:$D$55)</f>
        <v>400.40613522323832</v>
      </c>
      <c r="L38" s="37">
        <f t="shared" si="2"/>
        <v>211.33333333333334</v>
      </c>
    </row>
    <row r="39" spans="1:12" x14ac:dyDescent="0.25">
      <c r="A39" s="22" t="s">
        <v>37</v>
      </c>
      <c r="B39" s="23">
        <v>340</v>
      </c>
      <c r="C39" s="23">
        <v>330</v>
      </c>
      <c r="D39" s="23">
        <v>308</v>
      </c>
      <c r="E39" s="23">
        <v>474</v>
      </c>
      <c r="F39" s="23">
        <v>401</v>
      </c>
      <c r="G39" s="26">
        <v>0</v>
      </c>
      <c r="H39" s="23">
        <v>95</v>
      </c>
      <c r="I39" s="26">
        <v>71</v>
      </c>
      <c r="J39" s="23">
        <v>506</v>
      </c>
      <c r="K39" s="24">
        <f>SUM([1]T15!$D$54:$D$55)</f>
        <v>396.03388474100751</v>
      </c>
      <c r="L39" s="37">
        <f t="shared" si="2"/>
        <v>280.55555555555554</v>
      </c>
    </row>
    <row r="40" spans="1:12" x14ac:dyDescent="0.25">
      <c r="A40" s="29" t="s">
        <v>38</v>
      </c>
      <c r="B40" s="23">
        <v>0</v>
      </c>
      <c r="C40" s="23">
        <v>0</v>
      </c>
      <c r="D40" s="23">
        <v>0</v>
      </c>
      <c r="E40" s="23">
        <v>1</v>
      </c>
      <c r="F40" s="23">
        <v>0</v>
      </c>
      <c r="G40" s="26">
        <v>0</v>
      </c>
      <c r="H40" s="23">
        <v>0</v>
      </c>
      <c r="I40" s="26">
        <v>0</v>
      </c>
      <c r="J40" s="23"/>
      <c r="K40" s="24">
        <f>[1]T17!$D$54</f>
        <v>159.07794000136511</v>
      </c>
      <c r="L40" s="37">
        <f t="shared" si="2"/>
        <v>0.125</v>
      </c>
    </row>
    <row r="41" spans="1:12" x14ac:dyDescent="0.25">
      <c r="A41" s="29" t="s">
        <v>51</v>
      </c>
      <c r="B41" s="23"/>
      <c r="C41" s="23"/>
      <c r="D41" s="23"/>
      <c r="E41" s="23"/>
      <c r="F41" s="23"/>
      <c r="G41" s="23"/>
      <c r="H41" s="23"/>
      <c r="I41" s="23">
        <v>187</v>
      </c>
      <c r="J41" s="23">
        <v>176</v>
      </c>
      <c r="K41" s="24">
        <f>SUM([1]T18!$D$54)</f>
        <v>109.19834593781118</v>
      </c>
      <c r="L41" s="37">
        <f t="shared" si="2"/>
        <v>181.5</v>
      </c>
    </row>
    <row r="42" spans="1:12" x14ac:dyDescent="0.25">
      <c r="A42" s="29" t="s">
        <v>45</v>
      </c>
      <c r="B42" s="23"/>
      <c r="C42" s="23"/>
      <c r="D42" s="23"/>
      <c r="E42" s="23"/>
      <c r="F42" s="23"/>
      <c r="G42" s="23">
        <v>0</v>
      </c>
      <c r="H42" s="23">
        <v>0</v>
      </c>
      <c r="I42" s="23">
        <v>0</v>
      </c>
      <c r="J42" s="23">
        <v>36</v>
      </c>
      <c r="K42" s="24">
        <v>68</v>
      </c>
      <c r="L42" s="37">
        <f>AVERAGE(B42:K42)</f>
        <v>20.8</v>
      </c>
    </row>
    <row r="43" spans="1:12" x14ac:dyDescent="0.25">
      <c r="A43" s="22" t="s">
        <v>40</v>
      </c>
      <c r="B43" s="23">
        <v>59</v>
      </c>
      <c r="C43" s="23">
        <v>99</v>
      </c>
      <c r="D43" s="23">
        <v>57</v>
      </c>
      <c r="E43" s="23">
        <v>13</v>
      </c>
      <c r="F43" s="23">
        <v>27</v>
      </c>
      <c r="G43" s="26">
        <v>3</v>
      </c>
      <c r="H43" s="23">
        <v>424</v>
      </c>
      <c r="I43" s="26">
        <v>101</v>
      </c>
      <c r="J43" s="23">
        <v>149</v>
      </c>
      <c r="K43" s="24">
        <f>SUM([1]T20!$D$54)</f>
        <v>45.981777937932542</v>
      </c>
      <c r="L43" s="37">
        <f>AVERAGE(B43:J43)</f>
        <v>103.55555555555556</v>
      </c>
    </row>
    <row r="44" spans="1:12" x14ac:dyDescent="0.25">
      <c r="A44" s="22" t="s">
        <v>41</v>
      </c>
      <c r="B44" s="23">
        <v>0</v>
      </c>
      <c r="C44" s="23">
        <v>0</v>
      </c>
      <c r="D44" s="23">
        <v>91</v>
      </c>
      <c r="E44" s="23">
        <v>68</v>
      </c>
      <c r="F44" s="23">
        <v>121</v>
      </c>
      <c r="G44" s="26">
        <v>0</v>
      </c>
      <c r="H44" s="23">
        <v>0</v>
      </c>
      <c r="I44" s="26">
        <v>0</v>
      </c>
      <c r="J44" s="23">
        <v>0</v>
      </c>
      <c r="K44" s="31">
        <v>29</v>
      </c>
      <c r="L44" s="37">
        <f>AVERAGE(B44:K44)</f>
        <v>30.9</v>
      </c>
    </row>
    <row r="45" spans="1:12" x14ac:dyDescent="0.25">
      <c r="A45" s="22" t="s">
        <v>42</v>
      </c>
      <c r="B45" s="23">
        <v>0</v>
      </c>
      <c r="C45" s="23">
        <v>0</v>
      </c>
      <c r="D45" s="23">
        <v>0</v>
      </c>
      <c r="E45" s="23">
        <v>0</v>
      </c>
      <c r="F45" s="23">
        <v>113</v>
      </c>
      <c r="G45" s="26">
        <v>674</v>
      </c>
      <c r="H45" s="23">
        <v>0</v>
      </c>
      <c r="I45" s="26"/>
      <c r="J45" s="23">
        <v>0</v>
      </c>
      <c r="K45" s="31">
        <v>0</v>
      </c>
      <c r="L45" s="37">
        <f>AVERAGE(B45:K45)</f>
        <v>87.444444444444443</v>
      </c>
    </row>
    <row r="46" spans="1:12" x14ac:dyDescent="0.25">
      <c r="A46" s="22" t="s">
        <v>56</v>
      </c>
      <c r="B46" s="23"/>
      <c r="C46" s="23"/>
      <c r="D46" s="23"/>
      <c r="E46" s="23"/>
      <c r="F46" s="23"/>
      <c r="G46" s="23"/>
      <c r="H46" s="23">
        <v>0</v>
      </c>
      <c r="I46" s="23">
        <v>0</v>
      </c>
      <c r="J46" s="23">
        <v>0</v>
      </c>
      <c r="K46" s="31">
        <v>0</v>
      </c>
      <c r="L46" s="37">
        <f>AVERAGE(B46:K46)</f>
        <v>0</v>
      </c>
    </row>
    <row r="47" spans="1:12" x14ac:dyDescent="0.25">
      <c r="A47" s="22" t="s">
        <v>43</v>
      </c>
      <c r="B47" s="23">
        <v>53</v>
      </c>
      <c r="C47" s="23">
        <f>120+125</f>
        <v>245</v>
      </c>
      <c r="D47" s="23">
        <v>271</v>
      </c>
      <c r="E47" s="23">
        <v>350</v>
      </c>
      <c r="F47" s="23">
        <v>684</v>
      </c>
      <c r="G47" s="26">
        <v>903</v>
      </c>
      <c r="H47" s="23">
        <v>96</v>
      </c>
      <c r="I47" s="26">
        <v>40</v>
      </c>
      <c r="J47" s="23">
        <v>533</v>
      </c>
      <c r="K47" s="31">
        <f>SUM([1]T26!$D$54:$D$55)</f>
        <v>771.63340773760865</v>
      </c>
      <c r="L47" s="37">
        <f>AVERAGE(B47:J47)</f>
        <v>352.77777777777777</v>
      </c>
    </row>
    <row r="48" spans="1:12" x14ac:dyDescent="0.25">
      <c r="A48" s="22" t="s">
        <v>44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6">
        <v>0</v>
      </c>
      <c r="H48" s="23">
        <v>0</v>
      </c>
      <c r="I48" s="23">
        <v>0</v>
      </c>
      <c r="J48" s="23">
        <v>0</v>
      </c>
      <c r="K48" s="31">
        <v>0</v>
      </c>
      <c r="L48" s="37">
        <f t="shared" ref="L48:L56" si="3">AVERAGE(B48:K48)</f>
        <v>0</v>
      </c>
    </row>
    <row r="49" spans="1:12" x14ac:dyDescent="0.25">
      <c r="A49" s="32" t="s">
        <v>19</v>
      </c>
      <c r="B49" s="23">
        <v>0</v>
      </c>
      <c r="C49" s="23">
        <v>73</v>
      </c>
      <c r="D49" s="23">
        <v>0</v>
      </c>
      <c r="E49" s="23">
        <v>0</v>
      </c>
      <c r="F49" s="23">
        <v>0</v>
      </c>
      <c r="G49" s="26">
        <v>0</v>
      </c>
      <c r="H49" s="23">
        <v>0</v>
      </c>
      <c r="I49" s="26">
        <v>0</v>
      </c>
      <c r="J49" s="23">
        <v>0</v>
      </c>
      <c r="K49" s="31">
        <v>0</v>
      </c>
      <c r="L49" s="37">
        <f t="shared" si="3"/>
        <v>7.3</v>
      </c>
    </row>
    <row r="50" spans="1:12" x14ac:dyDescent="0.25">
      <c r="A50" s="32" t="s">
        <v>20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6">
        <v>0</v>
      </c>
      <c r="H50" s="23">
        <v>0</v>
      </c>
      <c r="I50" s="23">
        <v>0</v>
      </c>
      <c r="J50" s="23">
        <v>0</v>
      </c>
      <c r="K50" s="31">
        <v>0</v>
      </c>
      <c r="L50" s="37">
        <f t="shared" si="3"/>
        <v>0</v>
      </c>
    </row>
    <row r="51" spans="1:12" x14ac:dyDescent="0.25">
      <c r="A51" s="32" t="s">
        <v>21</v>
      </c>
      <c r="B51" s="23">
        <v>0</v>
      </c>
      <c r="C51" s="23">
        <v>0</v>
      </c>
      <c r="D51" s="23">
        <v>0</v>
      </c>
      <c r="E51" s="23">
        <v>0</v>
      </c>
      <c r="F51" s="23">
        <v>5</v>
      </c>
      <c r="G51" s="26">
        <v>0</v>
      </c>
      <c r="H51" s="23">
        <v>0</v>
      </c>
      <c r="I51" s="23">
        <v>0</v>
      </c>
      <c r="J51" s="23">
        <v>0</v>
      </c>
      <c r="K51" s="31">
        <v>0</v>
      </c>
      <c r="L51" s="37">
        <f t="shared" si="3"/>
        <v>0.5</v>
      </c>
    </row>
    <row r="52" spans="1:12" x14ac:dyDescent="0.25">
      <c r="A52" s="32" t="s">
        <v>23</v>
      </c>
      <c r="B52" s="23">
        <v>0</v>
      </c>
      <c r="C52" s="23">
        <v>0</v>
      </c>
      <c r="D52" s="23">
        <v>0</v>
      </c>
      <c r="E52" s="23">
        <v>22</v>
      </c>
      <c r="F52" s="23">
        <v>76</v>
      </c>
      <c r="G52" s="26">
        <v>0</v>
      </c>
      <c r="H52" s="23">
        <v>0</v>
      </c>
      <c r="I52" s="26">
        <v>0</v>
      </c>
      <c r="J52" s="23">
        <v>0</v>
      </c>
      <c r="K52" s="31">
        <v>0</v>
      </c>
      <c r="L52" s="37">
        <f t="shared" si="3"/>
        <v>9.8000000000000007</v>
      </c>
    </row>
    <row r="53" spans="1:12" x14ac:dyDescent="0.25">
      <c r="A53" s="32" t="s">
        <v>24</v>
      </c>
      <c r="B53" s="23">
        <v>0</v>
      </c>
      <c r="C53" s="23">
        <v>0</v>
      </c>
      <c r="D53" s="23">
        <v>0</v>
      </c>
      <c r="E53" s="23">
        <v>0</v>
      </c>
      <c r="F53" s="23">
        <v>25</v>
      </c>
      <c r="G53" s="26">
        <v>0</v>
      </c>
      <c r="H53" s="23">
        <v>0</v>
      </c>
      <c r="I53" s="26">
        <v>8</v>
      </c>
      <c r="J53" s="23">
        <v>15</v>
      </c>
      <c r="K53" s="31">
        <v>0</v>
      </c>
      <c r="L53" s="37">
        <f t="shared" si="3"/>
        <v>4.8</v>
      </c>
    </row>
    <row r="54" spans="1:12" x14ac:dyDescent="0.25">
      <c r="A54" s="32" t="s">
        <v>25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6">
        <v>11</v>
      </c>
      <c r="H54" s="23">
        <v>0</v>
      </c>
      <c r="I54" s="26">
        <v>0</v>
      </c>
      <c r="J54" s="23">
        <v>0</v>
      </c>
      <c r="K54" s="31">
        <v>0</v>
      </c>
      <c r="L54" s="37">
        <f t="shared" si="3"/>
        <v>1.1000000000000001</v>
      </c>
    </row>
    <row r="55" spans="1:12" x14ac:dyDescent="0.25">
      <c r="A55" s="32" t="s">
        <v>26</v>
      </c>
      <c r="B55" s="23">
        <v>0</v>
      </c>
      <c r="C55" s="23">
        <v>0</v>
      </c>
      <c r="D55" s="23">
        <v>0</v>
      </c>
      <c r="E55" s="23">
        <v>6</v>
      </c>
      <c r="F55" s="23">
        <v>3</v>
      </c>
      <c r="G55" s="26">
        <v>0</v>
      </c>
      <c r="H55" s="23">
        <v>0</v>
      </c>
      <c r="I55" s="26"/>
      <c r="J55" s="23">
        <v>1</v>
      </c>
      <c r="K55" s="31">
        <v>0</v>
      </c>
      <c r="L55" s="37">
        <f t="shared" si="3"/>
        <v>1.1111111111111112</v>
      </c>
    </row>
    <row r="56" spans="1:12" x14ac:dyDescent="0.25">
      <c r="A56" s="32" t="s">
        <v>27</v>
      </c>
      <c r="B56" s="23">
        <f>138+205</f>
        <v>343</v>
      </c>
      <c r="C56" s="23">
        <f>169+569</f>
        <v>738</v>
      </c>
      <c r="D56" s="23">
        <v>3436</v>
      </c>
      <c r="E56" s="23">
        <v>107</v>
      </c>
      <c r="F56" s="23">
        <v>555</v>
      </c>
      <c r="G56" s="26">
        <v>60</v>
      </c>
      <c r="H56" s="23">
        <v>44</v>
      </c>
      <c r="I56" s="26">
        <v>474</v>
      </c>
      <c r="J56" s="23">
        <v>91</v>
      </c>
      <c r="K56" s="31">
        <v>0</v>
      </c>
      <c r="L56" s="37">
        <f t="shared" si="3"/>
        <v>584.79999999999995</v>
      </c>
    </row>
    <row r="57" spans="1:12" x14ac:dyDescent="0.25">
      <c r="A57" s="32" t="s">
        <v>28</v>
      </c>
      <c r="B57" s="23">
        <f>1689+3580</f>
        <v>5269</v>
      </c>
      <c r="C57" s="23">
        <f>1356+2994</f>
        <v>4350</v>
      </c>
      <c r="D57" s="23">
        <v>4819</v>
      </c>
      <c r="E57" s="23">
        <v>5065</v>
      </c>
      <c r="F57" s="23">
        <v>5372</v>
      </c>
      <c r="G57" s="26">
        <v>6463</v>
      </c>
      <c r="H57" s="23">
        <v>3636</v>
      </c>
      <c r="I57" s="26">
        <v>4895</v>
      </c>
      <c r="J57" s="23">
        <v>2827</v>
      </c>
      <c r="K57" s="31">
        <f>[1]T39!$D$54</f>
        <v>2949.2125617969814</v>
      </c>
      <c r="L57" s="37">
        <f>AVERAGE(B57:J57)</f>
        <v>4744</v>
      </c>
    </row>
    <row r="58" spans="1:12" x14ac:dyDescent="0.25">
      <c r="A58" s="32" t="s">
        <v>29</v>
      </c>
      <c r="B58" s="23">
        <v>0</v>
      </c>
      <c r="C58" s="23">
        <v>0</v>
      </c>
      <c r="D58" s="23">
        <v>0</v>
      </c>
      <c r="E58" s="23">
        <v>0</v>
      </c>
      <c r="F58" s="23">
        <v>0</v>
      </c>
      <c r="G58" s="26">
        <v>0</v>
      </c>
      <c r="H58" s="23">
        <v>0</v>
      </c>
      <c r="I58" s="26">
        <v>0</v>
      </c>
      <c r="J58" s="23">
        <v>0</v>
      </c>
      <c r="K58" s="31">
        <v>0</v>
      </c>
      <c r="L58" s="37">
        <f>AVERAGE(B58:K58)</f>
        <v>0</v>
      </c>
    </row>
    <row r="59" spans="1:12" x14ac:dyDescent="0.25">
      <c r="A59" s="32" t="s">
        <v>30</v>
      </c>
      <c r="B59" s="23">
        <v>0</v>
      </c>
      <c r="C59" s="23">
        <v>0</v>
      </c>
      <c r="D59" s="23">
        <v>0</v>
      </c>
      <c r="E59" s="23">
        <v>0</v>
      </c>
      <c r="F59" s="23">
        <v>0</v>
      </c>
      <c r="G59" s="26">
        <v>0</v>
      </c>
      <c r="H59" s="23">
        <v>0</v>
      </c>
      <c r="I59" s="26">
        <v>0</v>
      </c>
      <c r="J59" s="23">
        <v>6</v>
      </c>
      <c r="K59" s="31">
        <v>0</v>
      </c>
      <c r="L59" s="37">
        <f>AVERAGE(B59:K59)</f>
        <v>0.6</v>
      </c>
    </row>
    <row r="60" spans="1:12" x14ac:dyDescent="0.25">
      <c r="A60" s="32" t="s">
        <v>53</v>
      </c>
      <c r="B60" s="23"/>
      <c r="C60" s="23"/>
      <c r="D60" s="23"/>
      <c r="E60" s="23"/>
      <c r="F60" s="23"/>
      <c r="G60" s="23"/>
      <c r="H60" s="23"/>
      <c r="I60" s="23">
        <v>0</v>
      </c>
      <c r="J60" s="23">
        <v>0</v>
      </c>
      <c r="K60" s="31">
        <v>0</v>
      </c>
      <c r="L60" s="37">
        <f>AVERAGE(B60:J60)</f>
        <v>0</v>
      </c>
    </row>
    <row r="61" spans="1:12" x14ac:dyDescent="0.25">
      <c r="A61" s="32" t="s">
        <v>31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6">
        <v>0</v>
      </c>
      <c r="H61" s="23">
        <v>0</v>
      </c>
      <c r="I61" s="23">
        <v>0</v>
      </c>
      <c r="J61" s="23">
        <v>0</v>
      </c>
      <c r="K61" s="31">
        <v>0</v>
      </c>
      <c r="L61" s="37">
        <f>AVERAGE(B61:K61)</f>
        <v>0</v>
      </c>
    </row>
    <row r="62" spans="1:12" x14ac:dyDescent="0.25">
      <c r="A62" s="32" t="s">
        <v>47</v>
      </c>
      <c r="B62" s="23"/>
      <c r="C62" s="23"/>
      <c r="D62" s="23"/>
      <c r="E62" s="23"/>
      <c r="F62" s="23"/>
      <c r="G62" s="26">
        <v>706</v>
      </c>
      <c r="H62" s="23">
        <v>19</v>
      </c>
      <c r="I62" s="26">
        <v>302</v>
      </c>
      <c r="J62" s="23">
        <v>45</v>
      </c>
      <c r="K62" s="31">
        <v>120</v>
      </c>
      <c r="L62" s="37">
        <f>AVERAGE(B62:K62)</f>
        <v>238.4</v>
      </c>
    </row>
    <row r="63" spans="1:12" x14ac:dyDescent="0.25">
      <c r="A63" s="32" t="s">
        <v>32</v>
      </c>
      <c r="B63" s="23">
        <v>161</v>
      </c>
      <c r="C63" s="23">
        <v>149</v>
      </c>
      <c r="D63" s="23">
        <v>145</v>
      </c>
      <c r="E63" s="23">
        <v>572</v>
      </c>
      <c r="F63" s="23">
        <v>86</v>
      </c>
      <c r="G63" s="26">
        <v>0</v>
      </c>
      <c r="H63" s="23">
        <v>0</v>
      </c>
      <c r="I63" s="26">
        <v>0</v>
      </c>
      <c r="J63" s="23">
        <v>0</v>
      </c>
      <c r="K63" s="31">
        <v>0</v>
      </c>
      <c r="L63" s="37">
        <f>AVERAGE(B63:K63)</f>
        <v>111.3</v>
      </c>
    </row>
    <row r="64" spans="1:12" x14ac:dyDescent="0.25">
      <c r="A64" s="32" t="s">
        <v>34</v>
      </c>
      <c r="B64" s="23">
        <v>0</v>
      </c>
      <c r="C64" s="23">
        <v>0</v>
      </c>
      <c r="D64" s="23">
        <v>0</v>
      </c>
      <c r="E64" s="23">
        <v>39</v>
      </c>
      <c r="F64" s="23">
        <v>264</v>
      </c>
      <c r="G64" s="26">
        <v>266</v>
      </c>
      <c r="H64" s="23">
        <v>0</v>
      </c>
      <c r="I64" s="26">
        <v>4</v>
      </c>
      <c r="J64" s="23">
        <v>47</v>
      </c>
      <c r="K64" s="31">
        <v>12</v>
      </c>
      <c r="L64" s="37">
        <f>AVERAGE(B64:K64)</f>
        <v>63.2</v>
      </c>
    </row>
    <row r="65" spans="1:12" x14ac:dyDescent="0.25">
      <c r="A65" s="33" t="s">
        <v>13</v>
      </c>
      <c r="B65" s="17">
        <f t="shared" ref="B65:K65" si="4">SUM(B36:B64)</f>
        <v>6313</v>
      </c>
      <c r="C65" s="17">
        <f t="shared" si="4"/>
        <v>6321</v>
      </c>
      <c r="D65" s="17">
        <f t="shared" si="4"/>
        <v>9438</v>
      </c>
      <c r="E65" s="17">
        <f t="shared" si="4"/>
        <v>6973</v>
      </c>
      <c r="F65" s="17">
        <f t="shared" si="4"/>
        <v>8039</v>
      </c>
      <c r="G65" s="17">
        <f t="shared" si="4"/>
        <v>10056</v>
      </c>
      <c r="H65" s="17">
        <f t="shared" si="4"/>
        <v>4842</v>
      </c>
      <c r="I65" s="17">
        <f t="shared" si="4"/>
        <v>6584</v>
      </c>
      <c r="J65" s="17">
        <f t="shared" si="4"/>
        <v>6287</v>
      </c>
      <c r="K65" s="17">
        <f t="shared" si="4"/>
        <v>6703.9356853828458</v>
      </c>
      <c r="L65" s="37">
        <f>AVERAGE(B65:K65)</f>
        <v>7155.693568538285</v>
      </c>
    </row>
    <row r="66" spans="1:12" x14ac:dyDescent="0.25">
      <c r="K66" s="21"/>
    </row>
    <row r="67" spans="1:12" x14ac:dyDescent="0.25">
      <c r="K67" s="21"/>
    </row>
    <row r="68" spans="1:12" x14ac:dyDescent="0.25">
      <c r="K68" s="21"/>
    </row>
    <row r="69" spans="1:12" ht="42" x14ac:dyDescent="0.35">
      <c r="A69" s="18" t="s">
        <v>18</v>
      </c>
      <c r="B69" s="40">
        <v>2009</v>
      </c>
      <c r="C69" s="40">
        <v>2010</v>
      </c>
      <c r="D69" s="40">
        <v>2011</v>
      </c>
      <c r="E69" s="40">
        <v>2012</v>
      </c>
      <c r="F69" s="40">
        <v>2013</v>
      </c>
      <c r="G69" s="41">
        <v>2014</v>
      </c>
      <c r="H69" s="40">
        <v>2015</v>
      </c>
      <c r="I69" s="41">
        <v>2016</v>
      </c>
      <c r="J69" s="40">
        <v>2017</v>
      </c>
      <c r="K69" s="41">
        <v>2018</v>
      </c>
    </row>
    <row r="70" spans="1:12" x14ac:dyDescent="0.25">
      <c r="A70" s="22" t="s">
        <v>50</v>
      </c>
      <c r="B70" s="19"/>
      <c r="C70" s="19"/>
      <c r="D70" s="19"/>
      <c r="E70" s="19"/>
      <c r="F70" s="19"/>
      <c r="G70" s="20"/>
      <c r="H70" s="19"/>
      <c r="I70" s="34">
        <v>5578.7470936491673</v>
      </c>
      <c r="J70" s="35">
        <v>6535.7903208322423</v>
      </c>
      <c r="K70" s="31">
        <v>6163.5349790151777</v>
      </c>
      <c r="L70" s="37">
        <f>AVERAGE(B70:K70)</f>
        <v>6092.6907978321951</v>
      </c>
    </row>
    <row r="71" spans="1:12" x14ac:dyDescent="0.25">
      <c r="A71" s="22" t="s">
        <v>35</v>
      </c>
      <c r="B71" s="31">
        <v>229602</v>
      </c>
      <c r="C71" s="31">
        <v>235773</v>
      </c>
      <c r="D71" s="31">
        <v>200110</v>
      </c>
      <c r="E71" s="31">
        <v>221774.57453074859</v>
      </c>
      <c r="F71" s="31">
        <v>217873.99598234729</v>
      </c>
      <c r="G71" s="31">
        <v>196672.65144721998</v>
      </c>
      <c r="H71" s="31">
        <v>195533.33858277166</v>
      </c>
      <c r="I71" s="31">
        <v>186221.99210090289</v>
      </c>
      <c r="J71" s="31">
        <v>166972.42125248237</v>
      </c>
      <c r="K71" s="31">
        <v>173706.37396899838</v>
      </c>
      <c r="L71" s="37">
        <f t="shared" ref="L71:L108" si="5">AVERAGE(B71:K71)</f>
        <v>202424.03478654713</v>
      </c>
    </row>
    <row r="72" spans="1:12" x14ac:dyDescent="0.25">
      <c r="A72" s="22" t="s">
        <v>36</v>
      </c>
      <c r="B72" s="31">
        <v>468841</v>
      </c>
      <c r="C72" s="31">
        <v>470054</v>
      </c>
      <c r="D72" s="31">
        <v>521091</v>
      </c>
      <c r="E72" s="31">
        <v>507721.2826092192</v>
      </c>
      <c r="F72" s="31">
        <v>508884.60099530022</v>
      </c>
      <c r="G72" s="31">
        <v>487315.63811537973</v>
      </c>
      <c r="H72" s="31">
        <v>537410.39012142073</v>
      </c>
      <c r="I72" s="31">
        <v>559616.71629222995</v>
      </c>
      <c r="J72" s="31">
        <v>573515.73712976731</v>
      </c>
      <c r="K72" s="31">
        <v>573832.75634956709</v>
      </c>
      <c r="L72" s="37">
        <f t="shared" si="5"/>
        <v>520828.3121612884</v>
      </c>
    </row>
    <row r="73" spans="1:12" x14ac:dyDescent="0.25">
      <c r="A73" s="22" t="s">
        <v>37</v>
      </c>
      <c r="B73" s="31">
        <v>198511</v>
      </c>
      <c r="C73" s="31">
        <v>191080</v>
      </c>
      <c r="D73" s="31">
        <v>122856</v>
      </c>
      <c r="E73" s="31">
        <v>113028.84702656389</v>
      </c>
      <c r="F73" s="31">
        <v>97684.032408296422</v>
      </c>
      <c r="G73" s="31">
        <v>70268.702850170012</v>
      </c>
      <c r="H73" s="31">
        <v>79743.636594228679</v>
      </c>
      <c r="I73" s="31">
        <v>55898.217571317669</v>
      </c>
      <c r="J73" s="31">
        <v>52713.703028243421</v>
      </c>
      <c r="K73" s="31">
        <v>45851.744831919583</v>
      </c>
      <c r="L73" s="37">
        <f t="shared" si="5"/>
        <v>102763.58843107396</v>
      </c>
    </row>
    <row r="74" spans="1:12" x14ac:dyDescent="0.25">
      <c r="A74" s="29" t="s">
        <v>38</v>
      </c>
      <c r="B74" s="31">
        <v>111647</v>
      </c>
      <c r="C74" s="31">
        <v>115972</v>
      </c>
      <c r="D74" s="31">
        <v>94835</v>
      </c>
      <c r="E74" s="31">
        <v>106925.66285331175</v>
      </c>
      <c r="F74" s="31">
        <v>113159.62971839801</v>
      </c>
      <c r="G74" s="31">
        <v>113227.26156945985</v>
      </c>
      <c r="H74" s="31">
        <v>104557.78184174711</v>
      </c>
      <c r="I74" s="31">
        <v>109540.74841030907</v>
      </c>
      <c r="J74" s="31">
        <v>116483.41224726796</v>
      </c>
      <c r="K74" s="31">
        <v>101898.43815283568</v>
      </c>
      <c r="L74" s="37">
        <f t="shared" si="5"/>
        <v>108824.69347933293</v>
      </c>
    </row>
    <row r="75" spans="1:12" x14ac:dyDescent="0.25">
      <c r="A75" s="29" t="s">
        <v>39</v>
      </c>
      <c r="B75" s="31">
        <v>41957</v>
      </c>
      <c r="C75" s="31">
        <v>40558</v>
      </c>
      <c r="D75" s="31">
        <v>42994</v>
      </c>
      <c r="E75" s="31">
        <v>43522.792310755387</v>
      </c>
      <c r="F75" s="31">
        <v>50316.326690876325</v>
      </c>
      <c r="G75" s="31">
        <v>26239.776492710007</v>
      </c>
      <c r="H75" s="31">
        <v>19388.093995289375</v>
      </c>
      <c r="I75" s="31">
        <v>16046.024753702633</v>
      </c>
      <c r="J75" s="31">
        <v>18466.487121315327</v>
      </c>
      <c r="K75" s="31">
        <v>30872.989810660765</v>
      </c>
      <c r="L75" s="37">
        <f t="shared" si="5"/>
        <v>33036.149117530978</v>
      </c>
    </row>
    <row r="76" spans="1:12" x14ac:dyDescent="0.25">
      <c r="A76" s="29" t="s">
        <v>51</v>
      </c>
      <c r="B76" s="31"/>
      <c r="C76" s="31"/>
      <c r="D76" s="31"/>
      <c r="E76" s="31"/>
      <c r="F76" s="31"/>
      <c r="G76" s="31"/>
      <c r="H76" s="31"/>
      <c r="I76" s="31">
        <v>6307.7493729881344</v>
      </c>
      <c r="J76" s="31">
        <v>8152.0616327901625</v>
      </c>
      <c r="K76" s="31">
        <v>5725.7254423997629</v>
      </c>
      <c r="L76" s="37">
        <f t="shared" si="5"/>
        <v>6728.5121493926863</v>
      </c>
    </row>
    <row r="77" spans="1:12" x14ac:dyDescent="0.25">
      <c r="A77" s="29" t="s">
        <v>45</v>
      </c>
      <c r="B77" s="31"/>
      <c r="C77" s="31"/>
      <c r="D77" s="31"/>
      <c r="E77" s="31"/>
      <c r="F77" s="31"/>
      <c r="G77" s="31">
        <f>SUM([2]T2!$C$13:$C$14)</f>
        <v>196672.65144721998</v>
      </c>
      <c r="H77" s="31">
        <v>15255.421240709968</v>
      </c>
      <c r="I77" s="31">
        <v>20881.831367372986</v>
      </c>
      <c r="J77" s="31">
        <v>18984.289710920802</v>
      </c>
      <c r="K77" s="31">
        <v>21996.88128307863</v>
      </c>
      <c r="L77" s="37">
        <f t="shared" si="5"/>
        <v>54758.215009860462</v>
      </c>
    </row>
    <row r="78" spans="1:12" x14ac:dyDescent="0.25">
      <c r="A78" s="22" t="s">
        <v>40</v>
      </c>
      <c r="B78" s="31">
        <v>24382</v>
      </c>
      <c r="C78" s="31">
        <v>18238</v>
      </c>
      <c r="D78" s="31">
        <v>10866</v>
      </c>
      <c r="E78" s="31">
        <v>4285.6035909733155</v>
      </c>
      <c r="F78" s="31">
        <v>3888.1064607200492</v>
      </c>
      <c r="G78" s="31">
        <v>16951.260126090001</v>
      </c>
      <c r="H78" s="31">
        <v>13140.342224907905</v>
      </c>
      <c r="I78" s="31">
        <v>13388.758083943334</v>
      </c>
      <c r="J78" s="31">
        <v>12156.879441411653</v>
      </c>
      <c r="K78" s="31">
        <v>8703.5652114103941</v>
      </c>
      <c r="L78" s="37">
        <f t="shared" si="5"/>
        <v>12600.051513945666</v>
      </c>
    </row>
    <row r="79" spans="1:12" x14ac:dyDescent="0.25">
      <c r="A79" s="22" t="s">
        <v>41</v>
      </c>
      <c r="B79" s="31">
        <v>25508</v>
      </c>
      <c r="C79" s="31">
        <v>27710</v>
      </c>
      <c r="D79" s="31">
        <v>24675</v>
      </c>
      <c r="E79" s="31">
        <v>21139.745617909597</v>
      </c>
      <c r="F79" s="31">
        <v>19485.253918514183</v>
      </c>
      <c r="G79" s="31">
        <v>19319.98922155</v>
      </c>
      <c r="H79" s="31">
        <v>26143.277596875745</v>
      </c>
      <c r="I79" s="31">
        <v>16578.44714377847</v>
      </c>
      <c r="J79" s="31">
        <v>19779.515591742016</v>
      </c>
      <c r="K79" s="31">
        <v>19288.157720363517</v>
      </c>
      <c r="L79" s="37">
        <f t="shared" si="5"/>
        <v>21962.738681073351</v>
      </c>
    </row>
    <row r="80" spans="1:12" x14ac:dyDescent="0.25">
      <c r="A80" s="22" t="s">
        <v>52</v>
      </c>
      <c r="B80" s="31"/>
      <c r="C80" s="31"/>
      <c r="D80" s="31"/>
      <c r="E80" s="31"/>
      <c r="F80" s="31"/>
      <c r="G80" s="31"/>
      <c r="H80" s="31"/>
      <c r="I80" s="31">
        <v>9938.2691122516262</v>
      </c>
      <c r="J80" s="31">
        <v>6774.2777137134563</v>
      </c>
      <c r="K80" s="31">
        <v>3756.3275549891141</v>
      </c>
      <c r="L80" s="37">
        <f t="shared" si="5"/>
        <v>6822.9581269847322</v>
      </c>
    </row>
    <row r="81" spans="1:12" x14ac:dyDescent="0.25">
      <c r="A81" s="22" t="s">
        <v>42</v>
      </c>
      <c r="B81" s="31">
        <v>248513</v>
      </c>
      <c r="C81" s="31">
        <v>248199</v>
      </c>
      <c r="D81" s="31">
        <v>244574</v>
      </c>
      <c r="E81" s="31">
        <v>240333.11349135317</v>
      </c>
      <c r="F81" s="31">
        <v>288199.44024894823</v>
      </c>
      <c r="G81" s="31">
        <v>387798.90757020999</v>
      </c>
      <c r="H81" s="31">
        <v>369405.876398094</v>
      </c>
      <c r="I81" s="31">
        <v>319602.0725544577</v>
      </c>
      <c r="J81" s="31">
        <v>313881.66155913204</v>
      </c>
      <c r="K81" s="31">
        <v>267760.14992328617</v>
      </c>
      <c r="L81" s="37">
        <f t="shared" si="5"/>
        <v>292826.72217454819</v>
      </c>
    </row>
    <row r="82" spans="1:12" x14ac:dyDescent="0.25">
      <c r="A82" s="22" t="s">
        <v>48</v>
      </c>
      <c r="B82" s="31"/>
      <c r="C82" s="31"/>
      <c r="D82" s="31"/>
      <c r="E82" s="31"/>
      <c r="F82" s="31"/>
      <c r="G82" s="31"/>
      <c r="H82" s="31">
        <v>11011.083479568757</v>
      </c>
      <c r="I82" s="31">
        <v>6858.9586998662153</v>
      </c>
      <c r="J82" s="31">
        <v>7691.3355865896547</v>
      </c>
      <c r="K82" s="31">
        <v>6376.2150614646989</v>
      </c>
      <c r="L82" s="37">
        <f t="shared" si="5"/>
        <v>7984.3982068723317</v>
      </c>
    </row>
    <row r="83" spans="1:12" x14ac:dyDescent="0.25">
      <c r="A83" s="22" t="s">
        <v>56</v>
      </c>
      <c r="B83" s="31"/>
      <c r="C83" s="31"/>
      <c r="D83" s="31"/>
      <c r="E83" s="31"/>
      <c r="F83" s="31"/>
      <c r="G83" s="31"/>
      <c r="H83" s="31">
        <v>9189.7398340993659</v>
      </c>
      <c r="I83" s="31">
        <v>6103.9489458323887</v>
      </c>
      <c r="J83" s="31">
        <v>9019.35119700014</v>
      </c>
      <c r="K83" s="31">
        <v>7967.3590994933693</v>
      </c>
      <c r="L83" s="37">
        <f t="shared" si="5"/>
        <v>8070.0997691063167</v>
      </c>
    </row>
    <row r="84" spans="1:12" x14ac:dyDescent="0.25">
      <c r="A84" s="22" t="s">
        <v>43</v>
      </c>
      <c r="B84" s="31">
        <v>132179</v>
      </c>
      <c r="C84" s="31">
        <v>144981</v>
      </c>
      <c r="D84" s="31">
        <v>136323</v>
      </c>
      <c r="E84" s="31">
        <v>114272.15346064244</v>
      </c>
      <c r="F84" s="31">
        <v>151441.65085452778</v>
      </c>
      <c r="G84" s="31">
        <v>135151.62512168998</v>
      </c>
      <c r="H84" s="31">
        <v>123354.58300642562</v>
      </c>
      <c r="I84" s="31">
        <v>110109.82158139399</v>
      </c>
      <c r="J84" s="31">
        <v>127239.25776334065</v>
      </c>
      <c r="K84" s="31">
        <v>125268.36235497324</v>
      </c>
      <c r="L84" s="37">
        <f t="shared" si="5"/>
        <v>130032.04541429938</v>
      </c>
    </row>
    <row r="85" spans="1:12" x14ac:dyDescent="0.25">
      <c r="A85" s="22" t="s">
        <v>44</v>
      </c>
      <c r="B85" s="31">
        <v>6670</v>
      </c>
      <c r="C85" s="31">
        <v>6043</v>
      </c>
      <c r="D85" s="31">
        <v>4462</v>
      </c>
      <c r="E85" s="31">
        <v>5963.7040767435492</v>
      </c>
      <c r="F85" s="31">
        <v>5233.2333334358973</v>
      </c>
      <c r="G85" s="31">
        <v>4417.7577102399982</v>
      </c>
      <c r="H85" s="31">
        <v>3538.948483812811</v>
      </c>
      <c r="I85" s="31">
        <v>3514.392069580254</v>
      </c>
      <c r="J85" s="31">
        <v>3862.0376242232132</v>
      </c>
      <c r="K85" s="31">
        <v>3442.9482034690041</v>
      </c>
      <c r="L85" s="37">
        <f t="shared" si="5"/>
        <v>4714.8021501504718</v>
      </c>
    </row>
    <row r="86" spans="1:12" x14ac:dyDescent="0.25">
      <c r="A86" s="32" t="s">
        <v>19</v>
      </c>
      <c r="B86" s="31">
        <v>419821</v>
      </c>
      <c r="C86" s="31">
        <v>414149</v>
      </c>
      <c r="D86" s="31">
        <v>378643</v>
      </c>
      <c r="E86" s="31">
        <v>411458.6373792708</v>
      </c>
      <c r="F86" s="31">
        <v>414145.667478466</v>
      </c>
      <c r="G86" s="31">
        <v>397958.41670570034</v>
      </c>
      <c r="H86" s="31">
        <v>399534.51661883917</v>
      </c>
      <c r="I86" s="31">
        <v>385039.49453025428</v>
      </c>
      <c r="J86" s="31">
        <v>370406.36765047279</v>
      </c>
      <c r="K86" s="31">
        <v>301852.99847142101</v>
      </c>
      <c r="L86" s="37">
        <f t="shared" si="5"/>
        <v>389300.90988344245</v>
      </c>
    </row>
    <row r="87" spans="1:12" x14ac:dyDescent="0.25">
      <c r="A87" s="32" t="s">
        <v>20</v>
      </c>
      <c r="B87" s="31">
        <v>3439</v>
      </c>
      <c r="C87" s="31">
        <v>3232</v>
      </c>
      <c r="D87" s="31">
        <v>2458</v>
      </c>
      <c r="E87" s="31">
        <v>2381.216906262076</v>
      </c>
      <c r="F87" s="31">
        <v>1842.3446252930908</v>
      </c>
      <c r="G87" s="31">
        <v>2827.0286356199999</v>
      </c>
      <c r="H87" s="31">
        <v>1958.7794047343741</v>
      </c>
      <c r="I87" s="31">
        <v>2879.2529173884286</v>
      </c>
      <c r="J87" s="31">
        <v>2023.2270598444236</v>
      </c>
      <c r="K87" s="31">
        <v>1676.2489295483283</v>
      </c>
      <c r="L87" s="37">
        <f t="shared" si="5"/>
        <v>2471.7098478690723</v>
      </c>
    </row>
    <row r="88" spans="1:12" x14ac:dyDescent="0.25">
      <c r="A88" s="32" t="s">
        <v>21</v>
      </c>
      <c r="B88" s="31">
        <v>6352</v>
      </c>
      <c r="C88" s="31">
        <v>6778</v>
      </c>
      <c r="D88" s="31">
        <v>7987</v>
      </c>
      <c r="E88" s="31">
        <v>4513.3190040326554</v>
      </c>
      <c r="F88" s="31">
        <v>3977.7228045820902</v>
      </c>
      <c r="G88" s="31">
        <v>8195.2548520400014</v>
      </c>
      <c r="H88" s="31">
        <v>7508.5160974907285</v>
      </c>
      <c r="I88" s="31">
        <v>6343.956827192841</v>
      </c>
      <c r="J88" s="31">
        <v>5631.131454322971</v>
      </c>
      <c r="K88" s="31">
        <v>5412.1325164928639</v>
      </c>
      <c r="L88" s="37">
        <f t="shared" si="5"/>
        <v>6269.9033556154154</v>
      </c>
    </row>
    <row r="89" spans="1:12" x14ac:dyDescent="0.25">
      <c r="A89" s="32" t="s">
        <v>46</v>
      </c>
      <c r="B89" s="31"/>
      <c r="C89" s="31"/>
      <c r="D89" s="31"/>
      <c r="E89" s="31"/>
      <c r="F89" s="31"/>
      <c r="G89" s="31">
        <f>SUM([2]T6!$C$19:$C$20)</f>
        <v>6871.7465909599932</v>
      </c>
      <c r="H89" s="31">
        <v>7816.948811337923</v>
      </c>
      <c r="I89" s="31">
        <v>5520.2574066010502</v>
      </c>
      <c r="J89" s="31">
        <v>7213.7525935238482</v>
      </c>
      <c r="K89" s="31">
        <v>11461.844129964491</v>
      </c>
      <c r="L89" s="37">
        <f t="shared" si="5"/>
        <v>7776.9099064774609</v>
      </c>
    </row>
    <row r="90" spans="1:12" x14ac:dyDescent="0.25">
      <c r="A90" s="32" t="s">
        <v>22</v>
      </c>
      <c r="B90" s="31">
        <v>40845</v>
      </c>
      <c r="C90" s="31">
        <v>28619</v>
      </c>
      <c r="D90" s="31">
        <v>31655</v>
      </c>
      <c r="E90" s="31">
        <v>20824.367949442192</v>
      </c>
      <c r="F90" s="31">
        <v>27302.661804195217</v>
      </c>
      <c r="G90" s="31">
        <v>17325.47350220001</v>
      </c>
      <c r="H90" s="31">
        <v>11253.74045157983</v>
      </c>
      <c r="I90" s="31">
        <v>18987.735606563092</v>
      </c>
      <c r="J90" s="31">
        <v>12070.317677246343</v>
      </c>
      <c r="K90" s="31">
        <v>10124.285951074651</v>
      </c>
      <c r="L90" s="37">
        <f t="shared" si="5"/>
        <v>21900.758294230134</v>
      </c>
    </row>
    <row r="91" spans="1:12" x14ac:dyDescent="0.25">
      <c r="A91" s="32" t="s">
        <v>55</v>
      </c>
      <c r="B91" s="31"/>
      <c r="C91" s="31"/>
      <c r="D91" s="31"/>
      <c r="E91" s="31"/>
      <c r="F91" s="31"/>
      <c r="G91" s="31"/>
      <c r="H91" s="31"/>
      <c r="I91" s="31">
        <v>8403.7073543174301</v>
      </c>
      <c r="J91" s="31">
        <v>12990.570689242571</v>
      </c>
      <c r="K91" s="31">
        <v>9848.0204817758167</v>
      </c>
      <c r="L91" s="37">
        <f t="shared" si="5"/>
        <v>10414.099508445272</v>
      </c>
    </row>
    <row r="92" spans="1:12" x14ac:dyDescent="0.25">
      <c r="A92" s="32" t="s">
        <v>23</v>
      </c>
      <c r="B92" s="31">
        <v>49277</v>
      </c>
      <c r="C92" s="31">
        <v>54706</v>
      </c>
      <c r="D92" s="31">
        <v>56881</v>
      </c>
      <c r="E92" s="31">
        <v>38158.270377712135</v>
      </c>
      <c r="F92" s="31">
        <v>38857.934765998194</v>
      </c>
      <c r="G92" s="31">
        <v>29658.496155719971</v>
      </c>
      <c r="H92" s="31">
        <v>31111.854121611912</v>
      </c>
      <c r="I92" s="31">
        <v>23392.155279920582</v>
      </c>
      <c r="J92" s="31">
        <v>34468.798326887052</v>
      </c>
      <c r="K92" s="31">
        <v>21043.49649328606</v>
      </c>
      <c r="L92" s="37">
        <f t="shared" si="5"/>
        <v>37755.50055211359</v>
      </c>
    </row>
    <row r="93" spans="1:12" x14ac:dyDescent="0.25">
      <c r="A93" s="32" t="s">
        <v>24</v>
      </c>
      <c r="B93" s="31">
        <v>28907</v>
      </c>
      <c r="C93" s="31">
        <v>30847</v>
      </c>
      <c r="D93" s="31">
        <v>44966</v>
      </c>
      <c r="E93" s="31">
        <v>33486.820774698528</v>
      </c>
      <c r="F93" s="31">
        <v>28320.411109488105</v>
      </c>
      <c r="G93" s="31">
        <v>19482.463031349998</v>
      </c>
      <c r="H93" s="31">
        <v>24380.619856947254</v>
      </c>
      <c r="I93" s="31">
        <v>19825.084201181686</v>
      </c>
      <c r="J93" s="31">
        <v>18613.376444066038</v>
      </c>
      <c r="K93" s="31">
        <v>10052.025677294214</v>
      </c>
      <c r="L93" s="37">
        <f t="shared" si="5"/>
        <v>25888.080109502578</v>
      </c>
    </row>
    <row r="94" spans="1:12" x14ac:dyDescent="0.25">
      <c r="A94" s="32" t="s">
        <v>25</v>
      </c>
      <c r="B94" s="31">
        <v>13427</v>
      </c>
      <c r="C94" s="31">
        <v>10327</v>
      </c>
      <c r="D94" s="31">
        <v>19618</v>
      </c>
      <c r="E94" s="31">
        <v>14254.801513938042</v>
      </c>
      <c r="F94" s="31">
        <v>8585.5791828845558</v>
      </c>
      <c r="G94" s="31">
        <v>8243.4987612900004</v>
      </c>
      <c r="H94" s="31">
        <v>5133.0116717139563</v>
      </c>
      <c r="I94" s="31">
        <v>2690.8738037289695</v>
      </c>
      <c r="J94" s="31">
        <v>7081.1527519016372</v>
      </c>
      <c r="K94" s="31">
        <v>2789.8188433388523</v>
      </c>
      <c r="L94" s="37">
        <f t="shared" si="5"/>
        <v>9215.0736528796024</v>
      </c>
    </row>
    <row r="95" spans="1:12" x14ac:dyDescent="0.25">
      <c r="A95" s="32" t="s">
        <v>26</v>
      </c>
      <c r="B95" s="31">
        <v>19481</v>
      </c>
      <c r="C95" s="31">
        <v>13064</v>
      </c>
      <c r="D95" s="31">
        <v>22067</v>
      </c>
      <c r="E95" s="31">
        <v>20782.459959237796</v>
      </c>
      <c r="F95" s="31">
        <v>13121.790418974484</v>
      </c>
      <c r="G95" s="31">
        <v>13413.889641950003</v>
      </c>
      <c r="H95" s="31">
        <v>8997.0858442492026</v>
      </c>
      <c r="I95" s="31">
        <v>7482.1405148596286</v>
      </c>
      <c r="J95" s="31">
        <v>5974.272812811495</v>
      </c>
      <c r="K95" s="31">
        <v>4663.8897741084056</v>
      </c>
      <c r="L95" s="37">
        <f t="shared" si="5"/>
        <v>12904.752896619102</v>
      </c>
    </row>
    <row r="96" spans="1:12" x14ac:dyDescent="0.25">
      <c r="A96" s="32" t="s">
        <v>27</v>
      </c>
      <c r="B96" s="31">
        <v>24274</v>
      </c>
      <c r="C96" s="31">
        <v>26243</v>
      </c>
      <c r="D96" s="31">
        <v>179630</v>
      </c>
      <c r="E96" s="31">
        <v>22422.95052000344</v>
      </c>
      <c r="F96" s="31">
        <v>41500.591888988936</v>
      </c>
      <c r="G96" s="31">
        <v>10937.078328680003</v>
      </c>
      <c r="H96" s="31">
        <v>6508.1674324632941</v>
      </c>
      <c r="I96" s="31">
        <v>4232.9327670972343</v>
      </c>
      <c r="J96" s="31">
        <v>4057.700445118061</v>
      </c>
      <c r="K96" s="31">
        <v>3187.2207190784416</v>
      </c>
      <c r="L96" s="37">
        <f t="shared" si="5"/>
        <v>32299.364210142947</v>
      </c>
    </row>
    <row r="97" spans="1:12" x14ac:dyDescent="0.25">
      <c r="A97" s="32" t="s">
        <v>28</v>
      </c>
      <c r="B97" s="31">
        <v>310418</v>
      </c>
      <c r="C97" s="31">
        <v>315219</v>
      </c>
      <c r="D97" s="31">
        <v>301988</v>
      </c>
      <c r="E97" s="31">
        <v>361346.68203129369</v>
      </c>
      <c r="F97" s="31">
        <v>338129.09453484038</v>
      </c>
      <c r="G97" s="31">
        <v>399945.87634519063</v>
      </c>
      <c r="H97" s="31">
        <v>439153.42886528571</v>
      </c>
      <c r="I97" s="31">
        <v>341254.40544906602</v>
      </c>
      <c r="J97" s="31">
        <v>388534.08713614417</v>
      </c>
      <c r="K97" s="31">
        <v>383398.77770638268</v>
      </c>
      <c r="L97" s="37">
        <f t="shared" si="5"/>
        <v>357938.73520682036</v>
      </c>
    </row>
    <row r="98" spans="1:12" x14ac:dyDescent="0.25">
      <c r="A98" s="32" t="s">
        <v>29</v>
      </c>
      <c r="B98" s="31">
        <v>60921</v>
      </c>
      <c r="C98" s="31">
        <v>56393</v>
      </c>
      <c r="D98" s="31">
        <v>74857</v>
      </c>
      <c r="E98" s="31">
        <v>74663.12111513612</v>
      </c>
      <c r="F98" s="31">
        <v>62983.955154880765</v>
      </c>
      <c r="G98" s="31">
        <v>43417.910550019951</v>
      </c>
      <c r="H98" s="31">
        <v>69415.964809407713</v>
      </c>
      <c r="I98" s="31">
        <v>26917.341123922186</v>
      </c>
      <c r="J98" s="31">
        <v>24041.52872262938</v>
      </c>
      <c r="K98" s="31">
        <v>22246.896208303362</v>
      </c>
      <c r="L98" s="37">
        <f t="shared" si="5"/>
        <v>51585.771768429942</v>
      </c>
    </row>
    <row r="99" spans="1:12" x14ac:dyDescent="0.25">
      <c r="A99" s="32" t="s">
        <v>30</v>
      </c>
      <c r="B99" s="31">
        <v>84545</v>
      </c>
      <c r="C99" s="31">
        <v>78293</v>
      </c>
      <c r="D99" s="31">
        <v>93630</v>
      </c>
      <c r="E99" s="31">
        <v>73570.197119565928</v>
      </c>
      <c r="F99" s="31">
        <v>87998.003771185235</v>
      </c>
      <c r="G99" s="31">
        <v>64091.662268329965</v>
      </c>
      <c r="H99" s="31">
        <v>57045.525410817267</v>
      </c>
      <c r="I99" s="31">
        <v>53332.03331888852</v>
      </c>
      <c r="J99" s="31">
        <v>65848.74978765093</v>
      </c>
      <c r="K99" s="31">
        <v>52714.085971252724</v>
      </c>
      <c r="L99" s="37">
        <f t="shared" si="5"/>
        <v>71106.825764769048</v>
      </c>
    </row>
    <row r="100" spans="1:12" x14ac:dyDescent="0.25">
      <c r="A100" s="32" t="s">
        <v>53</v>
      </c>
      <c r="B100" s="31"/>
      <c r="C100" s="31"/>
      <c r="D100" s="31"/>
      <c r="E100" s="31"/>
      <c r="F100" s="31"/>
      <c r="G100" s="31"/>
      <c r="H100" s="31"/>
      <c r="I100" s="31">
        <v>7745.273960379991</v>
      </c>
      <c r="J100" s="31">
        <v>5942.2975232587378</v>
      </c>
      <c r="K100" s="31">
        <v>3502.2468038076004</v>
      </c>
      <c r="L100" s="37">
        <f t="shared" si="5"/>
        <v>5729.939429148777</v>
      </c>
    </row>
    <row r="101" spans="1:12" x14ac:dyDescent="0.25">
      <c r="A101" s="32" t="s">
        <v>31</v>
      </c>
      <c r="B101" s="31">
        <v>51008</v>
      </c>
      <c r="C101" s="31">
        <v>47877</v>
      </c>
      <c r="D101" s="31">
        <v>48210</v>
      </c>
      <c r="E101" s="31">
        <v>35767.932418505043</v>
      </c>
      <c r="F101" s="31">
        <v>49371.244985286932</v>
      </c>
      <c r="G101" s="31">
        <v>35460.174534800055</v>
      </c>
      <c r="H101" s="31">
        <v>32036.607521514114</v>
      </c>
      <c r="I101" s="31">
        <v>32741.96352711775</v>
      </c>
      <c r="J101" s="31">
        <v>32187.954948970571</v>
      </c>
      <c r="K101" s="31">
        <v>23974.450005879065</v>
      </c>
      <c r="L101" s="37">
        <f t="shared" si="5"/>
        <v>38863.532794207349</v>
      </c>
    </row>
    <row r="102" spans="1:12" x14ac:dyDescent="0.25">
      <c r="A102" s="32" t="s">
        <v>49</v>
      </c>
      <c r="B102" s="31"/>
      <c r="C102" s="31"/>
      <c r="D102" s="31"/>
      <c r="E102" s="31"/>
      <c r="F102" s="31"/>
      <c r="G102" s="31"/>
      <c r="H102" s="31">
        <v>7886.0529795876582</v>
      </c>
      <c r="I102" s="31">
        <v>2765.2381797645075</v>
      </c>
      <c r="J102" s="31">
        <v>1424.4805010199418</v>
      </c>
      <c r="K102" s="31">
        <v>2215.0141384886128</v>
      </c>
      <c r="L102" s="37">
        <f t="shared" si="5"/>
        <v>3572.6964497151803</v>
      </c>
    </row>
    <row r="103" spans="1:12" x14ac:dyDescent="0.25">
      <c r="A103" s="32" t="s">
        <v>47</v>
      </c>
      <c r="B103" s="31"/>
      <c r="C103" s="31"/>
      <c r="D103" s="31"/>
      <c r="E103" s="31"/>
      <c r="F103" s="31"/>
      <c r="G103" s="31">
        <f>SUM([2]T6!$C$41:$C$42)</f>
        <v>28290.797925940002</v>
      </c>
      <c r="H103" s="31">
        <v>23277.033257341456</v>
      </c>
      <c r="I103" s="31">
        <v>27322.836046693559</v>
      </c>
      <c r="J103" s="31">
        <v>28542.580615903749</v>
      </c>
      <c r="K103" s="31">
        <v>23358.380584547071</v>
      </c>
      <c r="L103" s="37">
        <f t="shared" si="5"/>
        <v>26158.325686085165</v>
      </c>
    </row>
    <row r="104" spans="1:12" x14ac:dyDescent="0.25">
      <c r="A104" s="32" t="s">
        <v>54</v>
      </c>
      <c r="B104" s="31"/>
      <c r="C104" s="31"/>
      <c r="D104" s="31"/>
      <c r="E104" s="31"/>
      <c r="F104" s="31"/>
      <c r="G104" s="31"/>
      <c r="H104" s="31"/>
      <c r="I104" s="31">
        <v>4675.351396424011</v>
      </c>
      <c r="J104" s="31">
        <v>3357.1419479199508</v>
      </c>
      <c r="K104" s="31">
        <v>3926.9895078880736</v>
      </c>
      <c r="L104" s="37">
        <f t="shared" si="5"/>
        <v>3986.4942840773451</v>
      </c>
    </row>
    <row r="105" spans="1:12" x14ac:dyDescent="0.25">
      <c r="A105" s="32" t="s">
        <v>32</v>
      </c>
      <c r="B105" s="31">
        <v>2318</v>
      </c>
      <c r="C105" s="31">
        <v>2798</v>
      </c>
      <c r="D105" s="31">
        <v>1668</v>
      </c>
      <c r="E105" s="31">
        <v>3115.4754153305125</v>
      </c>
      <c r="F105" s="31">
        <v>1352.8699500497387</v>
      </c>
      <c r="G105" s="31">
        <v>2972.0924730900001</v>
      </c>
      <c r="H105" s="31">
        <v>2543.5652862242559</v>
      </c>
      <c r="I105" s="31">
        <v>1833.7627295971947</v>
      </c>
      <c r="J105" s="31">
        <v>1969.9099092081146</v>
      </c>
      <c r="K105" s="31">
        <v>1606.1057505174533</v>
      </c>
      <c r="L105" s="37">
        <f t="shared" si="5"/>
        <v>2217.778151401727</v>
      </c>
    </row>
    <row r="106" spans="1:12" x14ac:dyDescent="0.25">
      <c r="A106" s="32" t="s">
        <v>33</v>
      </c>
      <c r="B106" s="31">
        <v>13329</v>
      </c>
      <c r="C106" s="31">
        <v>9279</v>
      </c>
      <c r="D106" s="31">
        <v>6786</v>
      </c>
      <c r="E106" s="31">
        <v>9590.5072978239277</v>
      </c>
      <c r="F106" s="31">
        <v>8394.7216537464956</v>
      </c>
      <c r="G106" s="31">
        <v>5973.9411537800033</v>
      </c>
      <c r="H106" s="31">
        <v>3224.6295357284384</v>
      </c>
      <c r="I106" s="31">
        <v>4618.6799316729894</v>
      </c>
      <c r="J106" s="31">
        <v>4570.2111747962226</v>
      </c>
      <c r="K106" s="31">
        <v>3335.5846240137944</v>
      </c>
      <c r="L106" s="37">
        <f t="shared" si="5"/>
        <v>6910.2275371561864</v>
      </c>
    </row>
    <row r="107" spans="1:12" x14ac:dyDescent="0.25">
      <c r="A107" s="32" t="s">
        <v>34</v>
      </c>
      <c r="B107" s="31">
        <v>22683</v>
      </c>
      <c r="C107" s="31">
        <v>20849</v>
      </c>
      <c r="D107" s="31">
        <v>20224</v>
      </c>
      <c r="E107" s="31">
        <v>16930.596620258686</v>
      </c>
      <c r="F107" s="31">
        <v>21051.876478993876</v>
      </c>
      <c r="G107" s="31">
        <v>19321.248941150006</v>
      </c>
      <c r="H107" s="31">
        <v>19094.790621620141</v>
      </c>
      <c r="I107" s="31">
        <v>18520.116796440467</v>
      </c>
      <c r="J107" s="31">
        <v>17351.505789410909</v>
      </c>
      <c r="K107" s="31">
        <v>14261.933188276513</v>
      </c>
      <c r="L107" s="37">
        <f t="shared" si="5"/>
        <v>19028.806843615057</v>
      </c>
    </row>
    <row r="108" spans="1:12" x14ac:dyDescent="0.25">
      <c r="A108" s="33" t="s">
        <v>13</v>
      </c>
      <c r="B108" s="31">
        <f>SUM(B70:B107)</f>
        <v>2638855</v>
      </c>
      <c r="C108" s="31">
        <f t="shared" ref="C108:J108" si="6">SUM(C70:C107)</f>
        <v>2617281</v>
      </c>
      <c r="D108" s="31">
        <f t="shared" si="6"/>
        <v>2694054</v>
      </c>
      <c r="E108" s="31">
        <f t="shared" si="6"/>
        <v>2522234.8359707333</v>
      </c>
      <c r="F108" s="31">
        <f t="shared" si="6"/>
        <v>2603102.7412192184</v>
      </c>
      <c r="G108" s="31">
        <f t="shared" si="6"/>
        <v>2768423.2720697508</v>
      </c>
      <c r="H108" s="31">
        <f t="shared" si="6"/>
        <v>2665553.3519984465</v>
      </c>
      <c r="I108" s="31">
        <f t="shared" si="6"/>
        <v>2452711.2888226495</v>
      </c>
      <c r="J108" s="31">
        <f t="shared" si="6"/>
        <v>2516529.3348831222</v>
      </c>
      <c r="K108" s="31">
        <f>SUM(K70:K107)</f>
        <v>2319263.9764246647</v>
      </c>
      <c r="L108" s="37">
        <f t="shared" si="5"/>
        <v>2579800.8801388587</v>
      </c>
    </row>
    <row r="109" spans="1:12" x14ac:dyDescent="0.25">
      <c r="K109" s="21"/>
    </row>
    <row r="110" spans="1:12" x14ac:dyDescent="0.25">
      <c r="K110" s="21"/>
    </row>
    <row r="111" spans="1:12" x14ac:dyDescent="0.25">
      <c r="K111" s="21"/>
    </row>
    <row r="112" spans="1:12" x14ac:dyDescent="0.25">
      <c r="K112" s="21"/>
    </row>
    <row r="113" spans="11:11" x14ac:dyDescent="0.25">
      <c r="K113" s="21"/>
    </row>
    <row r="114" spans="11:11" x14ac:dyDescent="0.25">
      <c r="K114" s="21"/>
    </row>
    <row r="115" spans="11:11" x14ac:dyDescent="0.25">
      <c r="K115" s="21"/>
    </row>
    <row r="116" spans="11:11" x14ac:dyDescent="0.25">
      <c r="K116" s="21"/>
    </row>
  </sheetData>
  <sortState ref="A2:L14">
    <sortCondition ref="A2"/>
  </sortState>
  <conditionalFormatting sqref="L2:L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:L6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J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J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K6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K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J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J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J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K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K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K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K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K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:L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Normal="100" workbookViewId="0">
      <selection activeCell="J10" sqref="J10"/>
    </sheetView>
  </sheetViews>
  <sheetFormatPr baseColWidth="10" defaultRowHeight="15" x14ac:dyDescent="0.25"/>
  <cols>
    <col min="1" max="1" width="6.42578125" customWidth="1"/>
    <col min="5" max="5" width="12.7109375" bestFit="1" customWidth="1"/>
    <col min="6" max="6" width="11.5703125" bestFit="1" customWidth="1"/>
    <col min="9" max="9" width="9.42578125" bestFit="1" customWidth="1"/>
    <col min="10" max="10" width="10.5703125" bestFit="1" customWidth="1"/>
    <col min="15" max="16" width="13.28515625" bestFit="1" customWidth="1"/>
  </cols>
  <sheetData>
    <row r="1" spans="1:16" x14ac:dyDescent="0.25">
      <c r="D1" s="10"/>
    </row>
    <row r="2" spans="1:16" ht="48" x14ac:dyDescent="0.25">
      <c r="A2" s="1" t="s">
        <v>0</v>
      </c>
      <c r="B2" s="1" t="s">
        <v>14</v>
      </c>
      <c r="C2" s="1" t="s">
        <v>15</v>
      </c>
      <c r="D2" s="8" t="s">
        <v>12</v>
      </c>
      <c r="E2" s="8" t="s">
        <v>10</v>
      </c>
      <c r="F2" s="8" t="s">
        <v>11</v>
      </c>
      <c r="G2" s="1" t="s">
        <v>3</v>
      </c>
      <c r="H2" s="1" t="s">
        <v>4</v>
      </c>
      <c r="I2" s="1" t="s">
        <v>1</v>
      </c>
      <c r="J2" s="1" t="s">
        <v>2</v>
      </c>
      <c r="L2" s="12"/>
      <c r="M2" s="13"/>
      <c r="N2" s="13"/>
      <c r="O2" s="12"/>
      <c r="P2" s="12"/>
    </row>
    <row r="3" spans="1:16" x14ac:dyDescent="0.25">
      <c r="A3" s="4">
        <v>2009</v>
      </c>
      <c r="B3" s="2">
        <f>'HECTAREAS PLANTADAS MSE'!B32</f>
        <v>335426</v>
      </c>
      <c r="C3" s="2">
        <f>'HECTAREAS PLANTADAS MSE'!B65</f>
        <v>6313</v>
      </c>
      <c r="D3" s="3">
        <v>3.79</v>
      </c>
      <c r="E3" s="11">
        <f>D3*B3/1000</f>
        <v>1271.2645400000001</v>
      </c>
      <c r="F3" s="11">
        <f>D3*C3/1000</f>
        <v>23.926269999999999</v>
      </c>
      <c r="G3" s="3"/>
      <c r="H3" s="3"/>
      <c r="I3" s="5"/>
      <c r="J3" s="5"/>
      <c r="L3" s="12"/>
      <c r="M3" s="14"/>
      <c r="N3" s="14"/>
      <c r="O3" s="12"/>
      <c r="P3" s="15"/>
    </row>
    <row r="4" spans="1:16" x14ac:dyDescent="0.25">
      <c r="A4" s="4">
        <v>2010</v>
      </c>
      <c r="B4" s="2">
        <f>'HECTAREAS PLANTADAS MSE'!C32</f>
        <v>324770</v>
      </c>
      <c r="C4" s="2">
        <f>'HECTAREAS PLANTADAS MSE'!C65</f>
        <v>6321</v>
      </c>
      <c r="D4" s="3">
        <v>12.27</v>
      </c>
      <c r="E4" s="11">
        <f t="shared" ref="E4:E10" si="0">D4*B4/1000</f>
        <v>3984.9278999999997</v>
      </c>
      <c r="F4" s="11">
        <f t="shared" ref="F4:F10" si="1">D4*C4/1000</f>
        <v>77.558669999999992</v>
      </c>
      <c r="G4" s="3"/>
      <c r="H4" s="3"/>
      <c r="I4" s="5"/>
      <c r="J4" s="5"/>
      <c r="L4" s="12"/>
      <c r="M4" s="14"/>
      <c r="N4" s="14"/>
      <c r="O4" s="12"/>
      <c r="P4" s="15"/>
    </row>
    <row r="5" spans="1:16" x14ac:dyDescent="0.25">
      <c r="A5" s="4">
        <v>2011</v>
      </c>
      <c r="B5" s="2">
        <f>'HECTAREAS PLANTADAS MSE'!D32</f>
        <v>333349</v>
      </c>
      <c r="C5" s="2">
        <f>'HECTAREAS PLANTADAS MSE'!D65</f>
        <v>9438</v>
      </c>
      <c r="D5" s="3">
        <v>6.91</v>
      </c>
      <c r="E5" s="11">
        <f t="shared" si="0"/>
        <v>2303.4415899999999</v>
      </c>
      <c r="F5" s="11">
        <f t="shared" si="1"/>
        <v>65.216580000000008</v>
      </c>
      <c r="G5" s="3"/>
      <c r="H5" s="3"/>
      <c r="I5" s="5"/>
      <c r="J5" s="5"/>
      <c r="L5" s="12"/>
      <c r="M5" s="14"/>
      <c r="N5" s="14"/>
      <c r="O5" s="12"/>
      <c r="P5" s="15"/>
    </row>
    <row r="6" spans="1:16" x14ac:dyDescent="0.25">
      <c r="A6" s="4">
        <v>2012</v>
      </c>
      <c r="B6" s="2">
        <f>'HECTAREAS PLANTADAS MSE'!E32</f>
        <v>305977</v>
      </c>
      <c r="C6" s="2">
        <f>'HECTAREAS PLANTADAS MSE'!E65</f>
        <v>6973</v>
      </c>
      <c r="D6" s="3">
        <v>4.53</v>
      </c>
      <c r="E6" s="11">
        <f t="shared" si="0"/>
        <v>1386.07581</v>
      </c>
      <c r="F6" s="11">
        <f>D6*C6/1000</f>
        <v>31.587690000000002</v>
      </c>
      <c r="G6" s="3"/>
      <c r="H6" s="3"/>
      <c r="I6" s="5"/>
      <c r="J6" s="5"/>
      <c r="L6" s="12"/>
      <c r="M6" s="14"/>
      <c r="N6" s="14"/>
      <c r="O6" s="12"/>
      <c r="P6" s="15"/>
    </row>
    <row r="7" spans="1:16" x14ac:dyDescent="0.25">
      <c r="A7" s="4">
        <v>2013</v>
      </c>
      <c r="B7" s="2">
        <f>'HECTAREAS PLANTADAS MSE'!F32</f>
        <v>312981</v>
      </c>
      <c r="C7" s="2">
        <f>'HECTAREAS PLANTADAS MSE'!F65</f>
        <v>8039</v>
      </c>
      <c r="D7" s="3">
        <v>2.4300000000000002</v>
      </c>
      <c r="E7" s="11">
        <f t="shared" si="0"/>
        <v>760.54383000000007</v>
      </c>
      <c r="F7" s="11">
        <f t="shared" si="1"/>
        <v>19.534770000000002</v>
      </c>
      <c r="G7" s="3">
        <v>-362.03</v>
      </c>
      <c r="H7" s="3">
        <v>-5.4753999999999996</v>
      </c>
      <c r="I7" s="5">
        <v>-1</v>
      </c>
      <c r="J7" s="5">
        <v>-1</v>
      </c>
      <c r="L7" s="12"/>
      <c r="M7" s="14"/>
      <c r="N7" s="14"/>
      <c r="O7" s="12"/>
      <c r="P7" s="15"/>
    </row>
    <row r="8" spans="1:16" x14ac:dyDescent="0.25">
      <c r="A8" s="4">
        <v>2014</v>
      </c>
      <c r="B8" s="2">
        <f>'HECTAREAS PLANTADAS MSE'!G32</f>
        <v>311901</v>
      </c>
      <c r="C8" s="2">
        <f>'HECTAREAS PLANTADAS MSE'!G65</f>
        <v>10056</v>
      </c>
      <c r="D8" s="3">
        <v>4.45</v>
      </c>
      <c r="E8" s="11">
        <f t="shared" si="0"/>
        <v>1387.9594500000001</v>
      </c>
      <c r="F8" s="11">
        <f t="shared" si="1"/>
        <v>44.749200000000002</v>
      </c>
      <c r="G8" s="3">
        <v>-673.68</v>
      </c>
      <c r="H8" s="3">
        <v>-11.13</v>
      </c>
      <c r="I8" s="5">
        <f>G8/E4*5</f>
        <v>-0.84528505522019615</v>
      </c>
      <c r="J8" s="5">
        <f t="shared" ref="J8:J10" si="2">H8/F4*5</f>
        <v>-0.71752132933687496</v>
      </c>
      <c r="L8" s="12"/>
      <c r="M8" s="14"/>
      <c r="N8" s="14"/>
      <c r="O8" s="12"/>
      <c r="P8" s="15"/>
    </row>
    <row r="9" spans="1:16" x14ac:dyDescent="0.25">
      <c r="A9" s="4">
        <v>2015</v>
      </c>
      <c r="B9" s="2">
        <f>'HECTAREAS PLANTADAS MSE'!H32</f>
        <v>713580</v>
      </c>
      <c r="C9" s="2">
        <f>'HECTAREAS PLANTADAS MSE'!H65</f>
        <v>4842</v>
      </c>
      <c r="D9" s="3">
        <v>11.98</v>
      </c>
      <c r="E9" s="11">
        <f t="shared" si="0"/>
        <v>8548.6884000000009</v>
      </c>
      <c r="F9" s="11">
        <f t="shared" si="1"/>
        <v>58.007160000000006</v>
      </c>
      <c r="G9" s="3">
        <v>1249.2</v>
      </c>
      <c r="H9" s="3">
        <v>-0.12570000000000001</v>
      </c>
      <c r="I9" s="5">
        <v>1</v>
      </c>
      <c r="J9" s="5">
        <f>H9/F5*5</f>
        <v>-9.6371198857713777E-3</v>
      </c>
      <c r="L9" s="12"/>
      <c r="M9" s="14"/>
      <c r="N9" s="14"/>
      <c r="O9" s="12"/>
      <c r="P9" s="15"/>
    </row>
    <row r="10" spans="1:16" x14ac:dyDescent="0.25">
      <c r="A10" s="4">
        <v>2016</v>
      </c>
      <c r="B10" s="2">
        <f>'HECTAREAS PLANTADAS MSE'!I32</f>
        <v>347672</v>
      </c>
      <c r="C10" s="2">
        <f>'HECTAREAS PLANTADAS MSE'!I65</f>
        <v>6584</v>
      </c>
      <c r="D10" s="3">
        <v>12.36</v>
      </c>
      <c r="E10" s="11">
        <f t="shared" si="0"/>
        <v>4297.2259199999999</v>
      </c>
      <c r="F10" s="11">
        <f t="shared" si="1"/>
        <v>81.378239999999991</v>
      </c>
      <c r="G10" s="3">
        <v>1361</v>
      </c>
      <c r="H10" s="3">
        <v>-0.12570000000000001</v>
      </c>
      <c r="I10" s="5">
        <v>1</v>
      </c>
      <c r="J10" s="5">
        <f t="shared" si="2"/>
        <v>-1.9896991517898269E-2</v>
      </c>
      <c r="L10" s="12"/>
      <c r="M10" s="14"/>
      <c r="N10" s="14"/>
      <c r="O10" s="12"/>
      <c r="P10" s="15"/>
    </row>
    <row r="11" spans="1:16" x14ac:dyDescent="0.25">
      <c r="I11" s="9"/>
      <c r="J11" s="9"/>
      <c r="P11" s="9"/>
    </row>
    <row r="13" spans="1:16" x14ac:dyDescent="0.25">
      <c r="O13" s="16"/>
      <c r="P13" s="16"/>
    </row>
    <row r="14" spans="1:16" x14ac:dyDescent="0.25">
      <c r="O14" s="16"/>
      <c r="P14" s="16"/>
    </row>
    <row r="15" spans="1:16" x14ac:dyDescent="0.25">
      <c r="O15" s="16"/>
      <c r="P15" s="16"/>
    </row>
    <row r="16" spans="1:16" x14ac:dyDescent="0.25">
      <c r="O16" s="16"/>
      <c r="P16" s="16"/>
    </row>
    <row r="17" spans="15:16" x14ac:dyDescent="0.25">
      <c r="O17" s="16"/>
      <c r="P17" s="16"/>
    </row>
    <row r="18" spans="15:16" x14ac:dyDescent="0.25">
      <c r="O18" s="16"/>
      <c r="P18" s="16"/>
    </row>
    <row r="19" spans="15:16" x14ac:dyDescent="0.25">
      <c r="O19" s="16"/>
      <c r="P19" s="16"/>
    </row>
    <row r="20" spans="15:16" x14ac:dyDescent="0.25">
      <c r="O20" s="16"/>
      <c r="P20" s="16"/>
    </row>
    <row r="21" spans="15:16" x14ac:dyDescent="0.25">
      <c r="O21" s="16"/>
      <c r="P21" s="16"/>
    </row>
    <row r="22" spans="15:16" x14ac:dyDescent="0.25">
      <c r="O22" s="16"/>
      <c r="P22" s="16"/>
    </row>
    <row r="23" spans="15:16" x14ac:dyDescent="0.25">
      <c r="O23" s="16"/>
      <c r="P23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J33" sqref="J33"/>
    </sheetView>
  </sheetViews>
  <sheetFormatPr baseColWidth="10" defaultRowHeight="15" x14ac:dyDescent="0.25"/>
  <sheetData>
    <row r="1" spans="1:3" x14ac:dyDescent="0.25">
      <c r="A1" s="7" t="s">
        <v>5</v>
      </c>
      <c r="B1" s="7" t="s">
        <v>6</v>
      </c>
      <c r="C1" s="7" t="s">
        <v>7</v>
      </c>
    </row>
    <row r="2" spans="1:3" x14ac:dyDescent="0.25">
      <c r="A2" s="3">
        <v>6</v>
      </c>
      <c r="B2" s="3">
        <v>2013</v>
      </c>
      <c r="C2" s="5">
        <f>'cw_chemical_trend MSE'!J7</f>
        <v>-1</v>
      </c>
    </row>
    <row r="3" spans="1:3" x14ac:dyDescent="0.25">
      <c r="A3" s="3">
        <v>6</v>
      </c>
      <c r="B3" s="3">
        <v>2014</v>
      </c>
      <c r="C3" s="5">
        <f>'cw_chemical_trend MSE'!J8</f>
        <v>-0.71752132933687496</v>
      </c>
    </row>
    <row r="4" spans="1:3" x14ac:dyDescent="0.25">
      <c r="A4" s="3">
        <v>6</v>
      </c>
      <c r="B4" s="3">
        <v>2015</v>
      </c>
      <c r="C4" s="5">
        <f>'cw_chemical_trend MSE'!J9</f>
        <v>-9.6371198857713777E-3</v>
      </c>
    </row>
    <row r="5" spans="1:3" x14ac:dyDescent="0.25">
      <c r="A5" s="3">
        <v>6</v>
      </c>
      <c r="B5" s="3">
        <v>2016</v>
      </c>
      <c r="C5" s="5">
        <f>'cw_chemical_trend MSE'!J10</f>
        <v>-1.9896991517898269E-2</v>
      </c>
    </row>
    <row r="6" spans="1:3" x14ac:dyDescent="0.25">
      <c r="A6" s="3">
        <v>7</v>
      </c>
      <c r="B6" s="3">
        <v>2013</v>
      </c>
      <c r="C6" s="5">
        <f>'cw_chemical_trend MSE'!I7</f>
        <v>-1</v>
      </c>
    </row>
    <row r="7" spans="1:3" x14ac:dyDescent="0.25">
      <c r="A7" s="3">
        <v>7</v>
      </c>
      <c r="B7" s="3">
        <v>2014</v>
      </c>
      <c r="C7" s="5">
        <f>'cw_chemical_trend MSE'!I8</f>
        <v>-0.84528505522019615</v>
      </c>
    </row>
    <row r="8" spans="1:3" x14ac:dyDescent="0.25">
      <c r="A8" s="3">
        <v>7</v>
      </c>
      <c r="B8" s="3">
        <v>2015</v>
      </c>
      <c r="C8" s="5">
        <f>'cw_chemical_trend MSE'!I9</f>
        <v>1</v>
      </c>
    </row>
    <row r="9" spans="1:3" x14ac:dyDescent="0.25">
      <c r="A9" s="3">
        <v>7</v>
      </c>
      <c r="B9" s="3">
        <v>2016</v>
      </c>
      <c r="C9" s="5">
        <f>'cw_chemical_trend MSE'!I10</f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FAO PESTICIDAS</vt:lpstr>
      <vt:lpstr>HECTAREAS PLANTADAS MSE</vt:lpstr>
      <vt:lpstr>cw_chemical_trend MSE</vt:lpstr>
      <vt:lpstr>cw_chemical_trend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H&amp;HProyectos</cp:lastModifiedBy>
  <dcterms:created xsi:type="dcterms:W3CDTF">2019-03-29T21:19:49Z</dcterms:created>
  <dcterms:modified xsi:type="dcterms:W3CDTF">2019-10-03T17:05:24Z</dcterms:modified>
</cp:coreProperties>
</file>