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GoogleDriveMelbourneUni\Research\BW4T\GOAL\GOALagents\BW4T2\logfiles\"/>
    </mc:Choice>
  </mc:AlternateContent>
  <bookViews>
    <workbookView xWindow="0" yWindow="0" windowWidth="18045" windowHeight="768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5" i="1" l="1"/>
  <c r="E145" i="1"/>
  <c r="G144" i="1"/>
  <c r="G133" i="1"/>
  <c r="G139" i="1"/>
  <c r="G142" i="1"/>
  <c r="G138" i="1"/>
  <c r="G136" i="1"/>
  <c r="I124" i="1" l="1"/>
  <c r="G124" i="1"/>
  <c r="E124" i="1"/>
  <c r="I123" i="1" l="1"/>
  <c r="I122" i="1"/>
  <c r="I121" i="1"/>
  <c r="I120" i="1"/>
  <c r="I118" i="1"/>
  <c r="I117" i="1"/>
  <c r="G55" i="1"/>
  <c r="E55" i="1"/>
  <c r="I76" i="1" l="1"/>
  <c r="I66" i="1"/>
  <c r="I46" i="1"/>
  <c r="I45" i="1"/>
  <c r="I44" i="1"/>
  <c r="I43" i="1"/>
  <c r="I47" i="1" s="1"/>
  <c r="I42" i="1"/>
  <c r="I41" i="1"/>
  <c r="I35" i="1"/>
  <c r="I34" i="1"/>
  <c r="I33" i="1"/>
  <c r="I32" i="1"/>
  <c r="I36" i="1" s="1"/>
  <c r="I26" i="1"/>
  <c r="I25" i="1"/>
  <c r="I24" i="1"/>
  <c r="I23" i="1"/>
  <c r="I27" i="1" s="1"/>
  <c r="I17" i="1"/>
  <c r="I16" i="1"/>
  <c r="I15" i="1"/>
  <c r="I14" i="1"/>
  <c r="I18" i="1" s="1"/>
  <c r="I8" i="1"/>
  <c r="I7" i="1"/>
  <c r="I6" i="1"/>
  <c r="I5" i="1"/>
  <c r="I9" i="1" s="1"/>
  <c r="I84" i="1"/>
  <c r="I83" i="1"/>
  <c r="I82" i="1"/>
  <c r="I81" i="1"/>
  <c r="I85" i="1" s="1"/>
  <c r="I94" i="1"/>
  <c r="I93" i="1"/>
  <c r="I91" i="1"/>
  <c r="I90" i="1"/>
  <c r="I102" i="1"/>
  <c r="I101" i="1"/>
  <c r="I100" i="1"/>
  <c r="I99" i="1"/>
  <c r="I103" i="1" s="1"/>
  <c r="I111" i="1"/>
  <c r="I110" i="1"/>
  <c r="I109" i="1"/>
  <c r="I108" i="1"/>
  <c r="I112" i="1" s="1"/>
  <c r="G112" i="1"/>
  <c r="G103" i="1"/>
  <c r="G94" i="1"/>
  <c r="G85" i="1"/>
  <c r="G76" i="1"/>
  <c r="G66" i="1"/>
  <c r="G47" i="1"/>
  <c r="G36" i="1"/>
  <c r="G27" i="1"/>
  <c r="G18" i="1"/>
  <c r="G9" i="1"/>
  <c r="E94" i="1"/>
  <c r="E112" i="1"/>
  <c r="E103" i="1"/>
  <c r="E85" i="1" l="1"/>
  <c r="E76" i="1"/>
  <c r="E36" i="1"/>
  <c r="E47" i="1"/>
  <c r="E27" i="1"/>
  <c r="E18" i="1"/>
  <c r="E9" i="1"/>
</calcChain>
</file>

<file path=xl/sharedStrings.xml><?xml version="1.0" encoding="utf-8"?>
<sst xmlns="http://schemas.openxmlformats.org/spreadsheetml/2006/main" count="529" uniqueCount="238">
  <si>
    <t>Baseline - 3 agents, 4 red blocks</t>
  </si>
  <si>
    <t>55,24,0</t>
  </si>
  <si>
    <t>51,24,0</t>
  </si>
  <si>
    <t>56,24,0</t>
  </si>
  <si>
    <t>40,24,0</t>
  </si>
  <si>
    <t>Baseline - 3 agents, 2 red blocks, 2 orange blocks</t>
  </si>
  <si>
    <t>14,26,19</t>
  </si>
  <si>
    <t>28,25,21</t>
  </si>
  <si>
    <t>28,24,21</t>
  </si>
  <si>
    <t>21,25,25</t>
  </si>
  <si>
    <t>Baseline - 4 agents, 4 red blocks</t>
  </si>
  <si>
    <t>78,48,0</t>
  </si>
  <si>
    <t>60,49,0</t>
  </si>
  <si>
    <t>60,48,0</t>
  </si>
  <si>
    <t>79,49,0</t>
  </si>
  <si>
    <t>Baseline - 4 agents, 2 red blocks, 2 orange blocks</t>
  </si>
  <si>
    <t>38,50,41</t>
  </si>
  <si>
    <t>35,48,49</t>
  </si>
  <si>
    <t>39,49,39</t>
  </si>
  <si>
    <t>40,49,40</t>
  </si>
  <si>
    <t>Stretcher Handover 4 agents 2 red blocks, 2 orange blocks</t>
  </si>
  <si>
    <t>0,0,19</t>
  </si>
  <si>
    <t>0,0,20</t>
  </si>
  <si>
    <t>0,0,36</t>
  </si>
  <si>
    <t>0,0,38</t>
  </si>
  <si>
    <t>0,0,37</t>
  </si>
  <si>
    <t>Not sharing beliefs, sharing rescue completion 4 agents 2 red blocks,</t>
  </si>
  <si>
    <t>2 orange blocks. No delegation.</t>
  </si>
  <si>
    <t>0,36,39</t>
  </si>
  <si>
    <t>0,60,51</t>
  </si>
  <si>
    <t>2,0,1,1</t>
  </si>
  <si>
    <t>run3</t>
  </si>
  <si>
    <t>0,48,33</t>
  </si>
  <si>
    <t>0,48,35</t>
  </si>
  <si>
    <t>run1</t>
  </si>
  <si>
    <t>yes</t>
  </si>
  <si>
    <t>all</t>
  </si>
  <si>
    <t>11,7,7</t>
  </si>
  <si>
    <t>run2</t>
  </si>
  <si>
    <t>8,8,11</t>
  </si>
  <si>
    <t>9,10,12</t>
  </si>
  <si>
    <t>run4</t>
  </si>
  <si>
    <t>9,8,9</t>
  </si>
  <si>
    <t>9,8,3</t>
  </si>
  <si>
    <t>9,9,13</t>
  </si>
  <si>
    <t>9,11,6</t>
  </si>
  <si>
    <t>6,4,7</t>
  </si>
  <si>
    <t>9,3,3,7</t>
  </si>
  <si>
    <t>6,4,9,4</t>
  </si>
  <si>
    <t>10,8,7,9</t>
  </si>
  <si>
    <t>4,4,4,6</t>
  </si>
  <si>
    <t>7,5,6,2</t>
  </si>
  <si>
    <t>6,3,6,4</t>
  </si>
  <si>
    <t>5,4,11,3</t>
  </si>
  <si>
    <t>9,14,7,2</t>
  </si>
  <si>
    <t>Success</t>
  </si>
  <si>
    <t>Awareness</t>
  </si>
  <si>
    <t>Time</t>
  </si>
  <si>
    <t>Communication</t>
  </si>
  <si>
    <t>4,9,4,6</t>
  </si>
  <si>
    <t xml:space="preserve">36,48,53 </t>
  </si>
  <si>
    <t>stretcher(delegated to officer3)</t>
  </si>
  <si>
    <t>5,3,9,6</t>
  </si>
  <si>
    <t>Efficiency</t>
  </si>
  <si>
    <t>none</t>
  </si>
  <si>
    <t>37,48,46</t>
  </si>
  <si>
    <t>5,2,8,6</t>
  </si>
  <si>
    <t xml:space="preserve">36,48,47 </t>
  </si>
  <si>
    <t>8,5,10,6</t>
  </si>
  <si>
    <t>33,48,39</t>
  </si>
  <si>
    <t>run5</t>
  </si>
  <si>
    <t>8,7,7,3</t>
  </si>
  <si>
    <t xml:space="preserve">30,48,51 </t>
  </si>
  <si>
    <t>run7</t>
  </si>
  <si>
    <t>5,9,3,6</t>
  </si>
  <si>
    <t xml:space="preserve">36,48,57 </t>
  </si>
  <si>
    <t>Medic1 sharing beliefs on reaching landmark state with officer1</t>
  </si>
  <si>
    <t>no</t>
  </si>
  <si>
    <t>incomplete</t>
  </si>
  <si>
    <t>4,4,6</t>
  </si>
  <si>
    <t>6,4,4</t>
  </si>
  <si>
    <t>4,6,14,4</t>
  </si>
  <si>
    <t>6,16,5,4</t>
  </si>
  <si>
    <t>-</t>
  </si>
  <si>
    <t>6,4,6,6</t>
  </si>
  <si>
    <t>11,12,12,8</t>
  </si>
  <si>
    <t>6,9,9,5</t>
  </si>
  <si>
    <t>7,9,13,10</t>
  </si>
  <si>
    <t>14,9,9,9</t>
  </si>
  <si>
    <t>16,5,4,4</t>
  </si>
  <si>
    <t>AVG</t>
  </si>
  <si>
    <t>crisismap3-4redblocks-3Medagents-allinOrgNoHandoverAllMedicsREAMedic</t>
  </si>
  <si>
    <t>crisismap4-3Medagents-allinOrgmedic3inRoleMedic</t>
  </si>
  <si>
    <t>crisismap3-4redblocks-4medagents-allinOrg</t>
  </si>
  <si>
    <t>crisismap4-4Medagents-allinOrgmedic3inRoleMedic</t>
  </si>
  <si>
    <t>crisismap4-4Medagents-allinOrgmedic2HandoverStretcherCarrying</t>
  </si>
  <si>
    <t>crisismap4-3Medagents-allinMedicOrgNotSharingBeliefs - not sharing location of injured with other medics, not sharing rescue completion, however medic1 shared with officer1 reached(injuredLocatedLmk) and officers then shared reached(injuredLocatedLmk) with all medics .. may be need to run this one again?</t>
  </si>
  <si>
    <t>Not sharing beliefs 3 agents 2 red blocks, 2 orange blocks. No delegation.</t>
  </si>
  <si>
    <t xml:space="preserve"> officer1AndMedic1AreInCombinedOrgAllMedicsinMedicOrgAllOfficersinOfficerOrg</t>
  </si>
  <si>
    <t>crisismap4-4Medagents-allinMedicOrgNotSharingBeliefs - duetonotsharingbeliefs someagents not aware when rescues complete so had outdated goals to do a stretcher rescue when all done</t>
  </si>
  <si>
    <t>% looks as if medics are sending message of reached(injuredRescuedLmk) to each other and officers are sending messsage of reached(injuredLocatedLmk) to medics - might need to run again</t>
  </si>
  <si>
    <t>Not sharing beliefs, sharing rescue completion 3 agents 2 red blocks, , 2 orange blocks. No delegation.</t>
  </si>
  <si>
    <t>crisismap4-3Medagents-allinMedicOrgNotSharingBeliefsButDoShareRescueCompletioninOrg</t>
  </si>
  <si>
    <t xml:space="preserve">run1 </t>
  </si>
  <si>
    <t xml:space="preserve"> yes </t>
  </si>
  <si>
    <t xml:space="preserve"> 0,24,22</t>
  </si>
  <si>
    <t xml:space="preserve"> 6,10,7</t>
  </si>
  <si>
    <t>2,1,1</t>
  </si>
  <si>
    <t>1,0,2,0</t>
  </si>
  <si>
    <t>1,1,2,0</t>
  </si>
  <si>
    <t>0,2,2,0</t>
  </si>
  <si>
    <t>1,2,1</t>
  </si>
  <si>
    <t xml:space="preserve">run2 </t>
  </si>
  <si>
    <t xml:space="preserve"> 0,24,22 </t>
  </si>
  <si>
    <t xml:space="preserve"> 7,5,11</t>
  </si>
  <si>
    <t>1,0,3</t>
  </si>
  <si>
    <t>%run3 &amp; stalled no progress, unclear why</t>
  </si>
  <si>
    <t xml:space="preserve">run4 </t>
  </si>
  <si>
    <t xml:space="preserve"> 153.391 7 </t>
  </si>
  <si>
    <t xml:space="preserve"> 0,24,25 </t>
  </si>
  <si>
    <t>0,2,2</t>
  </si>
  <si>
    <t xml:space="preserve"> 10,13,10</t>
  </si>
  <si>
    <t xml:space="preserve"> yes</t>
  </si>
  <si>
    <t>crisismap4-4Medagents-allinOrgmedic3NotinRoleMedicMedic3capableStretcherRescue</t>
  </si>
  <si>
    <t>Medic 3 not in role Medic but is in org. Sharing beliefs with other REAs in org. 4 agents 2 red blocks, 2 orange blocks. No delegation.</t>
  </si>
  <si>
    <t xml:space="preserve">run3 </t>
  </si>
  <si>
    <t xml:space="preserve"> 34,36,37</t>
  </si>
  <si>
    <t xml:space="preserve"> 28,41,36 </t>
  </si>
  <si>
    <t xml:space="preserve"> 34,41,31 </t>
  </si>
  <si>
    <t xml:space="preserve"> 24,41,43</t>
  </si>
  <si>
    <t>1,0,0,3</t>
  </si>
  <si>
    <t xml:space="preserve"> 1,0,0,3 m2 collision</t>
  </si>
  <si>
    <t>no sharing therefore of information between medics at org level</t>
  </si>
  <si>
    <t xml:space="preserve"> 13,5,10,4   </t>
  </si>
  <si>
    <t xml:space="preserve"> 3,2,5,9  </t>
  </si>
  <si>
    <t xml:space="preserve"> 11,10,10,12   </t>
  </si>
  <si>
    <t xml:space="preserve"> 11,3,8,6  </t>
  </si>
  <si>
    <t>Efficiency (rooms entered)</t>
  </si>
  <si>
    <t>Total no. rooms entered</t>
  </si>
  <si>
    <t xml:space="preserve">Communication </t>
  </si>
  <si>
    <t>%crisismap4-3Medagents-allinOrgmedic3NotinRoleMedicMedic3capableStretcherRescue</t>
  </si>
  <si>
    <t>Medic 3 not in role Medic but is in org. Sharing beliefs with other REAs in org. 3 agents 2 red blocks, 2 orange blocks. No delegation.</t>
  </si>
  <si>
    <t>no medics in org</t>
  </si>
  <si>
    <t xml:space="preserve"> 9,10,11</t>
  </si>
  <si>
    <t xml:space="preserve"> 9, 21, 23 </t>
  </si>
  <si>
    <t>1,0,0,</t>
  </si>
  <si>
    <t xml:space="preserve"> 11,9,7</t>
  </si>
  <si>
    <t xml:space="preserve"> 19,20,19 </t>
  </si>
  <si>
    <t xml:space="preserve"> 1,2,1 collision swap m1 m2</t>
  </si>
  <si>
    <t xml:space="preserve"> 7,9,9 </t>
  </si>
  <si>
    <t xml:space="preserve"> 21,21,22</t>
  </si>
  <si>
    <t xml:space="preserve"> 10,8,9 </t>
  </si>
  <si>
    <t xml:space="preserve">24,23,21 </t>
  </si>
  <si>
    <t xml:space="preserve"> 3,1,0 collision m2</t>
  </si>
  <si>
    <t>1,3,0 collision m3</t>
  </si>
  <si>
    <t>Sharing reaching landmark states</t>
  </si>
  <si>
    <t>% crisismap4-4MedagentsallinMedicOrgNotSharingBeliefsButDoShareRescueCompletioninOrg</t>
  </si>
  <si>
    <t>Not sharing beliefs, sharing rescue completion 4 agents 2 red blocks, 2 orange blocks. No delegation.</t>
  </si>
  <si>
    <t>one collision swap m3didredblockrscue m1 and m2 did stretcher rescue m3 did redblock then m3 seemed to stallinroomb2</t>
  </si>
  <si>
    <t>delegation</t>
  </si>
  <si>
    <t>crisismap3-4redblocks-3Medagents-allinOrgNoBeliefSharingNoRescueCompletnSharingAllMedicsREA</t>
  </si>
  <si>
    <t>4 red blocks - so no coordination of stretcher rescue required</t>
  </si>
  <si>
    <t>no officer org</t>
  </si>
  <si>
    <t>8,10,10</t>
  </si>
  <si>
    <t>0,0,0</t>
  </si>
  <si>
    <t>1,1,2</t>
  </si>
  <si>
    <t>agents are sharing reached lmk status</t>
  </si>
  <si>
    <t>m1didntknowofrescuesokepttryingtodoitbutwasstuckbecausem2wasintheroom  Itoldm2toleaveA1</t>
  </si>
  <si>
    <t>partial</t>
  </si>
  <si>
    <t>9,9,8</t>
  </si>
  <si>
    <t>9,11,9</t>
  </si>
  <si>
    <t xml:space="preserve">yes </t>
  </si>
  <si>
    <t>10,10,9</t>
  </si>
  <si>
    <t>medic agents have to notice themselves that  rescues are complete</t>
  </si>
  <si>
    <t>crisismap4-4Medagents-allinOrgNoHandoverMedic3NOTaREAtotestcapabilities</t>
  </si>
  <si>
    <t>crisismap4-4medagents-noOrgs</t>
  </si>
  <si>
    <t>crisismap4-3medagents-noOrgs</t>
  </si>
  <si>
    <t>first2runsOfficeragentsThoughtMedic3isREA and Medic4 is not REA so officer told m3 reached injuredlocated</t>
  </si>
  <si>
    <t xml:space="preserve"> </t>
  </si>
  <si>
    <t>run6</t>
  </si>
  <si>
    <t>11,6,5,7</t>
  </si>
  <si>
    <t>2,1,0,1</t>
  </si>
  <si>
    <t>26,27,35</t>
  </si>
  <si>
    <t>6,7,4,6</t>
  </si>
  <si>
    <t>1,2,0,1</t>
  </si>
  <si>
    <t>34,24,29</t>
  </si>
  <si>
    <t>8,7,4,6</t>
  </si>
  <si>
    <t>34,24,34</t>
  </si>
  <si>
    <t>3,1,0,0</t>
  </si>
  <si>
    <t>7,7,4,6</t>
  </si>
  <si>
    <t>33,24,39</t>
  </si>
  <si>
    <t>1,1,0,2</t>
  </si>
  <si>
    <t>2,4,6,10</t>
  </si>
  <si>
    <t>34,30,36</t>
  </si>
  <si>
    <t>0,1,0,2</t>
  </si>
  <si>
    <t>no m3 not up to date</t>
  </si>
  <si>
    <t>no partial m3 not up to date</t>
  </si>
  <si>
    <t>7,10,4,7</t>
  </si>
  <si>
    <t>34,24,42</t>
  </si>
  <si>
    <t>average run3-run6</t>
  </si>
  <si>
    <t>killed system after 178.374 as m3 still trying to enter a room that is blocked by another agent.</t>
  </si>
  <si>
    <t>CrisisMap-4-Coord4agents</t>
  </si>
  <si>
    <t>all officers are in OfficerOrg</t>
  </si>
  <si>
    <t>comment out line 12,20 in org_instance.pl so that there is no medicOrg, no combinedOrg</t>
  </si>
  <si>
    <t>added line 209,212 in aware_medic.goal so that medics outside an org can do stretcher rescue</t>
  </si>
  <si>
    <t>no medic3 ready for stretcher rescue but blocking room b2, all other agents want to get into b2 to locate injured</t>
  </si>
  <si>
    <t>3,3,4,3</t>
  </si>
  <si>
    <t>run0</t>
  </si>
  <si>
    <t>before run1 added rule to clear room if occupied collided and have a goal in(X), also added rules so that agents will adopt rescueStretcher goal based on capability or rea if not in org</t>
  </si>
  <si>
    <t>medic4 is  blocking room b2, m3 and m1 are trying to rescue orange block b2 - stalled. Added new rule line 918 in aware medic to have clear room if room blocked</t>
  </si>
  <si>
    <t>realised after run1 that agents with a shared plan need to tell partner when the rescue is complete, added  + send(O,rescued(Ag))  to ensure this will occur</t>
  </si>
  <si>
    <t>sort of worked but medic4 did a stretcher rescue with m3 but m3 did a red block rescue in the meantime while m4 waited in dropzone</t>
  </si>
  <si>
    <t>changed notice rule in aware medic line 327 so if onStretcher is true the agent will not notice a block having been removed from a room via a percept.</t>
  </si>
  <si>
    <t>no some agents still believe blocks need rescuing upon completion</t>
  </si>
  <si>
    <t>6,7,4,12</t>
  </si>
  <si>
    <t>deadlock with each agent proposing to different agent about potential rescues. No progress beyond search. It seems 2 agents both simultaneously proposed a different rescue with each other and then both thought they agreed but on different aSP.</t>
  </si>
  <si>
    <t>4,4,36,39</t>
  </si>
  <si>
    <t>3 rescues successful, then agent is blocking all others from rescue of 4th block. The blocking agent is frozen because still trying to set up a plan to rescue blocks that others have rescued already</t>
  </si>
  <si>
    <t>6,60,4,12</t>
  </si>
  <si>
    <t>run8</t>
  </si>
  <si>
    <t>run9</t>
  </si>
  <si>
    <t>run10</t>
  </si>
  <si>
    <t>3 rescues successful, then agent is blocking all others from rescue of 4th block. The blocking agent is frozen because believes  there are 3 injured blocks remaining, one o f which is orange still trying to set up a plan to rescue blocks that others have rescued already</t>
  </si>
  <si>
    <t>run11</t>
  </si>
  <si>
    <t>12,5,4,12</t>
  </si>
  <si>
    <t>2,0,0,2</t>
  </si>
  <si>
    <t>4,4,4,4</t>
  </si>
  <si>
    <t>no rescues</t>
  </si>
  <si>
    <t>0,0,0,0</t>
  </si>
  <si>
    <t>16,4,36,7</t>
  </si>
  <si>
    <t>4,9,12,6</t>
  </si>
  <si>
    <t>run12</t>
  </si>
  <si>
    <t>no two agents still believe blocks need rescuing upon completion</t>
  </si>
  <si>
    <t>6,10,9,6</t>
  </si>
  <si>
    <t>1,1,1,1</t>
  </si>
  <si>
    <t>2 stretcher rescues successful then agents seem confused, one agent trying to decide between which red block to rescue, other 2 agents with out of date beliefs trying to organise stretcher rescues. Eventually all rescued.</t>
  </si>
  <si>
    <t>73,6,7</t>
  </si>
  <si>
    <t>no deadlock between 2 agents who have 2 potential rescues agreed and one chooses one, the other chooses the other. No progress.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</si>
</sst>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 borderId="0" xfId="0" applyFill="1"/>
    <xf numFmtId="0" fontId="0" fillId="2" borderId="0" xfId="0" applyFill="1" applyAlignment="1">
      <alignment wrapText="1"/>
    </xf>
    <xf numFmtId="0" fontId="0" fillId="2"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53"/>
  <sheetViews>
    <sheetView tabSelected="1" topLeftCell="A139" workbookViewId="0">
      <selection activeCell="B150" sqref="B150"/>
    </sheetView>
  </sheetViews>
  <sheetFormatPr defaultRowHeight="15" x14ac:dyDescent="0.25"/>
  <cols>
    <col min="6" max="6" width="13.28515625" customWidth="1"/>
  </cols>
  <sheetData>
    <row r="1" spans="1:10" x14ac:dyDescent="0.25">
      <c r="A1" s="5" t="s">
        <v>91</v>
      </c>
      <c r="B1" s="5"/>
      <c r="C1" s="5"/>
      <c r="D1" s="5"/>
      <c r="E1" s="5"/>
      <c r="F1" s="5"/>
      <c r="G1" s="5"/>
    </row>
    <row r="2" spans="1:10" x14ac:dyDescent="0.25">
      <c r="B2" t="s">
        <v>55</v>
      </c>
      <c r="C2" t="s">
        <v>56</v>
      </c>
      <c r="E2" t="s">
        <v>57</v>
      </c>
      <c r="F2" t="s">
        <v>63</v>
      </c>
      <c r="H2" t="s">
        <v>58</v>
      </c>
    </row>
    <row r="3" spans="1:10" x14ac:dyDescent="0.25">
      <c r="A3" s="5" t="s">
        <v>0</v>
      </c>
    </row>
    <row r="4" spans="1:10" ht="45" x14ac:dyDescent="0.25">
      <c r="B4" t="s">
        <v>55</v>
      </c>
      <c r="C4" t="s">
        <v>56</v>
      </c>
      <c r="E4" t="s">
        <v>57</v>
      </c>
      <c r="F4" s="1" t="s">
        <v>137</v>
      </c>
      <c r="G4" s="1" t="s">
        <v>138</v>
      </c>
      <c r="H4" t="s">
        <v>139</v>
      </c>
      <c r="J4" t="s">
        <v>159</v>
      </c>
    </row>
    <row r="5" spans="1:10" x14ac:dyDescent="0.25">
      <c r="A5" t="s">
        <v>34</v>
      </c>
      <c r="B5" t="s">
        <v>35</v>
      </c>
      <c r="C5" t="s">
        <v>36</v>
      </c>
      <c r="D5">
        <v>3</v>
      </c>
      <c r="E5">
        <v>67.281000000000006</v>
      </c>
      <c r="F5" t="s">
        <v>37</v>
      </c>
      <c r="G5">
        <v>25</v>
      </c>
      <c r="H5" t="s">
        <v>1</v>
      </c>
      <c r="I5">
        <f>55+24</f>
        <v>79</v>
      </c>
    </row>
    <row r="6" spans="1:10" x14ac:dyDescent="0.25">
      <c r="A6" t="s">
        <v>38</v>
      </c>
      <c r="B6" t="s">
        <v>35</v>
      </c>
      <c r="C6" t="s">
        <v>36</v>
      </c>
      <c r="D6">
        <v>3</v>
      </c>
      <c r="E6">
        <v>75.635000000000005</v>
      </c>
      <c r="F6" t="s">
        <v>39</v>
      </c>
      <c r="G6">
        <v>27</v>
      </c>
      <c r="H6" t="s">
        <v>2</v>
      </c>
      <c r="I6">
        <f>51+24</f>
        <v>75</v>
      </c>
    </row>
    <row r="7" spans="1:10" x14ac:dyDescent="0.25">
      <c r="A7" t="s">
        <v>31</v>
      </c>
      <c r="B7" t="s">
        <v>35</v>
      </c>
      <c r="C7" t="s">
        <v>36</v>
      </c>
      <c r="D7">
        <v>3</v>
      </c>
      <c r="E7">
        <v>63.408000000000001</v>
      </c>
      <c r="F7" t="s">
        <v>40</v>
      </c>
      <c r="G7">
        <v>31</v>
      </c>
      <c r="H7" t="s">
        <v>3</v>
      </c>
      <c r="I7">
        <f>56+24</f>
        <v>80</v>
      </c>
    </row>
    <row r="8" spans="1:10" x14ac:dyDescent="0.25">
      <c r="A8" t="s">
        <v>41</v>
      </c>
      <c r="B8" t="s">
        <v>35</v>
      </c>
      <c r="C8" t="s">
        <v>36</v>
      </c>
      <c r="D8">
        <v>3</v>
      </c>
      <c r="E8">
        <v>78.736999999999995</v>
      </c>
      <c r="F8" t="s">
        <v>42</v>
      </c>
      <c r="G8">
        <v>26</v>
      </c>
      <c r="H8" t="s">
        <v>4</v>
      </c>
      <c r="I8">
        <f>40+24</f>
        <v>64</v>
      </c>
    </row>
    <row r="9" spans="1:10" x14ac:dyDescent="0.25">
      <c r="A9" s="5" t="s">
        <v>90</v>
      </c>
      <c r="B9" s="5"/>
      <c r="C9" s="5"/>
      <c r="D9" s="5"/>
      <c r="E9" s="5">
        <f>AVERAGE(E5:E8)</f>
        <v>71.265250000000009</v>
      </c>
      <c r="F9" s="5"/>
      <c r="G9" s="5">
        <f>ROUNDUP(AVERAGE(G5:G8),0)</f>
        <v>28</v>
      </c>
      <c r="H9" s="5"/>
      <c r="I9" s="5">
        <f>AVERAGE(I5:I8)</f>
        <v>74.5</v>
      </c>
    </row>
    <row r="11" spans="1:10" x14ac:dyDescent="0.25">
      <c r="A11" s="5" t="s">
        <v>92</v>
      </c>
      <c r="B11" s="5"/>
      <c r="C11" s="5"/>
      <c r="D11" s="5"/>
      <c r="E11" s="5"/>
      <c r="F11" s="5"/>
    </row>
    <row r="12" spans="1:10" x14ac:dyDescent="0.25">
      <c r="A12" s="5" t="s">
        <v>5</v>
      </c>
    </row>
    <row r="13" spans="1:10" ht="45" x14ac:dyDescent="0.25">
      <c r="B13" t="s">
        <v>55</v>
      </c>
      <c r="C13" t="s">
        <v>56</v>
      </c>
      <c r="E13" t="s">
        <v>57</v>
      </c>
      <c r="F13" s="1" t="s">
        <v>137</v>
      </c>
      <c r="G13" s="1" t="s">
        <v>138</v>
      </c>
      <c r="H13" t="s">
        <v>139</v>
      </c>
      <c r="J13" t="s">
        <v>159</v>
      </c>
    </row>
    <row r="14" spans="1:10" x14ac:dyDescent="0.25">
      <c r="A14" t="s">
        <v>34</v>
      </c>
      <c r="B14" t="s">
        <v>35</v>
      </c>
      <c r="C14" t="s">
        <v>35</v>
      </c>
      <c r="D14">
        <v>3</v>
      </c>
      <c r="E14">
        <v>110.914</v>
      </c>
      <c r="F14" t="s">
        <v>43</v>
      </c>
      <c r="G14">
        <v>20</v>
      </c>
      <c r="H14" t="s">
        <v>6</v>
      </c>
      <c r="I14">
        <f>14+26+19</f>
        <v>59</v>
      </c>
    </row>
    <row r="15" spans="1:10" x14ac:dyDescent="0.25">
      <c r="A15" t="s">
        <v>38</v>
      </c>
      <c r="B15" t="s">
        <v>35</v>
      </c>
      <c r="C15" t="s">
        <v>35</v>
      </c>
      <c r="D15">
        <v>3</v>
      </c>
      <c r="E15">
        <v>147.886</v>
      </c>
      <c r="F15" t="s">
        <v>44</v>
      </c>
      <c r="G15">
        <v>31</v>
      </c>
      <c r="H15" t="s">
        <v>7</v>
      </c>
      <c r="I15">
        <f>28+25+21</f>
        <v>74</v>
      </c>
    </row>
    <row r="16" spans="1:10" x14ac:dyDescent="0.25">
      <c r="A16" t="s">
        <v>31</v>
      </c>
      <c r="B16" t="s">
        <v>35</v>
      </c>
      <c r="C16" t="s">
        <v>35</v>
      </c>
      <c r="D16">
        <v>3</v>
      </c>
      <c r="E16">
        <v>116.369</v>
      </c>
      <c r="F16" t="s">
        <v>45</v>
      </c>
      <c r="G16">
        <v>26</v>
      </c>
      <c r="H16" t="s">
        <v>8</v>
      </c>
      <c r="I16">
        <f>28+24+21</f>
        <v>73</v>
      </c>
    </row>
    <row r="17" spans="1:10" x14ac:dyDescent="0.25">
      <c r="A17" t="s">
        <v>41</v>
      </c>
      <c r="B17" t="s">
        <v>35</v>
      </c>
      <c r="C17" t="s">
        <v>35</v>
      </c>
      <c r="D17">
        <v>3</v>
      </c>
      <c r="E17">
        <v>108.405</v>
      </c>
      <c r="F17" t="s">
        <v>46</v>
      </c>
      <c r="G17">
        <v>17</v>
      </c>
      <c r="H17" t="s">
        <v>9</v>
      </c>
      <c r="I17">
        <f>21+25+25</f>
        <v>71</v>
      </c>
    </row>
    <row r="18" spans="1:10" x14ac:dyDescent="0.25">
      <c r="A18" s="5" t="s">
        <v>90</v>
      </c>
      <c r="B18" s="5"/>
      <c r="C18" s="5"/>
      <c r="D18" s="5"/>
      <c r="E18" s="5">
        <f>AVERAGE(E14:E17)</f>
        <v>120.89349999999999</v>
      </c>
      <c r="F18" s="5"/>
      <c r="G18" s="5">
        <f>ROUNDUP(AVERAGE(G14:G17),0)</f>
        <v>24</v>
      </c>
      <c r="H18" s="5"/>
      <c r="I18" s="5">
        <f>AVERAGE(I14:I17)</f>
        <v>69.25</v>
      </c>
    </row>
    <row r="20" spans="1:10" x14ac:dyDescent="0.25">
      <c r="A20" s="5" t="s">
        <v>93</v>
      </c>
      <c r="B20" s="5"/>
      <c r="C20" s="5"/>
      <c r="D20" s="5"/>
      <c r="E20" s="5"/>
      <c r="F20" s="5"/>
    </row>
    <row r="21" spans="1:10" x14ac:dyDescent="0.25">
      <c r="A21" s="5" t="s">
        <v>10</v>
      </c>
    </row>
    <row r="22" spans="1:10" ht="45" x14ac:dyDescent="0.25">
      <c r="B22" t="s">
        <v>55</v>
      </c>
      <c r="C22" t="s">
        <v>56</v>
      </c>
      <c r="E22" t="s">
        <v>57</v>
      </c>
      <c r="F22" s="1" t="s">
        <v>137</v>
      </c>
      <c r="G22" s="1" t="s">
        <v>138</v>
      </c>
      <c r="H22" t="s">
        <v>139</v>
      </c>
      <c r="J22" t="s">
        <v>159</v>
      </c>
    </row>
    <row r="23" spans="1:10" x14ac:dyDescent="0.25">
      <c r="A23" t="s">
        <v>34</v>
      </c>
      <c r="B23" t="s">
        <v>35</v>
      </c>
      <c r="C23" t="s">
        <v>35</v>
      </c>
      <c r="D23">
        <v>4</v>
      </c>
      <c r="E23">
        <v>48.526000000000003</v>
      </c>
      <c r="F23" t="s">
        <v>47</v>
      </c>
      <c r="G23">
        <v>22</v>
      </c>
      <c r="H23" t="s">
        <v>11</v>
      </c>
      <c r="I23">
        <f>78+48</f>
        <v>126</v>
      </c>
    </row>
    <row r="24" spans="1:10" x14ac:dyDescent="0.25">
      <c r="A24" t="s">
        <v>38</v>
      </c>
      <c r="B24" t="s">
        <v>35</v>
      </c>
      <c r="C24" t="s">
        <v>35</v>
      </c>
      <c r="D24">
        <v>4</v>
      </c>
      <c r="E24">
        <v>40.418999999999997</v>
      </c>
      <c r="F24" t="s">
        <v>48</v>
      </c>
      <c r="G24">
        <v>23</v>
      </c>
      <c r="H24" t="s">
        <v>12</v>
      </c>
      <c r="I24">
        <f>60+49</f>
        <v>109</v>
      </c>
    </row>
    <row r="25" spans="1:10" x14ac:dyDescent="0.25">
      <c r="A25" t="s">
        <v>31</v>
      </c>
      <c r="B25" t="s">
        <v>35</v>
      </c>
      <c r="C25" t="s">
        <v>35</v>
      </c>
      <c r="D25">
        <v>4</v>
      </c>
      <c r="E25">
        <v>51.402999999999999</v>
      </c>
      <c r="F25" t="s">
        <v>49</v>
      </c>
      <c r="G25">
        <v>34</v>
      </c>
      <c r="H25" t="s">
        <v>13</v>
      </c>
      <c r="I25">
        <f>60+48</f>
        <v>108</v>
      </c>
    </row>
    <row r="26" spans="1:10" x14ac:dyDescent="0.25">
      <c r="A26" t="s">
        <v>41</v>
      </c>
      <c r="B26" t="s">
        <v>35</v>
      </c>
      <c r="C26" t="s">
        <v>35</v>
      </c>
      <c r="D26">
        <v>4</v>
      </c>
      <c r="E26">
        <v>35.777000000000001</v>
      </c>
      <c r="F26" t="s">
        <v>50</v>
      </c>
      <c r="G26">
        <v>18</v>
      </c>
      <c r="H26" t="s">
        <v>14</v>
      </c>
      <c r="I26">
        <f>79+49</f>
        <v>128</v>
      </c>
    </row>
    <row r="27" spans="1:10" x14ac:dyDescent="0.25">
      <c r="A27" s="5" t="s">
        <v>90</v>
      </c>
      <c r="B27" s="5"/>
      <c r="C27" s="5"/>
      <c r="D27" s="5"/>
      <c r="E27" s="5">
        <f>AVERAGE(E23:E26)</f>
        <v>44.03125</v>
      </c>
      <c r="F27" s="5"/>
      <c r="G27" s="5">
        <f>ROUNDUP(AVERAGE(G23:G26),0)</f>
        <v>25</v>
      </c>
      <c r="H27" s="5"/>
      <c r="I27" s="5">
        <f>AVERAGE(I23:I26)</f>
        <v>117.75</v>
      </c>
    </row>
    <row r="29" spans="1:10" x14ac:dyDescent="0.25">
      <c r="A29" s="5" t="s">
        <v>94</v>
      </c>
      <c r="B29" s="5"/>
      <c r="C29" s="5"/>
      <c r="D29" s="5"/>
      <c r="E29" s="5"/>
      <c r="F29" s="5"/>
    </row>
    <row r="30" spans="1:10" x14ac:dyDescent="0.25">
      <c r="A30" s="5" t="s">
        <v>15</v>
      </c>
    </row>
    <row r="31" spans="1:10" ht="45" x14ac:dyDescent="0.25">
      <c r="B31" t="s">
        <v>55</v>
      </c>
      <c r="C31" t="s">
        <v>56</v>
      </c>
      <c r="E31" t="s">
        <v>57</v>
      </c>
      <c r="F31" s="1" t="s">
        <v>137</v>
      </c>
      <c r="G31" s="1" t="s">
        <v>138</v>
      </c>
      <c r="H31" t="s">
        <v>139</v>
      </c>
      <c r="J31" t="s">
        <v>159</v>
      </c>
    </row>
    <row r="32" spans="1:10" x14ac:dyDescent="0.25">
      <c r="A32" t="s">
        <v>34</v>
      </c>
      <c r="B32" t="s">
        <v>35</v>
      </c>
      <c r="C32" t="s">
        <v>35</v>
      </c>
      <c r="D32">
        <v>4</v>
      </c>
      <c r="E32">
        <v>97.18</v>
      </c>
      <c r="F32" t="s">
        <v>51</v>
      </c>
      <c r="G32">
        <v>20</v>
      </c>
      <c r="H32" t="s">
        <v>16</v>
      </c>
      <c r="I32">
        <f>38+50+41</f>
        <v>129</v>
      </c>
    </row>
    <row r="33" spans="1:10" x14ac:dyDescent="0.25">
      <c r="A33" t="s">
        <v>38</v>
      </c>
      <c r="B33" t="s">
        <v>35</v>
      </c>
      <c r="C33" t="s">
        <v>35</v>
      </c>
      <c r="D33">
        <v>4</v>
      </c>
      <c r="E33">
        <v>97.783000000000001</v>
      </c>
      <c r="F33" t="s">
        <v>52</v>
      </c>
      <c r="G33">
        <v>19</v>
      </c>
      <c r="H33" t="s">
        <v>17</v>
      </c>
      <c r="I33">
        <f>35+48+49</f>
        <v>132</v>
      </c>
    </row>
    <row r="34" spans="1:10" x14ac:dyDescent="0.25">
      <c r="A34" t="s">
        <v>31</v>
      </c>
      <c r="B34" t="s">
        <v>35</v>
      </c>
      <c r="C34" t="s">
        <v>35</v>
      </c>
      <c r="D34">
        <v>4</v>
      </c>
      <c r="E34">
        <v>145.613</v>
      </c>
      <c r="F34" t="s">
        <v>53</v>
      </c>
      <c r="G34">
        <v>23</v>
      </c>
      <c r="H34" t="s">
        <v>18</v>
      </c>
      <c r="I34">
        <f>39+49+39</f>
        <v>127</v>
      </c>
    </row>
    <row r="35" spans="1:10" x14ac:dyDescent="0.25">
      <c r="A35" t="s">
        <v>41</v>
      </c>
      <c r="B35" t="s">
        <v>35</v>
      </c>
      <c r="C35" t="s">
        <v>35</v>
      </c>
      <c r="D35">
        <v>4</v>
      </c>
      <c r="E35">
        <v>146.83600000000001</v>
      </c>
      <c r="F35" t="s">
        <v>54</v>
      </c>
      <c r="G35">
        <v>32</v>
      </c>
      <c r="H35" t="s">
        <v>19</v>
      </c>
      <c r="I35">
        <f>40+49+40</f>
        <v>129</v>
      </c>
    </row>
    <row r="36" spans="1:10" x14ac:dyDescent="0.25">
      <c r="A36" s="5" t="s">
        <v>90</v>
      </c>
      <c r="B36" s="5"/>
      <c r="C36" s="5"/>
      <c r="D36" s="5"/>
      <c r="E36" s="5">
        <f>AVERAGE(E32:E35)</f>
        <v>121.85300000000001</v>
      </c>
      <c r="F36" s="5"/>
      <c r="G36" s="5">
        <f>ROUNDUP(AVERAGE(G32:G35),0)</f>
        <v>24</v>
      </c>
      <c r="H36" s="5"/>
      <c r="I36" s="5">
        <f>AVERAGE(I32:I35)</f>
        <v>129.25</v>
      </c>
    </row>
    <row r="38" spans="1:10" x14ac:dyDescent="0.25">
      <c r="A38" s="5" t="s">
        <v>95</v>
      </c>
      <c r="B38" s="5"/>
      <c r="C38" s="5"/>
      <c r="D38" s="5"/>
      <c r="E38" s="5"/>
      <c r="F38" s="5"/>
      <c r="G38" s="5"/>
    </row>
    <row r="39" spans="1:10" x14ac:dyDescent="0.25">
      <c r="A39" s="5" t="s">
        <v>20</v>
      </c>
      <c r="B39" s="5"/>
      <c r="C39" s="5"/>
      <c r="D39" s="5"/>
      <c r="E39" s="5"/>
      <c r="F39" s="5"/>
    </row>
    <row r="40" spans="1:10" ht="45" x14ac:dyDescent="0.25">
      <c r="B40" t="s">
        <v>55</v>
      </c>
      <c r="C40" t="s">
        <v>56</v>
      </c>
      <c r="E40" t="s">
        <v>57</v>
      </c>
      <c r="F40" s="1" t="s">
        <v>137</v>
      </c>
      <c r="G40" s="1" t="s">
        <v>138</v>
      </c>
      <c r="H40" t="s">
        <v>139</v>
      </c>
      <c r="J40" t="s">
        <v>159</v>
      </c>
    </row>
    <row r="41" spans="1:10" x14ac:dyDescent="0.25">
      <c r="A41" t="s">
        <v>34</v>
      </c>
      <c r="B41" t="s">
        <v>35</v>
      </c>
      <c r="C41" t="s">
        <v>35</v>
      </c>
      <c r="D41">
        <v>4</v>
      </c>
      <c r="E41">
        <v>156.208</v>
      </c>
      <c r="F41" t="s">
        <v>59</v>
      </c>
      <c r="G41">
        <v>23</v>
      </c>
      <c r="H41" t="s">
        <v>60</v>
      </c>
      <c r="I41">
        <f>36+48+53</f>
        <v>137</v>
      </c>
      <c r="J41" t="s">
        <v>61</v>
      </c>
    </row>
    <row r="42" spans="1:10" x14ac:dyDescent="0.25">
      <c r="A42" t="s">
        <v>38</v>
      </c>
      <c r="B42" t="s">
        <v>35</v>
      </c>
      <c r="C42" t="s">
        <v>35</v>
      </c>
      <c r="D42">
        <v>4</v>
      </c>
      <c r="E42">
        <v>238.56700000000001</v>
      </c>
      <c r="F42" t="s">
        <v>62</v>
      </c>
      <c r="G42">
        <v>23</v>
      </c>
      <c r="H42" t="s">
        <v>65</v>
      </c>
      <c r="I42">
        <f>37+48+46</f>
        <v>131</v>
      </c>
      <c r="J42" t="s">
        <v>64</v>
      </c>
    </row>
    <row r="43" spans="1:10" x14ac:dyDescent="0.25">
      <c r="A43" t="s">
        <v>31</v>
      </c>
      <c r="B43" t="s">
        <v>35</v>
      </c>
      <c r="C43" t="s">
        <v>35</v>
      </c>
      <c r="D43">
        <v>4</v>
      </c>
      <c r="E43">
        <v>188.26900000000001</v>
      </c>
      <c r="F43" t="s">
        <v>66</v>
      </c>
      <c r="G43">
        <v>21</v>
      </c>
      <c r="H43" t="s">
        <v>67</v>
      </c>
      <c r="I43">
        <f>36+48+47</f>
        <v>131</v>
      </c>
      <c r="J43" t="s">
        <v>64</v>
      </c>
    </row>
    <row r="44" spans="1:10" x14ac:dyDescent="0.25">
      <c r="A44" t="s">
        <v>41</v>
      </c>
      <c r="B44" t="s">
        <v>35</v>
      </c>
      <c r="C44" t="s">
        <v>35</v>
      </c>
      <c r="D44">
        <v>4</v>
      </c>
      <c r="E44">
        <v>180.27600000000001</v>
      </c>
      <c r="F44" t="s">
        <v>68</v>
      </c>
      <c r="G44">
        <v>29</v>
      </c>
      <c r="H44" t="s">
        <v>69</v>
      </c>
      <c r="I44">
        <f>33+48+39</f>
        <v>120</v>
      </c>
      <c r="J44" t="s">
        <v>64</v>
      </c>
    </row>
    <row r="45" spans="1:10" x14ac:dyDescent="0.25">
      <c r="A45" t="s">
        <v>70</v>
      </c>
      <c r="B45" t="s">
        <v>35</v>
      </c>
      <c r="C45" t="s">
        <v>35</v>
      </c>
      <c r="D45">
        <v>4</v>
      </c>
      <c r="E45">
        <v>191.04900000000001</v>
      </c>
      <c r="F45" t="s">
        <v>71</v>
      </c>
      <c r="G45">
        <v>25</v>
      </c>
      <c r="H45" t="s">
        <v>72</v>
      </c>
      <c r="I45">
        <f>30+48+51</f>
        <v>129</v>
      </c>
      <c r="J45" t="s">
        <v>61</v>
      </c>
    </row>
    <row r="46" spans="1:10" x14ac:dyDescent="0.25">
      <c r="A46" t="s">
        <v>73</v>
      </c>
      <c r="B46" t="s">
        <v>35</v>
      </c>
      <c r="C46" t="s">
        <v>35</v>
      </c>
      <c r="D46">
        <v>4</v>
      </c>
      <c r="E46">
        <v>267.40199999999999</v>
      </c>
      <c r="F46" t="s">
        <v>74</v>
      </c>
      <c r="G46">
        <v>23</v>
      </c>
      <c r="H46" t="s">
        <v>75</v>
      </c>
      <c r="I46">
        <f>36+48+57</f>
        <v>141</v>
      </c>
      <c r="J46" t="s">
        <v>61</v>
      </c>
    </row>
    <row r="47" spans="1:10" x14ac:dyDescent="0.25">
      <c r="A47" s="5" t="s">
        <v>90</v>
      </c>
      <c r="B47" s="5"/>
      <c r="C47" s="5"/>
      <c r="D47" s="5"/>
      <c r="E47" s="5">
        <f>AVERAGE(E41:E46)</f>
        <v>203.6285</v>
      </c>
      <c r="F47" s="5"/>
      <c r="G47" s="5">
        <f>ROUNDUP(AVERAGE(G41:G46),0)</f>
        <v>24</v>
      </c>
      <c r="H47" s="5"/>
      <c r="I47" s="5">
        <f>AVERAGE(I41:I46)</f>
        <v>131.5</v>
      </c>
    </row>
    <row r="49" spans="1:18" x14ac:dyDescent="0.25">
      <c r="A49" s="5" t="s">
        <v>160</v>
      </c>
      <c r="B49" s="5"/>
      <c r="C49" s="5"/>
      <c r="D49" s="5"/>
      <c r="E49" s="5"/>
      <c r="F49" s="5"/>
      <c r="G49" s="5"/>
      <c r="H49" s="5"/>
      <c r="I49" s="5"/>
      <c r="J49" s="5"/>
      <c r="K49" t="s">
        <v>161</v>
      </c>
      <c r="R49" t="s">
        <v>162</v>
      </c>
    </row>
    <row r="50" spans="1:18" ht="45" x14ac:dyDescent="0.25">
      <c r="B50" t="s">
        <v>55</v>
      </c>
      <c r="C50" t="s">
        <v>56</v>
      </c>
      <c r="E50" t="s">
        <v>57</v>
      </c>
      <c r="F50" s="1" t="s">
        <v>137</v>
      </c>
      <c r="G50" s="1" t="s">
        <v>138</v>
      </c>
      <c r="H50" t="s">
        <v>139</v>
      </c>
      <c r="K50" t="s">
        <v>166</v>
      </c>
    </row>
    <row r="51" spans="1:18" x14ac:dyDescent="0.25">
      <c r="A51" t="s">
        <v>34</v>
      </c>
      <c r="B51" t="s">
        <v>35</v>
      </c>
      <c r="C51" t="s">
        <v>168</v>
      </c>
      <c r="D51">
        <v>3</v>
      </c>
      <c r="E51">
        <v>58.125</v>
      </c>
      <c r="F51" s="1" t="s">
        <v>163</v>
      </c>
      <c r="G51" s="1">
        <v>28</v>
      </c>
      <c r="H51" t="s">
        <v>164</v>
      </c>
      <c r="I51">
        <v>0</v>
      </c>
      <c r="J51" t="s">
        <v>165</v>
      </c>
      <c r="K51" t="s">
        <v>167</v>
      </c>
    </row>
    <row r="52" spans="1:18" x14ac:dyDescent="0.25">
      <c r="A52" t="s">
        <v>38</v>
      </c>
      <c r="B52" t="s">
        <v>35</v>
      </c>
      <c r="C52" t="s">
        <v>168</v>
      </c>
      <c r="D52">
        <v>3</v>
      </c>
      <c r="E52">
        <v>71.742000000000004</v>
      </c>
      <c r="F52" s="1" t="s">
        <v>169</v>
      </c>
      <c r="G52" s="1">
        <v>26</v>
      </c>
      <c r="H52" t="s">
        <v>164</v>
      </c>
      <c r="I52">
        <v>0</v>
      </c>
      <c r="J52" t="s">
        <v>111</v>
      </c>
      <c r="K52" t="s">
        <v>173</v>
      </c>
    </row>
    <row r="53" spans="1:18" x14ac:dyDescent="0.25">
      <c r="A53" t="s">
        <v>31</v>
      </c>
      <c r="B53" t="s">
        <v>171</v>
      </c>
      <c r="C53" t="s">
        <v>168</v>
      </c>
      <c r="D53">
        <v>3</v>
      </c>
      <c r="E53">
        <v>70.87</v>
      </c>
      <c r="F53" s="1" t="s">
        <v>170</v>
      </c>
      <c r="G53">
        <v>29</v>
      </c>
      <c r="H53" t="s">
        <v>164</v>
      </c>
      <c r="I53">
        <v>0</v>
      </c>
      <c r="J53" t="s">
        <v>107</v>
      </c>
    </row>
    <row r="54" spans="1:18" x14ac:dyDescent="0.25">
      <c r="A54" t="s">
        <v>41</v>
      </c>
      <c r="B54" t="s">
        <v>35</v>
      </c>
      <c r="C54" t="s">
        <v>168</v>
      </c>
      <c r="D54">
        <v>3</v>
      </c>
      <c r="E54">
        <v>62.383000000000003</v>
      </c>
      <c r="F54" s="1" t="s">
        <v>172</v>
      </c>
      <c r="G54" s="1">
        <v>29</v>
      </c>
      <c r="H54" t="s">
        <v>164</v>
      </c>
      <c r="I54">
        <v>0</v>
      </c>
      <c r="J54" t="s">
        <v>107</v>
      </c>
    </row>
    <row r="55" spans="1:18" x14ac:dyDescent="0.25">
      <c r="A55" s="5" t="s">
        <v>90</v>
      </c>
      <c r="B55" s="5"/>
      <c r="C55" s="5"/>
      <c r="D55" s="5"/>
      <c r="E55" s="5">
        <f>AVERAGE(E51:E54)</f>
        <v>65.78</v>
      </c>
      <c r="F55" s="5"/>
      <c r="G55" s="5">
        <f>ROUNDUP(AVERAGE(G51:G54),0)</f>
        <v>28</v>
      </c>
      <c r="H55" s="5"/>
      <c r="I55" s="5">
        <v>0</v>
      </c>
      <c r="J55" s="5"/>
    </row>
    <row r="58" spans="1:18" ht="30" customHeight="1" x14ac:dyDescent="0.25">
      <c r="A58" s="6" t="s">
        <v>96</v>
      </c>
      <c r="B58" s="7"/>
      <c r="C58" s="7"/>
      <c r="D58" s="7"/>
      <c r="E58" s="7"/>
      <c r="F58" s="7"/>
      <c r="G58" s="7"/>
      <c r="H58" s="7"/>
      <c r="I58" s="7"/>
      <c r="J58" s="7"/>
      <c r="K58" s="7"/>
      <c r="L58" s="7"/>
      <c r="M58" s="7"/>
      <c r="N58" s="7"/>
      <c r="O58" s="7"/>
      <c r="P58" s="5"/>
    </row>
    <row r="59" spans="1:18" x14ac:dyDescent="0.25">
      <c r="A59" t="s">
        <v>98</v>
      </c>
    </row>
    <row r="60" spans="1:18" x14ac:dyDescent="0.25">
      <c r="A60" s="5" t="s">
        <v>97</v>
      </c>
      <c r="B60" s="5"/>
    </row>
    <row r="61" spans="1:18" x14ac:dyDescent="0.25">
      <c r="A61" t="s">
        <v>76</v>
      </c>
      <c r="J61" t="s">
        <v>64</v>
      </c>
    </row>
    <row r="62" spans="1:18" ht="45" x14ac:dyDescent="0.25">
      <c r="B62" t="s">
        <v>55</v>
      </c>
      <c r="C62" t="s">
        <v>56</v>
      </c>
      <c r="E62" t="s">
        <v>57</v>
      </c>
      <c r="F62" s="1" t="s">
        <v>137</v>
      </c>
      <c r="G62" s="1" t="s">
        <v>138</v>
      </c>
      <c r="H62" t="s">
        <v>139</v>
      </c>
    </row>
    <row r="63" spans="1:18" x14ac:dyDescent="0.25">
      <c r="A63" t="s">
        <v>34</v>
      </c>
      <c r="B63" t="s">
        <v>77</v>
      </c>
      <c r="C63" t="s">
        <v>77</v>
      </c>
      <c r="D63">
        <v>3</v>
      </c>
      <c r="E63" t="s">
        <v>78</v>
      </c>
      <c r="F63" t="s">
        <v>79</v>
      </c>
      <c r="G63">
        <v>14</v>
      </c>
      <c r="H63" t="s">
        <v>21</v>
      </c>
      <c r="I63">
        <v>19</v>
      </c>
    </row>
    <row r="64" spans="1:18" x14ac:dyDescent="0.25">
      <c r="A64" t="s">
        <v>38</v>
      </c>
      <c r="B64" t="s">
        <v>77</v>
      </c>
      <c r="C64" t="s">
        <v>77</v>
      </c>
      <c r="D64">
        <v>3</v>
      </c>
      <c r="E64" t="s">
        <v>78</v>
      </c>
      <c r="F64" t="s">
        <v>79</v>
      </c>
      <c r="G64">
        <v>14</v>
      </c>
      <c r="H64" t="s">
        <v>21</v>
      </c>
      <c r="I64">
        <v>19</v>
      </c>
    </row>
    <row r="65" spans="1:12" x14ac:dyDescent="0.25">
      <c r="A65" t="s">
        <v>38</v>
      </c>
      <c r="B65" t="s">
        <v>77</v>
      </c>
      <c r="C65" t="s">
        <v>77</v>
      </c>
      <c r="D65">
        <v>3</v>
      </c>
      <c r="E65" t="s">
        <v>78</v>
      </c>
      <c r="F65" t="s">
        <v>80</v>
      </c>
      <c r="G65">
        <v>14</v>
      </c>
      <c r="H65" t="s">
        <v>22</v>
      </c>
      <c r="I65">
        <v>20</v>
      </c>
    </row>
    <row r="66" spans="1:12" x14ac:dyDescent="0.25">
      <c r="A66" s="5" t="s">
        <v>90</v>
      </c>
      <c r="B66" s="5"/>
      <c r="C66" s="5"/>
      <c r="D66" s="5"/>
      <c r="E66" s="5" t="s">
        <v>78</v>
      </c>
      <c r="F66" s="5"/>
      <c r="G66" s="5">
        <f>ROUNDUP(AVERAGE(G63:G65),0)</f>
        <v>14</v>
      </c>
      <c r="H66" s="5"/>
      <c r="I66" s="5">
        <f>AVERAGE(I63:I65)</f>
        <v>19.333333333333332</v>
      </c>
    </row>
    <row r="68" spans="1:12" x14ac:dyDescent="0.25">
      <c r="A68" s="5" t="s">
        <v>99</v>
      </c>
      <c r="B68" s="5"/>
      <c r="C68" s="5"/>
      <c r="D68" s="5"/>
      <c r="E68" s="5"/>
      <c r="F68" s="5"/>
    </row>
    <row r="69" spans="1:12" x14ac:dyDescent="0.25">
      <c r="A69" t="s">
        <v>100</v>
      </c>
    </row>
    <row r="70" spans="1:12" x14ac:dyDescent="0.25">
      <c r="A70" s="5" t="s">
        <v>26</v>
      </c>
      <c r="B70" s="5"/>
      <c r="C70" s="5"/>
      <c r="D70" s="5"/>
      <c r="E70" s="5"/>
      <c r="H70" t="s">
        <v>27</v>
      </c>
      <c r="L70" t="s">
        <v>155</v>
      </c>
    </row>
    <row r="71" spans="1:12" ht="45" x14ac:dyDescent="0.25">
      <c r="B71" t="s">
        <v>55</v>
      </c>
      <c r="C71" t="s">
        <v>56</v>
      </c>
      <c r="E71" t="s">
        <v>57</v>
      </c>
      <c r="F71" s="1" t="s">
        <v>137</v>
      </c>
      <c r="G71" s="1" t="s">
        <v>138</v>
      </c>
      <c r="H71" t="s">
        <v>139</v>
      </c>
    </row>
    <row r="72" spans="1:12" x14ac:dyDescent="0.25">
      <c r="A72" t="s">
        <v>34</v>
      </c>
      <c r="B72" t="s">
        <v>35</v>
      </c>
      <c r="C72" t="s">
        <v>77</v>
      </c>
      <c r="D72">
        <v>4</v>
      </c>
      <c r="E72">
        <v>133.137</v>
      </c>
      <c r="F72" t="s">
        <v>81</v>
      </c>
      <c r="G72">
        <v>28</v>
      </c>
      <c r="H72" t="s">
        <v>23</v>
      </c>
      <c r="I72">
        <v>36</v>
      </c>
    </row>
    <row r="73" spans="1:12" x14ac:dyDescent="0.25">
      <c r="A73" t="s">
        <v>38</v>
      </c>
      <c r="B73" t="s">
        <v>35</v>
      </c>
      <c r="C73" t="s">
        <v>77</v>
      </c>
      <c r="D73">
        <v>4</v>
      </c>
      <c r="E73">
        <v>85.507000000000005</v>
      </c>
      <c r="F73" t="s">
        <v>82</v>
      </c>
      <c r="G73">
        <v>31</v>
      </c>
      <c r="H73" t="s">
        <v>24</v>
      </c>
      <c r="I73">
        <v>38</v>
      </c>
    </row>
    <row r="74" spans="1:12" x14ac:dyDescent="0.25">
      <c r="A74" t="s">
        <v>31</v>
      </c>
      <c r="B74" t="s">
        <v>77</v>
      </c>
      <c r="C74" t="s">
        <v>77</v>
      </c>
      <c r="D74">
        <v>4</v>
      </c>
      <c r="E74" t="s">
        <v>83</v>
      </c>
      <c r="F74" t="s">
        <v>84</v>
      </c>
      <c r="G74">
        <v>22</v>
      </c>
      <c r="H74" t="s">
        <v>25</v>
      </c>
      <c r="I74">
        <v>37</v>
      </c>
    </row>
    <row r="75" spans="1:12" x14ac:dyDescent="0.25">
      <c r="A75" t="s">
        <v>41</v>
      </c>
      <c r="B75" t="s">
        <v>35</v>
      </c>
      <c r="C75" t="s">
        <v>77</v>
      </c>
      <c r="D75">
        <v>4</v>
      </c>
      <c r="E75">
        <v>321.79399999999998</v>
      </c>
      <c r="F75" t="s">
        <v>89</v>
      </c>
      <c r="G75">
        <v>29</v>
      </c>
      <c r="H75" t="s">
        <v>24</v>
      </c>
      <c r="I75">
        <v>38</v>
      </c>
    </row>
    <row r="76" spans="1:12" x14ac:dyDescent="0.25">
      <c r="A76" s="5" t="s">
        <v>90</v>
      </c>
      <c r="B76" s="5"/>
      <c r="C76" s="5"/>
      <c r="D76" s="5"/>
      <c r="E76" s="5">
        <f>AVERAGE(E72:E73,E75)</f>
        <v>180.14599999999999</v>
      </c>
      <c r="F76" s="5"/>
      <c r="G76" s="5">
        <f>ROUNDUP(AVERAGE(G72:G75),0)</f>
        <v>28</v>
      </c>
      <c r="H76" s="5"/>
      <c r="I76" s="5">
        <f>AVERAGE(I72:I75)</f>
        <v>37.25</v>
      </c>
    </row>
    <row r="78" spans="1:12" x14ac:dyDescent="0.25">
      <c r="A78" t="s">
        <v>156</v>
      </c>
    </row>
    <row r="79" spans="1:12" x14ac:dyDescent="0.25">
      <c r="A79" s="5" t="s">
        <v>157</v>
      </c>
      <c r="B79" s="5"/>
      <c r="C79" s="5"/>
      <c r="D79" s="5"/>
      <c r="E79" s="5"/>
    </row>
    <row r="80" spans="1:12" ht="45" x14ac:dyDescent="0.25">
      <c r="B80" t="s">
        <v>55</v>
      </c>
      <c r="C80" t="s">
        <v>56</v>
      </c>
      <c r="E80" t="s">
        <v>57</v>
      </c>
      <c r="F80" s="1" t="s">
        <v>137</v>
      </c>
      <c r="G80" s="1" t="s">
        <v>138</v>
      </c>
      <c r="H80" t="s">
        <v>139</v>
      </c>
    </row>
    <row r="81" spans="1:20" ht="38.25" customHeight="1" x14ac:dyDescent="0.25">
      <c r="A81" t="s">
        <v>34</v>
      </c>
      <c r="B81" t="s">
        <v>77</v>
      </c>
      <c r="C81" t="s">
        <v>35</v>
      </c>
      <c r="D81">
        <v>4</v>
      </c>
      <c r="E81" t="s">
        <v>83</v>
      </c>
      <c r="F81" t="s">
        <v>88</v>
      </c>
      <c r="G81">
        <v>32</v>
      </c>
      <c r="H81" t="s">
        <v>28</v>
      </c>
      <c r="I81">
        <f>36+39</f>
        <v>75</v>
      </c>
      <c r="J81" t="s">
        <v>108</v>
      </c>
      <c r="L81" s="4" t="s">
        <v>158</v>
      </c>
      <c r="M81" s="4"/>
      <c r="N81" s="4"/>
      <c r="O81" s="4"/>
      <c r="P81" s="4"/>
      <c r="Q81" s="4"/>
      <c r="R81" s="4"/>
      <c r="S81" s="4"/>
      <c r="T81" s="4"/>
    </row>
    <row r="82" spans="1:20" x14ac:dyDescent="0.25">
      <c r="A82" t="s">
        <v>38</v>
      </c>
      <c r="B82" t="s">
        <v>35</v>
      </c>
      <c r="C82" t="s">
        <v>35</v>
      </c>
      <c r="D82">
        <v>4</v>
      </c>
      <c r="E82">
        <v>199.82300000000001</v>
      </c>
      <c r="F82" t="s">
        <v>87</v>
      </c>
      <c r="G82">
        <v>39</v>
      </c>
      <c r="H82" t="s">
        <v>29</v>
      </c>
      <c r="I82">
        <f>60+51</f>
        <v>111</v>
      </c>
      <c r="J82" t="s">
        <v>30</v>
      </c>
    </row>
    <row r="83" spans="1:20" x14ac:dyDescent="0.25">
      <c r="A83" t="s">
        <v>31</v>
      </c>
      <c r="B83" t="s">
        <v>35</v>
      </c>
      <c r="C83" t="s">
        <v>35</v>
      </c>
      <c r="D83">
        <v>4</v>
      </c>
      <c r="E83">
        <v>158.53700000000001</v>
      </c>
      <c r="F83" t="s">
        <v>85</v>
      </c>
      <c r="G83">
        <v>33</v>
      </c>
      <c r="H83" t="s">
        <v>32</v>
      </c>
      <c r="I83">
        <f>48+33</f>
        <v>81</v>
      </c>
      <c r="J83" t="s">
        <v>109</v>
      </c>
    </row>
    <row r="84" spans="1:20" x14ac:dyDescent="0.25">
      <c r="A84" t="s">
        <v>41</v>
      </c>
      <c r="B84" t="s">
        <v>35</v>
      </c>
      <c r="C84" t="s">
        <v>35</v>
      </c>
      <c r="D84">
        <v>4</v>
      </c>
      <c r="E84">
        <v>132.423</v>
      </c>
      <c r="F84" t="s">
        <v>86</v>
      </c>
      <c r="G84">
        <v>29</v>
      </c>
      <c r="H84" t="s">
        <v>33</v>
      </c>
      <c r="I84">
        <f>48+35</f>
        <v>83</v>
      </c>
      <c r="J84" t="s">
        <v>110</v>
      </c>
    </row>
    <row r="85" spans="1:20" x14ac:dyDescent="0.25">
      <c r="A85" s="5" t="s">
        <v>90</v>
      </c>
      <c r="B85" s="5"/>
      <c r="C85" s="5"/>
      <c r="D85" s="5"/>
      <c r="E85" s="5">
        <f>AVERAGE(E82:E84)</f>
        <v>163.59433333333334</v>
      </c>
      <c r="F85" s="5"/>
      <c r="G85" s="5">
        <f>ROUNDUP(AVERAGE(G81:G84),0)</f>
        <v>34</v>
      </c>
      <c r="H85" s="5"/>
      <c r="I85" s="5">
        <f>AVERAGE(I81:I84)</f>
        <v>87.5</v>
      </c>
    </row>
    <row r="87" spans="1:20" x14ac:dyDescent="0.25">
      <c r="A87" s="5" t="s">
        <v>102</v>
      </c>
      <c r="B87" s="5"/>
      <c r="C87" s="5"/>
      <c r="D87" s="5"/>
      <c r="E87" s="5"/>
      <c r="F87" s="5"/>
      <c r="G87" s="5"/>
      <c r="H87" s="5"/>
      <c r="I87" s="5"/>
    </row>
    <row r="88" spans="1:20" x14ac:dyDescent="0.25">
      <c r="A88" t="s">
        <v>101</v>
      </c>
    </row>
    <row r="89" spans="1:20" ht="45" x14ac:dyDescent="0.25">
      <c r="B89" t="s">
        <v>55</v>
      </c>
      <c r="C89" t="s">
        <v>56</v>
      </c>
      <c r="E89" t="s">
        <v>57</v>
      </c>
      <c r="F89" s="1" t="s">
        <v>137</v>
      </c>
      <c r="G89" s="1" t="s">
        <v>138</v>
      </c>
      <c r="H89" t="s">
        <v>139</v>
      </c>
    </row>
    <row r="90" spans="1:20" x14ac:dyDescent="0.25">
      <c r="A90" t="s">
        <v>103</v>
      </c>
      <c r="B90" t="s">
        <v>104</v>
      </c>
      <c r="C90" t="s">
        <v>104</v>
      </c>
      <c r="D90">
        <v>3</v>
      </c>
      <c r="E90">
        <v>138.279</v>
      </c>
      <c r="F90" t="s">
        <v>106</v>
      </c>
      <c r="G90">
        <v>24</v>
      </c>
      <c r="H90" t="s">
        <v>105</v>
      </c>
      <c r="I90">
        <f>0+24+22</f>
        <v>46</v>
      </c>
      <c r="J90" t="s">
        <v>111</v>
      </c>
    </row>
    <row r="91" spans="1:20" x14ac:dyDescent="0.25">
      <c r="A91" t="s">
        <v>112</v>
      </c>
      <c r="B91" t="s">
        <v>104</v>
      </c>
      <c r="C91" t="s">
        <v>104</v>
      </c>
      <c r="D91">
        <v>3</v>
      </c>
      <c r="E91">
        <v>132.602</v>
      </c>
      <c r="F91" t="s">
        <v>114</v>
      </c>
      <c r="G91">
        <v>23</v>
      </c>
      <c r="H91" t="s">
        <v>113</v>
      </c>
      <c r="I91">
        <f>24+22</f>
        <v>46</v>
      </c>
      <c r="J91" t="s">
        <v>115</v>
      </c>
    </row>
    <row r="92" spans="1:20" x14ac:dyDescent="0.25">
      <c r="A92" t="s">
        <v>116</v>
      </c>
    </row>
    <row r="93" spans="1:20" x14ac:dyDescent="0.25">
      <c r="A93" t="s">
        <v>117</v>
      </c>
      <c r="B93" t="s">
        <v>122</v>
      </c>
      <c r="C93" t="s">
        <v>35</v>
      </c>
      <c r="D93">
        <v>3</v>
      </c>
      <c r="E93" t="s">
        <v>118</v>
      </c>
      <c r="F93" t="s">
        <v>121</v>
      </c>
      <c r="G93">
        <v>33</v>
      </c>
      <c r="H93" t="s">
        <v>119</v>
      </c>
      <c r="I93">
        <f>24+25</f>
        <v>49</v>
      </c>
      <c r="J93" t="s">
        <v>120</v>
      </c>
    </row>
    <row r="94" spans="1:20" x14ac:dyDescent="0.25">
      <c r="A94" s="5" t="s">
        <v>90</v>
      </c>
      <c r="B94" s="5"/>
      <c r="C94" s="5"/>
      <c r="D94" s="5"/>
      <c r="E94" s="5">
        <f>AVERAGE(E90:E91,E93)</f>
        <v>135.44049999999999</v>
      </c>
      <c r="F94" s="5"/>
      <c r="G94" s="5">
        <f>ROUNDUP(AVERAGE(G90:G91,G93),0)</f>
        <v>27</v>
      </c>
      <c r="H94" s="5"/>
      <c r="I94" s="5">
        <f>AVERAGE(I90:I91,I93)</f>
        <v>47</v>
      </c>
    </row>
    <row r="96" spans="1:20" x14ac:dyDescent="0.25">
      <c r="A96" s="5" t="s">
        <v>123</v>
      </c>
      <c r="B96" s="5"/>
      <c r="C96" s="5"/>
      <c r="D96" s="5"/>
      <c r="E96" s="5"/>
      <c r="F96" s="5"/>
      <c r="G96" s="5"/>
      <c r="H96" s="5"/>
      <c r="I96" s="5"/>
    </row>
    <row r="97" spans="1:10" x14ac:dyDescent="0.25">
      <c r="A97" s="5" t="s">
        <v>124</v>
      </c>
      <c r="B97" s="5"/>
      <c r="C97" s="5"/>
    </row>
    <row r="98" spans="1:10" ht="45" customHeight="1" x14ac:dyDescent="0.25">
      <c r="B98" t="s">
        <v>55</v>
      </c>
      <c r="C98" t="s">
        <v>56</v>
      </c>
      <c r="E98" t="s">
        <v>57</v>
      </c>
      <c r="F98" s="1" t="s">
        <v>137</v>
      </c>
      <c r="G98" s="1" t="s">
        <v>138</v>
      </c>
      <c r="H98" t="s">
        <v>139</v>
      </c>
    </row>
    <row r="99" spans="1:10" x14ac:dyDescent="0.25">
      <c r="A99" t="s">
        <v>103</v>
      </c>
      <c r="B99" t="s">
        <v>104</v>
      </c>
      <c r="C99" t="s">
        <v>104</v>
      </c>
      <c r="E99">
        <v>166.60599999999999</v>
      </c>
      <c r="F99" t="s">
        <v>133</v>
      </c>
      <c r="G99">
        <v>32</v>
      </c>
      <c r="H99" t="s">
        <v>126</v>
      </c>
      <c r="I99">
        <f>34+36+37</f>
        <v>107</v>
      </c>
      <c r="J99" t="s">
        <v>107</v>
      </c>
    </row>
    <row r="100" spans="1:10" x14ac:dyDescent="0.25">
      <c r="A100" t="s">
        <v>112</v>
      </c>
      <c r="B100" t="s">
        <v>104</v>
      </c>
      <c r="C100" t="s">
        <v>104</v>
      </c>
      <c r="E100">
        <v>112.88200000000001</v>
      </c>
      <c r="F100" t="s">
        <v>134</v>
      </c>
      <c r="G100">
        <v>19</v>
      </c>
      <c r="H100" t="s">
        <v>127</v>
      </c>
      <c r="I100">
        <f>28+41+36</f>
        <v>105</v>
      </c>
      <c r="J100" t="s">
        <v>130</v>
      </c>
    </row>
    <row r="101" spans="1:10" x14ac:dyDescent="0.25">
      <c r="A101" t="s">
        <v>125</v>
      </c>
      <c r="B101" t="s">
        <v>104</v>
      </c>
      <c r="C101" t="s">
        <v>104</v>
      </c>
      <c r="E101">
        <v>134.94800000000001</v>
      </c>
      <c r="F101" t="s">
        <v>135</v>
      </c>
      <c r="G101">
        <v>43</v>
      </c>
      <c r="H101" t="s">
        <v>128</v>
      </c>
      <c r="I101">
        <f>34+41+31</f>
        <v>106</v>
      </c>
      <c r="J101" t="s">
        <v>131</v>
      </c>
    </row>
    <row r="102" spans="1:10" x14ac:dyDescent="0.25">
      <c r="A102" t="s">
        <v>117</v>
      </c>
      <c r="B102" t="s">
        <v>104</v>
      </c>
      <c r="C102" t="s">
        <v>104</v>
      </c>
      <c r="E102">
        <v>140.393</v>
      </c>
      <c r="F102" t="s">
        <v>136</v>
      </c>
      <c r="G102">
        <v>28</v>
      </c>
      <c r="H102" t="s">
        <v>129</v>
      </c>
      <c r="I102">
        <f>24+41+43</f>
        <v>108</v>
      </c>
      <c r="J102" t="s">
        <v>30</v>
      </c>
    </row>
    <row r="103" spans="1:10" x14ac:dyDescent="0.25">
      <c r="A103" s="5" t="s">
        <v>90</v>
      </c>
      <c r="B103" s="5"/>
      <c r="C103" s="5"/>
      <c r="D103" s="5"/>
      <c r="E103" s="5">
        <f>AVERAGE(E99:E102)</f>
        <v>138.70725000000002</v>
      </c>
      <c r="F103" s="5"/>
      <c r="G103" s="5">
        <f>ROUNDUP(AVERAGE(G99:G102),0)</f>
        <v>31</v>
      </c>
      <c r="H103" s="5"/>
      <c r="I103" s="5">
        <f>AVERAGE(I99:I102)</f>
        <v>106.5</v>
      </c>
    </row>
    <row r="105" spans="1:10" x14ac:dyDescent="0.25">
      <c r="A105" s="5" t="s">
        <v>140</v>
      </c>
      <c r="B105" s="5"/>
      <c r="C105" s="5"/>
      <c r="D105" s="5"/>
      <c r="E105" s="5"/>
      <c r="F105" s="5"/>
      <c r="G105" s="5"/>
      <c r="H105" s="5"/>
      <c r="I105" s="5"/>
    </row>
    <row r="106" spans="1:10" x14ac:dyDescent="0.25">
      <c r="A106" s="5" t="s">
        <v>141</v>
      </c>
      <c r="B106" s="5"/>
      <c r="C106" s="5"/>
      <c r="D106" s="5"/>
    </row>
    <row r="107" spans="1:10" ht="45" x14ac:dyDescent="0.25">
      <c r="B107" t="s">
        <v>55</v>
      </c>
      <c r="C107" t="s">
        <v>56</v>
      </c>
      <c r="E107" t="s">
        <v>57</v>
      </c>
      <c r="F107" s="1" t="s">
        <v>137</v>
      </c>
      <c r="G107" s="1" t="s">
        <v>138</v>
      </c>
      <c r="H107" t="s">
        <v>139</v>
      </c>
    </row>
    <row r="108" spans="1:10" x14ac:dyDescent="0.25">
      <c r="A108" t="s">
        <v>103</v>
      </c>
      <c r="B108" t="s">
        <v>104</v>
      </c>
      <c r="C108" t="s">
        <v>104</v>
      </c>
      <c r="D108">
        <v>3</v>
      </c>
      <c r="E108">
        <v>125.917</v>
      </c>
      <c r="F108" t="s">
        <v>143</v>
      </c>
      <c r="G108">
        <v>30</v>
      </c>
      <c r="H108" t="s">
        <v>144</v>
      </c>
      <c r="I108">
        <f>9+21+23</f>
        <v>53</v>
      </c>
      <c r="J108" t="s">
        <v>145</v>
      </c>
    </row>
    <row r="109" spans="1:10" x14ac:dyDescent="0.25">
      <c r="A109" t="s">
        <v>112</v>
      </c>
      <c r="B109" t="s">
        <v>104</v>
      </c>
      <c r="C109" t="s">
        <v>104</v>
      </c>
      <c r="D109">
        <v>3</v>
      </c>
      <c r="E109">
        <v>106.16200000000001</v>
      </c>
      <c r="F109" t="s">
        <v>146</v>
      </c>
      <c r="G109">
        <v>27</v>
      </c>
      <c r="H109" t="s">
        <v>147</v>
      </c>
      <c r="I109">
        <f>19+20+19</f>
        <v>58</v>
      </c>
      <c r="J109" t="s">
        <v>148</v>
      </c>
    </row>
    <row r="110" spans="1:10" x14ac:dyDescent="0.25">
      <c r="A110" t="s">
        <v>125</v>
      </c>
      <c r="B110" t="s">
        <v>104</v>
      </c>
      <c r="C110" t="s">
        <v>104</v>
      </c>
      <c r="D110">
        <v>3</v>
      </c>
      <c r="E110">
        <v>121.151</v>
      </c>
      <c r="F110" t="s">
        <v>149</v>
      </c>
      <c r="G110">
        <v>25</v>
      </c>
      <c r="H110" t="s">
        <v>150</v>
      </c>
      <c r="I110">
        <f>21+21+22</f>
        <v>64</v>
      </c>
      <c r="J110" t="s">
        <v>154</v>
      </c>
    </row>
    <row r="111" spans="1:10" x14ac:dyDescent="0.25">
      <c r="A111" t="s">
        <v>117</v>
      </c>
      <c r="B111" t="s">
        <v>104</v>
      </c>
      <c r="C111" t="s">
        <v>104</v>
      </c>
      <c r="D111">
        <v>3</v>
      </c>
      <c r="E111">
        <v>135.125</v>
      </c>
      <c r="F111" t="s">
        <v>151</v>
      </c>
      <c r="G111">
        <v>27</v>
      </c>
      <c r="H111" t="s">
        <v>152</v>
      </c>
      <c r="I111">
        <f>24+23+21</f>
        <v>68</v>
      </c>
      <c r="J111" t="s">
        <v>153</v>
      </c>
    </row>
    <row r="112" spans="1:10" x14ac:dyDescent="0.25">
      <c r="A112" s="5" t="s">
        <v>90</v>
      </c>
      <c r="B112" s="5"/>
      <c r="C112" s="5"/>
      <c r="D112" s="5"/>
      <c r="E112" s="5">
        <f>AVERAGE(E108:E111)</f>
        <v>122.08875</v>
      </c>
      <c r="F112" s="5"/>
      <c r="G112" s="5">
        <f>ROUNDUP(AVERAGE(G108:G111),0)</f>
        <v>28</v>
      </c>
      <c r="H112" s="5"/>
      <c r="I112" s="5">
        <f>AVERAGE(I108:I111)</f>
        <v>60.75</v>
      </c>
    </row>
    <row r="115" spans="1:15" x14ac:dyDescent="0.25">
      <c r="A115" s="5" t="s">
        <v>174</v>
      </c>
      <c r="B115" s="5"/>
      <c r="C115" s="5"/>
      <c r="D115" s="5"/>
      <c r="E115" s="5"/>
      <c r="F115" s="5"/>
      <c r="G115" s="5"/>
      <c r="H115" s="5"/>
      <c r="J115" t="s">
        <v>178</v>
      </c>
    </row>
    <row r="116" spans="1:15" ht="45" x14ac:dyDescent="0.25">
      <c r="B116" t="s">
        <v>55</v>
      </c>
      <c r="C116" t="s">
        <v>56</v>
      </c>
      <c r="E116" t="s">
        <v>57</v>
      </c>
      <c r="F116" s="1" t="s">
        <v>137</v>
      </c>
      <c r="G116" s="1" t="s">
        <v>138</v>
      </c>
      <c r="H116" t="s">
        <v>139</v>
      </c>
    </row>
    <row r="117" spans="1:15" x14ac:dyDescent="0.25">
      <c r="A117" t="s">
        <v>34</v>
      </c>
      <c r="B117" t="s">
        <v>35</v>
      </c>
      <c r="C117" t="s">
        <v>35</v>
      </c>
      <c r="E117">
        <v>124.76</v>
      </c>
      <c r="F117" t="s">
        <v>180</v>
      </c>
      <c r="G117">
        <v>29</v>
      </c>
      <c r="H117" t="s">
        <v>182</v>
      </c>
      <c r="I117">
        <f>26+27+35</f>
        <v>88</v>
      </c>
      <c r="J117" t="s">
        <v>181</v>
      </c>
      <c r="L117" t="s">
        <v>177</v>
      </c>
    </row>
    <row r="118" spans="1:15" x14ac:dyDescent="0.25">
      <c r="A118" t="s">
        <v>38</v>
      </c>
      <c r="B118" t="s">
        <v>35</v>
      </c>
      <c r="C118" t="s">
        <v>35</v>
      </c>
      <c r="E118">
        <v>124.479</v>
      </c>
      <c r="F118" t="s">
        <v>183</v>
      </c>
      <c r="G118">
        <v>23</v>
      </c>
      <c r="H118" t="s">
        <v>185</v>
      </c>
      <c r="I118">
        <f>34+24+29</f>
        <v>87</v>
      </c>
      <c r="J118" t="s">
        <v>184</v>
      </c>
      <c r="L118" t="s">
        <v>177</v>
      </c>
    </row>
    <row r="120" spans="1:15" x14ac:dyDescent="0.25">
      <c r="A120" t="s">
        <v>31</v>
      </c>
      <c r="B120" t="s">
        <v>35</v>
      </c>
      <c r="C120" t="s">
        <v>196</v>
      </c>
      <c r="E120">
        <v>135.01300000000001</v>
      </c>
      <c r="F120" t="s">
        <v>186</v>
      </c>
      <c r="G120">
        <v>25</v>
      </c>
      <c r="H120" t="s">
        <v>187</v>
      </c>
      <c r="I120">
        <f>34+24+34</f>
        <v>92</v>
      </c>
      <c r="J120" t="s">
        <v>188</v>
      </c>
    </row>
    <row r="121" spans="1:15" x14ac:dyDescent="0.25">
      <c r="A121" t="s">
        <v>41</v>
      </c>
      <c r="B121" t="s">
        <v>35</v>
      </c>
      <c r="C121" t="s">
        <v>196</v>
      </c>
      <c r="E121">
        <v>99.513000000000005</v>
      </c>
      <c r="F121" t="s">
        <v>189</v>
      </c>
      <c r="G121">
        <v>24</v>
      </c>
      <c r="H121" t="s">
        <v>190</v>
      </c>
      <c r="I121">
        <f>33+24+39</f>
        <v>96</v>
      </c>
      <c r="J121" t="s">
        <v>191</v>
      </c>
    </row>
    <row r="122" spans="1:15" x14ac:dyDescent="0.25">
      <c r="A122" t="s">
        <v>70</v>
      </c>
      <c r="B122" t="s">
        <v>35</v>
      </c>
      <c r="C122" t="s">
        <v>195</v>
      </c>
      <c r="E122">
        <v>178.374</v>
      </c>
      <c r="F122" t="s">
        <v>192</v>
      </c>
      <c r="G122">
        <v>22</v>
      </c>
      <c r="H122" t="s">
        <v>193</v>
      </c>
      <c r="I122">
        <f>34+30+36</f>
        <v>100</v>
      </c>
      <c r="J122" t="s">
        <v>194</v>
      </c>
      <c r="L122" t="s">
        <v>200</v>
      </c>
    </row>
    <row r="123" spans="1:15" x14ac:dyDescent="0.25">
      <c r="A123" t="s">
        <v>179</v>
      </c>
      <c r="B123" t="s">
        <v>35</v>
      </c>
      <c r="C123" t="s">
        <v>195</v>
      </c>
      <c r="E123">
        <v>175.54300000000001</v>
      </c>
      <c r="F123" t="s">
        <v>197</v>
      </c>
      <c r="G123">
        <v>28</v>
      </c>
      <c r="H123" t="s">
        <v>198</v>
      </c>
      <c r="I123">
        <f>34+24+42</f>
        <v>100</v>
      </c>
      <c r="J123" t="s">
        <v>191</v>
      </c>
    </row>
    <row r="124" spans="1:15" x14ac:dyDescent="0.25">
      <c r="A124" s="5" t="s">
        <v>90</v>
      </c>
      <c r="B124" s="5"/>
      <c r="C124" s="5" t="s">
        <v>199</v>
      </c>
      <c r="D124" s="5"/>
      <c r="E124" s="5">
        <f>AVERAGE(E120:E123)</f>
        <v>147.11075</v>
      </c>
      <c r="F124" s="5"/>
      <c r="G124" s="5">
        <f>ROUNDUP(AVERAGE(G120:G123),0)</f>
        <v>25</v>
      </c>
      <c r="H124" s="5"/>
      <c r="I124" s="5">
        <f>AVERAGE(I120:I123)</f>
        <v>97</v>
      </c>
      <c r="J124" s="5"/>
    </row>
    <row r="126" spans="1:15" x14ac:dyDescent="0.25">
      <c r="A126" s="5" t="s">
        <v>142</v>
      </c>
      <c r="B126" s="5"/>
      <c r="C126" s="5" t="s">
        <v>132</v>
      </c>
      <c r="D126" s="5"/>
      <c r="E126" s="5"/>
      <c r="F126" s="5"/>
      <c r="G126" s="5"/>
      <c r="H126" s="5"/>
      <c r="L126" t="s">
        <v>203</v>
      </c>
    </row>
    <row r="127" spans="1:15" x14ac:dyDescent="0.25">
      <c r="A127" t="s">
        <v>175</v>
      </c>
      <c r="L127" t="s">
        <v>201</v>
      </c>
      <c r="O127" t="s">
        <v>204</v>
      </c>
    </row>
    <row r="128" spans="1:15" ht="45" x14ac:dyDescent="0.25">
      <c r="B128" t="s">
        <v>55</v>
      </c>
      <c r="C128" t="s">
        <v>56</v>
      </c>
      <c r="E128" t="s">
        <v>57</v>
      </c>
      <c r="F128" s="2" t="s">
        <v>137</v>
      </c>
      <c r="G128" s="2" t="s">
        <v>138</v>
      </c>
      <c r="H128" t="s">
        <v>139</v>
      </c>
      <c r="L128" t="s">
        <v>202</v>
      </c>
    </row>
    <row r="129" spans="1:15" x14ac:dyDescent="0.25">
      <c r="A129" t="s">
        <v>207</v>
      </c>
      <c r="B129" t="s">
        <v>77</v>
      </c>
      <c r="C129" t="s">
        <v>205</v>
      </c>
      <c r="F129" t="s">
        <v>206</v>
      </c>
      <c r="H129">
        <v>0</v>
      </c>
    </row>
    <row r="130" spans="1:15" x14ac:dyDescent="0.25">
      <c r="A130" t="s">
        <v>208</v>
      </c>
    </row>
    <row r="131" spans="1:15" x14ac:dyDescent="0.25">
      <c r="A131" t="s">
        <v>34</v>
      </c>
      <c r="B131" t="s">
        <v>209</v>
      </c>
    </row>
    <row r="132" spans="1:15" x14ac:dyDescent="0.25">
      <c r="A132" t="s">
        <v>210</v>
      </c>
    </row>
    <row r="133" spans="1:15" x14ac:dyDescent="0.25">
      <c r="A133" t="s">
        <v>38</v>
      </c>
      <c r="B133" t="s">
        <v>211</v>
      </c>
      <c r="E133">
        <v>137.91999999999999</v>
      </c>
      <c r="F133" t="s">
        <v>230</v>
      </c>
      <c r="G133">
        <f>4+9+12+6</f>
        <v>31</v>
      </c>
      <c r="O133" t="s">
        <v>212</v>
      </c>
    </row>
    <row r="135" spans="1:15" x14ac:dyDescent="0.25">
      <c r="A135" t="s">
        <v>31</v>
      </c>
      <c r="B135" t="s">
        <v>35</v>
      </c>
      <c r="C135" t="s">
        <v>213</v>
      </c>
      <c r="E135">
        <v>129.12899999999999</v>
      </c>
      <c r="F135" t="s">
        <v>214</v>
      </c>
      <c r="G135">
        <v>29</v>
      </c>
    </row>
    <row r="136" spans="1:15" x14ac:dyDescent="0.25">
      <c r="A136" t="s">
        <v>41</v>
      </c>
      <c r="B136" t="s">
        <v>35</v>
      </c>
      <c r="C136" t="s">
        <v>77</v>
      </c>
      <c r="E136">
        <v>200.999</v>
      </c>
      <c r="F136" t="s">
        <v>216</v>
      </c>
      <c r="G136">
        <f>4+4+36+29</f>
        <v>73</v>
      </c>
    </row>
    <row r="137" spans="1:15" x14ac:dyDescent="0.25">
      <c r="A137" t="s">
        <v>70</v>
      </c>
      <c r="B137" t="s">
        <v>215</v>
      </c>
    </row>
    <row r="138" spans="1:15" x14ac:dyDescent="0.25">
      <c r="A138" t="s">
        <v>179</v>
      </c>
      <c r="B138" t="s">
        <v>217</v>
      </c>
      <c r="F138" t="s">
        <v>218</v>
      </c>
      <c r="G138">
        <f>6+60+4+12</f>
        <v>82</v>
      </c>
    </row>
    <row r="139" spans="1:15" x14ac:dyDescent="0.25">
      <c r="A139" t="s">
        <v>73</v>
      </c>
      <c r="B139" t="s">
        <v>217</v>
      </c>
      <c r="F139" t="s">
        <v>229</v>
      </c>
      <c r="G139">
        <f>16+4+36+7</f>
        <v>63</v>
      </c>
    </row>
    <row r="140" spans="1:15" x14ac:dyDescent="0.25">
      <c r="A140" t="s">
        <v>219</v>
      </c>
      <c r="B140" t="s">
        <v>215</v>
      </c>
      <c r="F140" t="s">
        <v>226</v>
      </c>
      <c r="G140">
        <v>16</v>
      </c>
      <c r="L140" t="s">
        <v>228</v>
      </c>
    </row>
    <row r="141" spans="1:15" x14ac:dyDescent="0.25">
      <c r="A141" t="s">
        <v>220</v>
      </c>
      <c r="B141" t="s">
        <v>227</v>
      </c>
      <c r="F141" t="s">
        <v>226</v>
      </c>
      <c r="G141">
        <v>16</v>
      </c>
      <c r="L141" t="s">
        <v>228</v>
      </c>
    </row>
    <row r="142" spans="1:15" x14ac:dyDescent="0.25">
      <c r="A142" t="s">
        <v>221</v>
      </c>
      <c r="B142" t="s">
        <v>35</v>
      </c>
      <c r="C142" t="s">
        <v>77</v>
      </c>
      <c r="E142">
        <v>112.625</v>
      </c>
      <c r="F142" t="s">
        <v>224</v>
      </c>
      <c r="G142">
        <f>12+5+4+12</f>
        <v>33</v>
      </c>
      <c r="L142" t="s">
        <v>225</v>
      </c>
    </row>
    <row r="143" spans="1:15" x14ac:dyDescent="0.25">
      <c r="A143" t="s">
        <v>223</v>
      </c>
      <c r="B143" t="s">
        <v>222</v>
      </c>
    </row>
    <row r="144" spans="1:15" x14ac:dyDescent="0.25">
      <c r="A144" t="s">
        <v>231</v>
      </c>
      <c r="B144" t="s">
        <v>171</v>
      </c>
      <c r="C144" t="s">
        <v>232</v>
      </c>
      <c r="E144">
        <v>100.30800000000001</v>
      </c>
      <c r="F144" t="s">
        <v>233</v>
      </c>
      <c r="G144">
        <f>6+10+9+6</f>
        <v>31</v>
      </c>
      <c r="L144" t="s">
        <v>234</v>
      </c>
    </row>
    <row r="145" spans="1:12" x14ac:dyDescent="0.25">
      <c r="A145" s="5" t="s">
        <v>90</v>
      </c>
      <c r="B145" s="5"/>
      <c r="C145" s="5"/>
      <c r="D145" s="5"/>
      <c r="E145" s="5">
        <f>AVERAGE(E144,E142,E136,E135,E133)</f>
        <v>136.1962</v>
      </c>
      <c r="F145" s="5"/>
      <c r="G145" s="5">
        <f>ROUNDUP(AVERAGE(G144,G142,G141,G140,G139,G138,G136,G135,G133),0)</f>
        <v>42</v>
      </c>
    </row>
    <row r="147" spans="1:12" x14ac:dyDescent="0.25">
      <c r="A147" t="s">
        <v>176</v>
      </c>
    </row>
    <row r="148" spans="1:12" ht="45" x14ac:dyDescent="0.25">
      <c r="B148" t="s">
        <v>55</v>
      </c>
      <c r="C148" t="s">
        <v>56</v>
      </c>
      <c r="E148" t="s">
        <v>57</v>
      </c>
      <c r="F148" s="3" t="s">
        <v>137</v>
      </c>
      <c r="G148" s="3" t="s">
        <v>138</v>
      </c>
      <c r="H148" t="s">
        <v>139</v>
      </c>
    </row>
    <row r="149" spans="1:12" x14ac:dyDescent="0.25">
      <c r="A149" t="s">
        <v>34</v>
      </c>
      <c r="B149" t="s">
        <v>235</v>
      </c>
      <c r="E149">
        <v>225.65</v>
      </c>
      <c r="F149" t="s">
        <v>236</v>
      </c>
      <c r="G149">
        <v>86</v>
      </c>
      <c r="L149" t="s">
        <v>188</v>
      </c>
    </row>
    <row r="150" spans="1:12" x14ac:dyDescent="0.25">
      <c r="A150" t="s">
        <v>38</v>
      </c>
      <c r="B150" t="s">
        <v>237</v>
      </c>
    </row>
    <row r="151" spans="1:12" x14ac:dyDescent="0.25">
      <c r="A151" t="s">
        <v>31</v>
      </c>
    </row>
    <row r="152" spans="1:12" x14ac:dyDescent="0.25">
      <c r="A152" t="s">
        <v>41</v>
      </c>
    </row>
    <row r="153" spans="1:12" x14ac:dyDescent="0.25">
      <c r="A153" t="s">
        <v>70</v>
      </c>
    </row>
  </sheetData>
  <mergeCells count="2">
    <mergeCell ref="A58:O58"/>
    <mergeCell ref="L81:T81"/>
  </mergeCells>
  <pageMargins left="0.7" right="0.7" top="0.75" bottom="0.75" header="0.3" footer="0.3"/>
  <pageSetup paperSize="9" scale="6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Federation University Australia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Keogh</dc:creator>
  <cp:lastModifiedBy>Keogh</cp:lastModifiedBy>
  <cp:lastPrinted>2017-01-20T07:06:01Z</cp:lastPrinted>
  <dcterms:created xsi:type="dcterms:W3CDTF">2017-01-17T10:32:10Z</dcterms:created>
  <dcterms:modified xsi:type="dcterms:W3CDTF">2017-01-25T04:41:48Z</dcterms:modified>
</cp:coreProperties>
</file>