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GoogleDriveMelbourneUni\Research\BW4T\GOAL\GOALagents\BW4T2\logfiles\"/>
    </mc:Choice>
  </mc:AlternateContent>
  <bookViews>
    <workbookView xWindow="0" yWindow="0" windowWidth="15330" windowHeight="6960"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1" i="1" l="1"/>
  <c r="Q162" i="1"/>
  <c r="H149" i="1" s="1"/>
  <c r="O162" i="1"/>
  <c r="G149" i="1" s="1"/>
  <c r="M162" i="1"/>
  <c r="F149" i="1" s="1"/>
  <c r="Q147" i="1"/>
  <c r="H128" i="1" s="1"/>
  <c r="O145" i="1"/>
  <c r="Q138" i="1"/>
  <c r="O147" i="1" l="1"/>
  <c r="G128" i="1" s="1"/>
  <c r="M147" i="1"/>
  <c r="F128" i="1" s="1"/>
  <c r="O146" i="1"/>
  <c r="O135" i="1"/>
  <c r="O141" i="1"/>
  <c r="O144" i="1"/>
  <c r="O140" i="1"/>
  <c r="O138" i="1"/>
  <c r="Q126" i="1" l="1"/>
  <c r="H117" i="1" s="1"/>
  <c r="O126" i="1"/>
  <c r="G117" i="1" s="1"/>
  <c r="M126" i="1"/>
  <c r="F117" i="1" s="1"/>
  <c r="Q125" i="1" l="1"/>
  <c r="Q124" i="1"/>
  <c r="Q123" i="1"/>
  <c r="Q122" i="1"/>
  <c r="Q120" i="1"/>
  <c r="Q119" i="1"/>
  <c r="O57" i="1"/>
  <c r="G51" i="1" s="1"/>
  <c r="M57" i="1"/>
  <c r="F51" i="1" s="1"/>
  <c r="Q78" i="1" l="1"/>
  <c r="H70" i="1" s="1"/>
  <c r="Q68" i="1"/>
  <c r="H60" i="1" s="1"/>
  <c r="Q48" i="1"/>
  <c r="Q47" i="1"/>
  <c r="Q46" i="1"/>
  <c r="Q45" i="1"/>
  <c r="Q49" i="1" s="1"/>
  <c r="H40" i="1" s="1"/>
  <c r="Q44" i="1"/>
  <c r="Q43" i="1"/>
  <c r="Q37" i="1"/>
  <c r="Q36" i="1"/>
  <c r="Q35" i="1"/>
  <c r="Q34" i="1"/>
  <c r="Q38" i="1" s="1"/>
  <c r="H31" i="1" s="1"/>
  <c r="Q28" i="1"/>
  <c r="Q27" i="1"/>
  <c r="Q26" i="1"/>
  <c r="Q25" i="1"/>
  <c r="Q29" i="1" s="1"/>
  <c r="H22" i="1" s="1"/>
  <c r="Q19" i="1"/>
  <c r="Q18" i="1"/>
  <c r="Q17" i="1"/>
  <c r="Q16" i="1"/>
  <c r="Q20" i="1" s="1"/>
  <c r="H13" i="1" s="1"/>
  <c r="Q10" i="1"/>
  <c r="Q9" i="1"/>
  <c r="Q8" i="1"/>
  <c r="Q7" i="1"/>
  <c r="Q11" i="1" s="1"/>
  <c r="H3" i="1" s="1"/>
  <c r="Q86" i="1"/>
  <c r="Q85" i="1"/>
  <c r="Q84" i="1"/>
  <c r="Q83" i="1"/>
  <c r="Q87" i="1" s="1"/>
  <c r="H80" i="1" s="1"/>
  <c r="Q96" i="1"/>
  <c r="H89" i="1" s="1"/>
  <c r="Q95" i="1"/>
  <c r="Q93" i="1"/>
  <c r="Q92" i="1"/>
  <c r="Q104" i="1"/>
  <c r="Q103" i="1"/>
  <c r="Q102" i="1"/>
  <c r="Q101" i="1"/>
  <c r="Q105" i="1" s="1"/>
  <c r="H98" i="1" s="1"/>
  <c r="Q113" i="1"/>
  <c r="Q112" i="1"/>
  <c r="Q111" i="1"/>
  <c r="Q110" i="1"/>
  <c r="Q114" i="1" s="1"/>
  <c r="H107" i="1" s="1"/>
  <c r="O114" i="1"/>
  <c r="G107" i="1" s="1"/>
  <c r="O105" i="1"/>
  <c r="G98" i="1" s="1"/>
  <c r="O96" i="1"/>
  <c r="G89" i="1" s="1"/>
  <c r="O87" i="1"/>
  <c r="G80" i="1" s="1"/>
  <c r="O78" i="1"/>
  <c r="G70" i="1" s="1"/>
  <c r="O68" i="1"/>
  <c r="G60" i="1" s="1"/>
  <c r="O49" i="1"/>
  <c r="G40" i="1" s="1"/>
  <c r="O38" i="1"/>
  <c r="G31" i="1" s="1"/>
  <c r="O29" i="1"/>
  <c r="G22" i="1" s="1"/>
  <c r="O20" i="1"/>
  <c r="G13" i="1" s="1"/>
  <c r="O11" i="1"/>
  <c r="G3" i="1" s="1"/>
  <c r="M96" i="1"/>
  <c r="F89" i="1" s="1"/>
  <c r="M114" i="1"/>
  <c r="F107" i="1" s="1"/>
  <c r="M105" i="1"/>
  <c r="F98" i="1" s="1"/>
  <c r="M87" i="1" l="1"/>
  <c r="F80" i="1" s="1"/>
  <c r="M78" i="1"/>
  <c r="F70" i="1" s="1"/>
  <c r="M38" i="1"/>
  <c r="F31" i="1" s="1"/>
  <c r="M49" i="1"/>
  <c r="F40" i="1" s="1"/>
  <c r="M29" i="1"/>
  <c r="F22" i="1" s="1"/>
  <c r="M20" i="1"/>
  <c r="F13" i="1" s="1"/>
  <c r="M11" i="1"/>
  <c r="F3" i="1" s="1"/>
</calcChain>
</file>

<file path=xl/comments1.xml><?xml version="1.0" encoding="utf-8"?>
<comments xmlns="http://schemas.openxmlformats.org/spreadsheetml/2006/main">
  <authors>
    <author>Keogh</author>
  </authors>
  <commentList>
    <comment ref="A2" authorId="0" shapeId="0">
      <text>
        <r>
          <rPr>
            <b/>
            <sz val="9"/>
            <color indexed="81"/>
            <rFont val="Tahoma"/>
            <family val="2"/>
          </rPr>
          <t>Keogh:</t>
        </r>
        <r>
          <rPr>
            <sz val="9"/>
            <color indexed="81"/>
            <rFont val="Tahoma"/>
            <family val="2"/>
          </rPr>
          <t xml:space="preserve">
higher the number, more organizational structure, zero - no organization
1 - organization but not sharing beliefs or completion
2 - organization but not sharing beliefs
3 - organization but one medic not in org
4 - organization sharing beliefs, sharing completion
5 - organization sharing beliefs, sharing completion, allowing delegation stretcher handover</t>
        </r>
      </text>
    </comment>
    <comment ref="B2" authorId="0" shapeId="0">
      <text>
        <r>
          <rPr>
            <b/>
            <sz val="9"/>
            <color indexed="81"/>
            <rFont val="Tahoma"/>
            <family val="2"/>
          </rPr>
          <t>Keogh:</t>
        </r>
        <r>
          <rPr>
            <sz val="9"/>
            <color indexed="81"/>
            <rFont val="Tahoma"/>
            <family val="2"/>
          </rPr>
          <t xml:space="preserve">
0 - red blocks only
1 - red and orange 2 of each
</t>
        </r>
      </text>
    </comment>
    <comment ref="E2" authorId="0" shapeId="0">
      <text>
        <r>
          <rPr>
            <b/>
            <sz val="9"/>
            <color indexed="81"/>
            <rFont val="Tahoma"/>
            <family val="2"/>
          </rPr>
          <t>Keogh:</t>
        </r>
        <r>
          <rPr>
            <sz val="9"/>
            <color indexed="81"/>
            <rFont val="Tahoma"/>
            <family val="2"/>
          </rPr>
          <t xml:space="preserve">
1 - all agents aware of successful completion
0 - not all agents aware of completion status
</t>
        </r>
      </text>
    </comment>
  </commentList>
</comments>
</file>

<file path=xl/sharedStrings.xml><?xml version="1.0" encoding="utf-8"?>
<sst xmlns="http://schemas.openxmlformats.org/spreadsheetml/2006/main" count="636" uniqueCount="284">
  <si>
    <t>Baseline - 3 agents, 4 red blocks</t>
  </si>
  <si>
    <t>55,24,0</t>
  </si>
  <si>
    <t>51,24,0</t>
  </si>
  <si>
    <t>56,24,0</t>
  </si>
  <si>
    <t>40,24,0</t>
  </si>
  <si>
    <t>Baseline - 3 agents, 2 red blocks, 2 orange blocks</t>
  </si>
  <si>
    <t>14,26,19</t>
  </si>
  <si>
    <t>28,25,21</t>
  </si>
  <si>
    <t>28,24,21</t>
  </si>
  <si>
    <t>21,25,25</t>
  </si>
  <si>
    <t>Baseline - 4 agents, 4 red blocks</t>
  </si>
  <si>
    <t>78,48,0</t>
  </si>
  <si>
    <t>60,49,0</t>
  </si>
  <si>
    <t>60,48,0</t>
  </si>
  <si>
    <t>79,49,0</t>
  </si>
  <si>
    <t>Baseline - 4 agents, 2 red blocks, 2 orange blocks</t>
  </si>
  <si>
    <t>38,50,41</t>
  </si>
  <si>
    <t>35,48,49</t>
  </si>
  <si>
    <t>39,49,39</t>
  </si>
  <si>
    <t>40,49,40</t>
  </si>
  <si>
    <t>Stretcher Handover 4 agents 2 red blocks, 2 orange blocks</t>
  </si>
  <si>
    <t>0,0,19</t>
  </si>
  <si>
    <t>0,0,20</t>
  </si>
  <si>
    <t>0,0,36</t>
  </si>
  <si>
    <t>0,0,38</t>
  </si>
  <si>
    <t>0,0,37</t>
  </si>
  <si>
    <t>Not sharing beliefs, sharing rescue completion 4 agents 2 red blocks,</t>
  </si>
  <si>
    <t>2 orange blocks. No delegation.</t>
  </si>
  <si>
    <t>0,36,39</t>
  </si>
  <si>
    <t>0,60,51</t>
  </si>
  <si>
    <t>2,0,1,1</t>
  </si>
  <si>
    <t>run3</t>
  </si>
  <si>
    <t>0,48,33</t>
  </si>
  <si>
    <t>0,48,35</t>
  </si>
  <si>
    <t>run1</t>
  </si>
  <si>
    <t>yes</t>
  </si>
  <si>
    <t>all</t>
  </si>
  <si>
    <t>11,7,7</t>
  </si>
  <si>
    <t>run2</t>
  </si>
  <si>
    <t>8,8,11</t>
  </si>
  <si>
    <t>9,10,12</t>
  </si>
  <si>
    <t>run4</t>
  </si>
  <si>
    <t>9,8,9</t>
  </si>
  <si>
    <t>9,8,3</t>
  </si>
  <si>
    <t>9,9,13</t>
  </si>
  <si>
    <t>9,11,6</t>
  </si>
  <si>
    <t>6,4,7</t>
  </si>
  <si>
    <t>9,3,3,7</t>
  </si>
  <si>
    <t>6,4,9,4</t>
  </si>
  <si>
    <t>10,8,7,9</t>
  </si>
  <si>
    <t>4,4,4,6</t>
  </si>
  <si>
    <t>7,5,6,2</t>
  </si>
  <si>
    <t>6,3,6,4</t>
  </si>
  <si>
    <t>5,4,11,3</t>
  </si>
  <si>
    <t>9,14,7,2</t>
  </si>
  <si>
    <t>Success</t>
  </si>
  <si>
    <t>Awareness</t>
  </si>
  <si>
    <t>Time</t>
  </si>
  <si>
    <t>Communication</t>
  </si>
  <si>
    <t>4,9,4,6</t>
  </si>
  <si>
    <t xml:space="preserve">36,48,53 </t>
  </si>
  <si>
    <t>stretcher(delegated to officer3)</t>
  </si>
  <si>
    <t>5,3,9,6</t>
  </si>
  <si>
    <t>Efficiency</t>
  </si>
  <si>
    <t>none</t>
  </si>
  <si>
    <t>37,48,46</t>
  </si>
  <si>
    <t>5,2,8,6</t>
  </si>
  <si>
    <t xml:space="preserve">36,48,47 </t>
  </si>
  <si>
    <t>8,5,10,6</t>
  </si>
  <si>
    <t>33,48,39</t>
  </si>
  <si>
    <t>run5</t>
  </si>
  <si>
    <t>8,7,7,3</t>
  </si>
  <si>
    <t xml:space="preserve">30,48,51 </t>
  </si>
  <si>
    <t>run7</t>
  </si>
  <si>
    <t>5,9,3,6</t>
  </si>
  <si>
    <t xml:space="preserve">36,48,57 </t>
  </si>
  <si>
    <t>Medic1 sharing beliefs on reaching landmark state with officer1</t>
  </si>
  <si>
    <t>no</t>
  </si>
  <si>
    <t>incomplete</t>
  </si>
  <si>
    <t>4,4,6</t>
  </si>
  <si>
    <t>6,4,4</t>
  </si>
  <si>
    <t>4,6,14,4</t>
  </si>
  <si>
    <t>6,16,5,4</t>
  </si>
  <si>
    <t>-</t>
  </si>
  <si>
    <t>6,4,6,6</t>
  </si>
  <si>
    <t>11,12,12,8</t>
  </si>
  <si>
    <t>6,9,9,5</t>
  </si>
  <si>
    <t>7,9,13,10</t>
  </si>
  <si>
    <t>14,9,9,9</t>
  </si>
  <si>
    <t>16,5,4,4</t>
  </si>
  <si>
    <t>AVG</t>
  </si>
  <si>
    <t>crisismap3-4redblocks-3Medagents-allinOrgNoHandoverAllMedicsREAMedic</t>
  </si>
  <si>
    <t>crisismap4-3Medagents-allinOrgmedic3inRoleMedic</t>
  </si>
  <si>
    <t>crisismap3-4redblocks-4medagents-allinOrg</t>
  </si>
  <si>
    <t>crisismap4-4Medagents-allinOrgmedic3inRoleMedic</t>
  </si>
  <si>
    <t>crisismap4-4Medagents-allinOrgmedic2HandoverStretcherCarrying</t>
  </si>
  <si>
    <t>crisismap4-3Medagents-allinMedicOrgNotSharingBeliefs - not sharing location of injured with other medics, not sharing rescue completion, however medic1 shared with officer1 reached(injuredLocatedLmk) and officers then shared reached(injuredLocatedLmk) with all medics .. may be need to run this one again?</t>
  </si>
  <si>
    <t>Not sharing beliefs 3 agents 2 red blocks, 2 orange blocks. No delegation.</t>
  </si>
  <si>
    <t xml:space="preserve"> officer1AndMedic1AreInCombinedOrgAllMedicsinMedicOrgAllOfficersinOfficerOrg</t>
  </si>
  <si>
    <t>crisismap4-4Medagents-allinMedicOrgNotSharingBeliefs - duetonotsharingbeliefs someagents not aware when rescues complete so had outdated goals to do a stretcher rescue when all done</t>
  </si>
  <si>
    <t>% looks as if medics are sending message of reached(injuredRescuedLmk) to each other and officers are sending messsage of reached(injuredLocatedLmk) to medics - might need to run again</t>
  </si>
  <si>
    <t>Not sharing beliefs, sharing rescue completion 3 agents 2 red blocks, , 2 orange blocks. No delegation.</t>
  </si>
  <si>
    <t>crisismap4-3Medagents-allinMedicOrgNotSharingBeliefsButDoShareRescueCompletioninOrg</t>
  </si>
  <si>
    <t xml:space="preserve">run1 </t>
  </si>
  <si>
    <t xml:space="preserve"> yes </t>
  </si>
  <si>
    <t xml:space="preserve"> 0,24,22</t>
  </si>
  <si>
    <t xml:space="preserve"> 6,10,7</t>
  </si>
  <si>
    <t>2,1,1</t>
  </si>
  <si>
    <t>1,0,2,0</t>
  </si>
  <si>
    <t>1,1,2,0</t>
  </si>
  <si>
    <t>0,2,2,0</t>
  </si>
  <si>
    <t>1,2,1</t>
  </si>
  <si>
    <t xml:space="preserve">run2 </t>
  </si>
  <si>
    <t xml:space="preserve"> 0,24,22 </t>
  </si>
  <si>
    <t xml:space="preserve"> 7,5,11</t>
  </si>
  <si>
    <t>1,0,3</t>
  </si>
  <si>
    <t xml:space="preserve">run4 </t>
  </si>
  <si>
    <t xml:space="preserve"> 153.391 7 </t>
  </si>
  <si>
    <t xml:space="preserve"> 0,24,25 </t>
  </si>
  <si>
    <t>0,2,2</t>
  </si>
  <si>
    <t xml:space="preserve"> 10,13,10</t>
  </si>
  <si>
    <t xml:space="preserve"> yes</t>
  </si>
  <si>
    <t>crisismap4-4Medagents-allinOrgmedic3NotinRoleMedicMedic3capableStretcherRescue</t>
  </si>
  <si>
    <t>Medic 3 not in role Medic but is in org. Sharing beliefs with other REAs in org. 4 agents 2 red blocks, 2 orange blocks. No delegation.</t>
  </si>
  <si>
    <t xml:space="preserve">run3 </t>
  </si>
  <si>
    <t xml:space="preserve"> 34,36,37</t>
  </si>
  <si>
    <t xml:space="preserve"> 28,41,36 </t>
  </si>
  <si>
    <t xml:space="preserve"> 34,41,31 </t>
  </si>
  <si>
    <t xml:space="preserve"> 24,41,43</t>
  </si>
  <si>
    <t>1,0,0,3</t>
  </si>
  <si>
    <t xml:space="preserve"> 1,0,0,3 m2 collision</t>
  </si>
  <si>
    <t>no sharing therefore of information between medics at org level</t>
  </si>
  <si>
    <t xml:space="preserve"> 13,5,10,4   </t>
  </si>
  <si>
    <t xml:space="preserve"> 3,2,5,9  </t>
  </si>
  <si>
    <t xml:space="preserve"> 11,10,10,12   </t>
  </si>
  <si>
    <t xml:space="preserve"> 11,3,8,6  </t>
  </si>
  <si>
    <t>Efficiency (rooms entered)</t>
  </si>
  <si>
    <t>Total no. rooms entered</t>
  </si>
  <si>
    <t xml:space="preserve">Communication </t>
  </si>
  <si>
    <t>%crisismap4-3Medagents-allinOrgmedic3NotinRoleMedicMedic3capableStretcherRescue</t>
  </si>
  <si>
    <t>Medic 3 not in role Medic but is in org. Sharing beliefs with other REAs in org. 3 agents 2 red blocks, 2 orange blocks. No delegation.</t>
  </si>
  <si>
    <t>no medics in org</t>
  </si>
  <si>
    <t xml:space="preserve"> 9,10,11</t>
  </si>
  <si>
    <t xml:space="preserve"> 9, 21, 23 </t>
  </si>
  <si>
    <t>1,0,0,</t>
  </si>
  <si>
    <t xml:space="preserve"> 11,9,7</t>
  </si>
  <si>
    <t xml:space="preserve"> 19,20,19 </t>
  </si>
  <si>
    <t xml:space="preserve"> 1,2,1 collision swap m1 m2</t>
  </si>
  <si>
    <t xml:space="preserve"> 7,9,9 </t>
  </si>
  <si>
    <t xml:space="preserve"> 21,21,22</t>
  </si>
  <si>
    <t xml:space="preserve"> 10,8,9 </t>
  </si>
  <si>
    <t xml:space="preserve">24,23,21 </t>
  </si>
  <si>
    <t xml:space="preserve"> 3,1,0 collision m2</t>
  </si>
  <si>
    <t>1,3,0 collision m3</t>
  </si>
  <si>
    <t>Sharing reaching landmark states</t>
  </si>
  <si>
    <t>% crisismap4-4MedagentsallinMedicOrgNotSharingBeliefsButDoShareRescueCompletioninOrg</t>
  </si>
  <si>
    <t>Not sharing beliefs, sharing rescue completion 4 agents 2 red blocks, 2 orange blocks. No delegation.</t>
  </si>
  <si>
    <t>one collision swap m3didredblockrscue m1 and m2 did stretcher rescue m3 did redblock then m3 seemed to stallinroomb2</t>
  </si>
  <si>
    <t>delegation</t>
  </si>
  <si>
    <t>crisismap3-4redblocks-3Medagents-allinOrgNoBeliefSharingNoRescueCompletnSharingAllMedicsREA</t>
  </si>
  <si>
    <t>4 red blocks - so no coordination of stretcher rescue required</t>
  </si>
  <si>
    <t>no officer org</t>
  </si>
  <si>
    <t>8,10,10</t>
  </si>
  <si>
    <t>0,0,0</t>
  </si>
  <si>
    <t>1,1,2</t>
  </si>
  <si>
    <t>agents are sharing reached lmk status</t>
  </si>
  <si>
    <t>m1didntknowofrescuesokepttryingtodoitbutwasstuckbecausem2wasintheroom  Itoldm2toleaveA1</t>
  </si>
  <si>
    <t>partial</t>
  </si>
  <si>
    <t>9,9,8</t>
  </si>
  <si>
    <t>9,11,9</t>
  </si>
  <si>
    <t xml:space="preserve">yes </t>
  </si>
  <si>
    <t>10,10,9</t>
  </si>
  <si>
    <t>medic agents have to notice themselves that  rescues are complete</t>
  </si>
  <si>
    <t>crisismap4-4Medagents-allinOrgNoHandoverMedic3NOTaREAtotestcapabilities</t>
  </si>
  <si>
    <t>crisismap4-4medagents-noOrgs</t>
  </si>
  <si>
    <t>crisismap4-3medagents-noOrgs</t>
  </si>
  <si>
    <t>first2runsOfficeragentsThoughtMedic3isREA and Medic4 is not REA so officer told m3 reached injuredlocated</t>
  </si>
  <si>
    <t xml:space="preserve"> </t>
  </si>
  <si>
    <t>run6</t>
  </si>
  <si>
    <t>11,6,5,7</t>
  </si>
  <si>
    <t>2,1,0,1</t>
  </si>
  <si>
    <t>26,27,35</t>
  </si>
  <si>
    <t>6,7,4,6</t>
  </si>
  <si>
    <t>1,2,0,1</t>
  </si>
  <si>
    <t>34,24,29</t>
  </si>
  <si>
    <t>8,7,4,6</t>
  </si>
  <si>
    <t>34,24,34</t>
  </si>
  <si>
    <t>3,1,0,0</t>
  </si>
  <si>
    <t>7,7,4,6</t>
  </si>
  <si>
    <t>33,24,39</t>
  </si>
  <si>
    <t>1,1,0,2</t>
  </si>
  <si>
    <t>2,4,6,10</t>
  </si>
  <si>
    <t>34,30,36</t>
  </si>
  <si>
    <t>0,1,0,2</t>
  </si>
  <si>
    <t>no m3 not up to date</t>
  </si>
  <si>
    <t>no partial m3 not up to date</t>
  </si>
  <si>
    <t>7,10,4,7</t>
  </si>
  <si>
    <t>34,24,42</t>
  </si>
  <si>
    <t>average run3-run6</t>
  </si>
  <si>
    <t>killed system after 178.374 as m3 still trying to enter a room that is blocked by another agent.</t>
  </si>
  <si>
    <t>CrisisMap-4-Coord4agents</t>
  </si>
  <si>
    <t>all officers are in OfficerOrg</t>
  </si>
  <si>
    <t>comment out line 12,20 in org_instance.pl so that there is no medicOrg, no combinedOrg</t>
  </si>
  <si>
    <t>added line 209,212 in aware_medic.goal so that medics outside an org can do stretcher rescue</t>
  </si>
  <si>
    <t>no medic3 ready for stretcher rescue but blocking room b2, all other agents want to get into b2 to locate injured</t>
  </si>
  <si>
    <t>3,3,4,3</t>
  </si>
  <si>
    <t>run0</t>
  </si>
  <si>
    <t>before run1 added rule to clear room if occupied collided and have a goal in(X), also added rules so that agents will adopt rescueStretcher goal based on capability or rea if not in org</t>
  </si>
  <si>
    <t>medic4 is  blocking room b2, m3 and m1 are trying to rescue orange block b2 - stalled. Added new rule line 918 in aware medic to have clear room if room blocked</t>
  </si>
  <si>
    <t>realised after run1 that agents with a shared plan need to tell partner when the rescue is complete, added  + send(O,rescued(Ag))  to ensure this will occur</t>
  </si>
  <si>
    <t>sort of worked but medic4 did a stretcher rescue with m3 but m3 did a red block rescue in the meantime while m4 waited in dropzone</t>
  </si>
  <si>
    <t>changed notice rule in aware medic line 327 so if onStretcher is true the agent will not notice a block having been removed from a room via a percept.</t>
  </si>
  <si>
    <t>no some agents still believe blocks need rescuing upon completion</t>
  </si>
  <si>
    <t>6,7,4,12</t>
  </si>
  <si>
    <t>deadlock with each agent proposing to different agent about potential rescues. No progress beyond search. It seems 2 agents both simultaneously proposed a different rescue with each other and then both thought they agreed but on different aSP.</t>
  </si>
  <si>
    <t>4,4,36,39</t>
  </si>
  <si>
    <t>3 rescues successful, then agent is blocking all others from rescue of 4th block. The blocking agent is frozen because still trying to set up a plan to rescue blocks that others have rescued already</t>
  </si>
  <si>
    <t>6,60,4,12</t>
  </si>
  <si>
    <t>run8</t>
  </si>
  <si>
    <t>run9</t>
  </si>
  <si>
    <t>run10</t>
  </si>
  <si>
    <t>3 rescues successful, then agent is blocking all others from rescue of 4th block. The blocking agent is frozen because believes  there are 3 injured blocks remaining, one o f which is orange still trying to set up a plan to rescue blocks that others have rescued already</t>
  </si>
  <si>
    <t>run11</t>
  </si>
  <si>
    <t>12,5,4,12</t>
  </si>
  <si>
    <t>2,0,0,2</t>
  </si>
  <si>
    <t>4,4,4,4</t>
  </si>
  <si>
    <t>no rescues</t>
  </si>
  <si>
    <t>0,0,0,0</t>
  </si>
  <si>
    <t>16,4,36,7</t>
  </si>
  <si>
    <t>4,9,12,6</t>
  </si>
  <si>
    <t>run12</t>
  </si>
  <si>
    <t>no two agents still believe blocks need rescuing upon completion</t>
  </si>
  <si>
    <t>6,10,9,6</t>
  </si>
  <si>
    <t>1,1,1,1</t>
  </si>
  <si>
    <t>2 stretcher rescues successful then agents seem confused, one agent trying to decide between which red block to rescue, other 2 agents with out of date beliefs trying to organise stretcher rescues. Eventually all rescued.</t>
  </si>
  <si>
    <t>73,6,7</t>
  </si>
  <si>
    <t>no deadlock between 2 agents who have 2 potential rescues agreed and one chooses one, the other chooses the other. No progress.</t>
  </si>
  <si>
    <t>added new rule (moved it) at line 586 medic capabilities to resolve tie break</t>
  </si>
  <si>
    <t>no, did 1 stretcher rescue, then 3rd agent was blocking a room that the other two were trying to rescue orange block from. Perhaps need a better rule to clear room if trying to enter room for rescue. Added new rule into clearRoom so that it will be effective even if the agent doesn't have a goal to be in room (with stretcher rescue agent doesn't have goal in(L) or at(L).</t>
  </si>
  <si>
    <t>run5-0</t>
  </si>
  <si>
    <t xml:space="preserve">had one fail, only 1 stretcher rescue attempted, but the rescue partner got confused,entered the room after pickup and then noticed block was rescued so gave up on the stretcher rescue, then the holding agent was left waiting in dropzone. Fixed bug so that agent won't notice block rescued if it is believing gotStretcher(N) </t>
  </si>
  <si>
    <t>run6-0</t>
  </si>
  <si>
    <t>after run3 added rule to try to avoid tie break of 2 agents simultaneously choosing different shared plans to agree upon</t>
  </si>
  <si>
    <t>3,1,0</t>
  </si>
  <si>
    <t>0,2,18</t>
  </si>
  <si>
    <t>comms: injuredlocated,rescued,adopt</t>
  </si>
  <si>
    <t>4,7,4,4</t>
  </si>
  <si>
    <t>0,0,24</t>
  </si>
  <si>
    <t>0,1,0,0</t>
  </si>
  <si>
    <t>0,1,2,1</t>
  </si>
  <si>
    <t>0,1,0,3</t>
  </si>
  <si>
    <t>0,2,26</t>
  </si>
  <si>
    <t>0,2,19</t>
  </si>
  <si>
    <t>0,0,2,2</t>
  </si>
  <si>
    <t>0,2,30</t>
  </si>
  <si>
    <t>1,0,1,1</t>
  </si>
  <si>
    <t>0,2,23</t>
  </si>
  <si>
    <t>0,0,23</t>
  </si>
  <si>
    <t>0,2,28</t>
  </si>
  <si>
    <t>no, e.g. medic3 has no idea of any rescues</t>
  </si>
  <si>
    <t>5,4,15,5</t>
  </si>
  <si>
    <t>0,0,3,0</t>
  </si>
  <si>
    <t>0,2,29</t>
  </si>
  <si>
    <t>6,11,11</t>
  </si>
  <si>
    <t>0,2,20</t>
  </si>
  <si>
    <t>no, one agent still believes some blocks not rescued</t>
  </si>
  <si>
    <t>4,11,10</t>
  </si>
  <si>
    <t>0,2,16</t>
  </si>
  <si>
    <t>no - inconsistent beliefs still one agent believes stretcher rescues need to occur</t>
  </si>
  <si>
    <t>5,18,15</t>
  </si>
  <si>
    <t>0,3,1</t>
  </si>
  <si>
    <t>10,4,14</t>
  </si>
  <si>
    <t>15,4,15</t>
  </si>
  <si>
    <t>organizational structure index</t>
  </si>
  <si>
    <t>no medics</t>
  </si>
  <si>
    <t>task complexity index</t>
  </si>
  <si>
    <t>Detailed summaries</t>
  </si>
  <si>
    <t>Summary stats, based on averages</t>
  </si>
  <si>
    <t>success rate %</t>
  </si>
  <si>
    <t xml:space="preserve">awareness </t>
  </si>
  <si>
    <t>time to complete</t>
  </si>
  <si>
    <t>efficiency (total no. rooms entered)</t>
  </si>
  <si>
    <t>communication (total no. messages)</t>
  </si>
  <si>
    <t>%run3 &amp; stalled no progress, unclear why -ignore as outlier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</si>
</sst>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 borderId="0" xfId="0" applyFill="1"/>
    <xf numFmtId="0" fontId="0" fillId="0" borderId="0" xfId="0" applyAlignment="1">
      <alignment wrapText="1"/>
    </xf>
    <xf numFmtId="0" fontId="0" fillId="2" borderId="0" xfId="0" applyFill="1" applyAlignment="1">
      <alignment wrapText="1"/>
    </xf>
    <xf numFmtId="0" fontId="0" fillId="2" borderId="0" xfId="0" applyFill="1" applyAlignment="1"/>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U"/>
          </a:p>
          <a:p>
            <a:pPr>
              <a:defRPr/>
            </a:pPr>
            <a:r>
              <a:rPr lang="en-AU"/>
              <a:t>Agent</a:t>
            </a:r>
            <a:r>
              <a:rPr lang="en-AU" baseline="0"/>
              <a:t> Performance</a:t>
            </a:r>
            <a:endParaRPr lang="en-AU"/>
          </a:p>
        </c:rich>
      </c:tx>
      <c:layout>
        <c:manualLayout>
          <c:xMode val="edge"/>
          <c:yMode val="edge"/>
          <c:x val="0.344743000874890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Rooms entered</c:v>
          </c:tx>
          <c:spPr>
            <a:solidFill>
              <a:schemeClr val="accent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Sheet2!$A$13:$A$19</c:f>
              <c:numCache>
                <c:formatCode>General</c:formatCode>
                <c:ptCount val="7"/>
                <c:pt idx="0">
                  <c:v>0</c:v>
                </c:pt>
                <c:pt idx="1">
                  <c:v>1.5</c:v>
                </c:pt>
                <c:pt idx="2">
                  <c:v>2</c:v>
                </c:pt>
                <c:pt idx="3">
                  <c:v>3</c:v>
                </c:pt>
                <c:pt idx="4">
                  <c:v>3.5</c:v>
                </c:pt>
                <c:pt idx="5">
                  <c:v>4</c:v>
                </c:pt>
                <c:pt idx="6">
                  <c:v>5</c:v>
                </c:pt>
              </c:numCache>
            </c:numRef>
          </c:cat>
          <c:val>
            <c:numRef>
              <c:f>Sheet2!$G$13:$G$19</c:f>
              <c:numCache>
                <c:formatCode>General</c:formatCode>
                <c:ptCount val="7"/>
                <c:pt idx="0">
                  <c:v>42</c:v>
                </c:pt>
                <c:pt idx="1">
                  <c:v>28</c:v>
                </c:pt>
                <c:pt idx="2">
                  <c:v>34</c:v>
                </c:pt>
                <c:pt idx="3">
                  <c:v>25</c:v>
                </c:pt>
                <c:pt idx="4">
                  <c:v>31</c:v>
                </c:pt>
                <c:pt idx="5">
                  <c:v>24</c:v>
                </c:pt>
                <c:pt idx="6">
                  <c:v>24</c:v>
                </c:pt>
              </c:numCache>
            </c:numRef>
          </c:val>
        </c:ser>
        <c:ser>
          <c:idx val="2"/>
          <c:order val="1"/>
          <c:tx>
            <c:v>Messages </c:v>
          </c:tx>
          <c:spPr>
            <a:solidFill>
              <a:schemeClr val="accent3"/>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Sheet2!$A$13:$A$19</c:f>
              <c:numCache>
                <c:formatCode>General</c:formatCode>
                <c:ptCount val="7"/>
                <c:pt idx="0">
                  <c:v>0</c:v>
                </c:pt>
                <c:pt idx="1">
                  <c:v>1.5</c:v>
                </c:pt>
                <c:pt idx="2">
                  <c:v>2</c:v>
                </c:pt>
                <c:pt idx="3">
                  <c:v>3</c:v>
                </c:pt>
                <c:pt idx="4">
                  <c:v>3.5</c:v>
                </c:pt>
                <c:pt idx="5">
                  <c:v>4</c:v>
                </c:pt>
                <c:pt idx="6">
                  <c:v>5</c:v>
                </c:pt>
              </c:numCache>
            </c:numRef>
          </c:cat>
          <c:val>
            <c:numRef>
              <c:f>Sheet2!$H$13:$H$19</c:f>
              <c:numCache>
                <c:formatCode>General</c:formatCode>
                <c:ptCount val="7"/>
                <c:pt idx="0">
                  <c:v>26.17</c:v>
                </c:pt>
                <c:pt idx="1">
                  <c:v>37.25</c:v>
                </c:pt>
                <c:pt idx="2">
                  <c:v>87.5</c:v>
                </c:pt>
                <c:pt idx="3">
                  <c:v>97</c:v>
                </c:pt>
                <c:pt idx="4">
                  <c:v>106.5</c:v>
                </c:pt>
                <c:pt idx="5">
                  <c:v>129.25</c:v>
                </c:pt>
                <c:pt idx="6">
                  <c:v>131.5</c:v>
                </c:pt>
              </c:numCache>
            </c:numRef>
          </c:val>
        </c:ser>
        <c:ser>
          <c:idx val="0"/>
          <c:order val="2"/>
          <c:tx>
            <c:v>Time</c:v>
          </c:tx>
          <c:spPr>
            <a:solidFill>
              <a:schemeClr val="accent1"/>
            </a:solidFill>
            <a:ln w="25400">
              <a:noFill/>
            </a:ln>
            <a:effectLst/>
          </c:spPr>
          <c:invertIfNegative val="0"/>
          <c:val>
            <c:numRef>
              <c:f>Sheet2!$F$13:$F$19</c:f>
              <c:numCache>
                <c:formatCode>General</c:formatCode>
                <c:ptCount val="7"/>
                <c:pt idx="0">
                  <c:v>136.1962</c:v>
                </c:pt>
                <c:pt idx="1">
                  <c:v>180.14599999999999</c:v>
                </c:pt>
                <c:pt idx="2">
                  <c:v>163.59433333333334</c:v>
                </c:pt>
                <c:pt idx="3">
                  <c:v>147.11075</c:v>
                </c:pt>
                <c:pt idx="4">
                  <c:v>138.70725000000002</c:v>
                </c:pt>
                <c:pt idx="5">
                  <c:v>121.85300000000001</c:v>
                </c:pt>
                <c:pt idx="6">
                  <c:v>203.6285</c:v>
                </c:pt>
              </c:numCache>
            </c:numRef>
          </c:val>
        </c:ser>
        <c:dLbls>
          <c:showLegendKey val="0"/>
          <c:showVal val="0"/>
          <c:showCatName val="0"/>
          <c:showSerName val="0"/>
          <c:showPercent val="0"/>
          <c:showBubbleSize val="0"/>
        </c:dLbls>
        <c:gapWidth val="190"/>
        <c:overlap val="9"/>
        <c:axId val="134262752"/>
        <c:axId val="134263144"/>
      </c:barChart>
      <c:catAx>
        <c:axId val="13426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Organizational Structure</a:t>
                </a:r>
                <a:r>
                  <a:rPr lang="en-AU" baseline="0"/>
                  <a:t> </a:t>
                </a:r>
                <a:endParaRPr lang="en-A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3144"/>
        <c:crosses val="autoZero"/>
        <c:auto val="1"/>
        <c:lblAlgn val="ctr"/>
        <c:lblOffset val="100"/>
        <c:noMultiLvlLbl val="0"/>
      </c:catAx>
      <c:valAx>
        <c:axId val="134263144"/>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62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4762</xdr:colOff>
      <xdr:row>7</xdr:row>
      <xdr:rowOff>0</xdr:rowOff>
    </xdr:from>
    <xdr:to>
      <xdr:col>16</xdr:col>
      <xdr:colOff>309562</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162"/>
  <sheetViews>
    <sheetView workbookViewId="0">
      <selection activeCell="A2" sqref="A1:H1048576"/>
    </sheetView>
  </sheetViews>
  <sheetFormatPr defaultRowHeight="15" x14ac:dyDescent="0.25"/>
  <cols>
    <col min="14" max="14" width="13.28515625" customWidth="1"/>
  </cols>
  <sheetData>
    <row r="1" spans="1:19" x14ac:dyDescent="0.25">
      <c r="A1" s="9" t="s">
        <v>277</v>
      </c>
      <c r="B1" s="9"/>
      <c r="C1" s="9"/>
      <c r="D1" s="9"/>
      <c r="E1" s="9"/>
      <c r="F1" s="9"/>
      <c r="G1" s="9"/>
      <c r="H1" s="9"/>
      <c r="I1" s="9" t="s">
        <v>276</v>
      </c>
      <c r="J1" s="9"/>
      <c r="K1" s="9"/>
      <c r="L1" s="9"/>
      <c r="M1" s="9"/>
      <c r="N1" s="9"/>
      <c r="O1" s="9"/>
      <c r="P1" s="9"/>
      <c r="Q1" s="9"/>
      <c r="R1" s="9"/>
      <c r="S1" s="9"/>
    </row>
    <row r="2" spans="1:19" ht="75" x14ac:dyDescent="0.25">
      <c r="A2" s="5" t="s">
        <v>273</v>
      </c>
      <c r="B2" s="5" t="s">
        <v>275</v>
      </c>
      <c r="C2" s="5" t="s">
        <v>274</v>
      </c>
      <c r="D2" s="5" t="s">
        <v>278</v>
      </c>
      <c r="E2" s="5" t="s">
        <v>279</v>
      </c>
      <c r="F2" s="5" t="s">
        <v>280</v>
      </c>
      <c r="G2" s="5" t="s">
        <v>281</v>
      </c>
      <c r="H2" s="5" t="s">
        <v>282</v>
      </c>
      <c r="J2" t="s">
        <v>55</v>
      </c>
      <c r="K2" t="s">
        <v>56</v>
      </c>
      <c r="M2" t="s">
        <v>57</v>
      </c>
      <c r="N2" s="5" t="s">
        <v>136</v>
      </c>
      <c r="O2" s="5" t="s">
        <v>137</v>
      </c>
      <c r="P2" t="s">
        <v>138</v>
      </c>
      <c r="R2" t="s">
        <v>158</v>
      </c>
    </row>
    <row r="3" spans="1:19" x14ac:dyDescent="0.25">
      <c r="A3">
        <v>4</v>
      </c>
      <c r="B3">
        <v>0</v>
      </c>
      <c r="C3">
        <v>3</v>
      </c>
      <c r="D3">
        <v>100</v>
      </c>
      <c r="E3">
        <v>1</v>
      </c>
      <c r="F3">
        <f>M11</f>
        <v>71.265250000000009</v>
      </c>
      <c r="G3">
        <f>O11</f>
        <v>28</v>
      </c>
      <c r="H3">
        <f>Q11</f>
        <v>74.5</v>
      </c>
      <c r="I3" s="4" t="s">
        <v>91</v>
      </c>
      <c r="J3" s="4"/>
      <c r="K3" s="4"/>
      <c r="L3" s="4"/>
      <c r="M3" s="4"/>
      <c r="N3" s="4"/>
      <c r="O3" s="4"/>
    </row>
    <row r="4" spans="1:19" x14ac:dyDescent="0.25">
      <c r="J4" t="s">
        <v>55</v>
      </c>
      <c r="K4" t="s">
        <v>56</v>
      </c>
      <c r="M4" t="s">
        <v>57</v>
      </c>
      <c r="N4" t="s">
        <v>63</v>
      </c>
      <c r="P4" t="s">
        <v>58</v>
      </c>
    </row>
    <row r="5" spans="1:19" x14ac:dyDescent="0.25">
      <c r="B5" t="s">
        <v>177</v>
      </c>
      <c r="C5" t="s">
        <v>177</v>
      </c>
      <c r="I5" s="4" t="s">
        <v>0</v>
      </c>
    </row>
    <row r="6" spans="1:19" ht="45" x14ac:dyDescent="0.25">
      <c r="J6" t="s">
        <v>55</v>
      </c>
      <c r="K6" t="s">
        <v>56</v>
      </c>
      <c r="M6" t="s">
        <v>57</v>
      </c>
      <c r="N6" s="1" t="s">
        <v>136</v>
      </c>
      <c r="O6" s="1" t="s">
        <v>137</v>
      </c>
      <c r="P6" t="s">
        <v>138</v>
      </c>
      <c r="R6" t="s">
        <v>158</v>
      </c>
    </row>
    <row r="7" spans="1:19" x14ac:dyDescent="0.25">
      <c r="I7" t="s">
        <v>34</v>
      </c>
      <c r="J7" t="s">
        <v>35</v>
      </c>
      <c r="K7" t="s">
        <v>36</v>
      </c>
      <c r="L7">
        <v>3</v>
      </c>
      <c r="M7">
        <v>67.281000000000006</v>
      </c>
      <c r="N7" t="s">
        <v>37</v>
      </c>
      <c r="O7">
        <v>25</v>
      </c>
      <c r="P7" t="s">
        <v>1</v>
      </c>
      <c r="Q7">
        <f>55+24</f>
        <v>79</v>
      </c>
    </row>
    <row r="8" spans="1:19" x14ac:dyDescent="0.25">
      <c r="I8" t="s">
        <v>38</v>
      </c>
      <c r="J8" t="s">
        <v>35</v>
      </c>
      <c r="K8" t="s">
        <v>36</v>
      </c>
      <c r="L8">
        <v>3</v>
      </c>
      <c r="M8">
        <v>75.635000000000005</v>
      </c>
      <c r="N8" t="s">
        <v>39</v>
      </c>
      <c r="O8">
        <v>27</v>
      </c>
      <c r="P8" t="s">
        <v>2</v>
      </c>
      <c r="Q8">
        <f>51+24</f>
        <v>75</v>
      </c>
    </row>
    <row r="9" spans="1:19" x14ac:dyDescent="0.25">
      <c r="I9" t="s">
        <v>31</v>
      </c>
      <c r="J9" t="s">
        <v>35</v>
      </c>
      <c r="K9" t="s">
        <v>36</v>
      </c>
      <c r="L9">
        <v>3</v>
      </c>
      <c r="M9">
        <v>63.408000000000001</v>
      </c>
      <c r="N9" t="s">
        <v>40</v>
      </c>
      <c r="O9">
        <v>31</v>
      </c>
      <c r="P9" t="s">
        <v>3</v>
      </c>
      <c r="Q9">
        <f>56+24</f>
        <v>80</v>
      </c>
    </row>
    <row r="10" spans="1:19" x14ac:dyDescent="0.25">
      <c r="I10" t="s">
        <v>41</v>
      </c>
      <c r="J10" t="s">
        <v>35</v>
      </c>
      <c r="K10" t="s">
        <v>36</v>
      </c>
      <c r="L10">
        <v>3</v>
      </c>
      <c r="M10">
        <v>78.736999999999995</v>
      </c>
      <c r="N10" t="s">
        <v>42</v>
      </c>
      <c r="O10">
        <v>26</v>
      </c>
      <c r="P10" t="s">
        <v>4</v>
      </c>
      <c r="Q10">
        <f>40+24</f>
        <v>64</v>
      </c>
    </row>
    <row r="11" spans="1:19" x14ac:dyDescent="0.25">
      <c r="I11" s="4" t="s">
        <v>90</v>
      </c>
      <c r="J11" s="4"/>
      <c r="K11" s="4"/>
      <c r="L11" s="4"/>
      <c r="M11" s="4">
        <f>AVERAGE(M7:M10)</f>
        <v>71.265250000000009</v>
      </c>
      <c r="N11" s="4"/>
      <c r="O11" s="4">
        <f>ROUNDUP(AVERAGE(O7:O10),0)</f>
        <v>28</v>
      </c>
      <c r="P11" s="4"/>
      <c r="Q11" s="4">
        <f>AVERAGE(Q7:Q10)</f>
        <v>74.5</v>
      </c>
    </row>
    <row r="13" spans="1:19" x14ac:dyDescent="0.25">
      <c r="A13">
        <v>4</v>
      </c>
      <c r="B13">
        <v>1</v>
      </c>
      <c r="C13">
        <v>3</v>
      </c>
      <c r="D13">
        <v>100</v>
      </c>
      <c r="E13">
        <v>1</v>
      </c>
      <c r="F13">
        <f>M20</f>
        <v>120.89349999999999</v>
      </c>
      <c r="G13">
        <f>O20</f>
        <v>24</v>
      </c>
      <c r="H13">
        <f>Q20</f>
        <v>69.25</v>
      </c>
      <c r="I13" s="4" t="s">
        <v>92</v>
      </c>
      <c r="J13" s="4"/>
      <c r="K13" s="4"/>
      <c r="L13" s="4"/>
      <c r="M13" s="4"/>
      <c r="N13" s="4"/>
    </row>
    <row r="14" spans="1:19" hidden="1" x14ac:dyDescent="0.25">
      <c r="I14" s="4" t="s">
        <v>5</v>
      </c>
    </row>
    <row r="15" spans="1:19" ht="45" hidden="1" x14ac:dyDescent="0.25">
      <c r="J15" t="s">
        <v>55</v>
      </c>
      <c r="K15" t="s">
        <v>56</v>
      </c>
      <c r="M15" t="s">
        <v>57</v>
      </c>
      <c r="N15" s="1" t="s">
        <v>136</v>
      </c>
      <c r="O15" s="1" t="s">
        <v>137</v>
      </c>
      <c r="P15" t="s">
        <v>138</v>
      </c>
      <c r="R15" t="s">
        <v>158</v>
      </c>
    </row>
    <row r="16" spans="1:19" hidden="1" x14ac:dyDescent="0.25">
      <c r="I16" t="s">
        <v>34</v>
      </c>
      <c r="J16" t="s">
        <v>35</v>
      </c>
      <c r="K16" t="s">
        <v>35</v>
      </c>
      <c r="L16">
        <v>3</v>
      </c>
      <c r="M16">
        <v>110.914</v>
      </c>
      <c r="N16" t="s">
        <v>43</v>
      </c>
      <c r="O16">
        <v>20</v>
      </c>
      <c r="P16" t="s">
        <v>6</v>
      </c>
      <c r="Q16">
        <f>14+26+19</f>
        <v>59</v>
      </c>
    </row>
    <row r="17" spans="1:18" hidden="1" x14ac:dyDescent="0.25">
      <c r="I17" t="s">
        <v>38</v>
      </c>
      <c r="J17" t="s">
        <v>35</v>
      </c>
      <c r="K17" t="s">
        <v>35</v>
      </c>
      <c r="L17">
        <v>3</v>
      </c>
      <c r="M17">
        <v>147.886</v>
      </c>
      <c r="N17" t="s">
        <v>44</v>
      </c>
      <c r="O17">
        <v>31</v>
      </c>
      <c r="P17" t="s">
        <v>7</v>
      </c>
      <c r="Q17">
        <f>28+25+21</f>
        <v>74</v>
      </c>
    </row>
    <row r="18" spans="1:18" hidden="1" x14ac:dyDescent="0.25">
      <c r="I18" t="s">
        <v>31</v>
      </c>
      <c r="J18" t="s">
        <v>35</v>
      </c>
      <c r="K18" t="s">
        <v>35</v>
      </c>
      <c r="L18">
        <v>3</v>
      </c>
      <c r="M18">
        <v>116.369</v>
      </c>
      <c r="N18" t="s">
        <v>45</v>
      </c>
      <c r="O18">
        <v>26</v>
      </c>
      <c r="P18" t="s">
        <v>8</v>
      </c>
      <c r="Q18">
        <f>28+24+21</f>
        <v>73</v>
      </c>
    </row>
    <row r="19" spans="1:18" hidden="1" x14ac:dyDescent="0.25">
      <c r="I19" t="s">
        <v>41</v>
      </c>
      <c r="J19" t="s">
        <v>35</v>
      </c>
      <c r="K19" t="s">
        <v>35</v>
      </c>
      <c r="L19">
        <v>3</v>
      </c>
      <c r="M19">
        <v>108.405</v>
      </c>
      <c r="N19" t="s">
        <v>46</v>
      </c>
      <c r="O19">
        <v>17</v>
      </c>
      <c r="P19" t="s">
        <v>9</v>
      </c>
      <c r="Q19">
        <f>21+25+25</f>
        <v>71</v>
      </c>
    </row>
    <row r="20" spans="1:18" hidden="1" x14ac:dyDescent="0.25">
      <c r="I20" s="4" t="s">
        <v>90</v>
      </c>
      <c r="J20" s="4"/>
      <c r="K20" s="4"/>
      <c r="L20" s="4"/>
      <c r="M20" s="4">
        <f>AVERAGE(M16:M19)</f>
        <v>120.89349999999999</v>
      </c>
      <c r="N20" s="4"/>
      <c r="O20" s="4">
        <f>ROUNDUP(AVERAGE(O16:O19),0)</f>
        <v>24</v>
      </c>
      <c r="P20" s="4"/>
      <c r="Q20" s="4">
        <f>AVERAGE(Q16:Q19)</f>
        <v>69.25</v>
      </c>
    </row>
    <row r="21" spans="1:18" hidden="1" x14ac:dyDescent="0.25"/>
    <row r="22" spans="1:18" x14ac:dyDescent="0.25">
      <c r="A22">
        <v>4</v>
      </c>
      <c r="B22">
        <v>0</v>
      </c>
      <c r="C22">
        <v>4</v>
      </c>
      <c r="D22">
        <v>100</v>
      </c>
      <c r="E22">
        <v>1</v>
      </c>
      <c r="F22">
        <f>M29</f>
        <v>44.03125</v>
      </c>
      <c r="G22">
        <f>O29</f>
        <v>25</v>
      </c>
      <c r="H22">
        <f>Q29</f>
        <v>117.75</v>
      </c>
      <c r="I22" s="4" t="s">
        <v>93</v>
      </c>
      <c r="J22" s="4"/>
      <c r="K22" s="4"/>
      <c r="L22" s="4"/>
      <c r="M22" s="4"/>
      <c r="N22" s="4"/>
    </row>
    <row r="23" spans="1:18" hidden="1" x14ac:dyDescent="0.25">
      <c r="I23" s="4" t="s">
        <v>10</v>
      </c>
    </row>
    <row r="24" spans="1:18" ht="45" hidden="1" x14ac:dyDescent="0.25">
      <c r="J24" t="s">
        <v>55</v>
      </c>
      <c r="K24" t="s">
        <v>56</v>
      </c>
      <c r="M24" t="s">
        <v>57</v>
      </c>
      <c r="N24" s="1" t="s">
        <v>136</v>
      </c>
      <c r="O24" s="1" t="s">
        <v>137</v>
      </c>
      <c r="P24" t="s">
        <v>138</v>
      </c>
      <c r="R24" t="s">
        <v>158</v>
      </c>
    </row>
    <row r="25" spans="1:18" hidden="1" x14ac:dyDescent="0.25">
      <c r="I25" t="s">
        <v>34</v>
      </c>
      <c r="J25" t="s">
        <v>35</v>
      </c>
      <c r="K25" t="s">
        <v>35</v>
      </c>
      <c r="L25">
        <v>4</v>
      </c>
      <c r="M25">
        <v>48.526000000000003</v>
      </c>
      <c r="N25" t="s">
        <v>47</v>
      </c>
      <c r="O25">
        <v>22</v>
      </c>
      <c r="P25" t="s">
        <v>11</v>
      </c>
      <c r="Q25">
        <f>78+48</f>
        <v>126</v>
      </c>
    </row>
    <row r="26" spans="1:18" hidden="1" x14ac:dyDescent="0.25">
      <c r="I26" t="s">
        <v>38</v>
      </c>
      <c r="J26" t="s">
        <v>35</v>
      </c>
      <c r="K26" t="s">
        <v>35</v>
      </c>
      <c r="L26">
        <v>4</v>
      </c>
      <c r="M26">
        <v>40.418999999999997</v>
      </c>
      <c r="N26" t="s">
        <v>48</v>
      </c>
      <c r="O26">
        <v>23</v>
      </c>
      <c r="P26" t="s">
        <v>12</v>
      </c>
      <c r="Q26">
        <f>60+49</f>
        <v>109</v>
      </c>
    </row>
    <row r="27" spans="1:18" hidden="1" x14ac:dyDescent="0.25">
      <c r="I27" t="s">
        <v>31</v>
      </c>
      <c r="J27" t="s">
        <v>35</v>
      </c>
      <c r="K27" t="s">
        <v>35</v>
      </c>
      <c r="L27">
        <v>4</v>
      </c>
      <c r="M27">
        <v>51.402999999999999</v>
      </c>
      <c r="N27" t="s">
        <v>49</v>
      </c>
      <c r="O27">
        <v>34</v>
      </c>
      <c r="P27" t="s">
        <v>13</v>
      </c>
      <c r="Q27">
        <f>60+48</f>
        <v>108</v>
      </c>
    </row>
    <row r="28" spans="1:18" hidden="1" x14ac:dyDescent="0.25">
      <c r="I28" t="s">
        <v>41</v>
      </c>
      <c r="J28" t="s">
        <v>35</v>
      </c>
      <c r="K28" t="s">
        <v>35</v>
      </c>
      <c r="L28">
        <v>4</v>
      </c>
      <c r="M28">
        <v>35.777000000000001</v>
      </c>
      <c r="N28" t="s">
        <v>50</v>
      </c>
      <c r="O28">
        <v>18</v>
      </c>
      <c r="P28" t="s">
        <v>14</v>
      </c>
      <c r="Q28">
        <f>79+49</f>
        <v>128</v>
      </c>
    </row>
    <row r="29" spans="1:18" hidden="1" x14ac:dyDescent="0.25">
      <c r="I29" s="4" t="s">
        <v>90</v>
      </c>
      <c r="J29" s="4"/>
      <c r="K29" s="4"/>
      <c r="L29" s="4"/>
      <c r="M29" s="4">
        <f>AVERAGE(M25:M28)</f>
        <v>44.03125</v>
      </c>
      <c r="N29" s="4"/>
      <c r="O29" s="4">
        <f>ROUNDUP(AVERAGE(O25:O28),0)</f>
        <v>25</v>
      </c>
      <c r="P29" s="4"/>
      <c r="Q29" s="4">
        <f>AVERAGE(Q25:Q28)</f>
        <v>117.75</v>
      </c>
    </row>
    <row r="30" spans="1:18" hidden="1" x14ac:dyDescent="0.25"/>
    <row r="31" spans="1:18" x14ac:dyDescent="0.25">
      <c r="A31">
        <v>4</v>
      </c>
      <c r="B31">
        <v>1</v>
      </c>
      <c r="C31">
        <v>4</v>
      </c>
      <c r="D31">
        <v>100</v>
      </c>
      <c r="E31">
        <v>1</v>
      </c>
      <c r="F31">
        <f>M38</f>
        <v>121.85300000000001</v>
      </c>
      <c r="G31">
        <f>O38</f>
        <v>24</v>
      </c>
      <c r="H31">
        <f>Q38</f>
        <v>129.25</v>
      </c>
      <c r="I31" s="4" t="s">
        <v>94</v>
      </c>
      <c r="J31" s="4"/>
      <c r="K31" s="4"/>
      <c r="L31" s="4"/>
      <c r="M31" s="4"/>
      <c r="N31" s="4"/>
    </row>
    <row r="32" spans="1:18" hidden="1" x14ac:dyDescent="0.25">
      <c r="I32" s="4" t="s">
        <v>15</v>
      </c>
    </row>
    <row r="33" spans="1:18" ht="45" hidden="1" x14ac:dyDescent="0.25">
      <c r="J33" t="s">
        <v>55</v>
      </c>
      <c r="K33" t="s">
        <v>56</v>
      </c>
      <c r="M33" t="s">
        <v>57</v>
      </c>
      <c r="N33" s="1" t="s">
        <v>136</v>
      </c>
      <c r="O33" s="1" t="s">
        <v>137</v>
      </c>
      <c r="P33" t="s">
        <v>138</v>
      </c>
      <c r="R33" t="s">
        <v>158</v>
      </c>
    </row>
    <row r="34" spans="1:18" hidden="1" x14ac:dyDescent="0.25">
      <c r="I34" t="s">
        <v>34</v>
      </c>
      <c r="J34" t="s">
        <v>35</v>
      </c>
      <c r="K34" t="s">
        <v>35</v>
      </c>
      <c r="L34">
        <v>4</v>
      </c>
      <c r="M34">
        <v>97.18</v>
      </c>
      <c r="N34" t="s">
        <v>51</v>
      </c>
      <c r="O34">
        <v>20</v>
      </c>
      <c r="P34" t="s">
        <v>16</v>
      </c>
      <c r="Q34">
        <f>38+50+41</f>
        <v>129</v>
      </c>
    </row>
    <row r="35" spans="1:18" hidden="1" x14ac:dyDescent="0.25">
      <c r="I35" t="s">
        <v>38</v>
      </c>
      <c r="J35" t="s">
        <v>35</v>
      </c>
      <c r="K35" t="s">
        <v>35</v>
      </c>
      <c r="L35">
        <v>4</v>
      </c>
      <c r="M35">
        <v>97.783000000000001</v>
      </c>
      <c r="N35" t="s">
        <v>52</v>
      </c>
      <c r="O35">
        <v>19</v>
      </c>
      <c r="P35" t="s">
        <v>17</v>
      </c>
      <c r="Q35">
        <f>35+48+49</f>
        <v>132</v>
      </c>
    </row>
    <row r="36" spans="1:18" hidden="1" x14ac:dyDescent="0.25">
      <c r="I36" t="s">
        <v>31</v>
      </c>
      <c r="J36" t="s">
        <v>35</v>
      </c>
      <c r="K36" t="s">
        <v>35</v>
      </c>
      <c r="L36">
        <v>4</v>
      </c>
      <c r="M36">
        <v>145.613</v>
      </c>
      <c r="N36" t="s">
        <v>53</v>
      </c>
      <c r="O36">
        <v>23</v>
      </c>
      <c r="P36" t="s">
        <v>18</v>
      </c>
      <c r="Q36">
        <f>39+49+39</f>
        <v>127</v>
      </c>
    </row>
    <row r="37" spans="1:18" hidden="1" x14ac:dyDescent="0.25">
      <c r="I37" t="s">
        <v>41</v>
      </c>
      <c r="J37" t="s">
        <v>35</v>
      </c>
      <c r="K37" t="s">
        <v>35</v>
      </c>
      <c r="L37">
        <v>4</v>
      </c>
      <c r="M37">
        <v>146.83600000000001</v>
      </c>
      <c r="N37" t="s">
        <v>54</v>
      </c>
      <c r="O37">
        <v>32</v>
      </c>
      <c r="P37" t="s">
        <v>19</v>
      </c>
      <c r="Q37">
        <f>40+49+40</f>
        <v>129</v>
      </c>
    </row>
    <row r="38" spans="1:18" hidden="1" x14ac:dyDescent="0.25">
      <c r="I38" s="4" t="s">
        <v>90</v>
      </c>
      <c r="J38" s="4"/>
      <c r="K38" s="4"/>
      <c r="L38" s="4"/>
      <c r="M38" s="4">
        <f>AVERAGE(M34:M37)</f>
        <v>121.85300000000001</v>
      </c>
      <c r="N38" s="4"/>
      <c r="O38" s="4">
        <f>ROUNDUP(AVERAGE(O34:O37),0)</f>
        <v>24</v>
      </c>
      <c r="P38" s="4"/>
      <c r="Q38" s="4">
        <f>AVERAGE(Q34:Q37)</f>
        <v>129.25</v>
      </c>
    </row>
    <row r="39" spans="1:18" hidden="1" x14ac:dyDescent="0.25"/>
    <row r="40" spans="1:18" x14ac:dyDescent="0.25">
      <c r="A40">
        <v>5</v>
      </c>
      <c r="B40">
        <v>1</v>
      </c>
      <c r="C40">
        <v>4</v>
      </c>
      <c r="D40">
        <v>100</v>
      </c>
      <c r="E40">
        <v>1</v>
      </c>
      <c r="F40">
        <f>M49</f>
        <v>203.6285</v>
      </c>
      <c r="G40">
        <f>O49</f>
        <v>24</v>
      </c>
      <c r="H40">
        <f>Q49</f>
        <v>131.5</v>
      </c>
      <c r="I40" s="4" t="s">
        <v>95</v>
      </c>
      <c r="J40" s="4"/>
      <c r="K40" s="4"/>
      <c r="L40" s="4"/>
      <c r="M40" s="4"/>
      <c r="N40" s="4"/>
      <c r="O40" s="4"/>
    </row>
    <row r="41" spans="1:18" hidden="1" x14ac:dyDescent="0.25">
      <c r="I41" s="4" t="s">
        <v>20</v>
      </c>
      <c r="J41" s="4"/>
      <c r="K41" s="4"/>
      <c r="L41" s="4"/>
      <c r="M41" s="4"/>
      <c r="N41" s="4"/>
    </row>
    <row r="42" spans="1:18" ht="45" hidden="1" x14ac:dyDescent="0.25">
      <c r="J42" t="s">
        <v>55</v>
      </c>
      <c r="K42" t="s">
        <v>56</v>
      </c>
      <c r="M42" t="s">
        <v>57</v>
      </c>
      <c r="N42" s="1" t="s">
        <v>136</v>
      </c>
      <c r="O42" s="1" t="s">
        <v>137</v>
      </c>
      <c r="P42" t="s">
        <v>138</v>
      </c>
      <c r="R42" t="s">
        <v>158</v>
      </c>
    </row>
    <row r="43" spans="1:18" hidden="1" x14ac:dyDescent="0.25">
      <c r="I43" t="s">
        <v>34</v>
      </c>
      <c r="J43" t="s">
        <v>35</v>
      </c>
      <c r="K43" t="s">
        <v>35</v>
      </c>
      <c r="L43">
        <v>4</v>
      </c>
      <c r="M43">
        <v>156.208</v>
      </c>
      <c r="N43" t="s">
        <v>59</v>
      </c>
      <c r="O43">
        <v>23</v>
      </c>
      <c r="P43" t="s">
        <v>60</v>
      </c>
      <c r="Q43">
        <f>36+48+53</f>
        <v>137</v>
      </c>
      <c r="R43" t="s">
        <v>61</v>
      </c>
    </row>
    <row r="44" spans="1:18" hidden="1" x14ac:dyDescent="0.25">
      <c r="I44" t="s">
        <v>38</v>
      </c>
      <c r="J44" t="s">
        <v>35</v>
      </c>
      <c r="K44" t="s">
        <v>35</v>
      </c>
      <c r="L44">
        <v>4</v>
      </c>
      <c r="M44">
        <v>238.56700000000001</v>
      </c>
      <c r="N44" t="s">
        <v>62</v>
      </c>
      <c r="O44">
        <v>23</v>
      </c>
      <c r="P44" t="s">
        <v>65</v>
      </c>
      <c r="Q44">
        <f>37+48+46</f>
        <v>131</v>
      </c>
      <c r="R44" t="s">
        <v>64</v>
      </c>
    </row>
    <row r="45" spans="1:18" hidden="1" x14ac:dyDescent="0.25">
      <c r="I45" t="s">
        <v>31</v>
      </c>
      <c r="J45" t="s">
        <v>35</v>
      </c>
      <c r="K45" t="s">
        <v>35</v>
      </c>
      <c r="L45">
        <v>4</v>
      </c>
      <c r="M45">
        <v>188.26900000000001</v>
      </c>
      <c r="N45" t="s">
        <v>66</v>
      </c>
      <c r="O45">
        <v>21</v>
      </c>
      <c r="P45" t="s">
        <v>67</v>
      </c>
      <c r="Q45">
        <f>36+48+47</f>
        <v>131</v>
      </c>
      <c r="R45" t="s">
        <v>64</v>
      </c>
    </row>
    <row r="46" spans="1:18" hidden="1" x14ac:dyDescent="0.25">
      <c r="I46" t="s">
        <v>41</v>
      </c>
      <c r="J46" t="s">
        <v>35</v>
      </c>
      <c r="K46" t="s">
        <v>35</v>
      </c>
      <c r="L46">
        <v>4</v>
      </c>
      <c r="M46">
        <v>180.27600000000001</v>
      </c>
      <c r="N46" t="s">
        <v>68</v>
      </c>
      <c r="O46">
        <v>29</v>
      </c>
      <c r="P46" t="s">
        <v>69</v>
      </c>
      <c r="Q46">
        <f>33+48+39</f>
        <v>120</v>
      </c>
      <c r="R46" t="s">
        <v>64</v>
      </c>
    </row>
    <row r="47" spans="1:18" hidden="1" x14ac:dyDescent="0.25">
      <c r="I47" t="s">
        <v>70</v>
      </c>
      <c r="J47" t="s">
        <v>35</v>
      </c>
      <c r="K47" t="s">
        <v>35</v>
      </c>
      <c r="L47">
        <v>4</v>
      </c>
      <c r="M47">
        <v>191.04900000000001</v>
      </c>
      <c r="N47" t="s">
        <v>71</v>
      </c>
      <c r="O47">
        <v>25</v>
      </c>
      <c r="P47" t="s">
        <v>72</v>
      </c>
      <c r="Q47">
        <f>30+48+51</f>
        <v>129</v>
      </c>
      <c r="R47" t="s">
        <v>61</v>
      </c>
    </row>
    <row r="48" spans="1:18" hidden="1" x14ac:dyDescent="0.25">
      <c r="I48" t="s">
        <v>73</v>
      </c>
      <c r="J48" t="s">
        <v>35</v>
      </c>
      <c r="K48" t="s">
        <v>35</v>
      </c>
      <c r="L48">
        <v>4</v>
      </c>
      <c r="M48">
        <v>267.40199999999999</v>
      </c>
      <c r="N48" t="s">
        <v>74</v>
      </c>
      <c r="O48">
        <v>23</v>
      </c>
      <c r="P48" t="s">
        <v>75</v>
      </c>
      <c r="Q48">
        <f>36+48+57</f>
        <v>141</v>
      </c>
      <c r="R48" t="s">
        <v>61</v>
      </c>
    </row>
    <row r="49" spans="1:26" hidden="1" x14ac:dyDescent="0.25">
      <c r="I49" s="4" t="s">
        <v>90</v>
      </c>
      <c r="J49" s="4"/>
      <c r="K49" s="4"/>
      <c r="L49" s="4"/>
      <c r="M49" s="4">
        <f>AVERAGE(M43:M48)</f>
        <v>203.6285</v>
      </c>
      <c r="N49" s="4"/>
      <c r="O49" s="4">
        <f>ROUNDUP(AVERAGE(O43:O48),0)</f>
        <v>24</v>
      </c>
      <c r="P49" s="4"/>
      <c r="Q49" s="4">
        <f>AVERAGE(Q43:Q48)</f>
        <v>131.5</v>
      </c>
    </row>
    <row r="50" spans="1:26" hidden="1" x14ac:dyDescent="0.25"/>
    <row r="51" spans="1:26" x14ac:dyDescent="0.25">
      <c r="A51">
        <v>1</v>
      </c>
      <c r="B51">
        <v>0</v>
      </c>
      <c r="C51">
        <v>3</v>
      </c>
      <c r="D51">
        <v>100</v>
      </c>
      <c r="E51">
        <v>0</v>
      </c>
      <c r="F51">
        <f>M57</f>
        <v>65.78</v>
      </c>
      <c r="G51">
        <f>O57</f>
        <v>28</v>
      </c>
      <c r="H51">
        <f>Q57</f>
        <v>0</v>
      </c>
      <c r="I51" s="4" t="s">
        <v>159</v>
      </c>
      <c r="J51" s="4"/>
      <c r="K51" s="4"/>
      <c r="L51" s="4"/>
      <c r="M51" s="4"/>
      <c r="N51" s="4"/>
      <c r="O51" s="4"/>
      <c r="P51" s="4"/>
      <c r="Q51" s="4"/>
      <c r="R51" s="4"/>
      <c r="S51" t="s">
        <v>160</v>
      </c>
      <c r="Z51" t="s">
        <v>161</v>
      </c>
    </row>
    <row r="52" spans="1:26" ht="45" hidden="1" x14ac:dyDescent="0.25">
      <c r="J52" t="s">
        <v>55</v>
      </c>
      <c r="K52" t="s">
        <v>56</v>
      </c>
      <c r="M52" t="s">
        <v>57</v>
      </c>
      <c r="N52" s="1" t="s">
        <v>136</v>
      </c>
      <c r="O52" s="1" t="s">
        <v>137</v>
      </c>
      <c r="P52" t="s">
        <v>138</v>
      </c>
      <c r="S52" t="s">
        <v>165</v>
      </c>
    </row>
    <row r="53" spans="1:26" hidden="1" x14ac:dyDescent="0.25">
      <c r="I53" t="s">
        <v>34</v>
      </c>
      <c r="J53" t="s">
        <v>35</v>
      </c>
      <c r="K53" t="s">
        <v>167</v>
      </c>
      <c r="L53">
        <v>3</v>
      </c>
      <c r="M53">
        <v>58.125</v>
      </c>
      <c r="N53" s="1" t="s">
        <v>162</v>
      </c>
      <c r="O53" s="1">
        <v>28</v>
      </c>
      <c r="P53" t="s">
        <v>163</v>
      </c>
      <c r="Q53">
        <v>0</v>
      </c>
      <c r="R53" t="s">
        <v>164</v>
      </c>
      <c r="S53" t="s">
        <v>166</v>
      </c>
    </row>
    <row r="54" spans="1:26" hidden="1" x14ac:dyDescent="0.25">
      <c r="I54" t="s">
        <v>38</v>
      </c>
      <c r="J54" t="s">
        <v>35</v>
      </c>
      <c r="K54" t="s">
        <v>167</v>
      </c>
      <c r="L54">
        <v>3</v>
      </c>
      <c r="M54">
        <v>71.742000000000004</v>
      </c>
      <c r="N54" s="1" t="s">
        <v>168</v>
      </c>
      <c r="O54" s="1">
        <v>26</v>
      </c>
      <c r="P54" t="s">
        <v>163</v>
      </c>
      <c r="Q54">
        <v>0</v>
      </c>
      <c r="R54" t="s">
        <v>111</v>
      </c>
      <c r="S54" t="s">
        <v>172</v>
      </c>
    </row>
    <row r="55" spans="1:26" hidden="1" x14ac:dyDescent="0.25">
      <c r="I55" t="s">
        <v>31</v>
      </c>
      <c r="J55" t="s">
        <v>170</v>
      </c>
      <c r="K55" t="s">
        <v>167</v>
      </c>
      <c r="L55">
        <v>3</v>
      </c>
      <c r="M55">
        <v>70.87</v>
      </c>
      <c r="N55" s="1" t="s">
        <v>169</v>
      </c>
      <c r="O55">
        <v>29</v>
      </c>
      <c r="P55" t="s">
        <v>163</v>
      </c>
      <c r="Q55">
        <v>0</v>
      </c>
      <c r="R55" t="s">
        <v>107</v>
      </c>
    </row>
    <row r="56" spans="1:26" hidden="1" x14ac:dyDescent="0.25">
      <c r="I56" t="s">
        <v>41</v>
      </c>
      <c r="J56" t="s">
        <v>35</v>
      </c>
      <c r="K56" t="s">
        <v>167</v>
      </c>
      <c r="L56">
        <v>3</v>
      </c>
      <c r="M56">
        <v>62.383000000000003</v>
      </c>
      <c r="N56" s="1" t="s">
        <v>171</v>
      </c>
      <c r="O56" s="1">
        <v>29</v>
      </c>
      <c r="P56" t="s">
        <v>163</v>
      </c>
      <c r="Q56">
        <v>0</v>
      </c>
      <c r="R56" t="s">
        <v>107</v>
      </c>
    </row>
    <row r="57" spans="1:26" hidden="1" x14ac:dyDescent="0.25">
      <c r="I57" s="4" t="s">
        <v>90</v>
      </c>
      <c r="J57" s="4"/>
      <c r="K57" s="4"/>
      <c r="L57" s="4"/>
      <c r="M57" s="4">
        <f>AVERAGE(M53:M56)</f>
        <v>65.78</v>
      </c>
      <c r="N57" s="4"/>
      <c r="O57" s="4">
        <f>ROUNDUP(AVERAGE(O53:O56),0)</f>
        <v>28</v>
      </c>
      <c r="P57" s="4"/>
      <c r="Q57" s="4">
        <v>0</v>
      </c>
      <c r="R57" s="4"/>
    </row>
    <row r="58" spans="1:26" hidden="1" x14ac:dyDescent="0.25"/>
    <row r="59" spans="1:26" hidden="1" x14ac:dyDescent="0.25"/>
    <row r="60" spans="1:26" ht="30" customHeight="1" x14ac:dyDescent="0.25">
      <c r="A60">
        <v>1.5</v>
      </c>
      <c r="B60">
        <v>1</v>
      </c>
      <c r="C60">
        <v>3</v>
      </c>
      <c r="D60">
        <v>0</v>
      </c>
      <c r="E60">
        <v>0</v>
      </c>
      <c r="F60" t="s">
        <v>78</v>
      </c>
      <c r="G60">
        <f>O68</f>
        <v>14</v>
      </c>
      <c r="H60">
        <f>Q68</f>
        <v>19.333333333333332</v>
      </c>
      <c r="I60" s="6" t="s">
        <v>96</v>
      </c>
      <c r="J60" s="7"/>
      <c r="K60" s="7"/>
      <c r="L60" s="7"/>
      <c r="M60" s="7"/>
      <c r="N60" s="7"/>
      <c r="O60" s="7"/>
      <c r="P60" s="7"/>
      <c r="Q60" s="7"/>
      <c r="R60" s="7"/>
      <c r="S60" s="7"/>
      <c r="T60" s="7"/>
      <c r="U60" s="7"/>
      <c r="V60" s="7"/>
      <c r="W60" s="7"/>
      <c r="X60" s="4"/>
    </row>
    <row r="61" spans="1:26" hidden="1" x14ac:dyDescent="0.25">
      <c r="I61" t="s">
        <v>98</v>
      </c>
    </row>
    <row r="62" spans="1:26" hidden="1" x14ac:dyDescent="0.25">
      <c r="I62" s="4" t="s">
        <v>97</v>
      </c>
      <c r="J62" s="4"/>
    </row>
    <row r="63" spans="1:26" hidden="1" x14ac:dyDescent="0.25">
      <c r="I63" t="s">
        <v>76</v>
      </c>
      <c r="R63" t="s">
        <v>64</v>
      </c>
    </row>
    <row r="64" spans="1:26" ht="45" hidden="1" x14ac:dyDescent="0.25">
      <c r="J64" t="s">
        <v>55</v>
      </c>
      <c r="K64" t="s">
        <v>56</v>
      </c>
      <c r="M64" t="s">
        <v>57</v>
      </c>
      <c r="N64" s="1" t="s">
        <v>136</v>
      </c>
      <c r="O64" s="1" t="s">
        <v>137</v>
      </c>
      <c r="P64" t="s">
        <v>138</v>
      </c>
    </row>
    <row r="65" spans="1:20" hidden="1" x14ac:dyDescent="0.25">
      <c r="I65" t="s">
        <v>34</v>
      </c>
      <c r="J65" t="s">
        <v>77</v>
      </c>
      <c r="K65" t="s">
        <v>77</v>
      </c>
      <c r="L65">
        <v>3</v>
      </c>
      <c r="M65" t="s">
        <v>78</v>
      </c>
      <c r="N65" t="s">
        <v>79</v>
      </c>
      <c r="O65">
        <v>14</v>
      </c>
      <c r="P65" t="s">
        <v>21</v>
      </c>
      <c r="Q65">
        <v>19</v>
      </c>
    </row>
    <row r="66" spans="1:20" hidden="1" x14ac:dyDescent="0.25">
      <c r="I66" t="s">
        <v>38</v>
      </c>
      <c r="J66" t="s">
        <v>77</v>
      </c>
      <c r="K66" t="s">
        <v>77</v>
      </c>
      <c r="L66">
        <v>3</v>
      </c>
      <c r="M66" t="s">
        <v>78</v>
      </c>
      <c r="N66" t="s">
        <v>79</v>
      </c>
      <c r="O66">
        <v>14</v>
      </c>
      <c r="P66" t="s">
        <v>21</v>
      </c>
      <c r="Q66">
        <v>19</v>
      </c>
    </row>
    <row r="67" spans="1:20" hidden="1" x14ac:dyDescent="0.25">
      <c r="I67" t="s">
        <v>38</v>
      </c>
      <c r="J67" t="s">
        <v>77</v>
      </c>
      <c r="K67" t="s">
        <v>77</v>
      </c>
      <c r="L67">
        <v>3</v>
      </c>
      <c r="M67" t="s">
        <v>78</v>
      </c>
      <c r="N67" t="s">
        <v>80</v>
      </c>
      <c r="O67">
        <v>14</v>
      </c>
      <c r="P67" t="s">
        <v>22</v>
      </c>
      <c r="Q67">
        <v>20</v>
      </c>
    </row>
    <row r="68" spans="1:20" hidden="1" x14ac:dyDescent="0.25">
      <c r="I68" s="4" t="s">
        <v>90</v>
      </c>
      <c r="J68" s="4"/>
      <c r="K68" s="4"/>
      <c r="L68" s="4"/>
      <c r="M68" s="4" t="s">
        <v>78</v>
      </c>
      <c r="N68" s="4"/>
      <c r="O68" s="4">
        <f>ROUNDUP(AVERAGE(O65:O67),0)</f>
        <v>14</v>
      </c>
      <c r="P68" s="4"/>
      <c r="Q68" s="4">
        <f>AVERAGE(Q65:Q67)</f>
        <v>19.333333333333332</v>
      </c>
    </row>
    <row r="69" spans="1:20" hidden="1" x14ac:dyDescent="0.25"/>
    <row r="70" spans="1:20" x14ac:dyDescent="0.25">
      <c r="A70">
        <v>1.5</v>
      </c>
      <c r="B70">
        <v>1</v>
      </c>
      <c r="C70">
        <v>4</v>
      </c>
      <c r="D70">
        <v>0.75</v>
      </c>
      <c r="E70">
        <v>0</v>
      </c>
      <c r="F70">
        <f>M78</f>
        <v>180.14599999999999</v>
      </c>
      <c r="G70">
        <f>O78</f>
        <v>28</v>
      </c>
      <c r="H70">
        <f>Q78</f>
        <v>37.25</v>
      </c>
      <c r="I70" s="4" t="s">
        <v>99</v>
      </c>
      <c r="J70" s="4"/>
      <c r="K70" s="4"/>
      <c r="L70" s="4"/>
      <c r="M70" s="4"/>
      <c r="N70" s="4"/>
    </row>
    <row r="71" spans="1:20" hidden="1" x14ac:dyDescent="0.25">
      <c r="I71" t="s">
        <v>100</v>
      </c>
    </row>
    <row r="72" spans="1:20" hidden="1" x14ac:dyDescent="0.25">
      <c r="I72" s="4" t="s">
        <v>26</v>
      </c>
      <c r="J72" s="4"/>
      <c r="K72" s="4"/>
      <c r="L72" s="4"/>
      <c r="M72" s="4"/>
      <c r="P72" t="s">
        <v>27</v>
      </c>
      <c r="T72" t="s">
        <v>154</v>
      </c>
    </row>
    <row r="73" spans="1:20" ht="45" hidden="1" x14ac:dyDescent="0.25">
      <c r="J73" t="s">
        <v>55</v>
      </c>
      <c r="K73" t="s">
        <v>56</v>
      </c>
      <c r="M73" t="s">
        <v>57</v>
      </c>
      <c r="N73" s="1" t="s">
        <v>136</v>
      </c>
      <c r="O73" s="1" t="s">
        <v>137</v>
      </c>
      <c r="P73" t="s">
        <v>138</v>
      </c>
    </row>
    <row r="74" spans="1:20" hidden="1" x14ac:dyDescent="0.25">
      <c r="I74" t="s">
        <v>34</v>
      </c>
      <c r="J74" t="s">
        <v>35</v>
      </c>
      <c r="K74" t="s">
        <v>77</v>
      </c>
      <c r="L74">
        <v>4</v>
      </c>
      <c r="M74">
        <v>133.137</v>
      </c>
      <c r="N74" t="s">
        <v>81</v>
      </c>
      <c r="O74">
        <v>28</v>
      </c>
      <c r="P74" t="s">
        <v>23</v>
      </c>
      <c r="Q74">
        <v>36</v>
      </c>
    </row>
    <row r="75" spans="1:20" hidden="1" x14ac:dyDescent="0.25">
      <c r="I75" t="s">
        <v>38</v>
      </c>
      <c r="J75" t="s">
        <v>35</v>
      </c>
      <c r="K75" t="s">
        <v>77</v>
      </c>
      <c r="L75">
        <v>4</v>
      </c>
      <c r="M75">
        <v>85.507000000000005</v>
      </c>
      <c r="N75" t="s">
        <v>82</v>
      </c>
      <c r="O75">
        <v>31</v>
      </c>
      <c r="P75" t="s">
        <v>24</v>
      </c>
      <c r="Q75">
        <v>38</v>
      </c>
    </row>
    <row r="76" spans="1:20" hidden="1" x14ac:dyDescent="0.25">
      <c r="I76" t="s">
        <v>31</v>
      </c>
      <c r="J76" t="s">
        <v>77</v>
      </c>
      <c r="K76" t="s">
        <v>77</v>
      </c>
      <c r="L76">
        <v>4</v>
      </c>
      <c r="M76" t="s">
        <v>83</v>
      </c>
      <c r="N76" t="s">
        <v>84</v>
      </c>
      <c r="O76">
        <v>22</v>
      </c>
      <c r="P76" t="s">
        <v>25</v>
      </c>
      <c r="Q76">
        <v>37</v>
      </c>
    </row>
    <row r="77" spans="1:20" hidden="1" x14ac:dyDescent="0.25">
      <c r="I77" t="s">
        <v>41</v>
      </c>
      <c r="J77" t="s">
        <v>35</v>
      </c>
      <c r="K77" t="s">
        <v>77</v>
      </c>
      <c r="L77">
        <v>4</v>
      </c>
      <c r="M77">
        <v>321.79399999999998</v>
      </c>
      <c r="N77" t="s">
        <v>89</v>
      </c>
      <c r="O77">
        <v>29</v>
      </c>
      <c r="P77" t="s">
        <v>24</v>
      </c>
      <c r="Q77">
        <v>38</v>
      </c>
    </row>
    <row r="78" spans="1:20" hidden="1" x14ac:dyDescent="0.25">
      <c r="I78" s="4" t="s">
        <v>90</v>
      </c>
      <c r="J78" s="4"/>
      <c r="K78" s="4"/>
      <c r="L78" s="4"/>
      <c r="M78" s="4">
        <f>AVERAGE(M74:M75,M77)</f>
        <v>180.14599999999999</v>
      </c>
      <c r="N78" s="4"/>
      <c r="O78" s="4">
        <f>ROUNDUP(AVERAGE(O74:O77),0)</f>
        <v>28</v>
      </c>
      <c r="P78" s="4"/>
      <c r="Q78" s="4">
        <f>AVERAGE(Q74:Q77)</f>
        <v>37.25</v>
      </c>
    </row>
    <row r="79" spans="1:20" hidden="1" x14ac:dyDescent="0.25"/>
    <row r="80" spans="1:20" x14ac:dyDescent="0.25">
      <c r="A80">
        <v>2</v>
      </c>
      <c r="B80">
        <v>1</v>
      </c>
      <c r="C80">
        <v>4</v>
      </c>
      <c r="D80">
        <v>0.75</v>
      </c>
      <c r="E80">
        <v>1</v>
      </c>
      <c r="F80">
        <f>M87</f>
        <v>163.59433333333334</v>
      </c>
      <c r="G80">
        <f>O87</f>
        <v>34</v>
      </c>
      <c r="H80">
        <f>Q87</f>
        <v>87.5</v>
      </c>
      <c r="I80" s="4" t="s">
        <v>155</v>
      </c>
      <c r="J80" s="4"/>
      <c r="K80" s="4"/>
      <c r="L80" s="4"/>
      <c r="M80" s="4"/>
      <c r="N80" s="4"/>
      <c r="O80" s="4"/>
      <c r="P80" s="4"/>
      <c r="Q80" s="4"/>
      <c r="R80" s="4"/>
    </row>
    <row r="81" spans="1:28" hidden="1" x14ac:dyDescent="0.25">
      <c r="I81" s="4" t="s">
        <v>156</v>
      </c>
      <c r="J81" s="4"/>
      <c r="K81" s="4"/>
      <c r="L81" s="4"/>
      <c r="M81" s="4"/>
    </row>
    <row r="82" spans="1:28" ht="45" hidden="1" x14ac:dyDescent="0.25">
      <c r="J82" t="s">
        <v>55</v>
      </c>
      <c r="K82" t="s">
        <v>56</v>
      </c>
      <c r="M82" t="s">
        <v>57</v>
      </c>
      <c r="N82" s="1" t="s">
        <v>136</v>
      </c>
      <c r="O82" s="1" t="s">
        <v>137</v>
      </c>
      <c r="P82" t="s">
        <v>138</v>
      </c>
    </row>
    <row r="83" spans="1:28" ht="38.25" hidden="1" customHeight="1" x14ac:dyDescent="0.25">
      <c r="I83" t="s">
        <v>34</v>
      </c>
      <c r="J83" t="s">
        <v>77</v>
      </c>
      <c r="K83" t="s">
        <v>35</v>
      </c>
      <c r="L83">
        <v>4</v>
      </c>
      <c r="M83" t="s">
        <v>83</v>
      </c>
      <c r="N83" t="s">
        <v>88</v>
      </c>
      <c r="O83">
        <v>32</v>
      </c>
      <c r="P83" t="s">
        <v>28</v>
      </c>
      <c r="Q83">
        <f>36+39</f>
        <v>75</v>
      </c>
      <c r="R83" t="s">
        <v>108</v>
      </c>
      <c r="T83" s="8" t="s">
        <v>157</v>
      </c>
      <c r="U83" s="8"/>
      <c r="V83" s="8"/>
      <c r="W83" s="8"/>
      <c r="X83" s="8"/>
      <c r="Y83" s="8"/>
      <c r="Z83" s="8"/>
      <c r="AA83" s="8"/>
      <c r="AB83" s="8"/>
    </row>
    <row r="84" spans="1:28" hidden="1" x14ac:dyDescent="0.25">
      <c r="I84" t="s">
        <v>38</v>
      </c>
      <c r="J84" t="s">
        <v>35</v>
      </c>
      <c r="K84" t="s">
        <v>35</v>
      </c>
      <c r="L84">
        <v>4</v>
      </c>
      <c r="M84">
        <v>199.82300000000001</v>
      </c>
      <c r="N84" t="s">
        <v>87</v>
      </c>
      <c r="O84">
        <v>39</v>
      </c>
      <c r="P84" t="s">
        <v>29</v>
      </c>
      <c r="Q84">
        <f>60+51</f>
        <v>111</v>
      </c>
      <c r="R84" t="s">
        <v>30</v>
      </c>
    </row>
    <row r="85" spans="1:28" hidden="1" x14ac:dyDescent="0.25">
      <c r="I85" t="s">
        <v>31</v>
      </c>
      <c r="J85" t="s">
        <v>35</v>
      </c>
      <c r="K85" t="s">
        <v>35</v>
      </c>
      <c r="L85">
        <v>4</v>
      </c>
      <c r="M85">
        <v>158.53700000000001</v>
      </c>
      <c r="N85" t="s">
        <v>85</v>
      </c>
      <c r="O85">
        <v>33</v>
      </c>
      <c r="P85" t="s">
        <v>32</v>
      </c>
      <c r="Q85">
        <f>48+33</f>
        <v>81</v>
      </c>
      <c r="R85" t="s">
        <v>109</v>
      </c>
    </row>
    <row r="86" spans="1:28" hidden="1" x14ac:dyDescent="0.25">
      <c r="I86" t="s">
        <v>41</v>
      </c>
      <c r="J86" t="s">
        <v>35</v>
      </c>
      <c r="K86" t="s">
        <v>35</v>
      </c>
      <c r="L86">
        <v>4</v>
      </c>
      <c r="M86">
        <v>132.423</v>
      </c>
      <c r="N86" t="s">
        <v>86</v>
      </c>
      <c r="O86">
        <v>29</v>
      </c>
      <c r="P86" t="s">
        <v>33</v>
      </c>
      <c r="Q86">
        <f>48+35</f>
        <v>83</v>
      </c>
      <c r="R86" t="s">
        <v>110</v>
      </c>
    </row>
    <row r="87" spans="1:28" hidden="1" x14ac:dyDescent="0.25">
      <c r="I87" s="4" t="s">
        <v>90</v>
      </c>
      <c r="J87" s="4"/>
      <c r="K87" s="4"/>
      <c r="L87" s="4"/>
      <c r="M87" s="4">
        <f>AVERAGE(M84:M86)</f>
        <v>163.59433333333334</v>
      </c>
      <c r="N87" s="4"/>
      <c r="O87" s="4">
        <f>ROUNDUP(AVERAGE(O83:O86),0)</f>
        <v>34</v>
      </c>
      <c r="P87" s="4"/>
      <c r="Q87" s="4">
        <f>AVERAGE(Q83:Q86)</f>
        <v>87.5</v>
      </c>
    </row>
    <row r="88" spans="1:28" hidden="1" x14ac:dyDescent="0.25"/>
    <row r="89" spans="1:28" x14ac:dyDescent="0.25">
      <c r="A89">
        <v>2</v>
      </c>
      <c r="B89">
        <v>1</v>
      </c>
      <c r="C89">
        <v>3</v>
      </c>
      <c r="D89">
        <v>100</v>
      </c>
      <c r="E89">
        <v>1</v>
      </c>
      <c r="F89">
        <f>M96</f>
        <v>135.44049999999999</v>
      </c>
      <c r="G89">
        <f>O96</f>
        <v>27</v>
      </c>
      <c r="H89">
        <f>Q96</f>
        <v>47</v>
      </c>
      <c r="I89" s="4" t="s">
        <v>102</v>
      </c>
      <c r="J89" s="4"/>
      <c r="K89" s="4"/>
      <c r="L89" s="4"/>
      <c r="M89" s="4"/>
      <c r="N89" s="4"/>
      <c r="O89" s="4"/>
      <c r="P89" s="4"/>
      <c r="Q89" s="4"/>
    </row>
    <row r="90" spans="1:28" hidden="1" x14ac:dyDescent="0.25">
      <c r="I90" s="4" t="s">
        <v>101</v>
      </c>
      <c r="J90" s="4"/>
      <c r="K90" s="4"/>
      <c r="L90" s="4"/>
      <c r="M90" s="4"/>
      <c r="N90" s="4"/>
      <c r="O90" s="4"/>
      <c r="P90" s="4"/>
      <c r="Q90" s="4"/>
      <c r="R90" s="4"/>
    </row>
    <row r="91" spans="1:28" ht="45" hidden="1" x14ac:dyDescent="0.25">
      <c r="J91" t="s">
        <v>55</v>
      </c>
      <c r="K91" t="s">
        <v>56</v>
      </c>
      <c r="M91" t="s">
        <v>57</v>
      </c>
      <c r="N91" s="1" t="s">
        <v>136</v>
      </c>
      <c r="O91" s="1" t="s">
        <v>137</v>
      </c>
      <c r="P91" t="s">
        <v>138</v>
      </c>
    </row>
    <row r="92" spans="1:28" hidden="1" x14ac:dyDescent="0.25">
      <c r="I92" t="s">
        <v>103</v>
      </c>
      <c r="J92" t="s">
        <v>104</v>
      </c>
      <c r="K92" t="s">
        <v>104</v>
      </c>
      <c r="L92">
        <v>3</v>
      </c>
      <c r="M92">
        <v>138.279</v>
      </c>
      <c r="N92" t="s">
        <v>106</v>
      </c>
      <c r="O92">
        <v>24</v>
      </c>
      <c r="P92" t="s">
        <v>105</v>
      </c>
      <c r="Q92">
        <f>0+24+22</f>
        <v>46</v>
      </c>
      <c r="R92" t="s">
        <v>111</v>
      </c>
    </row>
    <row r="93" spans="1:28" hidden="1" x14ac:dyDescent="0.25">
      <c r="I93" t="s">
        <v>112</v>
      </c>
      <c r="J93" t="s">
        <v>104</v>
      </c>
      <c r="K93" t="s">
        <v>104</v>
      </c>
      <c r="L93">
        <v>3</v>
      </c>
      <c r="M93">
        <v>132.602</v>
      </c>
      <c r="N93" t="s">
        <v>114</v>
      </c>
      <c r="O93">
        <v>23</v>
      </c>
      <c r="P93" t="s">
        <v>113</v>
      </c>
      <c r="Q93">
        <f>24+22</f>
        <v>46</v>
      </c>
      <c r="R93" t="s">
        <v>115</v>
      </c>
    </row>
    <row r="94" spans="1:28" hidden="1" x14ac:dyDescent="0.25">
      <c r="I94" t="s">
        <v>283</v>
      </c>
    </row>
    <row r="95" spans="1:28" hidden="1" x14ac:dyDescent="0.25">
      <c r="I95" t="s">
        <v>116</v>
      </c>
      <c r="J95" t="s">
        <v>121</v>
      </c>
      <c r="K95" t="s">
        <v>35</v>
      </c>
      <c r="L95">
        <v>3</v>
      </c>
      <c r="M95" t="s">
        <v>117</v>
      </c>
      <c r="N95" t="s">
        <v>120</v>
      </c>
      <c r="O95">
        <v>33</v>
      </c>
      <c r="P95" t="s">
        <v>118</v>
      </c>
      <c r="Q95">
        <f>24+25</f>
        <v>49</v>
      </c>
      <c r="R95" t="s">
        <v>119</v>
      </c>
    </row>
    <row r="96" spans="1:28" hidden="1" x14ac:dyDescent="0.25">
      <c r="I96" s="4" t="s">
        <v>90</v>
      </c>
      <c r="J96" s="4"/>
      <c r="K96" s="4"/>
      <c r="L96" s="4"/>
      <c r="M96" s="4">
        <f>AVERAGE(M92:M93,M95)</f>
        <v>135.44049999999999</v>
      </c>
      <c r="N96" s="4"/>
      <c r="O96" s="4">
        <f>ROUNDUP(AVERAGE(O92:O93,O95),0)</f>
        <v>27</v>
      </c>
      <c r="P96" s="4"/>
      <c r="Q96" s="4">
        <f>AVERAGE(Q92:Q93,Q95)</f>
        <v>47</v>
      </c>
    </row>
    <row r="97" spans="1:18" hidden="1" x14ac:dyDescent="0.25"/>
    <row r="98" spans="1:18" x14ac:dyDescent="0.25">
      <c r="A98">
        <v>3.5</v>
      </c>
      <c r="B98">
        <v>1</v>
      </c>
      <c r="C98">
        <v>4</v>
      </c>
      <c r="D98">
        <v>100</v>
      </c>
      <c r="E98">
        <v>1</v>
      </c>
      <c r="F98">
        <f>M105</f>
        <v>138.70725000000002</v>
      </c>
      <c r="G98">
        <f>O105</f>
        <v>31</v>
      </c>
      <c r="H98">
        <f>Q105</f>
        <v>106.5</v>
      </c>
      <c r="I98" s="4" t="s">
        <v>122</v>
      </c>
      <c r="J98" s="4"/>
      <c r="K98" s="4"/>
      <c r="L98" s="4"/>
      <c r="M98" s="4"/>
      <c r="N98" s="4"/>
      <c r="O98" s="4"/>
      <c r="P98" s="4"/>
      <c r="Q98" s="4"/>
    </row>
    <row r="99" spans="1:18" hidden="1" x14ac:dyDescent="0.25">
      <c r="I99" s="4" t="s">
        <v>123</v>
      </c>
      <c r="J99" s="4"/>
      <c r="K99" s="4"/>
    </row>
    <row r="100" spans="1:18" ht="45" hidden="1" customHeight="1" x14ac:dyDescent="0.25">
      <c r="J100" t="s">
        <v>55</v>
      </c>
      <c r="K100" t="s">
        <v>56</v>
      </c>
      <c r="M100" t="s">
        <v>57</v>
      </c>
      <c r="N100" s="1" t="s">
        <v>136</v>
      </c>
      <c r="O100" s="1" t="s">
        <v>137</v>
      </c>
      <c r="P100" t="s">
        <v>138</v>
      </c>
    </row>
    <row r="101" spans="1:18" hidden="1" x14ac:dyDescent="0.25">
      <c r="I101" t="s">
        <v>103</v>
      </c>
      <c r="J101" t="s">
        <v>104</v>
      </c>
      <c r="K101" t="s">
        <v>104</v>
      </c>
      <c r="M101">
        <v>166.60599999999999</v>
      </c>
      <c r="N101" t="s">
        <v>132</v>
      </c>
      <c r="O101">
        <v>32</v>
      </c>
      <c r="P101" t="s">
        <v>125</v>
      </c>
      <c r="Q101">
        <f>34+36+37</f>
        <v>107</v>
      </c>
      <c r="R101" t="s">
        <v>107</v>
      </c>
    </row>
    <row r="102" spans="1:18" hidden="1" x14ac:dyDescent="0.25">
      <c r="I102" t="s">
        <v>112</v>
      </c>
      <c r="J102" t="s">
        <v>104</v>
      </c>
      <c r="K102" t="s">
        <v>104</v>
      </c>
      <c r="M102">
        <v>112.88200000000001</v>
      </c>
      <c r="N102" t="s">
        <v>133</v>
      </c>
      <c r="O102">
        <v>19</v>
      </c>
      <c r="P102" t="s">
        <v>126</v>
      </c>
      <c r="Q102">
        <f>28+41+36</f>
        <v>105</v>
      </c>
      <c r="R102" t="s">
        <v>129</v>
      </c>
    </row>
    <row r="103" spans="1:18" hidden="1" x14ac:dyDescent="0.25">
      <c r="I103" t="s">
        <v>124</v>
      </c>
      <c r="J103" t="s">
        <v>104</v>
      </c>
      <c r="K103" t="s">
        <v>104</v>
      </c>
      <c r="M103">
        <v>134.94800000000001</v>
      </c>
      <c r="N103" t="s">
        <v>134</v>
      </c>
      <c r="O103">
        <v>43</v>
      </c>
      <c r="P103" t="s">
        <v>127</v>
      </c>
      <c r="Q103">
        <f>34+41+31</f>
        <v>106</v>
      </c>
      <c r="R103" t="s">
        <v>130</v>
      </c>
    </row>
    <row r="104" spans="1:18" hidden="1" x14ac:dyDescent="0.25">
      <c r="I104" t="s">
        <v>116</v>
      </c>
      <c r="J104" t="s">
        <v>104</v>
      </c>
      <c r="K104" t="s">
        <v>104</v>
      </c>
      <c r="M104">
        <v>140.393</v>
      </c>
      <c r="N104" t="s">
        <v>135</v>
      </c>
      <c r="O104">
        <v>28</v>
      </c>
      <c r="P104" t="s">
        <v>128</v>
      </c>
      <c r="Q104">
        <f>24+41+43</f>
        <v>108</v>
      </c>
      <c r="R104" t="s">
        <v>30</v>
      </c>
    </row>
    <row r="105" spans="1:18" hidden="1" x14ac:dyDescent="0.25">
      <c r="I105" s="4" t="s">
        <v>90</v>
      </c>
      <c r="J105" s="4"/>
      <c r="K105" s="4"/>
      <c r="L105" s="4"/>
      <c r="M105" s="4">
        <f>AVERAGE(M101:M104)</f>
        <v>138.70725000000002</v>
      </c>
      <c r="N105" s="4"/>
      <c r="O105" s="4">
        <f>ROUNDUP(AVERAGE(O101:O104),0)</f>
        <v>31</v>
      </c>
      <c r="P105" s="4"/>
      <c r="Q105" s="4">
        <f>AVERAGE(Q101:Q104)</f>
        <v>106.5</v>
      </c>
    </row>
    <row r="106" spans="1:18" hidden="1" x14ac:dyDescent="0.25"/>
    <row r="107" spans="1:18" x14ac:dyDescent="0.25">
      <c r="A107">
        <v>3.5</v>
      </c>
      <c r="B107">
        <v>1</v>
      </c>
      <c r="C107">
        <v>3</v>
      </c>
      <c r="D107">
        <v>100</v>
      </c>
      <c r="E107">
        <v>1</v>
      </c>
      <c r="F107">
        <f>M114</f>
        <v>122.08875</v>
      </c>
      <c r="G107">
        <f>O114</f>
        <v>28</v>
      </c>
      <c r="H107">
        <f>Q114</f>
        <v>60.75</v>
      </c>
      <c r="I107" s="4" t="s">
        <v>139</v>
      </c>
      <c r="J107" s="4"/>
      <c r="K107" s="4"/>
      <c r="L107" s="4"/>
      <c r="M107" s="4"/>
      <c r="N107" s="4"/>
      <c r="O107" s="4"/>
      <c r="P107" s="4"/>
      <c r="Q107" s="4"/>
    </row>
    <row r="108" spans="1:18" hidden="1" x14ac:dyDescent="0.25">
      <c r="I108" s="4" t="s">
        <v>140</v>
      </c>
      <c r="J108" s="4"/>
      <c r="K108" s="4"/>
      <c r="L108" s="4"/>
    </row>
    <row r="109" spans="1:18" ht="45" hidden="1" x14ac:dyDescent="0.25">
      <c r="J109" t="s">
        <v>55</v>
      </c>
      <c r="K109" t="s">
        <v>56</v>
      </c>
      <c r="M109" t="s">
        <v>57</v>
      </c>
      <c r="N109" s="1" t="s">
        <v>136</v>
      </c>
      <c r="O109" s="1" t="s">
        <v>137</v>
      </c>
      <c r="P109" t="s">
        <v>138</v>
      </c>
    </row>
    <row r="110" spans="1:18" hidden="1" x14ac:dyDescent="0.25">
      <c r="I110" t="s">
        <v>103</v>
      </c>
      <c r="J110" t="s">
        <v>104</v>
      </c>
      <c r="K110" t="s">
        <v>104</v>
      </c>
      <c r="L110">
        <v>3</v>
      </c>
      <c r="M110">
        <v>125.917</v>
      </c>
      <c r="N110" t="s">
        <v>142</v>
      </c>
      <c r="O110">
        <v>30</v>
      </c>
      <c r="P110" t="s">
        <v>143</v>
      </c>
      <c r="Q110">
        <f>9+21+23</f>
        <v>53</v>
      </c>
      <c r="R110" t="s">
        <v>144</v>
      </c>
    </row>
    <row r="111" spans="1:18" hidden="1" x14ac:dyDescent="0.25">
      <c r="I111" t="s">
        <v>112</v>
      </c>
      <c r="J111" t="s">
        <v>104</v>
      </c>
      <c r="K111" t="s">
        <v>104</v>
      </c>
      <c r="L111">
        <v>3</v>
      </c>
      <c r="M111">
        <v>106.16200000000001</v>
      </c>
      <c r="N111" t="s">
        <v>145</v>
      </c>
      <c r="O111">
        <v>27</v>
      </c>
      <c r="P111" t="s">
        <v>146</v>
      </c>
      <c r="Q111">
        <f>19+20+19</f>
        <v>58</v>
      </c>
      <c r="R111" t="s">
        <v>147</v>
      </c>
    </row>
    <row r="112" spans="1:18" hidden="1" x14ac:dyDescent="0.25">
      <c r="I112" t="s">
        <v>124</v>
      </c>
      <c r="J112" t="s">
        <v>104</v>
      </c>
      <c r="K112" t="s">
        <v>104</v>
      </c>
      <c r="L112">
        <v>3</v>
      </c>
      <c r="M112">
        <v>121.151</v>
      </c>
      <c r="N112" t="s">
        <v>148</v>
      </c>
      <c r="O112">
        <v>25</v>
      </c>
      <c r="P112" t="s">
        <v>149</v>
      </c>
      <c r="Q112">
        <f>21+21+22</f>
        <v>64</v>
      </c>
      <c r="R112" t="s">
        <v>153</v>
      </c>
    </row>
    <row r="113" spans="1:20" hidden="1" x14ac:dyDescent="0.25">
      <c r="I113" t="s">
        <v>116</v>
      </c>
      <c r="J113" t="s">
        <v>104</v>
      </c>
      <c r="K113" t="s">
        <v>104</v>
      </c>
      <c r="L113">
        <v>3</v>
      </c>
      <c r="M113">
        <v>135.125</v>
      </c>
      <c r="N113" t="s">
        <v>150</v>
      </c>
      <c r="O113">
        <v>27</v>
      </c>
      <c r="P113" t="s">
        <v>151</v>
      </c>
      <c r="Q113">
        <f>24+23+21</f>
        <v>68</v>
      </c>
      <c r="R113" t="s">
        <v>152</v>
      </c>
    </row>
    <row r="114" spans="1:20" hidden="1" x14ac:dyDescent="0.25">
      <c r="I114" s="4" t="s">
        <v>90</v>
      </c>
      <c r="J114" s="4"/>
      <c r="K114" s="4"/>
      <c r="L114" s="4"/>
      <c r="M114" s="4">
        <f>AVERAGE(M110:M113)</f>
        <v>122.08875</v>
      </c>
      <c r="N114" s="4"/>
      <c r="O114" s="4">
        <f>ROUNDUP(AVERAGE(O110:O113),0)</f>
        <v>28</v>
      </c>
      <c r="P114" s="4"/>
      <c r="Q114" s="4">
        <f>AVERAGE(Q110:Q113)</f>
        <v>60.75</v>
      </c>
    </row>
    <row r="115" spans="1:20" hidden="1" x14ac:dyDescent="0.25"/>
    <row r="116" spans="1:20" hidden="1" x14ac:dyDescent="0.25"/>
    <row r="117" spans="1:20" x14ac:dyDescent="0.25">
      <c r="A117">
        <v>3</v>
      </c>
      <c r="B117">
        <v>1</v>
      </c>
      <c r="C117">
        <v>4</v>
      </c>
      <c r="D117">
        <v>100</v>
      </c>
      <c r="E117">
        <v>0</v>
      </c>
      <c r="F117">
        <f>M126</f>
        <v>147.11075</v>
      </c>
      <c r="G117">
        <f>O126</f>
        <v>25</v>
      </c>
      <c r="H117">
        <f>Q126</f>
        <v>97</v>
      </c>
      <c r="I117" s="4" t="s">
        <v>173</v>
      </c>
      <c r="J117" s="4"/>
      <c r="K117" s="4"/>
      <c r="L117" s="4"/>
      <c r="M117" s="4"/>
      <c r="N117" s="4"/>
      <c r="O117" s="4"/>
      <c r="P117" s="4"/>
      <c r="R117" t="s">
        <v>177</v>
      </c>
    </row>
    <row r="118" spans="1:20" ht="45" hidden="1" x14ac:dyDescent="0.25">
      <c r="J118" t="s">
        <v>55</v>
      </c>
      <c r="K118" t="s">
        <v>56</v>
      </c>
      <c r="M118" t="s">
        <v>57</v>
      </c>
      <c r="N118" s="1" t="s">
        <v>136</v>
      </c>
      <c r="O118" s="1" t="s">
        <v>137</v>
      </c>
      <c r="P118" t="s">
        <v>138</v>
      </c>
    </row>
    <row r="119" spans="1:20" hidden="1" x14ac:dyDescent="0.25">
      <c r="I119" t="s">
        <v>34</v>
      </c>
      <c r="J119" t="s">
        <v>35</v>
      </c>
      <c r="K119" t="s">
        <v>35</v>
      </c>
      <c r="M119">
        <v>124.76</v>
      </c>
      <c r="N119" t="s">
        <v>179</v>
      </c>
      <c r="O119">
        <v>29</v>
      </c>
      <c r="P119" t="s">
        <v>181</v>
      </c>
      <c r="Q119">
        <f>26+27+35</f>
        <v>88</v>
      </c>
      <c r="R119" t="s">
        <v>180</v>
      </c>
      <c r="T119" t="s">
        <v>176</v>
      </c>
    </row>
    <row r="120" spans="1:20" hidden="1" x14ac:dyDescent="0.25">
      <c r="I120" t="s">
        <v>38</v>
      </c>
      <c r="J120" t="s">
        <v>35</v>
      </c>
      <c r="K120" t="s">
        <v>35</v>
      </c>
      <c r="M120">
        <v>124.479</v>
      </c>
      <c r="N120" t="s">
        <v>182</v>
      </c>
      <c r="O120">
        <v>23</v>
      </c>
      <c r="P120" t="s">
        <v>184</v>
      </c>
      <c r="Q120">
        <f>34+24+29</f>
        <v>87</v>
      </c>
      <c r="R120" t="s">
        <v>183</v>
      </c>
      <c r="T120" t="s">
        <v>176</v>
      </c>
    </row>
    <row r="121" spans="1:20" hidden="1" x14ac:dyDescent="0.25"/>
    <row r="122" spans="1:20" hidden="1" x14ac:dyDescent="0.25">
      <c r="I122" t="s">
        <v>31</v>
      </c>
      <c r="J122" t="s">
        <v>35</v>
      </c>
      <c r="K122" t="s">
        <v>195</v>
      </c>
      <c r="M122">
        <v>135.01300000000001</v>
      </c>
      <c r="N122" t="s">
        <v>185</v>
      </c>
      <c r="O122">
        <v>25</v>
      </c>
      <c r="P122" t="s">
        <v>186</v>
      </c>
      <c r="Q122">
        <f>34+24+34</f>
        <v>92</v>
      </c>
      <c r="R122" t="s">
        <v>187</v>
      </c>
    </row>
    <row r="123" spans="1:20" hidden="1" x14ac:dyDescent="0.25">
      <c r="I123" t="s">
        <v>41</v>
      </c>
      <c r="J123" t="s">
        <v>35</v>
      </c>
      <c r="K123" t="s">
        <v>195</v>
      </c>
      <c r="M123">
        <v>99.513000000000005</v>
      </c>
      <c r="N123" t="s">
        <v>188</v>
      </c>
      <c r="O123">
        <v>24</v>
      </c>
      <c r="P123" t="s">
        <v>189</v>
      </c>
      <c r="Q123">
        <f>33+24+39</f>
        <v>96</v>
      </c>
      <c r="R123" t="s">
        <v>190</v>
      </c>
    </row>
    <row r="124" spans="1:20" hidden="1" x14ac:dyDescent="0.25">
      <c r="I124" t="s">
        <v>70</v>
      </c>
      <c r="J124" t="s">
        <v>35</v>
      </c>
      <c r="K124" t="s">
        <v>194</v>
      </c>
      <c r="M124">
        <v>178.374</v>
      </c>
      <c r="N124" t="s">
        <v>191</v>
      </c>
      <c r="O124">
        <v>22</v>
      </c>
      <c r="P124" t="s">
        <v>192</v>
      </c>
      <c r="Q124">
        <f>34+30+36</f>
        <v>100</v>
      </c>
      <c r="R124" t="s">
        <v>193</v>
      </c>
      <c r="T124" t="s">
        <v>199</v>
      </c>
    </row>
    <row r="125" spans="1:20" hidden="1" x14ac:dyDescent="0.25">
      <c r="I125" t="s">
        <v>178</v>
      </c>
      <c r="J125" t="s">
        <v>35</v>
      </c>
      <c r="K125" t="s">
        <v>194</v>
      </c>
      <c r="M125">
        <v>175.54300000000001</v>
      </c>
      <c r="N125" t="s">
        <v>196</v>
      </c>
      <c r="O125">
        <v>28</v>
      </c>
      <c r="P125" t="s">
        <v>197</v>
      </c>
      <c r="Q125">
        <f>34+24+42</f>
        <v>100</v>
      </c>
      <c r="R125" t="s">
        <v>190</v>
      </c>
    </row>
    <row r="126" spans="1:20" hidden="1" x14ac:dyDescent="0.25">
      <c r="I126" s="4" t="s">
        <v>90</v>
      </c>
      <c r="J126" s="4"/>
      <c r="K126" s="4" t="s">
        <v>198</v>
      </c>
      <c r="L126" s="4"/>
      <c r="M126" s="4">
        <f>AVERAGE(M122:M125)</f>
        <v>147.11075</v>
      </c>
      <c r="N126" s="4"/>
      <c r="O126" s="4">
        <f>ROUNDUP(AVERAGE(O122:O125),0)</f>
        <v>25</v>
      </c>
      <c r="P126" s="4"/>
      <c r="Q126" s="4">
        <f>AVERAGE(Q122:Q125)</f>
        <v>97</v>
      </c>
      <c r="R126" s="4"/>
    </row>
    <row r="127" spans="1:20" hidden="1" x14ac:dyDescent="0.25"/>
    <row r="128" spans="1:20" x14ac:dyDescent="0.25">
      <c r="A128">
        <v>0</v>
      </c>
      <c r="B128">
        <v>1</v>
      </c>
      <c r="C128">
        <v>4</v>
      </c>
      <c r="D128">
        <v>50</v>
      </c>
      <c r="E128">
        <v>0</v>
      </c>
      <c r="F128">
        <f>M147</f>
        <v>136.1962</v>
      </c>
      <c r="G128">
        <f>O147</f>
        <v>42</v>
      </c>
      <c r="H128">
        <f>Q147</f>
        <v>26.166666666666668</v>
      </c>
      <c r="I128" s="4" t="s">
        <v>141</v>
      </c>
      <c r="J128" s="4"/>
      <c r="K128" s="4" t="s">
        <v>131</v>
      </c>
      <c r="L128" s="4"/>
      <c r="M128" s="4"/>
      <c r="N128" s="4"/>
      <c r="O128" s="4"/>
      <c r="P128" s="4"/>
      <c r="T128" t="s">
        <v>202</v>
      </c>
    </row>
    <row r="129" spans="9:23" hidden="1" x14ac:dyDescent="0.25">
      <c r="I129" s="4" t="s">
        <v>174</v>
      </c>
      <c r="J129" s="4"/>
      <c r="K129" s="4"/>
      <c r="L129" s="4"/>
      <c r="M129" s="4"/>
      <c r="T129" t="s">
        <v>200</v>
      </c>
      <c r="W129" t="s">
        <v>203</v>
      </c>
    </row>
    <row r="130" spans="9:23" ht="45" hidden="1" x14ac:dyDescent="0.25">
      <c r="J130" t="s">
        <v>55</v>
      </c>
      <c r="K130" t="s">
        <v>56</v>
      </c>
      <c r="M130" t="s">
        <v>57</v>
      </c>
      <c r="N130" s="2" t="s">
        <v>136</v>
      </c>
      <c r="O130" s="2" t="s">
        <v>137</v>
      </c>
      <c r="P130" t="s">
        <v>138</v>
      </c>
      <c r="T130" t="s">
        <v>201</v>
      </c>
    </row>
    <row r="131" spans="9:23" hidden="1" x14ac:dyDescent="0.25">
      <c r="I131" t="s">
        <v>206</v>
      </c>
      <c r="J131" t="s">
        <v>77</v>
      </c>
      <c r="K131" t="s">
        <v>204</v>
      </c>
      <c r="N131" t="s">
        <v>205</v>
      </c>
      <c r="P131">
        <v>0</v>
      </c>
    </row>
    <row r="132" spans="9:23" hidden="1" x14ac:dyDescent="0.25">
      <c r="I132" t="s">
        <v>207</v>
      </c>
    </row>
    <row r="133" spans="9:23" hidden="1" x14ac:dyDescent="0.25">
      <c r="I133" t="s">
        <v>34</v>
      </c>
      <c r="J133" t="s">
        <v>208</v>
      </c>
      <c r="N133" t="s">
        <v>246</v>
      </c>
      <c r="O133">
        <v>19</v>
      </c>
      <c r="P133" t="s">
        <v>247</v>
      </c>
      <c r="Q133">
        <v>24</v>
      </c>
      <c r="T133" t="s">
        <v>248</v>
      </c>
    </row>
    <row r="134" spans="9:23" hidden="1" x14ac:dyDescent="0.25">
      <c r="I134" t="s">
        <v>209</v>
      </c>
    </row>
    <row r="135" spans="9:23" hidden="1" x14ac:dyDescent="0.25">
      <c r="I135" t="s">
        <v>38</v>
      </c>
      <c r="J135" t="s">
        <v>210</v>
      </c>
      <c r="K135" t="s">
        <v>77</v>
      </c>
      <c r="M135">
        <v>137.91999999999999</v>
      </c>
      <c r="N135" t="s">
        <v>229</v>
      </c>
      <c r="O135">
        <f>4+9+12+6</f>
        <v>31</v>
      </c>
      <c r="P135" t="s">
        <v>247</v>
      </c>
      <c r="Q135">
        <v>24</v>
      </c>
      <c r="T135" t="s">
        <v>249</v>
      </c>
      <c r="W135" t="s">
        <v>211</v>
      </c>
    </row>
    <row r="136" spans="9:23" hidden="1" x14ac:dyDescent="0.25"/>
    <row r="137" spans="9:23" hidden="1" x14ac:dyDescent="0.25">
      <c r="I137" t="s">
        <v>31</v>
      </c>
      <c r="J137" t="s">
        <v>35</v>
      </c>
      <c r="K137" t="s">
        <v>212</v>
      </c>
      <c r="M137">
        <v>129.12899999999999</v>
      </c>
      <c r="N137" t="s">
        <v>213</v>
      </c>
      <c r="O137">
        <v>29</v>
      </c>
      <c r="P137" t="s">
        <v>251</v>
      </c>
      <c r="Q137">
        <v>28</v>
      </c>
      <c r="T137" t="s">
        <v>250</v>
      </c>
    </row>
    <row r="138" spans="9:23" hidden="1" x14ac:dyDescent="0.25">
      <c r="I138" t="s">
        <v>41</v>
      </c>
      <c r="J138" t="s">
        <v>35</v>
      </c>
      <c r="K138" t="s">
        <v>77</v>
      </c>
      <c r="M138">
        <v>200.999</v>
      </c>
      <c r="N138" t="s">
        <v>215</v>
      </c>
      <c r="O138">
        <f>4+4+36+29</f>
        <v>73</v>
      </c>
      <c r="P138" t="s">
        <v>252</v>
      </c>
      <c r="Q138">
        <f>0+2+19</f>
        <v>21</v>
      </c>
      <c r="T138" t="s">
        <v>253</v>
      </c>
    </row>
    <row r="139" spans="9:23" hidden="1" x14ac:dyDescent="0.25">
      <c r="I139" t="s">
        <v>70</v>
      </c>
      <c r="J139" t="s">
        <v>214</v>
      </c>
      <c r="K139" t="s">
        <v>77</v>
      </c>
      <c r="N139" t="s">
        <v>225</v>
      </c>
      <c r="O139">
        <v>16</v>
      </c>
      <c r="P139" t="s">
        <v>247</v>
      </c>
      <c r="Q139">
        <v>25</v>
      </c>
      <c r="T139" t="s">
        <v>227</v>
      </c>
    </row>
    <row r="140" spans="9:23" hidden="1" x14ac:dyDescent="0.25">
      <c r="I140" t="s">
        <v>178</v>
      </c>
      <c r="J140" t="s">
        <v>216</v>
      </c>
      <c r="K140" t="s">
        <v>77</v>
      </c>
      <c r="N140" t="s">
        <v>217</v>
      </c>
      <c r="O140">
        <f>6+60+4+12</f>
        <v>82</v>
      </c>
      <c r="P140" t="s">
        <v>254</v>
      </c>
      <c r="Q140">
        <v>32</v>
      </c>
      <c r="T140" t="s">
        <v>193</v>
      </c>
    </row>
    <row r="141" spans="9:23" hidden="1" x14ac:dyDescent="0.25">
      <c r="I141" t="s">
        <v>73</v>
      </c>
      <c r="J141" t="s">
        <v>216</v>
      </c>
      <c r="K141" t="s">
        <v>77</v>
      </c>
      <c r="M141" t="s">
        <v>78</v>
      </c>
      <c r="N141" t="s">
        <v>228</v>
      </c>
      <c r="O141">
        <f>16+4+36+7</f>
        <v>63</v>
      </c>
      <c r="P141" t="s">
        <v>256</v>
      </c>
      <c r="Q141">
        <v>25</v>
      </c>
      <c r="T141" t="s">
        <v>255</v>
      </c>
    </row>
    <row r="142" spans="9:23" hidden="1" x14ac:dyDescent="0.25">
      <c r="I142" t="s">
        <v>218</v>
      </c>
      <c r="J142" t="s">
        <v>214</v>
      </c>
      <c r="K142" t="s">
        <v>77</v>
      </c>
      <c r="M142" t="s">
        <v>78</v>
      </c>
      <c r="N142" t="s">
        <v>225</v>
      </c>
      <c r="O142">
        <v>16</v>
      </c>
      <c r="P142" t="s">
        <v>257</v>
      </c>
      <c r="Q142">
        <v>23</v>
      </c>
      <c r="T142" t="s">
        <v>227</v>
      </c>
    </row>
    <row r="143" spans="9:23" hidden="1" x14ac:dyDescent="0.25">
      <c r="I143" t="s">
        <v>219</v>
      </c>
      <c r="J143" t="s">
        <v>226</v>
      </c>
      <c r="N143" t="s">
        <v>225</v>
      </c>
      <c r="O143">
        <v>16</v>
      </c>
      <c r="P143" t="s">
        <v>257</v>
      </c>
      <c r="Q143">
        <v>23</v>
      </c>
      <c r="T143" t="s">
        <v>227</v>
      </c>
    </row>
    <row r="144" spans="9:23" hidden="1" x14ac:dyDescent="0.25">
      <c r="I144" t="s">
        <v>220</v>
      </c>
      <c r="J144" t="s">
        <v>35</v>
      </c>
      <c r="K144" t="s">
        <v>259</v>
      </c>
      <c r="M144">
        <v>112.625</v>
      </c>
      <c r="N144" t="s">
        <v>223</v>
      </c>
      <c r="O144">
        <f>12+5+4+12</f>
        <v>33</v>
      </c>
      <c r="P144" t="s">
        <v>258</v>
      </c>
      <c r="Q144">
        <v>30</v>
      </c>
      <c r="T144" t="s">
        <v>224</v>
      </c>
    </row>
    <row r="145" spans="1:23" hidden="1" x14ac:dyDescent="0.25">
      <c r="I145" t="s">
        <v>222</v>
      </c>
      <c r="J145" t="s">
        <v>221</v>
      </c>
      <c r="K145" t="s">
        <v>77</v>
      </c>
      <c r="N145" t="s">
        <v>260</v>
      </c>
      <c r="O145">
        <f>29</f>
        <v>29</v>
      </c>
      <c r="P145" t="s">
        <v>251</v>
      </c>
      <c r="Q145">
        <v>28</v>
      </c>
      <c r="T145" t="s">
        <v>261</v>
      </c>
    </row>
    <row r="146" spans="1:23" hidden="1" x14ac:dyDescent="0.25">
      <c r="I146" t="s">
        <v>230</v>
      </c>
      <c r="J146" t="s">
        <v>170</v>
      </c>
      <c r="K146" t="s">
        <v>231</v>
      </c>
      <c r="M146">
        <v>100.30800000000001</v>
      </c>
      <c r="N146" t="s">
        <v>232</v>
      </c>
      <c r="O146">
        <f>6+10+9+6</f>
        <v>31</v>
      </c>
      <c r="P146" t="s">
        <v>262</v>
      </c>
      <c r="Q146">
        <v>31</v>
      </c>
      <c r="T146" t="s">
        <v>233</v>
      </c>
    </row>
    <row r="147" spans="1:23" hidden="1" x14ac:dyDescent="0.25">
      <c r="I147" s="4" t="s">
        <v>90</v>
      </c>
      <c r="J147" s="4"/>
      <c r="K147" s="4"/>
      <c r="L147" s="4"/>
      <c r="M147" s="4">
        <f>AVERAGE(M146,M144,M138,M137,M135)</f>
        <v>136.1962</v>
      </c>
      <c r="N147" s="4"/>
      <c r="O147" s="4">
        <f>ROUNDUP(AVERAGE(O146,O144,O143,O142,O141,O140,O138,O137,O135),0)</f>
        <v>42</v>
      </c>
      <c r="P147" s="4"/>
      <c r="Q147" s="4">
        <f>AVERAGE(Q133:Q146)</f>
        <v>26.166666666666668</v>
      </c>
    </row>
    <row r="148" spans="1:23" hidden="1" x14ac:dyDescent="0.25"/>
    <row r="149" spans="1:23" x14ac:dyDescent="0.25">
      <c r="A149">
        <v>0</v>
      </c>
      <c r="B149">
        <v>1</v>
      </c>
      <c r="C149">
        <v>3</v>
      </c>
      <c r="D149">
        <v>50</v>
      </c>
      <c r="E149">
        <v>0</v>
      </c>
      <c r="F149">
        <f>M162</f>
        <v>145.19516666666667</v>
      </c>
      <c r="G149">
        <f>O162</f>
        <v>40</v>
      </c>
      <c r="H149">
        <f>Q162</f>
        <v>19.8</v>
      </c>
      <c r="I149" s="4" t="s">
        <v>175</v>
      </c>
      <c r="J149" s="4"/>
      <c r="K149" s="4"/>
      <c r="L149" s="4"/>
      <c r="M149" s="4"/>
      <c r="N149" s="4"/>
      <c r="P149" t="s">
        <v>245</v>
      </c>
    </row>
    <row r="150" spans="1:23" ht="45" hidden="1" x14ac:dyDescent="0.25">
      <c r="J150" t="s">
        <v>55</v>
      </c>
      <c r="K150" t="s">
        <v>56</v>
      </c>
      <c r="M150" t="s">
        <v>57</v>
      </c>
      <c r="N150" s="3" t="s">
        <v>136</v>
      </c>
      <c r="O150" s="3" t="s">
        <v>137</v>
      </c>
      <c r="P150" t="s">
        <v>138</v>
      </c>
    </row>
    <row r="151" spans="1:23" hidden="1" x14ac:dyDescent="0.25">
      <c r="I151" t="s">
        <v>34</v>
      </c>
      <c r="J151" t="s">
        <v>234</v>
      </c>
      <c r="M151">
        <v>225.65</v>
      </c>
      <c r="N151" t="s">
        <v>235</v>
      </c>
      <c r="O151">
        <v>86</v>
      </c>
      <c r="P151" t="s">
        <v>244</v>
      </c>
      <c r="Q151">
        <v>20</v>
      </c>
      <c r="T151" t="s">
        <v>243</v>
      </c>
    </row>
    <row r="152" spans="1:23" hidden="1" x14ac:dyDescent="0.25">
      <c r="I152" t="s">
        <v>38</v>
      </c>
      <c r="J152" t="s">
        <v>236</v>
      </c>
    </row>
    <row r="153" spans="1:23" hidden="1" x14ac:dyDescent="0.25">
      <c r="I153" t="s">
        <v>31</v>
      </c>
      <c r="J153" t="s">
        <v>236</v>
      </c>
      <c r="W153" t="s">
        <v>237</v>
      </c>
    </row>
    <row r="154" spans="1:23" hidden="1" x14ac:dyDescent="0.25">
      <c r="J154" t="s">
        <v>242</v>
      </c>
    </row>
    <row r="155" spans="1:23" hidden="1" x14ac:dyDescent="0.25">
      <c r="I155" t="s">
        <v>41</v>
      </c>
      <c r="J155" t="s">
        <v>35</v>
      </c>
      <c r="K155" t="s">
        <v>265</v>
      </c>
      <c r="M155">
        <v>107.616</v>
      </c>
      <c r="N155" t="s">
        <v>263</v>
      </c>
      <c r="O155">
        <v>28</v>
      </c>
      <c r="P155" t="s">
        <v>264</v>
      </c>
      <c r="Q155">
        <v>22</v>
      </c>
      <c r="T155" t="s">
        <v>111</v>
      </c>
    </row>
    <row r="156" spans="1:23" hidden="1" x14ac:dyDescent="0.25">
      <c r="I156" t="s">
        <v>239</v>
      </c>
      <c r="J156" t="s">
        <v>238</v>
      </c>
    </row>
    <row r="157" spans="1:23" hidden="1" x14ac:dyDescent="0.25">
      <c r="I157" t="s">
        <v>70</v>
      </c>
      <c r="J157" t="s">
        <v>35</v>
      </c>
      <c r="K157" t="s">
        <v>77</v>
      </c>
      <c r="M157">
        <v>159.39400000000001</v>
      </c>
      <c r="N157" t="s">
        <v>266</v>
      </c>
      <c r="O157">
        <v>25</v>
      </c>
      <c r="P157" t="s">
        <v>267</v>
      </c>
      <c r="Q157">
        <v>18</v>
      </c>
      <c r="T157" t="s">
        <v>119</v>
      </c>
    </row>
    <row r="158" spans="1:23" hidden="1" x14ac:dyDescent="0.25">
      <c r="I158" t="s">
        <v>241</v>
      </c>
      <c r="J158" t="s">
        <v>240</v>
      </c>
    </row>
    <row r="159" spans="1:23" hidden="1" x14ac:dyDescent="0.25">
      <c r="I159" t="s">
        <v>178</v>
      </c>
      <c r="J159" t="s">
        <v>35</v>
      </c>
      <c r="K159" t="s">
        <v>268</v>
      </c>
      <c r="M159">
        <v>132.38800000000001</v>
      </c>
      <c r="N159" t="s">
        <v>269</v>
      </c>
      <c r="O159">
        <v>38</v>
      </c>
      <c r="P159" t="s">
        <v>244</v>
      </c>
      <c r="Q159">
        <v>20</v>
      </c>
      <c r="T159" t="s">
        <v>270</v>
      </c>
    </row>
    <row r="160" spans="1:23" hidden="1" x14ac:dyDescent="0.25">
      <c r="I160" t="s">
        <v>73</v>
      </c>
      <c r="J160" t="s">
        <v>35</v>
      </c>
      <c r="K160" t="s">
        <v>268</v>
      </c>
      <c r="M160">
        <v>114.621</v>
      </c>
      <c r="N160" t="s">
        <v>271</v>
      </c>
      <c r="O160">
        <v>28</v>
      </c>
      <c r="P160" t="s">
        <v>252</v>
      </c>
      <c r="Q160">
        <v>21</v>
      </c>
      <c r="T160" t="s">
        <v>115</v>
      </c>
    </row>
    <row r="161" spans="9:20" hidden="1" x14ac:dyDescent="0.25">
      <c r="I161" t="s">
        <v>218</v>
      </c>
      <c r="J161" t="s">
        <v>35</v>
      </c>
      <c r="K161" t="s">
        <v>268</v>
      </c>
      <c r="M161">
        <v>131.50200000000001</v>
      </c>
      <c r="N161" t="s">
        <v>272</v>
      </c>
      <c r="O161">
        <v>34</v>
      </c>
      <c r="P161" t="s">
        <v>267</v>
      </c>
      <c r="Q161">
        <v>18</v>
      </c>
      <c r="T161" t="s">
        <v>115</v>
      </c>
    </row>
    <row r="162" spans="9:20" hidden="1" x14ac:dyDescent="0.25">
      <c r="I162" s="4" t="s">
        <v>90</v>
      </c>
      <c r="J162" s="4"/>
      <c r="K162" s="4"/>
      <c r="L162" s="4"/>
      <c r="M162" s="4">
        <f>AVERAGE(M151:M161)</f>
        <v>145.19516666666667</v>
      </c>
      <c r="N162" s="4"/>
      <c r="O162" s="4">
        <f>ROUNDUP(AVERAGE(O151:O161),0)</f>
        <v>40</v>
      </c>
      <c r="P162" s="4"/>
      <c r="Q162" s="4">
        <f>AVERAGE(Q155:Q161)</f>
        <v>19.8</v>
      </c>
    </row>
  </sheetData>
  <mergeCells count="4">
    <mergeCell ref="I60:W60"/>
    <mergeCell ref="T83:AB83"/>
    <mergeCell ref="I1:S1"/>
    <mergeCell ref="A1:H1"/>
  </mergeCells>
  <pageMargins left="0.7" right="0.7" top="0.75" bottom="0.75" header="0.3" footer="0.3"/>
  <pageSetup paperSize="9" scale="66"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abSelected="1" topLeftCell="A7" workbookViewId="0">
      <selection activeCell="R13" sqref="R13"/>
    </sheetView>
  </sheetViews>
  <sheetFormatPr defaultRowHeight="15" x14ac:dyDescent="0.25"/>
  <sheetData>
    <row r="1" spans="1:11" x14ac:dyDescent="0.25">
      <c r="A1" t="s">
        <v>277</v>
      </c>
    </row>
    <row r="2" spans="1:11" ht="45" customHeight="1" x14ac:dyDescent="0.25">
      <c r="A2" s="5" t="s">
        <v>273</v>
      </c>
      <c r="B2" s="5" t="s">
        <v>275</v>
      </c>
      <c r="C2" s="5" t="s">
        <v>274</v>
      </c>
      <c r="D2" s="5" t="s">
        <v>278</v>
      </c>
      <c r="E2" s="5" t="s">
        <v>279</v>
      </c>
      <c r="F2" s="5" t="s">
        <v>280</v>
      </c>
      <c r="G2" s="5" t="s">
        <v>281</v>
      </c>
      <c r="H2" s="5" t="s">
        <v>282</v>
      </c>
      <c r="I2" s="5"/>
      <c r="J2" s="5"/>
      <c r="K2" s="5"/>
    </row>
    <row r="3" spans="1:11" x14ac:dyDescent="0.25">
      <c r="A3">
        <v>1</v>
      </c>
      <c r="B3">
        <v>0</v>
      </c>
      <c r="C3">
        <v>3</v>
      </c>
      <c r="D3">
        <v>100</v>
      </c>
      <c r="E3">
        <v>0</v>
      </c>
      <c r="F3">
        <v>65.78</v>
      </c>
      <c r="G3">
        <v>28</v>
      </c>
      <c r="H3">
        <v>0</v>
      </c>
    </row>
    <row r="4" spans="1:11" x14ac:dyDescent="0.25">
      <c r="A4">
        <v>4</v>
      </c>
      <c r="B4">
        <v>0</v>
      </c>
      <c r="C4">
        <v>3</v>
      </c>
      <c r="D4">
        <v>100</v>
      </c>
      <c r="E4">
        <v>1</v>
      </c>
      <c r="F4">
        <v>71.265250000000009</v>
      </c>
      <c r="G4">
        <v>28</v>
      </c>
      <c r="H4">
        <v>74.5</v>
      </c>
    </row>
    <row r="5" spans="1:11" x14ac:dyDescent="0.25">
      <c r="A5">
        <v>4</v>
      </c>
      <c r="B5">
        <v>0</v>
      </c>
      <c r="C5">
        <v>4</v>
      </c>
      <c r="D5">
        <v>100</v>
      </c>
      <c r="E5">
        <v>1</v>
      </c>
      <c r="F5">
        <v>44.03125</v>
      </c>
      <c r="G5">
        <v>25</v>
      </c>
      <c r="H5">
        <v>117.75</v>
      </c>
    </row>
    <row r="7" spans="1:11" x14ac:dyDescent="0.25">
      <c r="A7">
        <v>0</v>
      </c>
      <c r="B7">
        <v>1</v>
      </c>
      <c r="C7">
        <v>3</v>
      </c>
      <c r="D7">
        <v>50</v>
      </c>
      <c r="E7">
        <v>0</v>
      </c>
      <c r="F7">
        <v>145.19516666666667</v>
      </c>
      <c r="G7">
        <v>40</v>
      </c>
      <c r="H7">
        <v>19.8</v>
      </c>
    </row>
    <row r="8" spans="1:11" x14ac:dyDescent="0.25">
      <c r="A8">
        <v>1.5</v>
      </c>
      <c r="B8">
        <v>1</v>
      </c>
      <c r="C8">
        <v>3</v>
      </c>
      <c r="D8">
        <v>0</v>
      </c>
      <c r="E8">
        <v>0</v>
      </c>
      <c r="F8" t="s">
        <v>78</v>
      </c>
      <c r="G8">
        <v>14</v>
      </c>
      <c r="H8">
        <v>19.333333333333332</v>
      </c>
    </row>
    <row r="9" spans="1:11" x14ac:dyDescent="0.25">
      <c r="A9">
        <v>2</v>
      </c>
      <c r="B9">
        <v>1</v>
      </c>
      <c r="C9">
        <v>3</v>
      </c>
      <c r="D9">
        <v>100</v>
      </c>
      <c r="E9">
        <v>1</v>
      </c>
      <c r="F9">
        <v>135.44049999999999</v>
      </c>
      <c r="G9">
        <v>27</v>
      </c>
      <c r="H9">
        <v>47</v>
      </c>
    </row>
    <row r="10" spans="1:11" x14ac:dyDescent="0.25">
      <c r="A10">
        <v>3.5</v>
      </c>
      <c r="B10">
        <v>1</v>
      </c>
      <c r="C10">
        <v>3</v>
      </c>
      <c r="D10">
        <v>100</v>
      </c>
      <c r="E10">
        <v>1</v>
      </c>
      <c r="F10">
        <v>122.08875</v>
      </c>
      <c r="G10">
        <v>28</v>
      </c>
      <c r="H10">
        <v>60.75</v>
      </c>
    </row>
    <row r="11" spans="1:11" x14ac:dyDescent="0.25">
      <c r="A11">
        <v>4</v>
      </c>
      <c r="B11">
        <v>1</v>
      </c>
      <c r="C11">
        <v>3</v>
      </c>
      <c r="D11">
        <v>100</v>
      </c>
      <c r="E11">
        <v>1</v>
      </c>
      <c r="F11">
        <v>120.89349999999999</v>
      </c>
      <c r="G11">
        <v>24</v>
      </c>
      <c r="H11">
        <v>69.25</v>
      </c>
    </row>
    <row r="12" spans="1:11" ht="75" x14ac:dyDescent="0.25">
      <c r="A12" s="5" t="s">
        <v>273</v>
      </c>
      <c r="B12" s="5" t="s">
        <v>275</v>
      </c>
      <c r="C12" s="5" t="s">
        <v>274</v>
      </c>
      <c r="D12" s="5" t="s">
        <v>278</v>
      </c>
      <c r="E12" s="5" t="s">
        <v>279</v>
      </c>
      <c r="F12" s="5" t="s">
        <v>280</v>
      </c>
      <c r="G12" s="5" t="s">
        <v>281</v>
      </c>
      <c r="H12" s="5" t="s">
        <v>282</v>
      </c>
    </row>
    <row r="13" spans="1:11" x14ac:dyDescent="0.25">
      <c r="A13">
        <v>0</v>
      </c>
      <c r="B13">
        <v>1</v>
      </c>
      <c r="C13">
        <v>4</v>
      </c>
      <c r="D13">
        <v>50</v>
      </c>
      <c r="E13">
        <v>0</v>
      </c>
      <c r="F13">
        <v>136.1962</v>
      </c>
      <c r="G13">
        <v>42</v>
      </c>
      <c r="H13">
        <v>26.17</v>
      </c>
    </row>
    <row r="14" spans="1:11" x14ac:dyDescent="0.25">
      <c r="A14">
        <v>1.5</v>
      </c>
      <c r="B14">
        <v>1</v>
      </c>
      <c r="C14">
        <v>4</v>
      </c>
      <c r="D14">
        <v>0.75</v>
      </c>
      <c r="E14">
        <v>0</v>
      </c>
      <c r="F14">
        <v>180.14599999999999</v>
      </c>
      <c r="G14">
        <v>28</v>
      </c>
      <c r="H14">
        <v>37.25</v>
      </c>
    </row>
    <row r="15" spans="1:11" x14ac:dyDescent="0.25">
      <c r="A15">
        <v>2</v>
      </c>
      <c r="B15">
        <v>1</v>
      </c>
      <c r="C15">
        <v>4</v>
      </c>
      <c r="D15">
        <v>0.75</v>
      </c>
      <c r="E15">
        <v>1</v>
      </c>
      <c r="F15">
        <v>163.59433333333334</v>
      </c>
      <c r="G15">
        <v>34</v>
      </c>
      <c r="H15">
        <v>87.5</v>
      </c>
    </row>
    <row r="16" spans="1:11" x14ac:dyDescent="0.25">
      <c r="A16">
        <v>3</v>
      </c>
      <c r="B16">
        <v>1</v>
      </c>
      <c r="C16">
        <v>4</v>
      </c>
      <c r="D16">
        <v>100</v>
      </c>
      <c r="E16">
        <v>0</v>
      </c>
      <c r="F16">
        <v>147.11075</v>
      </c>
      <c r="G16">
        <v>25</v>
      </c>
      <c r="H16">
        <v>97</v>
      </c>
    </row>
    <row r="17" spans="1:8" x14ac:dyDescent="0.25">
      <c r="A17">
        <v>3.5</v>
      </c>
      <c r="B17">
        <v>1</v>
      </c>
      <c r="C17">
        <v>4</v>
      </c>
      <c r="D17">
        <v>100</v>
      </c>
      <c r="E17">
        <v>1</v>
      </c>
      <c r="F17">
        <v>138.70725000000002</v>
      </c>
      <c r="G17">
        <v>31</v>
      </c>
      <c r="H17">
        <v>106.5</v>
      </c>
    </row>
    <row r="18" spans="1:8" x14ac:dyDescent="0.25">
      <c r="A18">
        <v>4</v>
      </c>
      <c r="B18">
        <v>1</v>
      </c>
      <c r="C18">
        <v>4</v>
      </c>
      <c r="D18">
        <v>100</v>
      </c>
      <c r="E18">
        <v>1</v>
      </c>
      <c r="F18">
        <v>121.85300000000001</v>
      </c>
      <c r="G18">
        <v>24</v>
      </c>
      <c r="H18">
        <v>129.25</v>
      </c>
    </row>
    <row r="19" spans="1:8" x14ac:dyDescent="0.25">
      <c r="A19">
        <v>5</v>
      </c>
      <c r="B19">
        <v>1</v>
      </c>
      <c r="C19">
        <v>4</v>
      </c>
      <c r="D19">
        <v>100</v>
      </c>
      <c r="E19">
        <v>1</v>
      </c>
      <c r="F19">
        <v>203.6285</v>
      </c>
      <c r="G19">
        <v>24</v>
      </c>
      <c r="H19">
        <v>131.5</v>
      </c>
    </row>
  </sheetData>
  <sortState ref="A3:H17">
    <sortCondition ref="B3:B17"/>
    <sortCondition ref="C3:C17"/>
    <sortCondition ref="A3:A1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Federation University Australia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Keogh</dc:creator>
  <cp:lastModifiedBy>Keogh</cp:lastModifiedBy>
  <cp:lastPrinted>2017-01-20T07:06:01Z</cp:lastPrinted>
  <dcterms:created xsi:type="dcterms:W3CDTF">2017-01-17T10:32:10Z</dcterms:created>
  <dcterms:modified xsi:type="dcterms:W3CDTF">2017-01-28T07:16:24Z</dcterms:modified>
</cp:coreProperties>
</file>