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ex" sheetId="1" r:id="rId4"/>
    <sheet state="visible" name="Resources" sheetId="2" r:id="rId5"/>
    <sheet state="visible" name="Shiftplan" sheetId="3" r:id="rId6"/>
    <sheet state="visible" name="Processes" sheetId="4" r:id="rId7"/>
    <sheet state="visible" name="Shiftplan SoS" sheetId="5" r:id="rId8"/>
    <sheet state="hidden" name="Active SoS email list" sheetId="6" r:id="rId9"/>
    <sheet state="visible" name="SoS - Agents Info" sheetId="7" r:id="rId10"/>
    <sheet state="visible" name="Shiftplan KoA" sheetId="8" r:id="rId11"/>
    <sheet state="visible" name="KoA - Agents Info" sheetId="9" r:id="rId12"/>
    <sheet state="hidden" name="Agents" sheetId="10" r:id="rId13"/>
    <sheet state="visible" name="Form Data" sheetId="11" r:id="rId14"/>
    <sheet state="hidden" name="Translation files" sheetId="12" r:id="rId15"/>
    <sheet state="hidden" name="Ticket Examples" sheetId="13" r:id="rId16"/>
    <sheet state="hidden" name="DATA" sheetId="14" r:id="rId17"/>
    <sheet state="hidden" name="TEAM LOGINS" sheetId="15" r:id="rId18"/>
    <sheet state="hidden" name="Team Gmail accounts" sheetId="16" r:id="rId19"/>
    <sheet state="hidden" name="Form Team Gmail accounts" sheetId="17" r:id="rId20"/>
    <sheet state="hidden" name="March Invoice" sheetId="18" r:id="rId21"/>
    <sheet state="hidden" name="Localisation issue" sheetId="19" r:id="rId22"/>
  </sheets>
  <definedNames>
    <definedName hidden="1" localSheetId="2" name="_xlnm._FilterDatabase">Shiftplan!$A$6:$AI$50</definedName>
    <definedName hidden="1" localSheetId="6" name="_xlnm._FilterDatabase">'SoS - Agents Info'!$A$1:$AQ$165</definedName>
    <definedName hidden="1" localSheetId="17" name="_xlnm._FilterDatabase">'March Invoice'!$A$6:$U$37</definedName>
    <definedName hidden="1" localSheetId="4" name="Z_76297575_36B1_47C1_9DF8_A62675C08347_.wvu.FilterData">'Shiftplan SoS'!$A$1:$CT$118</definedName>
    <definedName hidden="1" localSheetId="6" name="Z_76297575_36B1_47C1_9DF8_A62675C08347_.wvu.FilterData">'SoS - Agents Info'!$A$1:$AP$146</definedName>
    <definedName hidden="1" localSheetId="4" name="Z_A42DDBA2_C75A_4CEA_B4C6_92FEDEB819E2_.wvu.FilterData">'Shiftplan SoS'!$A$2:$GU$166</definedName>
    <definedName hidden="1" localSheetId="6" name="Z_87F1907F_C9A0_495D_87EB_D55B437B5E2D_.wvu.FilterData">'SoS - Agents Info'!$A$1:$AQ$154</definedName>
    <definedName hidden="1" localSheetId="4" name="Z_C0C25217_3A55_4FA4_824D_5368EF46BFDA_.wvu.FilterData">'Shiftplan SoS'!$AP$1:$AP$166</definedName>
    <definedName hidden="1" localSheetId="6" name="Z_C0C25217_3A55_4FA4_824D_5368EF46BFDA_.wvu.FilterData">'SoS - Agents Info'!$A$1:$AP$137</definedName>
    <definedName hidden="1" localSheetId="4" name="Z_85F502BC_50AD_48AC_B58A_B38B14C31435_.wvu.FilterData">'Shiftplan SoS'!$A$1:$HE$166</definedName>
    <definedName hidden="1" localSheetId="2" name="Z_4D3C7CA0_ACCC_4F50_A3C6_515B47606797_.wvu.FilterData">Shiftplan!$A$1:$BE$50</definedName>
    <definedName hidden="1" localSheetId="4" name="Z_4D3C7CA0_ACCC_4F50_A3C6_515B47606797_.wvu.FilterData">'Shiftplan SoS'!$A$1:$EF$166</definedName>
    <definedName hidden="1" localSheetId="5" name="Z_4D3C7CA0_ACCC_4F50_A3C6_515B47606797_.wvu.FilterData">'Active SoS email list'!$D$5:$D$6</definedName>
    <definedName hidden="1" localSheetId="8" name="Z_4D3C7CA0_ACCC_4F50_A3C6_515B47606797_.wvu.FilterData">'KoA - Agents Info'!$A$1:$AD$66</definedName>
    <definedName hidden="1" localSheetId="10" name="Z_4D3C7CA0_ACCC_4F50_A3C6_515B47606797_.wvu.FilterData">'Form Data'!$A$1:$A$111</definedName>
    <definedName hidden="1" localSheetId="17" name="Z_4D3C7CA0_ACCC_4F50_A3C6_515B47606797_.wvu.FilterData">'March Invoice'!$A$1:$U$39</definedName>
    <definedName hidden="1" localSheetId="4" name="Z_87289A4D_27DF_44CD_8232_011B043D5BD5_.wvu.FilterData">'Shiftplan SoS'!$A$1:$GU$166</definedName>
    <definedName hidden="1" localSheetId="4" name="Z_A062D162_C765_483D_B36C_47BDCBCE65F9_.wvu.FilterData">'Shiftplan SoS'!$A$1:$BR$104</definedName>
    <definedName hidden="1" localSheetId="4" name="Z_3463F88F_6DEF_46B8_AEB1_A0C801CCC64F_.wvu.FilterData">'Shiftplan SoS'!$B$1:$B$166</definedName>
    <definedName hidden="1" localSheetId="2" name="Z_43D71FAF_BDB2_40F3_B2C5_BAA41EF6C06F_.wvu.FilterData">Shiftplan!$K$12:$K$13</definedName>
    <definedName hidden="1" localSheetId="17" name="Z_43D71FAF_BDB2_40F3_B2C5_BAA41EF6C06F_.wvu.FilterData">'March Invoice'!$J$12</definedName>
    <definedName hidden="1" localSheetId="4" name="Z_8A63CFD9_8472_443D_89C8_1D8D95A3F157_.wvu.FilterData">'Shiftplan SoS'!$A$1:$BR$119</definedName>
    <definedName hidden="1" localSheetId="6" name="Z_8A63CFD9_8472_443D_89C8_1D8D95A3F157_.wvu.FilterData">'SoS - Agents Info'!$A$1:$AQ$155</definedName>
    <definedName hidden="1" localSheetId="4" name="Z_CE804A60_D1A4_4032_A892_2ECEEE991671_.wvu.FilterData">'Shiftplan SoS'!$A$1:$BR$104</definedName>
    <definedName hidden="1" localSheetId="4" name="Z_97EA795C_36CF_404C_B7FF_A6EF887EED64_.wvu.FilterData">'Shiftplan SoS'!$B$1:$B$166</definedName>
    <definedName hidden="1" localSheetId="6" name="Z_97EA795C_36CF_404C_B7FF_A6EF887EED64_.wvu.FilterData">'SoS - Agents Info'!$A$1:$AP$143</definedName>
    <definedName hidden="1" localSheetId="4" name="Z_D1053DAF_7F00_4A15_9978_E608AC50E893_.wvu.FilterData">'Shiftplan SoS'!$A$1:$BR$106</definedName>
    <definedName hidden="1" localSheetId="6" name="Z_898F1270_72AC_43C8_8AFD_608AF0980BD6_.wvu.FilterData">'SoS - Agents Info'!$A$1:$AQ$165</definedName>
    <definedName hidden="1" localSheetId="4" name="Z_09F4CCC2_264A_4343_AECF_D89509AFBF8E_.wvu.FilterData">'Shiftplan SoS'!$A$1:$GU$166</definedName>
    <definedName hidden="1" localSheetId="6" name="Z_2180B673_3A0A_4507_B27F_07CDD99B08DA_.wvu.FilterData">'SoS - Agents Info'!$A$1:$AP$137</definedName>
    <definedName hidden="1" localSheetId="6" name="Z_7FF84F74_DE6D_4DDE_ACA3_7D38FE81FF05_.wvu.FilterData">'SoS - Agents Info'!$A$1:$AQ$165</definedName>
    <definedName hidden="1" localSheetId="4" name="Z_5F8E9797_B807_461E_BAFE_DE965A57F0D5_.wvu.FilterData">'Shiftplan SoS'!$A$1:$FK$166</definedName>
    <definedName hidden="1" localSheetId="6" name="Z_5F8E9797_B807_461E_BAFE_DE965A57F0D5_.wvu.FilterData">'SoS - Agents Info'!$A$1:$AQ$155</definedName>
    <definedName hidden="1" localSheetId="6" name="Z_329C4167_3DE0_4BA4_8A40_5ED5822B63E4_.wvu.FilterData">'SoS - Agents Info'!$A$1:$AO$131</definedName>
    <definedName hidden="1" localSheetId="4" name="Z_2E2E6F55_0CBD_41CD_BD12_009ABD1AEE0A_.wvu.FilterData">'Shiftplan SoS'!$C$1:$C$73</definedName>
    <definedName hidden="1" localSheetId="6" name="Z_CBDBFAB4_CE7D_4470_8E28_2AF979894B28_.wvu.FilterData">'SoS - Agents Info'!$A$1:$AO$140</definedName>
    <definedName hidden="1" localSheetId="4" name="Z_702AF96C_A58A_4823_8302_6EBB8A6F9430_.wvu.FilterData">'Shiftplan SoS'!$A$1:$EE$166</definedName>
    <definedName hidden="1" localSheetId="6" name="Z_EC53D157_9B17_40BC_BA96_BE384F778373_.wvu.FilterData">'SoS - Agents Info'!$A$1:$AQ$165</definedName>
    <definedName hidden="1" localSheetId="2" name="Z_E505A9E2_A2E4_4BBF_BC36_354BCBF0F395_.wvu.FilterData">Shiftplan!$A$1:$BE$70</definedName>
    <definedName hidden="1" localSheetId="4" name="Z_E505A9E2_A2E4_4BBF_BC36_354BCBF0F395_.wvu.FilterData">'Shiftplan SoS'!$A$1:$AA$166</definedName>
    <definedName hidden="1" localSheetId="6" name="Z_E505A9E2_A2E4_4BBF_BC36_354BCBF0F395_.wvu.FilterData">'SoS - Agents Info'!$A$1:$AP$158</definedName>
    <definedName hidden="1" localSheetId="6" name="Z_38A938E4_9C0D_430D_82E5_CA16E819D539_.wvu.FilterData">'SoS - Agents Info'!$A$1:$AQ$165</definedName>
    <definedName hidden="1" localSheetId="4" name="Z_9D5EC46A_A72B_423C_A54A_246C2F0D3121_.wvu.FilterData">'Shiftplan SoS'!$A$1:$AL$81</definedName>
    <definedName hidden="1" localSheetId="6" name="Z_9D5EC46A_A72B_423C_A54A_246C2F0D3121_.wvu.FilterData">'SoS - Agents Info'!$A$1:$AP$137</definedName>
    <definedName hidden="1" localSheetId="4" name="Z_3227E687_00D1_4680_BB98_D28CD0735E57_.wvu.FilterData">'Shiftplan SoS'!$A$103:$DY$115</definedName>
    <definedName hidden="1" localSheetId="6" name="Z_3227E687_00D1_4680_BB98_D28CD0735E57_.wvu.FilterData">'SoS - Agents Info'!$A$1:$AQ$154</definedName>
    <definedName hidden="1" localSheetId="4" name="Z_97D0CE9B_7D35_438C_AD60_BB26A3ED4939_.wvu.FilterData">'Shiftplan SoS'!$A$2:$GU$92</definedName>
    <definedName hidden="1" localSheetId="4" name="Z_62E6931F_4FA5_40DF_AE5B_6B97368BC8D5_.wvu.FilterData">'Shiftplan SoS'!$A$1:$GU$84</definedName>
    <definedName hidden="1" localSheetId="4" name="Z_7B299FF0_7444_4CE2_932A_5A8A8ACA1F1E_.wvu.FilterData">'Shiftplan SoS'!$A$1:$GU$115</definedName>
    <definedName hidden="1" localSheetId="4" name="Z_C389EE20_8E82_4662_8B19_E8758718C7B4_.wvu.FilterData">'Shiftplan SoS'!$A$1:$GU$166</definedName>
    <definedName hidden="1" localSheetId="6" name="Z_5022EB63_A2FA_48C3_A59D_B5EF0CBADF87_.wvu.FilterData">'SoS - Agents Info'!$A$1:$AQ$165</definedName>
    <definedName hidden="1" localSheetId="4" name="Z_E307F958_B96E_427E_91FC_9DA8312A8036_.wvu.FilterData">'Shiftplan SoS'!$A$1:$AL$79</definedName>
    <definedName hidden="1" localSheetId="4" name="Z_BF1B4EC2_E87A_4F68_8B0B_FB5DEA645D9F_.wvu.FilterData">'Shiftplan SoS'!$A$1:$BR$104</definedName>
    <definedName hidden="1" localSheetId="6" name="Z_BF1B4EC2_E87A_4F68_8B0B_FB5DEA645D9F_.wvu.FilterData">'SoS - Agents Info'!$A$1:$AQ$165</definedName>
    <definedName hidden="1" localSheetId="6" name="Z_5740342C_71CB_4ED6_9203_7E4DF6BE2ABB_.wvu.FilterData">'SoS - Agents Info'!$A$1:$AQ$159</definedName>
  </definedNames>
  <calcPr/>
  <customWorkbookViews>
    <customWorkbookView activeSheetId="0" maximized="1" windowHeight="0" windowWidth="0" guid="{38A938E4-9C0D-430D-82E5-CA16E819D539}" name="All"/>
    <customWorkbookView activeSheetId="0" maximized="1" windowHeight="0" windowWidth="0" guid="{5022EB63-A2FA-48C3-A59D-B5EF0CBADF87}" name="Filter 12"/>
    <customWorkbookView activeSheetId="0" maximized="1" windowHeight="0" windowWidth="0" guid="{62E6931F-4FA5-40DF-AE5B-6B97368BC8D5}" name="Raffa"/>
    <customWorkbookView activeSheetId="0" maximized="1" windowHeight="0" windowWidth="0" guid="{CE804A60-D1A4-4032-A892-2ECEEE991671}" name="RU"/>
    <customWorkbookView activeSheetId="0" maximized="1" windowHeight="0" windowWidth="0" guid="{702AF96C-A58A-4823-8302-6EBB8A6F9430}" name="FL"/>
    <customWorkbookView activeSheetId="0" maximized="1" windowHeight="0" windowWidth="0" guid="{85F502BC-50AD-48AC-B58A-B38B14C31435}" name="FR"/>
    <customWorkbookView activeSheetId="0" maximized="1" windowHeight="0" windowWidth="0" guid="{C389EE20-8E82-4662-8B19-E8758718C7B4}" name="Vivianne"/>
    <customWorkbookView activeSheetId="0" maximized="1" windowHeight="0" windowWidth="0" guid="{898F1270-72AC-43C8-8AFD-608AF0980BD6}" name="Day Shift"/>
    <customWorkbookView activeSheetId="0" maximized="1" windowHeight="0" windowWidth="0" guid="{2E2E6F55-0CBD-41CD-BD12-009ABD1AEE0A}" name="Jose"/>
    <customWorkbookView activeSheetId="0" maximized="1" windowHeight="0" windowWidth="0" guid="{87F1907F-C9A0-495D-87EB-D55B437B5E2D}" name="Specific Langs"/>
    <customWorkbookView activeSheetId="0" maximized="1" windowHeight="0" windowWidth="0" guid="{EC53D157-9B17-40BC-BA96-BE384F778373}" name="Inactive"/>
    <customWorkbookView activeSheetId="0" maximized="1" windowHeight="0" windowWidth="0" guid="{7FF84F74-DE6D-4DDE-ACA3-7D38FE81FF05}" name="Early Shift"/>
    <customWorkbookView activeSheetId="0" maximized="1" windowHeight="0" windowWidth="0" guid="{D1053DAF-7F00-4A15-9978-E608AC50E893}" name="ID"/>
    <customWorkbookView activeSheetId="0" maximized="1" windowHeight="0" windowWidth="0" guid="{E307F958-B96E-427E-91FC-9DA8312A8036}" name="Training Team"/>
    <customWorkbookView activeSheetId="0" maximized="1" windowHeight="0" windowWidth="0" guid="{2180B673-3A0A-4507-B27F-07CDD99B08DA}" name="RU+ES"/>
    <customWorkbookView activeSheetId="0" maximized="1" windowHeight="0" windowWidth="0" guid="{7B299FF0-7444-4CE2-932A-5A8A8ACA1F1E}" name="Nicha"/>
    <customWorkbookView activeSheetId="0" maximized="1" windowHeight="0" windowWidth="0" guid="{CBDBFAB4-CE7D-4470-8E28-2AF979894B28}" name="Trainees Tracking"/>
    <customWorkbookView activeSheetId="0" maximized="1" windowHeight="0" windowWidth="0" guid="{43D71FAF-BDB2-40F3-B2C5-BAA41EF6C06F}" name="Custom"/>
    <customWorkbookView activeSheetId="0" maximized="1" windowHeight="0" windowWidth="0" guid="{09F4CCC2-264A-4343-AECF-D89509AFBF8E}" name="VIP Agents"/>
    <customWorkbookView activeSheetId="0" maximized="1" windowHeight="0" windowWidth="0" guid="{87289A4D-27DF-44CD-8232-011B043D5BD5}" name="Dave"/>
    <customWorkbookView activeSheetId="0" maximized="1" windowHeight="0" windowWidth="0" guid="{5F8E9797-B807-461E-BAFE-DE965A57F0D5}" name="Filter 8"/>
    <customWorkbookView activeSheetId="0" maximized="1" windowHeight="0" windowWidth="0" guid="{A062D162-C765-483D-B36C-47BDCBCE65F9}" name="ES"/>
    <customWorkbookView activeSheetId="0" maximized="1" windowHeight="0" windowWidth="0" guid="{5740342C-71CB-4ED6-9203-7E4DF6BE2ABB}" name="Filter 9"/>
    <customWorkbookView activeSheetId="0" maximized="1" windowHeight="0" windowWidth="0" guid="{329C4167-3DE0-4BA4-8A40-5ED5822B63E4}" name="After midnight UTC"/>
    <customWorkbookView activeSheetId="0" maximized="1" windowHeight="0" windowWidth="0" guid="{97EA795C-36CF-404C-B7FF-A6EF887EED64}" name="Filter 6"/>
    <customWorkbookView activeSheetId="0" maximized="1" windowHeight="0" windowWidth="0" guid="{3227E687-00D1-4680-BB98-D28CD0735E57}" name="Filter 7"/>
    <customWorkbookView activeSheetId="0" maximized="1" windowHeight="0" windowWidth="0" guid="{3463F88F-6DEF-46B8-AEB1-A0C801CCC64F}" name="AR"/>
    <customWorkbookView activeSheetId="0" maximized="1" windowHeight="0" windowWidth="0" guid="{C0C25217-3A55-4FA4-824D-5368EF46BFDA}" name="Filter 4"/>
    <customWorkbookView activeSheetId="0" maximized="1" windowHeight="0" windowWidth="0" guid="{8A63CFD9-8472-443D-89C8-1D8D95A3F157}" name="RA+VM"/>
    <customWorkbookView activeSheetId="0" maximized="1" windowHeight="0" windowWidth="0" guid="{76297575-36B1-47C1-9DF8-A62675C08347}" name="Filter 5"/>
    <customWorkbookView activeSheetId="0" maximized="1" windowHeight="0" windowWidth="0" guid="{E505A9E2-A2E4-4BBF-BC36-354BCBF0F395}" name="Filter 2"/>
    <customWorkbookView activeSheetId="0" maximized="1" windowHeight="0" windowWidth="0" guid="{97D0CE9B-7D35-438C-AD60-BB26A3ED4939}" name="ALL DM"/>
    <customWorkbookView activeSheetId="0" maximized="1" windowHeight="0" windowWidth="0" guid="{9D5EC46A-A72B-423C-A54A-246C2F0D3121}" name="Filter 3"/>
    <customWorkbookView activeSheetId="0" maximized="1" windowHeight="0" windowWidth="0" guid="{4D3C7CA0-ACCC-4F50-A3C6-515B47606797}" name="Filter 1"/>
    <customWorkbookView activeSheetId="0" maximized="1" windowHeight="0" windowWidth="0" guid="{A42DDBA2-C75A-4CEA-B4C6-92FEDEB819E2}" name="Daniel + Will Rotation"/>
    <customWorkbookView activeSheetId="0" maximized="1" windowHeight="0" windowWidth="0" guid="{BF1B4EC2-E87A-4F68-8B0B-FB5DEA645D9F}" name="Late Shift"/>
  </customWorkbookViews>
  <pivotCaches>
    <pivotCache cacheId="0" r:id="rId23"/>
  </pivotCaches>
</workbook>
</file>

<file path=xl/comments1.xml><?xml version="1.0" encoding="utf-8"?>
<comments xmlns:r="http://schemas.openxmlformats.org/officeDocument/2006/relationships" xmlns="http://schemas.openxmlformats.org/spreadsheetml/2006/main">
  <authors>
    <author/>
  </authors>
  <commentList>
    <comment authorId="0" ref="A1">
      <text>
        <t xml:space="preserve">Power outage
	-Katerina Athanatou
----
Work Schedule | Christmas and New Year's Eve 2021 (Brazil)
	-Katerina Athanatou
----
Unexpected outage
	-Chris Joubert
----
BH
	-Katerina Athanatou
----
SICK LEAVE
	-Katerina Athanatou
----
Official GoG Starting day/Training
	-Katerina Athanatou
----
Fully on SoS now
	-Katerina Athanatou
----
Fully on SoS now
	-Katerina Athanatou
----
Time off
	-Katerina Athanatou
----
Bank Holiday
	-Freya Vegtamskvitha
----
Started on GoG @ 24/05/2021
	-Katerina Athanatou
----
Started on GoG @ 05/19/2021
	-Katerina Athanatou
----
Started on GoG @ 05/19/2021
	-Katerina Athanatou
----
Started on GoG @ 05/21/2021
	-Katerina Athanatou
----
Started on GoG @ 05/19/2021
	-Katerina Athanatou
----
Started on GoG @ 05/19/2021
	-Katerina Athanatou
----
8h spent on helping onboarding and reviewing trainees tickets and answering questions
	-Zeljko Randic
----
Sam used as an alternative to Ulf due to security reasons
	-Katerina Athanatou
----
VTO
	-Chris Joubert</t>
      </text>
    </comment>
  </commentList>
</comments>
</file>

<file path=xl/comments2.xml><?xml version="1.0" encoding="utf-8"?>
<comments xmlns:r="http://schemas.openxmlformats.org/officeDocument/2006/relationships" xmlns="http://schemas.openxmlformats.org/spreadsheetml/2006/main">
  <authors>
    <author/>
  </authors>
  <commentList>
    <comment authorId="0" ref="A2">
      <text>
        <t xml:space="preserve">Select "use my current email adress instead"</t>
      </text>
    </comment>
    <comment authorId="0" ref="B7">
      <text>
        <t xml:space="preserve">Very very high-level overview</t>
      </text>
    </comment>
  </commentList>
</comments>
</file>

<file path=xl/comments3.xml><?xml version="1.0" encoding="utf-8"?>
<comments xmlns:r="http://schemas.openxmlformats.org/officeDocument/2006/relationships" xmlns="http://schemas.openxmlformats.org/spreadsheetml/2006/main">
  <authors>
    <author/>
  </authors>
  <commentList>
    <comment authorId="0" ref="B3">
      <text>
        <t xml:space="preserve">WE = Weekend, WD = Week Day</t>
      </text>
    </comment>
    <comment authorId="0" ref="D30">
      <text>
        <t xml:space="preserve">4PM-1AM Thailand</t>
      </text>
    </comment>
    <comment authorId="0" ref="D31">
      <text>
        <t xml:space="preserve">12PM-9PM Thailand</t>
      </text>
    </comment>
    <comment authorId="0" ref="D32">
      <text>
        <t xml:space="preserve">12PM-9PM Thailand</t>
      </text>
    </comment>
    <comment authorId="0" ref="X35">
      <text>
        <t xml:space="preserve">SL</t>
      </text>
    </comment>
    <comment authorId="0" ref="X36">
      <text>
        <t xml:space="preserve">SL</t>
      </text>
    </comment>
    <comment authorId="0" ref="X39">
      <text>
        <t xml:space="preserve">OFF - Holiday</t>
      </text>
    </comment>
    <comment authorId="0" ref="X42">
      <text>
        <t xml:space="preserve">OFF - Holiday</t>
      </text>
    </comment>
    <comment authorId="0" ref="AB42">
      <text>
        <t xml:space="preserve">Power outage, couldn't come online</t>
      </text>
    </comment>
    <comment authorId="0" ref="X43">
      <text>
        <t xml:space="preserve">OFF</t>
      </text>
    </comment>
    <comment authorId="0" ref="X44">
      <text>
        <t xml:space="preserve">OFF</t>
      </text>
    </comment>
    <comment authorId="0" ref="D47">
      <text>
        <t xml:space="preserve">5AM-10AM UTC</t>
      </text>
    </comment>
    <comment authorId="0" ref="AE47">
      <text>
        <t xml:space="preserve">Couldn't activate TPT due to expired password. Nicha asked to come online on Tuesday at 10AM Dublin to get this taken care of.</t>
      </text>
    </comment>
    <comment authorId="0" ref="X49">
      <text>
        <t xml:space="preserve">OFF</t>
      </text>
    </comment>
    <comment authorId="0" ref="F50">
      <text>
        <t xml:space="preserve">Spent 5h +/- with the newcomers</t>
      </text>
    </comment>
    <comment authorId="0" ref="X50">
      <text>
        <t xml:space="preserve">Shadowed Gabi: 2 hours on and off</t>
      </text>
    </comment>
    <comment authorId="0" ref="F51">
      <text>
        <t xml:space="preserve">5h +/- with newcomers</t>
      </text>
    </comment>
    <comment authorId="0" ref="X51">
      <text>
        <t xml:space="preserve">Spent ~60minutes learning about tags.</t>
      </text>
    </comment>
    <comment authorId="0" ref="F52">
      <text>
        <t xml:space="preserve">5h +/- with newcomers</t>
      </text>
    </comment>
    <comment authorId="0" ref="F53">
      <text>
        <t xml:space="preserve">5h +/- with newcomers</t>
      </text>
    </comment>
    <comment authorId="0" ref="P54">
      <text>
        <t xml:space="preserve">~2h updating on discord, asana, escalated tickets, dingtalk, emails + reading feedbacks &amp; correcting ticket tags + creating a spreadsheet to aid in daily goals</t>
      </text>
    </comment>
    <comment authorId="0" ref="AE54">
      <text>
        <t xml:space="preserve">Had a power outage</t>
      </text>
    </comment>
    <comment authorId="0" ref="AE55">
      <text>
        <t xml:space="preserve">Had a power outage</t>
      </text>
    </comment>
    <comment authorId="0" ref="F56">
      <text>
        <t xml:space="preserve">5h +/- with newcomers</t>
      </text>
    </comment>
    <comment authorId="0" ref="F57">
      <text>
        <t xml:space="preserve">6+/- hours with the newcomers</t>
      </text>
    </comment>
    <comment authorId="0" ref="P61">
      <text>
        <t xml:space="preserve">~1h updating on discord, asana, escalated tickets, emails + reading feedbacks &amp; correcting ticket tags</t>
      </text>
    </comment>
    <comment authorId="0" ref="AE61">
      <text>
        <t xml:space="preserve">computer suffered se veré damage due to power outages, currently working on getting it fix.</t>
      </text>
    </comment>
    <comment authorId="0" ref="P62">
      <text>
        <t xml:space="preserve">2h30 answering 11 tickets from yesterday</t>
      </text>
    </comment>
    <comment authorId="0" ref="AE62">
      <text>
        <t xml:space="preserve">computer suffered se veré damage due to power outages, currently working on getting it fix.</t>
      </text>
    </comment>
    <comment authorId="0" ref="F63">
      <text>
        <t xml:space="preserve">Sick :(
Helping onboarding newcomers</t>
      </text>
    </comment>
    <comment authorId="0" ref="F64">
      <text>
        <t xml:space="preserve">Sick :(
Helping onboarding newcomers.</t>
      </text>
    </comment>
    <comment authorId="0" ref="F65">
      <text>
        <t xml:space="preserve">Helping onboarding newcomers.
Checked some asana tasks.
Left early due to sickness (will pay those hours in other shifts)</t>
      </text>
    </comment>
    <comment authorId="0" ref="F66">
      <text>
        <t xml:space="preserve">Checked asana tasks
Was answering questions from the trainees.
Also, still very much sick :(</t>
      </text>
    </comment>
    <comment authorId="0" ref="F67">
      <text>
        <t xml:space="preserve">Checked asana tasks. Was available for trainees for questions all day.
Still sick :(</t>
      </text>
    </comment>
    <comment authorId="0" ref="AR67">
      <text>
        <t xml:space="preserve">PROD 0: https://prnt.sc/12lyxs8</t>
      </text>
    </comment>
    <comment authorId="0" ref="J67">
      <text>
        <t xml:space="preserve">Checked Asana tasks (payment). All day available to solve tickets with new agents (Guilherme and Facundo). Also did some shadowing with Jorge, which demanded a lot of time. Went through all tickets from the week. Passed two upfront.
	-Raffael Azevedo</t>
      </text>
    </comment>
    <comment authorId="0" ref="S67">
      <text>
        <t xml:space="preserve">Spent 6 hours +- with Newcomers,
	-Jose Mass</t>
      </text>
    </comment>
    <comment authorId="0" ref="BA67">
      <text>
        <t xml:space="preserve">Adjusting my shift for this day to 17PM to 2AM Ireland Time.
	-Jorge Luiz de Oliveira Almeida Neto</t>
      </text>
    </comment>
    <comment authorId="0" ref="J66">
      <text>
        <t xml:space="preserve">Spent almost 3 and a half hours helping newcomers on shift start. Passed a good time checking Asanas for other members and also helping other team members with their issues. Got some time solving issues pending from yesterday that didn't responded in time. Couldn't get any new tickets today. :(
	-Raffael Azevedo</t>
      </text>
    </comment>
    <comment authorId="0" ref="S66">
      <text>
        <t xml:space="preserve">Spent 8 hours +- with Newcomers,
	-Jose Mass</t>
      </text>
    </comment>
    <comment authorId="0" ref="J65">
      <text>
        <t xml:space="preserve">Spent almost 3 hours checking other agent Asanas, answering tickets and helping with newcomers tickets and general doubts, but that require some attention.
	-Raffael Azevedo</t>
      </text>
    </comment>
    <comment authorId="0" ref="J64">
      <text>
        <t xml:space="preserve">Spent +/- 3.5
hours with newcomers, explanations and following ticket resolution on GM tools, doing searches as well.
	-Raffael Azevedo
Also did some helping with newcomers onboarding, such as Will, Enrico, and the other from this new batch.
	-Raffael Azevedo</t>
      </text>
    </comment>
    <comment authorId="0" ref="J63">
      <text>
        <t xml:space="preserve">Started helping officially with the newcomers, doing shadow tasks with Jorge.
	-Raffael Azevedo</t>
      </text>
    </comment>
    <comment authorId="0" ref="S65">
      <text>
        <t xml:space="preserve">Spent 8 hours +- with Newcomers,
	-Jose Mass</t>
      </text>
    </comment>
    <comment authorId="0" ref="S64">
      <text>
        <t xml:space="preserve">Spent 5 hours +- with Newcomers
	-Jose Mass</t>
      </text>
    </comment>
  </commentList>
</comments>
</file>

<file path=xl/comments4.xml><?xml version="1.0" encoding="utf-8"?>
<comments xmlns:r="http://schemas.openxmlformats.org/officeDocument/2006/relationships" xmlns="http://schemas.openxmlformats.org/spreadsheetml/2006/main">
  <authors>
    <author/>
  </authors>
  <commentList>
    <comment authorId="0" ref="A5">
      <text>
        <t xml:space="preserve">FR: Tuesday - Friday - Saturday - Sunday 
EN: Wednesday</t>
      </text>
    </comment>
    <comment authorId="0" ref="A6">
      <text>
        <t xml:space="preserve">FR: Tuesday - Friday - Saturday - Sunday 
EN: Wednesday
----
@oussama.el-hoz@mogi-group.com very sorry for the back and forth but could you please help fill your shift here? we will come up with a fix for KPI data later :)
_Assigned to Oussama El Hoz_
	-Nicha Mahakanchanakul
Greetings Nicha, I just noticed your message, kindly forgive me for the delay, just let me know where I have to edit the data and I'll gladly do it !
	-Oussama El Hoz
_Marked as done_
	-Oussama El Hoz
_Re-opened_
I don't have the permission to edit it, concerning EN days I only have Wednesday where i work as EN and the other days will be all OFF on the Masterplan !
	-Oussama El Hoz</t>
      </text>
    </comment>
    <comment authorId="0" ref="J7">
      <text>
        <t xml:space="preserve">starting 2 hours later than normal to help with trainees</t>
      </text>
    </comment>
    <comment authorId="0" ref="K7">
      <text>
        <t xml:space="preserve">starting 2 hours later than normal to help with trainees</t>
      </text>
    </comment>
    <comment authorId="0" ref="L7">
      <text>
        <t xml:space="preserve">starting 2 hours later than normal to help with trainees</t>
      </text>
    </comment>
    <comment authorId="0" ref="M7">
      <text>
        <t xml:space="preserve">starting 2 hours later than normal to help with trainees</t>
      </text>
    </comment>
    <comment authorId="0" ref="BD7">
      <text>
        <t xml:space="preserve">starting 4 hours later than normal to attend team meeting in the evening
6AM-15PM
</t>
      </text>
    </comment>
    <comment authorId="0" ref="S10">
      <text>
        <t xml:space="preserve">GM tools outage during game maintenance</t>
      </text>
    </comment>
    <comment authorId="0" ref="S13">
      <text>
        <t xml:space="preserve">GM tools outage during maintenance</t>
      </text>
    </comment>
    <comment authorId="0" ref="Q25">
      <text>
        <t xml:space="preserve">starting and leaving an hour early</t>
      </text>
    </comment>
    <comment authorId="0" ref="U31">
      <text>
        <t xml:space="preserve">PTO</t>
      </text>
    </comment>
    <comment authorId="0" ref="V31">
      <text>
        <t xml:space="preserve">Day in Lieu for May Bank Holiday</t>
      </text>
    </comment>
    <comment authorId="0" ref="K36">
      <text>
        <t xml:space="preserve">80 minutes - Watched the Jose Shadowing Session</t>
      </text>
    </comment>
    <comment authorId="0" ref="L36">
      <text>
        <t xml:space="preserve">~90 minutes watching Raffael's shadowing session</t>
      </text>
    </comment>
    <comment authorId="0" ref="S42">
      <text>
        <t xml:space="preserve">3AM UTC</t>
      </text>
    </comment>
    <comment authorId="0" ref="T42">
      <text>
        <t xml:space="preserve">3AM UTC</t>
      </text>
    </comment>
    <comment authorId="0" ref="W42">
      <text>
        <t xml:space="preserve">3AM UTC</t>
      </text>
    </comment>
    <comment authorId="0" ref="G51">
      <text>
        <t xml:space="preserve">~1h checking messages + checking asana + checking feedbacks + answering pending tickets</t>
      </text>
    </comment>
    <comment authorId="0" ref="H51">
      <text>
        <t xml:space="preserve">~2h20 answering pending tickets + creating asana tasks</t>
      </text>
    </comment>
    <comment authorId="0" ref="U51">
      <text>
        <t xml:space="preserve">~2:30 checking messages + answering tickets pending from last week + creating asana tasks </t>
      </text>
    </comment>
    <comment authorId="0" ref="U55">
      <text>
        <t xml:space="preserve">5am-2PM</t>
      </text>
    </comment>
    <comment authorId="0" ref="V55">
      <text>
        <t xml:space="preserve">5am-2PM</t>
      </text>
    </comment>
    <comment authorId="0" ref="W55">
      <text>
        <t xml:space="preserve">6-10AM UTC
</t>
      </text>
    </comment>
    <comment authorId="0" ref="X55">
      <text>
        <t xml:space="preserve">6-10AM UTC
</t>
      </text>
    </comment>
    <comment authorId="0" ref="Y55">
      <text>
        <t xml:space="preserve">6-10AM UTC
</t>
      </text>
    </comment>
    <comment authorId="0" ref="Z55">
      <text>
        <t xml:space="preserve">6-10AM UTC
</t>
      </text>
    </comment>
    <comment authorId="0" ref="AA55">
      <text>
        <t xml:space="preserve">6-10AM UTC
</t>
      </text>
    </comment>
    <comment authorId="0" ref="AD55">
      <text>
        <t xml:space="preserve">6-10AM UTC
</t>
      </text>
    </comment>
    <comment authorId="0" ref="AI55">
      <text>
        <t xml:space="preserve">agreed shift</t>
      </text>
    </comment>
    <comment authorId="0" ref="W57">
      <text>
        <t xml:space="preserve">day 1 part 1</t>
      </text>
    </comment>
    <comment authorId="0" ref="X57">
      <text>
        <t xml:space="preserve">day 1 part 2</t>
      </text>
    </comment>
    <comment authorId="0" ref="AA57">
      <text>
        <t xml:space="preserve">day 3</t>
      </text>
    </comment>
    <comment authorId="0" ref="AB57">
      <text>
        <t xml:space="preserve">3PM UTC &gt; day 3</t>
      </text>
    </comment>
    <comment authorId="0" ref="AI57">
      <text>
        <t xml:space="preserve">3PM UTC</t>
      </text>
    </comment>
    <comment authorId="0" ref="AJ57">
      <text>
        <t xml:space="preserve">3PM UTC</t>
      </text>
    </comment>
    <comment authorId="0" ref="AD68">
      <text>
        <t xml:space="preserve">Salary deduction, in June's invoice
</t>
      </text>
    </comment>
    <comment authorId="0" ref="S155">
      <text>
        <t xml:space="preserve">Need to go to the hospital due to sharp ear pain
</t>
      </text>
    </comment>
    <comment authorId="0" ref="ES64">
      <text>
        <t xml:space="preserve">BH
	-Diana Dobrovolskaja</t>
      </text>
    </comment>
    <comment authorId="0" ref="EE15">
      <text>
        <t xml:space="preserve">Worked one extra hour to pay my days off. 11/16 hours done
	-Raffael Azevedo</t>
      </text>
    </comment>
    <comment authorId="0" ref="EB51">
      <text>
        <t xml:space="preserve">Had to enter an hour late
	-Mogi Matheus Cortez</t>
      </text>
    </comment>
    <comment authorId="0" ref="ED42">
      <text>
        <t xml:space="preserve">OT- working on the Macro sheet.
	-Alex Sidki</t>
      </text>
    </comment>
    <comment authorId="0" ref="E99">
      <text>
        <t xml:space="preserve">@gabriela.mello@mogi-group.com Jesus is now from Early Shift, maybe change his assigned senior to Facu as well!
_Assigned to Gabriela Mello_
	-Raffael Azevedo
early or day shift?
	-Gabriela Mello
According to him, early.
	-Raffael Azevedo</t>
      </text>
    </comment>
    <comment authorId="0" ref="EC58">
      <text>
        <t xml:space="preserve">Comp 8/26
	-Gabriela Mello</t>
      </text>
    </comment>
    <comment authorId="0" ref="A150">
      <text>
        <t xml:space="preserve">last day 8/26
	-Nicha Mahakanchanakul</t>
      </text>
    </comment>
    <comment authorId="0" ref="A134">
      <text>
        <t xml:space="preserve">last day is 9/1
	-Nicha Mahakanchanakul</t>
      </text>
    </comment>
    <comment authorId="0" ref="EE66">
      <text>
        <t xml:space="preserve">2 hours of OT; approved
	-Nicha Mahakanchanakul</t>
      </text>
    </comment>
    <comment authorId="0" ref="ED66">
      <text>
        <t xml:space="preserve">2 hours of OT; approved
	-Nicha Mahakanchanakul</t>
      </text>
    </comment>
    <comment authorId="0" ref="DY66">
      <text>
        <t xml:space="preserve">2 hours of OT; approved
	-Nicha Mahakanchanakul</t>
      </text>
    </comment>
    <comment authorId="0" ref="EI92">
      <text>
        <t xml:space="preserve">Comp 8/29
	-Gabriela Mello</t>
      </text>
    </comment>
    <comment authorId="0" ref="DZ9">
      <text>
        <t xml:space="preserve">Comp 8/24
	-Gabriela Mello</t>
      </text>
    </comment>
    <comment authorId="0" ref="DY9">
      <text>
        <t xml:space="preserve">Comp 8/24
	-Gabriela Mello</t>
      </text>
    </comment>
    <comment authorId="0" ref="EE32">
      <text>
        <t xml:space="preserve">Comp 8/24
	-Gabriela Mello</t>
      </text>
    </comment>
    <comment authorId="0" ref="ED32">
      <text>
        <t xml:space="preserve">Comp 8/24
	-Gabriela Mello</t>
      </text>
    </comment>
    <comment authorId="0" ref="EB32">
      <text>
        <t xml:space="preserve">Comp 8/24
	-Gabriela Mello</t>
      </text>
    </comment>
    <comment authorId="0" ref="DY32">
      <text>
        <t xml:space="preserve">Comp 8/24
	-Gabriela Mello</t>
      </text>
    </comment>
    <comment authorId="0" ref="DY82">
      <text>
        <t xml:space="preserve">Comp 8/23
	-Gabriela Mello</t>
      </text>
    </comment>
    <comment authorId="0" ref="DX26">
      <text>
        <t xml:space="preserve">Instead of coming on 8/23 she showed up on 8/24 to comp for 8/18
	-Gabriela Mello</t>
      </text>
    </comment>
    <comment authorId="0" ref="DX15">
      <text>
        <t xml:space="preserve">Worked one extra hour to pay my days off. 10/16 hours done
	-Raffael Azevedo</t>
      </text>
    </comment>
    <comment authorId="0" ref="EA8">
      <text>
        <t xml:space="preserve">Comp for 8/23
	-Raffael Azevedo</t>
      </text>
    </comment>
    <comment authorId="0" ref="DZ8">
      <text>
        <t xml:space="preserve">Comp for 8/23
	-Raffael Azevedo</t>
      </text>
    </comment>
    <comment authorId="0" ref="DX66">
      <text>
        <t xml:space="preserve">2 hours of OT; approved
	-Nicha Mahakanchanakul</t>
      </text>
    </comment>
    <comment authorId="0" ref="DZ17">
      <text>
        <t xml:space="preserve">Comp 8/20
	-Gabriela Mello</t>
      </text>
    </comment>
    <comment authorId="0" ref="DY17">
      <text>
        <t xml:space="preserve">Comp 8/20
	-Gabriela Mello</t>
      </text>
    </comment>
    <comment authorId="0" ref="DX17">
      <text>
        <t xml:space="preserve">Comp 8/20
	-Gabriela Mello</t>
      </text>
    </comment>
    <comment authorId="0" ref="DY54">
      <text>
        <t xml:space="preserve">start at 5 UTC instead of 8 UTC and leave at 14 UTC instead of 17 UTC.
	-Gabriela Mello</t>
      </text>
    </comment>
    <comment authorId="0" ref="EC66">
      <text>
        <t xml:space="preserve">Comp 8/26
	-Gabriela Mello</t>
      </text>
    </comment>
    <comment authorId="0" ref="DZ38">
      <text>
        <t xml:space="preserve">Comp 8/21
	-Gabriela Mello</t>
      </text>
    </comment>
    <comment authorId="0" ref="DS82">
      <text>
        <t xml:space="preserve">Comp 8/1
	-Gabriela Mello</t>
      </text>
    </comment>
    <comment authorId="0" ref="DX42">
      <text>
        <t xml:space="preserve">comp 8/18
	-Nicha Mahakanchanakul</t>
      </text>
    </comment>
    <comment authorId="0" ref="A121">
      <text>
        <t xml:space="preserve">last day 8/29
	-Nicha Mahakanchanakul</t>
      </text>
    </comment>
    <comment authorId="0" ref="DX94">
      <text>
        <t xml:space="preserve">Comp 8/20
	-Gabriela Mello</t>
      </text>
    </comment>
    <comment authorId="0" ref="DW99">
      <text>
        <t xml:space="preserve">Comp for 08/19
	-Raffael Azevedo</t>
      </text>
    </comment>
    <comment authorId="0" ref="DV68">
      <text>
        <t xml:space="preserve">Comp 8/15
	-Gabriela Mello</t>
      </text>
    </comment>
    <comment authorId="0" ref="DU68">
      <text>
        <t xml:space="preserve">Comp 8/15
	-Gabriela Mello</t>
      </text>
    </comment>
    <comment authorId="0" ref="DS15">
      <text>
        <t xml:space="preserve">Worked two extra hour to pay my days off. 9/16 hours done
	-Raffael Azevedo</t>
      </text>
    </comment>
    <comment authorId="0" ref="DT7">
      <text>
        <t xml:space="preserve">starting later, comp from 8/19
	-Nicha Mahakanchanakul</t>
      </text>
    </comment>
    <comment authorId="0" ref="DS7">
      <text>
        <t xml:space="preserve">stayed 1.5 hours extra to finish weekly report + hiring checks
	-Nicha Mahakanchanakul</t>
      </text>
    </comment>
    <comment authorId="0" ref="DZ6">
      <text>
        <t xml:space="preserve">Comp 8/18
	-Gabriela Mello</t>
      </text>
    </comment>
    <comment authorId="0" ref="DW26">
      <text>
        <t xml:space="preserve">Comp 8/18
	-Gabriela Mello
Didn't showed up so far
	-Raffael Azevedo</t>
      </text>
    </comment>
    <comment authorId="0" ref="DR7">
      <text>
        <t xml:space="preserve">extra hours on editing training forms and quizzes
	-Nicha Mahakanchanakul</t>
      </text>
    </comment>
    <comment authorId="0" ref="DQ15">
      <text>
        <t xml:space="preserve">Worked an extra hour to pay my days off. 7/16 hours done
	-Raffael Azevedo</t>
      </text>
    </comment>
    <comment authorId="0" ref="DW42">
      <text>
        <t xml:space="preserve">Comp 8/18
	-Gabriela Mello
moved to tmr
	-Nicha Mahakanchanakul</t>
      </text>
    </comment>
    <comment authorId="0" ref="FC82">
      <text>
        <t xml:space="preserve">Comp 8/16
	-Gabriela Mello</t>
      </text>
    </comment>
    <comment authorId="0" ref="DP15">
      <text>
        <t xml:space="preserve">Worked an extra hour to pay my days off. 6/16 hours done
	-Raffael Azevedo</t>
      </text>
    </comment>
    <comment authorId="0" ref="DP79">
      <text>
        <t xml:space="preserve">Comp 8/14
	-Gabriela Mello</t>
      </text>
    </comment>
    <comment authorId="0" ref="DS17">
      <text>
        <t xml:space="preserve">Comp 8/13
	-Gabriela Mello</t>
      </text>
    </comment>
    <comment authorId="0" ref="DR17">
      <text>
        <t xml:space="preserve">Comp 8/13
	-Gabriela Mello</t>
      </text>
    </comment>
    <comment authorId="0" ref="DQ17">
      <text>
        <t xml:space="preserve">Comp 8/13
	-Gabriela Mello</t>
      </text>
    </comment>
    <comment authorId="0" ref="DP17">
      <text>
        <t xml:space="preserve">Comp 8/13
	-Gabriela Mello</t>
      </text>
    </comment>
    <comment authorId="0" ref="DP134">
      <text>
        <t xml:space="preserve">PL -&gt; To be confirmed
	-Facundo Lasarte</t>
      </text>
    </comment>
    <comment authorId="0" ref="DO134">
      <text>
        <t xml:space="preserve">PL -&gt; Salary deduction
	-Facundo Lasarte</t>
      </text>
    </comment>
    <comment authorId="0" ref="DP7">
      <text>
        <t xml:space="preserve">Ending shift at 8AM utc to attend TL catch up at 1 PM UTC
	-Nicha Mahakanchanakul</t>
      </text>
    </comment>
    <comment authorId="0" ref="DN92">
      <text>
        <t xml:space="preserve">Worked 4 hours, no reason provided yet.
	-Alex Sidki</t>
      </text>
    </comment>
    <comment authorId="0" ref="DS50">
      <text>
        <t xml:space="preserve">Comp 8/10
	-Gabriela Mello</t>
      </text>
    </comment>
    <comment authorId="0" ref="DI15">
      <text>
        <t xml:space="preserve">Worked an extra hour to pay my days off. 5/16 hours done
	-Raffael Azevedo</t>
      </text>
    </comment>
    <comment authorId="0" ref="DM15">
      <text>
        <t xml:space="preserve">@gabriela.mello@mogi-group.com I worked one extra hour yesterday and today to compensate the 6 hour shift on Wednesday. Thanks.
	-Raffael Azevedo
Comp 8/11
	-Gabriela Mello</t>
      </text>
    </comment>
    <comment authorId="0" ref="DQ56">
      <text>
        <t xml:space="preserve">Comp 8/21
	-Gabriela Mello</t>
      </text>
    </comment>
    <comment authorId="0" ref="DM7">
      <text>
        <t xml:space="preserve">stayed 30 mins longer to finish reviewing onboard training forms to be ready for next week
	-Nicha Mahakanchanakul</t>
      </text>
    </comment>
    <comment authorId="0" ref="DL74">
      <text>
        <t xml:space="preserve">Compfor 08/07
	-Facundo Lasarte</t>
      </text>
    </comment>
    <comment authorId="0" ref="DY137">
      <text>
        <t xml:space="preserve">Comp 8/8
	-Gabriela Mello</t>
      </text>
    </comment>
    <comment authorId="0" ref="DT89">
      <text>
        <t xml:space="preserve">Comp 08/08
	-Gabriela Mello</t>
      </text>
    </comment>
    <comment authorId="0" ref="DS89">
      <text>
        <t xml:space="preserve">Comp 08/07
	-Gabriela Mello</t>
      </text>
    </comment>
    <comment authorId="0" ref="DM89">
      <text>
        <t xml:space="preserve">Comp 08/01
	-Gabriela Mello</t>
      </text>
    </comment>
    <comment authorId="0" ref="DL89">
      <text>
        <t xml:space="preserve">Comp 07/31
	-Gabriela Mello</t>
      </text>
    </comment>
    <comment authorId="0" ref="DL15">
      <text>
        <t xml:space="preserve">Comp 8/11
	-Gabriela Mello</t>
      </text>
    </comment>
    <comment authorId="0" ref="DN34">
      <text>
        <t xml:space="preserve">Comp 8/11
	-Gabriela Mello</t>
      </text>
    </comment>
    <comment authorId="0" ref="DO34">
      <text>
        <t xml:space="preserve">Comp 8/11
	-Gabriela Mello</t>
      </text>
    </comment>
    <comment authorId="0" ref="DP34">
      <text>
        <t xml:space="preserve">Comp 8/11
	-Gabriela Mello</t>
      </text>
    </comment>
    <comment authorId="0" ref="DQ34">
      <text>
        <t xml:space="preserve">Comp 08/11
	-Gabriela Mello</t>
      </text>
    </comment>
    <comment authorId="0" ref="DK7">
      <text>
        <t xml:space="preserve">extra hours on training plans + incentives
	-Nicha Mahakanchanakul</t>
      </text>
    </comment>
    <comment authorId="0" ref="DO58">
      <text>
        <t xml:space="preserve">Comp for 08/11
	-Zeljko Randic</t>
      </text>
    </comment>
    <comment authorId="0" ref="DT84">
      <text>
        <t xml:space="preserve">Comp for 08/07
	-Zeljko Randic</t>
      </text>
    </comment>
    <comment authorId="0" ref="DR73">
      <text>
        <t xml:space="preserve">Comp for 08/19
	-Zeljko Randic</t>
      </text>
    </comment>
    <comment authorId="0" ref="DQ37">
      <text>
        <t xml:space="preserve">Comp 08/08
	-Gabriela Mello</t>
      </text>
    </comment>
    <comment authorId="0" ref="DN48">
      <text>
        <t xml:space="preserve">Comp for 08/17
	-Zeljko Randic</t>
      </text>
    </comment>
    <comment authorId="0" ref="DJ35">
      <text>
        <t xml:space="preserve">Comp for 08/08
	-Zeljko Randic</t>
      </text>
    </comment>
    <comment authorId="0" ref="DG101">
      <text>
        <t xml:space="preserve">Comp for 08/03
	-Zeljko Randic</t>
      </text>
    </comment>
    <comment authorId="0" ref="DG52">
      <text>
        <t xml:space="preserve">@mogi.zeljko@gmail.com I found activity on his Helpshift on this day as well, but he forgot to clock in.
	-Raffael Azevedo</t>
      </text>
    </comment>
    <comment authorId="0" ref="DH52">
      <text>
        <t xml:space="preserve">@mogi.zeljko@gmail.com Oth forgot to clock in but he was around, talked to me on Discord.
	-Raffael Azevedo</t>
      </text>
    </comment>
    <comment authorId="0" ref="DH37">
      <text>
        <t xml:space="preserve">Douglas talked to me. His city had a blackout yesterday, he will compensate. He have filled the form.
	-Raffael Azevedo</t>
      </text>
    </comment>
    <comment authorId="0" ref="DI7">
      <text>
        <t xml:space="preserve">stayed longer to finish preparing training materials for trainers
	-Nicha Mahakanchanakul</t>
      </text>
    </comment>
    <comment authorId="0" ref="DW5">
      <text>
        <t xml:space="preserve">Comp for 08/06
	-Zeljko Randic</t>
      </text>
    </comment>
    <comment authorId="0" ref="DK134">
      <text>
        <t xml:space="preserve">Comp for 08/08
	-Zeljko Randic</t>
      </text>
    </comment>
    <comment authorId="0" ref="DH42">
      <text>
        <t xml:space="preserve">5 Hours 9 AM UTC- 2 PM
	-Alex Sidki</t>
      </text>
    </comment>
    <comment authorId="0" ref="DG42">
      <text>
        <t xml:space="preserve">5 hours from 2 AM - 7 AM UTC
	-Alex Sidki</t>
      </text>
    </comment>
    <comment authorId="0" ref="DF7">
      <text>
        <t xml:space="preserve">stayed 2 extra hours to hold catch ups on new updates with day and late shift seniors
	-Nicha Mahakanchanakul</t>
      </text>
    </comment>
    <comment authorId="0" ref="A135">
      <text>
        <t xml:space="preserve">On Notice Period, informed last day 8/16
	-Nicha Mahakanchanakul</t>
      </text>
    </comment>
    <comment authorId="0" ref="A123">
      <text>
        <t xml:space="preserve">on notice period, informed last day 8/27
	-Nicha Mahakanchanakul</t>
      </text>
    </comment>
    <comment authorId="0" ref="A139">
      <text>
        <t xml:space="preserve">on notice period, informed last day 8/8
	-Nicha Mahakanchanakul</t>
      </text>
    </comment>
    <comment authorId="0" ref="DE7">
      <text>
        <t xml:space="preserve">took 2 hours break, comp from 7/30
	-Nicha Mahakanchanakul</t>
      </text>
    </comment>
    <comment authorId="0" ref="DD7">
      <text>
        <t xml:space="preserve">stayed to finish reviews on staffing needs
	-Nicha Mahakanchanakul</t>
      </text>
    </comment>
    <comment authorId="0" ref="DC7">
      <text>
        <t xml:space="preserve">stayed to discuss mgmt coverage plan with Stefan
	-Nicha Mahakanchanakul</t>
      </text>
    </comment>
    <comment authorId="0" ref="DF80">
      <text>
        <t xml:space="preserve">Comp for 08/03
	-Zeljko Randic</t>
      </text>
    </comment>
    <comment authorId="0" ref="DA69">
      <text>
        <t xml:space="preserve">Accidentally worked, took day off 08/02
	-Zeljko Randic</t>
      </text>
    </comment>
    <comment authorId="0" ref="DL6">
      <text>
        <t xml:space="preserve">Comp for 08/04
	-Zeljko Randic</t>
      </text>
    </comment>
    <comment authorId="0" ref="DI5">
      <text>
        <t xml:space="preserve">Comp for 08/03
	-Zeljko Randic</t>
      </text>
    </comment>
    <comment authorId="0" ref="DF39">
      <text>
        <t xml:space="preserve">Comp for 08/01
	-Zeljko Randic</t>
      </text>
    </comment>
    <comment authorId="0" ref="DG30">
      <text>
        <t xml:space="preserve">Comp for 08/09
	-Zeljko Randic</t>
      </text>
    </comment>
    <comment authorId="0" ref="DI79">
      <text>
        <t xml:space="preserve">Comp for 07/31
	-Zeljko Randic</t>
      </text>
    </comment>
    <comment authorId="0" ref="DA42">
      <text>
        <t xml:space="preserve">Worked from 3 AM UTC - 11 PM UTC
	-Alex Sidki</t>
      </text>
    </comment>
    <comment authorId="0" ref="CX42">
      <text>
        <t xml:space="preserve">Worked from 3 AM UTC - 11 PM UTC
	-Alex Sidki</t>
      </text>
    </comment>
    <comment authorId="0" ref="CW7">
      <text>
        <t xml:space="preserve">1 hr meeting with Raffa, Vivianne on important updates.
	-Nicha Mahakanchanakul</t>
      </text>
    </comment>
    <comment authorId="0" ref="DK82">
      <text>
        <t xml:space="preserve">Comp for 07/26
	-Zeljko Randic</t>
      </text>
    </comment>
    <comment authorId="0" ref="DA21">
      <text>
        <t xml:space="preserve">Comp for 07/30
	-Zeljko Randic</t>
      </text>
    </comment>
    <comment authorId="0" ref="DE92">
      <text>
        <t xml:space="preserve">Comp for 08/01
	-Zeljko Randic</t>
      </text>
    </comment>
    <comment authorId="0" ref="EH7">
      <text>
        <t xml:space="preserve">=filter(importrange("https://docs.google.com/spreadsheets/d/1C_WDGDL2zefhkX1bw2fHc0fIVwkS32BQZ4kg-oOwCh0/edit#gid=1012844688","2021 Scheduled Shifts!CQ:DU"),INDEX(importrange("https://docs.google.com/spreadsheets/d/1C_WDGDL2zefhkX1bw2fHc0fIVwkS32BQZ4kg-oOwCh0/edit#gid=1012844688","2021 Scheduled Shifts!A:B"),0,2)=A7)
	-Nicha Mahakanchanakul</t>
      </text>
    </comment>
    <comment authorId="0" ref="A155">
      <text>
        <t xml:space="preserve">On Notice Period
	-Nicha Mahakanchanakul</t>
      </text>
    </comment>
    <comment authorId="0" ref="CS15">
      <text>
        <t xml:space="preserve">Worked an extra hour to pay my day off. 4/16 hours done
	-Raffael Azevedo</t>
      </text>
    </comment>
    <comment authorId="0" ref="CU93">
      <text>
        <t xml:space="preserve">Comp for 07/20
	-Zeljko Randic</t>
      </text>
    </comment>
    <comment authorId="0" ref="CV93">
      <text>
        <t xml:space="preserve">Comp for 07/24
	-Zeljko Randic</t>
      </text>
    </comment>
    <comment authorId="0" ref="CS7">
      <text>
        <t xml:space="preserve">2 hrs comp for 7/1
1 hr comp for 7/15
1 hr comp for 7/22 (2 hrs remaining)
	-Nicha Mahakanchanakul</t>
      </text>
    </comment>
    <comment authorId="0" ref="CG19">
      <text>
        <t xml:space="preserve">1h30 extra due to meeting and high influx of glitches
	-Facundo Lasarte</t>
      </text>
    </comment>
    <comment authorId="0" ref="CO19">
      <text>
        <t xml:space="preserve">Compensation for the 1hs30 extra on 14/07
	-Facundo Lasarte</t>
      </text>
    </comment>
    <comment authorId="0" ref="CO50">
      <text>
        <t xml:space="preserve">Comp for 07/21
	-Zeljko Randic</t>
      </text>
    </comment>
    <comment authorId="0" ref="DM74">
      <text>
        <t xml:space="preserve">Comp for 08/07
	-Zeljko Randic
Corrected, compensation was made the day earlier (08/12). It's also marked like that on the WFM :)
	-Facundo Lasarte</t>
      </text>
    </comment>
    <comment authorId="0" ref="CR20">
      <text>
        <t xml:space="preserve">Comp for 07/23
	-Zeljko Randic</t>
      </text>
    </comment>
    <comment authorId="0" ref="CO7">
      <text>
        <t xml:space="preserve">had to create new flows to clear old backlog + draft email to update the mgmt team
	-Nicha Mahakanchanakul</t>
      </text>
    </comment>
    <comment authorId="0" ref="CU64">
      <text>
        <t xml:space="preserve">7h
	-Diana Dobrovolskaja</t>
      </text>
    </comment>
    <comment authorId="0" ref="CN64">
      <text>
        <t xml:space="preserve">7h
	-Diana Dobrovolskaja</t>
      </text>
    </comment>
    <comment authorId="0" ref="CG64">
      <text>
        <t xml:space="preserve">7h
	-Diana Dobrovolskaja</t>
      </text>
    </comment>
    <comment authorId="0" ref="CI15">
      <text>
        <t xml:space="preserve">Worked an extra hour to pay my day off. 3/16 hours done
	-Raffael Azevedo</t>
      </text>
    </comment>
    <comment authorId="0" ref="CN137">
      <text>
        <t xml:space="preserve">Comp for 06/29
	-Zeljko Randic</t>
      </text>
    </comment>
    <comment authorId="0" ref="CH15">
      <text>
        <t xml:space="preserve">Worked an extra hour to pay my day off. 2/16 hours done
	-Raffael Azevedo</t>
      </text>
    </comment>
    <comment authorId="0" ref="CG15">
      <text>
        <t xml:space="preserve">Worked an extra hour to pay my day off. 1/16 hours done
	-Raffael Azevedo</t>
      </text>
    </comment>
    <comment authorId="0" ref="CP84">
      <text>
        <t xml:space="preserve">Comp for 7/10
	-Zeljko Randic</t>
      </text>
    </comment>
    <comment authorId="0" ref="CI39">
      <text>
        <t xml:space="preserve">Comp for 07/18
	-Zeljko Randic</t>
      </text>
    </comment>
    <comment authorId="0" ref="CH7">
      <text>
        <t xml:space="preserve">stayed 50 mins longer for debrief session
	-Nicha Mahakanchanakul</t>
      </text>
    </comment>
    <comment authorId="0" ref="BT19">
      <text>
        <t xml:space="preserve">Broken nose fixed
	-Facundo Lasarte</t>
      </text>
    </comment>
    <comment authorId="0" ref="BO19">
      <text>
        <t xml:space="preserve">Broken nose
	-Facundo Lasarte</t>
      </text>
    </comment>
    <comment authorId="0" ref="BQ19">
      <text>
        <t xml:space="preserve">Broken nose fixed
	-Facundo Lasarte</t>
      </text>
    </comment>
    <comment authorId="0" ref="CI11">
      <text>
        <t xml:space="preserve">Comp for 07/09
	-Zeljko Randic</t>
      </text>
    </comment>
    <comment authorId="0" ref="CK66">
      <text>
        <t xml:space="preserve">Comp for 07/14
	-Zeljko Randic</t>
      </text>
    </comment>
    <comment authorId="0" ref="CJ66">
      <text>
        <t xml:space="preserve">Comp for 07/15
	-Zeljko Randic</t>
      </text>
    </comment>
    <comment authorId="0" ref="CR68">
      <text>
        <t xml:space="preserve">Comp for 07/10
	-Zeljko Randic</t>
      </text>
    </comment>
    <comment authorId="0" ref="BZ37">
      <text>
        <t xml:space="preserve">Stayed 2 hours extra due to missing first 2 hours from power outage
	-Zeljko Randic</t>
      </text>
    </comment>
    <comment authorId="0" ref="BZ64">
      <text>
        <t xml:space="preserve">7h
	-Diana Dobrovolskaja</t>
      </text>
    </comment>
    <comment authorId="0" ref="CN139">
      <text>
        <t xml:space="preserve">Comp for 07/17,07/18
	-Zeljko Randic</t>
      </text>
    </comment>
    <comment authorId="0" ref="CF139">
      <text>
        <t xml:space="preserve">Comp for 07/11
	-Zeljko Randic</t>
      </text>
    </comment>
    <comment authorId="0" ref="BU83">
      <text>
        <t xml:space="preserve">Comped on 07/06-07/08
	-Zeljko Randic</t>
      </text>
    </comment>
    <comment authorId="0" ref="CL41">
      <text>
        <t xml:space="preserve">Comp for 07/10
	-Zeljko Randic</t>
      </text>
    </comment>
    <comment authorId="0" ref="CE79">
      <text>
        <t xml:space="preserve">Comp for 07/03
	-Zeljko Randic</t>
      </text>
    </comment>
    <comment authorId="0" ref="CA80">
      <text>
        <t xml:space="preserve">Comp for 07/03
	-Zeljko Randic</t>
      </text>
    </comment>
    <comment authorId="0" ref="CN82">
      <text>
        <t xml:space="preserve">Comp for 07/03
	-Zeljko Randic</t>
      </text>
    </comment>
    <comment authorId="0" ref="E56">
      <text>
        <t xml:space="preserve">Shift temporarily change to 05-14,  07/02/2021 to 08/15/2021
	-Zeljko Randic</t>
      </text>
    </comment>
    <comment authorId="0" ref="BU90">
      <text>
        <t xml:space="preserve">She didn't clocked in nor out, but sended day 5 form.
	-Raffael Azevedo</t>
      </text>
    </comment>
    <comment authorId="0" ref="BY22">
      <text>
        <t xml:space="preserve">Comp for 7/1
	-Zeljko Randic</t>
      </text>
    </comment>
    <comment authorId="0" ref="BT7">
      <text>
        <t xml:space="preserve">didn't get to take break due to meeting, signed off 1 hour later than normal
	-Nicha Mahakanchanakul</t>
      </text>
    </comment>
    <comment authorId="0" ref="CA74">
      <text>
        <t xml:space="preserve">Comp for 07/05
	-Zeljko Randic</t>
      </text>
    </comment>
    <comment authorId="0" ref="CT5">
      <text>
        <t xml:space="preserve">20/07 - 27/07 Starting 2 hours earlier
	-Zeljko Randic</t>
      </text>
    </comment>
    <comment authorId="0" ref="BQ90">
      <text>
        <t xml:space="preserve">@nicha.mogi@gmail.com She didn't clocked in, but it's the first days. Probably she forgot, but need to confirm.
	-Raffael Azevedo</t>
      </text>
    </comment>
    <comment authorId="0" ref="CI7">
      <text>
        <t xml:space="preserve">comp for 6/30
	-Nicha Mahakanchanakul
won't take a break and end shift at 8AM UTC because vaccination schedule got moved 2 hours earlier
	-Nicha Mahakanchanakul</t>
      </text>
    </comment>
    <comment authorId="0" ref="CG82">
      <text>
        <t xml:space="preserve">comp for 6/29
	-Nicha Mahakanchanakul</t>
      </text>
    </comment>
    <comment authorId="0" ref="BZ82">
      <text>
        <t xml:space="preserve">comp for 6/27
	-Nicha Mahakanchanakul</t>
      </text>
    </comment>
    <comment authorId="0" ref="BO90">
      <text>
        <t xml:space="preserve">No record @nicha.mogi@gmail.com
	-Raffael Azevedo</t>
      </text>
    </comment>
    <comment authorId="0" ref="BO63">
      <text>
        <t xml:space="preserve">Forgot to clock in, but showed up. He clocked later to register. @nicha.mogi@gmail.com
	-Raffael Azevedo</t>
      </text>
    </comment>
    <comment authorId="0" ref="BL36">
      <text>
        <t xml:space="preserve">@nicha.mogi@gmail.com https://discord.com/channels/483947768847532043/852424463793389588/857630068423786496
_Assigned to Nicha Mahakanchanakul_
	-Vivianne Mendonça</t>
      </text>
    </comment>
    <comment authorId="0" ref="BJ122">
      <text>
        <t xml:space="preserve">hr replied, pending confirmation
@mogi.zeljko@gmail.com fyi
	-Nicha Mahakanchanakul</t>
      </text>
    </comment>
    <comment authorId="0" ref="BP35">
      <text>
        <t xml:space="preserve">comp for 6/6
	-Nicha Mahakanchanakul</t>
      </text>
    </comment>
    <comment authorId="0" ref="BT44">
      <text>
        <t xml:space="preserve">comp for 7/4
	-Nicha Mahakanchanakul</t>
      </text>
    </comment>
    <comment authorId="0" ref="BI35">
      <text>
        <t xml:space="preserve">comp for 6/2
	-Nicha Mahakanchanakul</t>
      </text>
    </comment>
    <comment authorId="0" ref="BK50">
      <text>
        <t xml:space="preserve">comp for 6/22
	-Nicha Mahakanchanakul</t>
      </text>
    </comment>
    <comment authorId="0" ref="BJ61">
      <text>
        <t xml:space="preserve">swap with 6/22
	-Nicha Mahakanchanakul</t>
      </text>
    </comment>
    <comment authorId="0" ref="BN78">
      <text>
        <t xml:space="preserve">comp for 6/18
	-Nicha Mahakanchanakul</t>
      </text>
    </comment>
    <comment authorId="0" ref="BG142">
      <text>
        <t xml:space="preserve">pending comp
	-Nicha Mahakanchanakul</t>
      </text>
    </comment>
    <comment authorId="0" ref="BF142">
      <text>
        <t xml:space="preserve">pending comp
	-Nicha Mahakanchanakul</t>
      </text>
    </comment>
    <comment authorId="0" ref="BB33">
      <text>
        <t xml:space="preserve">Internet outage, shifts amended 6.16-6.27
	-Zeljko Randic</t>
      </text>
    </comment>
    <comment authorId="0" ref="BB32">
      <text>
        <t xml:space="preserve">Internet outage, shifts amended 6.16-6.27
	-Zeljko Randic</t>
      </text>
    </comment>
    <comment authorId="0" ref="BQ3">
      <text>
        <t xml:space="preserve">comp day for 5/3
	-Nicha Mahakanchanakul</t>
      </text>
    </comment>
    <comment authorId="0" ref="BP26">
      <text>
        <t xml:space="preserve">Comp for SL on 6/13
	-Nicha Mahakanchanakul</t>
      </text>
    </comment>
    <comment authorId="0" ref="BD143">
      <text>
        <t xml:space="preserve">Day Swap for 13.06
	-Zeljko Randic</t>
      </text>
    </comment>
    <comment authorId="0" ref="AZ142">
      <text>
        <t xml:space="preserve">Day Swap for 17.06
	-Zeljko Randic</t>
      </text>
    </comment>
    <comment authorId="0" ref="BE39">
      <text>
        <t xml:space="preserve">Day Swap for 20.06.
	-Zeljko Randic</t>
      </text>
    </comment>
    <comment authorId="0" ref="BQ82">
      <text>
        <t xml:space="preserve">Comp for SL on 6/9/2021
	-Nicha Mahakanchanakul</t>
      </text>
    </comment>
    <comment authorId="0" ref="BN151">
      <text>
        <t xml:space="preserve">Comp day for 6/7 @mogi.zeljko@gmail.com FYI
	-Nicha Mahakanchanakul</t>
      </text>
    </comment>
    <comment authorId="0" ref="AT36">
      <text>
        <t xml:space="preserve">PTO Approved in Workday
	-Zeljko Randic</t>
      </text>
    </comment>
    <comment authorId="0" ref="AV31">
      <text>
        <t xml:space="preserve">Swap from 06/07/2021
	-Zeljko Randic</t>
      </text>
    </comment>
    <comment authorId="0" ref="AV10">
      <text>
        <t xml:space="preserve">Leaving 4 hours early due to sickness
	-Nicha Mahakanchanakul</t>
      </text>
    </comment>
    <comment authorId="0" ref="BH48">
      <text>
        <t xml:space="preserve">AR BH on 21.06
	-Zeljko Randic</t>
      </text>
    </comment>
    <comment authorId="0" ref="AS160">
      <text>
        <t xml:space="preserve">@mogi.zeljko@gmail.com adjusted, only pending email comf
_Assigned to Zeljko Randic_
	-Nicha Mahakanchanakul</t>
      </text>
    </comment>
    <comment authorId="0" ref="AT151">
      <text>
        <t xml:space="preserve">@martin.rostagno@mogi-group.com requested to start shift+finish 2 hours later. Approved. @mogi.zeljko@gmail.com FYI
	-Nicha Mahakanchanakul</t>
      </text>
    </comment>
    <comment authorId="0" ref="BQ64">
      <text>
        <t xml:space="preserve">PTO
	-Diana Dobrovolskaja</t>
      </text>
    </comment>
    <comment authorId="0" ref="BP64">
      <text>
        <t xml:space="preserve">PTO
	-Diana Dobrovolskaja</t>
      </text>
    </comment>
    <comment authorId="0" ref="BO64">
      <text>
        <t xml:space="preserve">PTO
	-Diana Dobrovolskaja</t>
      </text>
    </comment>
    <comment authorId="0" ref="BN64">
      <text>
        <t xml:space="preserve">PTO
	-Diana Dobrovolskaja</t>
      </text>
    </comment>
    <comment authorId="0" ref="BK64">
      <text>
        <t xml:space="preserve">BH
	-Diana Dobrovolskaja</t>
      </text>
    </comment>
    <comment authorId="0" ref="BJ64">
      <text>
        <t xml:space="preserve">PTO
	-Diana Dobrovolskaja</t>
      </text>
    </comment>
    <comment authorId="0" ref="BI64">
      <text>
        <t xml:space="preserve">PTO
	-Diana Dobrovolskaja</t>
      </text>
    </comment>
    <comment authorId="0" ref="BH64">
      <text>
        <t xml:space="preserve">PTO
	-Diana Dobrovolskaja</t>
      </text>
    </comment>
    <comment authorId="0" ref="BG64">
      <text>
        <t xml:space="preserve">PTO
	-Diana Dobrovolskaja</t>
      </text>
    </comment>
    <comment authorId="0" ref="BN63">
      <text>
        <t xml:space="preserve">comp on 6/24
	-Nicha Mahakanchanakul</t>
      </text>
    </comment>
    <comment authorId="0" ref="AR49">
      <text>
        <t xml:space="preserve">Clocked in but didn't show up for work: https://prnt.sc/146a60s
	-Nicha Mahakanchanakul</t>
      </text>
    </comment>
    <comment authorId="0" ref="AR141">
      <text>
        <t xml:space="preserve">Starting 1 hour later than normal to take family to airport
	-Nicha Mahakanchanakul</t>
      </text>
    </comment>
    <comment authorId="0" ref="AQ16">
      <text>
        <t xml:space="preserve">Spent around 3 hours dealing with opened tickets, checking logs, replying, etc.
	-Guilherme Rolim</t>
      </text>
    </comment>
    <comment authorId="0" ref="AT45">
      <text>
        <t xml:space="preserve">BH for Ireland 06/07/2021
	-Zeljko Randic</t>
      </text>
    </comment>
    <comment authorId="0" ref="BB140">
      <text>
        <t xml:space="preserve">Day Swap 06/06/21
	-Zeljko Randic</t>
      </text>
    </comment>
    <comment authorId="0" ref="AS140">
      <text>
        <t xml:space="preserve">Day Swap 06/15/21
	-Zeljko Randic</t>
      </text>
    </comment>
    <comment authorId="0" ref="AR140">
      <text>
        <t xml:space="preserve">Day Swap 06/08/21
	-Zeljko Randic</t>
      </text>
    </comment>
    <comment authorId="0" ref="AU140">
      <text>
        <t xml:space="preserve">Day Swap with 05/06/21
	-Zeljko Randic</t>
      </text>
    </comment>
    <comment authorId="0" ref="AW143">
      <text>
        <t xml:space="preserve">Day Swap with 12.6.21
	-Zeljko Randic</t>
      </text>
    </comment>
    <comment authorId="0" ref="AY142">
      <text>
        <t xml:space="preserve">Day Swap for 10.6
	-Zeljko Randic</t>
      </text>
    </comment>
    <comment authorId="0" ref="AN126">
      <text>
        <t xml:space="preserve">He submitted day 1 part 1 training form and never submitted/showed up after
	-Nicha Mahakanchanakul</t>
      </text>
    </comment>
    <comment authorId="0" ref="AW32">
      <text>
        <t xml:space="preserve">Day swap with 6.6.21
	-Zeljko Randic</t>
      </text>
    </comment>
    <comment authorId="0" ref="AS32">
      <text>
        <t xml:space="preserve">Day swap with 10.6.21
	-Zeljko Randic</t>
      </text>
    </comment>
    <comment authorId="0" ref="AW33">
      <text>
        <t xml:space="preserve">Day swap with 6.6.21
	-Zeljko Randic</t>
      </text>
    </comment>
    <comment authorId="0" ref="AS33">
      <text>
        <t xml:space="preserve">Day swap with 10.6.21
	-Zeljko Randic</t>
      </text>
    </comment>
    <comment authorId="0" ref="AY151">
      <text>
        <t xml:space="preserve">Day swap for 3.6
	-Zeljko Randic</t>
      </text>
    </comment>
    <comment authorId="0" ref="AP151">
      <text>
        <t xml:space="preserve">Sick Leave compensated with swap on 12.6.21
	-Zeljko Randic</t>
      </text>
    </comment>
    <comment authorId="0" ref="AP155">
      <text>
        <t xml:space="preserve">Personal Leave approved by Valentin Covilar
	-Zeljko Randic</t>
      </text>
    </comment>
    <comment authorId="0" ref="AJ151">
      <text>
        <t xml:space="preserve">Approved day change, 20.05 Thursday for 30.05 Sunday
	-Zeljko Randic</t>
      </text>
    </comment>
    <comment authorId="0" ref="A166">
      <text>
        <t xml:space="preserve">Please keep at the bottom or KPI data will be wrong
	-Nicha Mahakanchanakul</t>
      </text>
    </comment>
    <comment authorId="0" ref="BC64">
      <text>
        <t xml:space="preserve">7 h
	-Diana Dobrovolskaja</t>
      </text>
    </comment>
    <comment authorId="0" ref="AV64">
      <text>
        <t xml:space="preserve">7 h
	-Diana Dobrovolskaja</t>
      </text>
    </comment>
    <comment authorId="0" ref="AO64">
      <text>
        <t xml:space="preserve">7 h
	-Diana Dobrovolskaja</t>
      </text>
    </comment>
    <comment authorId="0" ref="AF16">
      <text>
        <t xml:space="preserve">1 hour and 50 min checking old asanas and tickets, dingtalk, annoucements.
	-Guilherme Rolim</t>
      </text>
    </comment>
    <comment authorId="0" ref="AG39">
      <text>
        <t xml:space="preserve">First QA check - 40 min
	-Eugene Ovcharov</t>
      </text>
    </comment>
    <comment authorId="0" ref="AR60">
      <text>
        <t xml:space="preserve">Comp BH as agent worked on May 3 BH accidentally.
	-Che-jung Yu</t>
      </text>
    </comment>
    <comment authorId="0" ref="AF22">
      <text>
        <t xml:space="preserve">sick leave for the rest of the hours
	-Che-jung Yu</t>
      </text>
    </comment>
    <comment authorId="0" ref="U26">
      <text>
        <t xml:space="preserve">agent confirmed to have worked for 7 days straight (training+assigned shift with no rest day in between). Already reminded her to flag it first moving forward.
	-Che-jung Yu</t>
      </text>
    </comment>
    <comment authorId="0" ref="AO68">
      <text>
        <t xml:space="preserve">compensation for SL on 5/24
	-Nicha Mahakanchanakul</t>
      </text>
    </comment>
    <comment authorId="0" ref="AE151">
      <text>
        <t xml:space="preserve">Came back from being sick, so I didn't manage to hit my daily target, getting used to workflow changes+reading and getting all updates of the week
	-Deleted user</t>
      </text>
    </comment>
    <comment authorId="0" ref="S160">
      <text>
        <t xml:space="preserve">accidentally started on this day and was told to proceed on day 1 training this day and resumed her training shift from May 17, which is the officially agreed start date
	-Che-jung Yu</t>
      </text>
    </comment>
    <comment authorId="0" ref="Z18">
      <text>
        <t xml:space="preserve">Dedicated Entire Shift to reviewing tickets and aiding newcomers.
	-Jose Mass</t>
      </text>
    </comment>
    <comment authorId="0" ref="Y18">
      <text>
        <t xml:space="preserve">Dedicate Entire shift on helping newcomers and reviewing ticket answers/escalations.
	-Jose Mass</t>
      </text>
    </comment>
    <comment authorId="0" ref="X18">
      <text>
        <t xml:space="preserve">Dedicated Entire Day to Reviewing Asanas and helping agents with tickets as well as newcomers
	-Jose Mass</t>
      </text>
    </comment>
    <comment authorId="0" ref="AF64">
      <text>
        <t xml:space="preserve">7h. 39h shift in Spain
	-Diana Dobrovolskaja
not sure what the 39h mean? Could you please clarify?
	-Nicha Mahakanchanakul</t>
      </text>
    </comment>
    <comment authorId="0" ref="AD64">
      <text>
        <t xml:space="preserve">Bank Holiday
	-Diana Dobrovolskaja</t>
      </text>
    </comment>
    <comment authorId="0" ref="Y12">
      <text>
        <t xml:space="preserve">5h spent on helping onboarding, 2h on side project (form editing) and 1 hr on non trainee questions
	-Zeljko Randic</t>
      </text>
    </comment>
    <comment authorId="0" ref="W12">
      <text>
        <t xml:space="preserve">8h spent on helping onboarding and  answering questions
	-Zeljko Randic</t>
      </text>
    </comment>
    <comment authorId="0" ref="X25">
      <text>
        <t xml:space="preserve">Delayed start by 30 minutes due to internet and power maintenance
	-Christian Giovanni Ries</t>
      </text>
    </comment>
    <comment authorId="0" ref="W18">
      <text>
        <t xml:space="preserve">Dedicated Entire Day to Reviewing Asanas and helping agents with tickets as well as newcomers
	-Jose Mass</t>
      </text>
    </comment>
    <comment authorId="0" ref="S15">
      <text>
        <t xml:space="preserve">Hello! This day was BH, I didn't work.
	-Raffael Azevedo</t>
      </text>
    </comment>
    <comment authorId="0" ref="W25">
      <text>
        <t xml:space="preserve">I had a power outage from 06:13 UTC to 08:57 UTC
	-Christian Giovanni Ries</t>
      </text>
    </comment>
    <comment authorId="0" ref="R22">
      <text>
        <t xml:space="preserve">He sent an email on that day to HR-Brazil abt having a tech issue to sign in
	-Che-jung Yu</t>
      </text>
    </comment>
    <comment authorId="0" ref="V51">
      <text>
        <t xml:space="preserve">2h answering tickets from yesterday
	-Mogi Matheus Cortez</t>
      </text>
    </comment>
    <comment authorId="0" ref="T18">
      <text>
        <t xml:space="preserve">Dedicated Entire Day to Reviewing Asanas and helping agents with tickets.
	-Jose Mass</t>
      </text>
    </comment>
    <comment authorId="0" ref="S18">
      <text>
        <t xml:space="preserve">dedicated entire day to reviewing newcomer tickets and help onboarding
	-Jose Mass</t>
      </text>
    </comment>
    <comment authorId="0" ref="T12">
      <text>
        <t xml:space="preserve">8h spent on helping onboarding and reviewing trainees tickets and answering questions
	-Zeljko Randic</t>
      </text>
    </comment>
    <comment authorId="0" ref="S12">
      <text>
        <t xml:space="preserve">8h spent on helping onboarding and reviewing trainees tickets and answering questions
	-Zeljko Randic</t>
      </text>
    </comment>
    <comment authorId="0" ref="S28">
      <text>
        <t xml:space="preserve">@eddi.dostatni@mogi-group.com please let me know why you were off :)
_Assigned to Eddi Dostatni_
	-Nicha Mahakanchanakul
Yesterday was public holiday in germany. I talked with Val, he approved it.
	-Eddi Dostatni</t>
      </text>
    </comment>
    <comment authorId="0" ref="S14">
      <text>
        <t xml:space="preserve">I gave assistance to the trainees all day :)
	-Vivianne Mendonça</t>
      </text>
    </comment>
    <comment authorId="0" ref="R12">
      <text>
        <t xml:space="preserve">7h spent on helping onboarding and reviewing trainees tickets and answering questions
	-Zeljko Randic</t>
      </text>
    </comment>
    <comment authorId="0" ref="R18">
      <text>
        <t xml:space="preserve">dedicated entire day to reviewing newcomer tickets and help onboarding
	-Jose Mass</t>
      </text>
    </comment>
    <comment authorId="0" ref="S9">
      <text>
        <t xml:space="preserve">SoS maintenance and helping other agents
	-Kevin Eikmeier</t>
      </text>
    </comment>
    <comment authorId="0" ref="Q18">
      <text>
        <t xml:space="preserve">dedicated entire day to reviewing newcomer tickets and help onboarding + shadowing session
	-Jose Mass</t>
      </text>
    </comment>
    <comment authorId="0" ref="P18">
      <text>
        <t xml:space="preserve">dedicated entire day to reviewing newcomer tickets and help onboarding
	-Jose Mass</t>
      </text>
    </comment>
    <comment authorId="0" ref="Q151">
      <text>
        <t xml:space="preserve">Wasn't able to hit targets since I'm still trying to understand more tickets+do player reports properly
	-Deleted user
@martin.rostagno@mogi-group.com I see that you're not too far off the targets, thanks for notifying and doing your best :)
	-Nicha Mahakanchanakul</t>
      </text>
    </comment>
    <comment authorId="0" ref="Q12">
      <text>
        <t xml:space="preserve">6h spent on helping onboarding and reviewing trainees tickets
	-Zeljko Randic</t>
      </text>
    </comment>
    <comment authorId="0" ref="P12">
      <text>
        <t xml:space="preserve">6h spent on helping onboarding and reviewing trainees tickets
	-Zeljko Randic</t>
      </text>
    </comment>
    <comment authorId="0" ref="P15">
      <text>
        <t xml:space="preserve">Sorry guys. Got too many requests in private from new agents. Checked Asanas, but will compensate tomorrow.
	-Raffael Azevedo</t>
      </text>
    </comment>
    <comment authorId="0" ref="M12">
      <text>
        <t xml:space="preserve">5.5h spent on helping onboarding and reviewing trainees tickets
	-Zeljko Randic</t>
      </text>
    </comment>
    <comment authorId="0" ref="M18">
      <text>
        <t xml:space="preserve">dedicated entire day to reviewing newcomer tickets and help onboarding, left early for medical reasons (informed accordingly)
	-Jose Mass</t>
      </text>
    </comment>
    <comment authorId="0" ref="L12">
      <text>
        <t xml:space="preserve">1.5h spent on helping onboarding and reviewing trainees tickets
	-Zeljko Randic</t>
      </text>
    </comment>
    <comment authorId="0" ref="L18">
      <text>
        <t xml:space="preserve">dedicated entire day to reviewing newcomer tickets and help onboarding
	-Jose Mass</t>
      </text>
    </comment>
    <comment authorId="0" ref="L25">
      <text>
        <t xml:space="preserve">@christian.ries@mogi-group.com could you clarify if this is PTO? If so, please change to PTO
_Assigned to Christian Giovanni Ries_
	-Nicha Mahakanchanakul
I honestly don´t know why I´m shown as off. I was there both days and clocked in/out on both
	-Christian Giovanni Ries
Did you have difficulties with the tasks? https://prnt.sc/12ty22m target for both days are 10 new tickets
	-Nicha Mahakanchanakul
Yeah and I was quite distraught, because of not being able to meet the target. I also had technical issues to submit the form
	-Christian Giovanni Ries</t>
      </text>
    </comment>
    <comment authorId="0" ref="K15">
      <text>
        <t xml:space="preserve">Spend most of the time on onboarding Chaimaa, helping her with tasks and helping other agents with their tickets. Specifically Guilherme, Kamil, Andres and Facundo.
	-Raffael Azevedo</t>
      </text>
    </comment>
    <comment authorId="0" ref="J15">
      <text>
        <t xml:space="preserve">Checked all Asanas and helped new guys with Tickets.
	-Raffael Azevedo</t>
      </text>
    </comment>
    <comment authorId="0" ref="K18">
      <text>
        <t xml:space="preserve">Dedicated entire day to reviewing newcomer tickets  and help onboarding
	-Jose Mass</t>
      </text>
    </comment>
    <comment authorId="0" ref="J18">
      <text>
        <t xml:space="preserve">Spent +-6 hours with newcomers and reviewing tickets, spent 1-2 hours +- shadowing Session
	-Jose Mass</t>
      </text>
    </comment>
    <comment authorId="0" ref="I15">
      <text>
        <t xml:space="preserve">May 3rd was dedicated to check newcomers Asanas and help them with some tickets.
	-Raffael Azevedo</t>
      </text>
    </comment>
    <comment authorId="0" ref="I18">
      <text>
        <t xml:space="preserve">Spent +-6 hours with newcomers and reviewing tickets, spent another +-2 hours on Asana tasks review.
	-Jose Mass</t>
      </text>
    </comment>
    <comment authorId="0" ref="I14">
      <text>
        <t xml:space="preserve">My GMTool password has expired, I was unable to change it. I asked Val for help but I didn't get an answer. Trying to answer tickets I don't need to use the tool!
	-Vivianne Mendonça
Noted :)
	-Nicha Mahakanchanakul</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Yellow = requires manual updates
Grey = formulas</t>
      </text>
    </comment>
    <comment authorId="0" ref="I1">
      <text>
        <t xml:space="preserve">in old shift plan
</t>
      </text>
    </comment>
    <comment authorId="0" ref="J1">
      <text>
        <t xml:space="preserve">in new 
shift plan
</t>
      </text>
    </comment>
    <comment authorId="0" ref="S20">
      <text>
        <t xml:space="preserve">5:46PM Thailand
</t>
      </text>
    </comment>
    <comment authorId="0" ref="V20">
      <text>
        <t xml:space="preserve">5:46PM Thailand
</t>
      </text>
    </comment>
    <comment authorId="0" ref="W20">
      <text>
        <t xml:space="preserve">Form Submitted to Val and Stefan 8:12PM Thailand</t>
      </text>
    </comment>
    <comment authorId="0" ref="Y20">
      <text>
        <t xml:space="preserve">5:46PM Thailand
</t>
      </text>
    </comment>
    <comment authorId="0" ref="S21">
      <text>
        <t xml:space="preserve">5:46PM Thailand
</t>
      </text>
    </comment>
    <comment authorId="0" ref="V21">
      <text>
        <t xml:space="preserve">5:46PM Thailand
</t>
      </text>
    </comment>
    <comment authorId="0" ref="W21">
      <text>
        <t xml:space="preserve">Form Submitted to Val and Stefan 8:22PM Thailand</t>
      </text>
    </comment>
    <comment authorId="0" ref="Y21">
      <text>
        <t xml:space="preserve">5:46PM Thailand
</t>
      </text>
    </comment>
    <comment authorId="0" ref="L94">
      <text>
        <t xml:space="preserve">as of 5/28</t>
      </text>
    </comment>
    <comment authorId="0" ref="Y121">
      <text>
        <t xml:space="preserve">Please log in with IDaaS button</t>
      </text>
    </comment>
    <comment authorId="0" ref="Y122">
      <text>
        <t xml:space="preserve">Please log in with IDaaS button</t>
      </text>
    </comment>
    <comment authorId="0" ref="Y123">
      <text>
        <t xml:space="preserve">Please log in with IDaaS button</t>
      </text>
    </comment>
    <comment authorId="0" ref="Y126">
      <text>
        <t xml:space="preserve">Please log in with IDaaS button</t>
      </text>
    </comment>
    <comment authorId="0" ref="Y127">
      <text>
        <t xml:space="preserve">Please log in with IDaaS button</t>
      </text>
    </comment>
    <comment authorId="0" ref="Y128">
      <text>
        <t xml:space="preserve">Please log in with IDaaS button</t>
      </text>
    </comment>
    <comment authorId="0" ref="A104">
      <text>
        <t xml:space="preserve">Last day 01/09
	-Zeljko Randic</t>
      </text>
    </comment>
    <comment authorId="0" ref="L132">
      <text>
        <t xml:space="preserve">Moved to KoA
	-Nicha Mahakanchanakul</t>
      </text>
    </comment>
    <comment authorId="0" ref="A111">
      <text>
        <t xml:space="preserve">last day: July 13th
	-Nicha Mahakanchanakul</t>
      </text>
    </comment>
    <comment authorId="0" ref="AL83">
      <text>
        <t xml:space="preserve">Tickets seem to be answered by other agents?
	-Zeljko Randic</t>
      </text>
    </comment>
    <comment authorId="0" ref="A94">
      <text>
        <t xml:space="preserve">Added from shiftplan SOS as client saw this discrepancy but only limited info available from that tab. I've added the info I could find.
	-Che-jung Yu</t>
      </text>
    </comment>
    <comment authorId="0" ref="H102">
      <text>
        <t xml:space="preserve">@mogi.zeljko@gmail.com FYI "start with us on this Saturday with 4 hours per day until Wednesday (4PM-8PM UTC) and then 9 hours every weekend with 1 hour lunch break (16:00-24:00)"
I talked to her but she said she was told to start Monday. So she will start Monday
	-Nicha Mahakanchanakul
DM'd her yesterday and she told me her first day would be May 22. Emailed HR to confirm and put you in CC
	-Che-jung Yu
She didn't show up on 5/22/2021 as well, let's keep tracking
	-Nicha Mahakanchanakul
She showed up today 5/24/2021
	-Zeljko Randic
That appears to be the case, finally! I also DM'd them to get back to Nicha's email. Start date added.
	-Che-jung Yu</t>
      </text>
    </comment>
    <comment authorId="0" ref="AN56">
      <text>
        <t xml:space="preserve">@mogi.zeljko@gmail.com he did not submit
_Assigned to Zeljko Randic_
	-Nicha Mahakanchanakul
Chasing
	-Zeljko Randic</t>
      </text>
    </comment>
    <comment authorId="0" ref="AM56">
      <text>
        <t xml:space="preserve">@mogi.zeljko@gmail.com he filled 4/10
_Assigned to Zeljko Randic_
	-Nicha Mahakanchanakul</t>
      </text>
    </comment>
    <comment authorId="0" ref="Z2">
      <text>
        <t xml:space="preserve">Changed my name so it doesn't get equal as my HS name.
	-Raffael Azevedo</t>
      </text>
    </comment>
    <comment authorId="0" ref="D59">
      <text>
        <t xml:space="preserve">@valentinmogi@gmail.com does Mateus belong to KoA?
_Assigned to Val Mogi_
	-Nicha Mahakanchanakul
@updated to SoS as per https://discord.com/channels/483947768847532043/811190811961458738/841591414235332639
	-Che-jung Yu</t>
      </text>
    </comment>
  </commentList>
</comments>
</file>

<file path=xl/comments6.xml><?xml version="1.0" encoding="utf-8"?>
<comments xmlns:r="http://schemas.openxmlformats.org/officeDocument/2006/relationships" xmlns="http://schemas.openxmlformats.org/spreadsheetml/2006/main">
  <authors>
    <author/>
  </authors>
  <commentList>
    <comment authorId="0" ref="JO14">
      <text>
        <t xml:space="preserve">Additional Hour to compensate for 3rd of Jan
	-Chris Joubert</t>
      </text>
    </comment>
    <comment authorId="0" ref="JN14">
      <text>
        <t xml:space="preserve">Additional Hour to compensate for 3rd of Jan
	-Chris Joubert</t>
      </text>
    </comment>
    <comment authorId="0" ref="JM14">
      <text>
        <t xml:space="preserve">Additional Hour to compensate for 3rd of Jan
	-Chris Joubert</t>
      </text>
    </comment>
    <comment authorId="0" ref="JL14">
      <text>
        <t xml:space="preserve">Additional Hour to compensate for 3rd of Jan
	-Chris Joubert</t>
      </text>
    </comment>
    <comment authorId="0" ref="JK14">
      <text>
        <t xml:space="preserve">Sick Leave
	-Katerina Athanatou</t>
      </text>
    </comment>
    <comment authorId="0" ref="JK42">
      <text>
        <t xml:space="preserve">Emergency Leave - Outage
	-Katerina Athanatou</t>
      </text>
    </comment>
    <comment authorId="0" ref="JI31">
      <text>
        <t xml:space="preserve">Sick Leave
	-Katerina Athanatou</t>
      </text>
    </comment>
    <comment authorId="0" ref="JE5">
      <text>
        <t xml:space="preserve">Recovering OT for 12.13-12.21
	-Katerina Athanatou</t>
      </text>
    </comment>
    <comment authorId="0" ref="JE56">
      <text>
        <t xml:space="preserve">Starting shift later: 12:30-21:30 UTC
	-Katerina Athanatou</t>
      </text>
    </comment>
    <comment authorId="0" ref="JE13">
      <text>
        <t xml:space="preserve">Sick Leave
	-Chris Joubert</t>
      </text>
    </comment>
    <comment authorId="0" ref="JD13">
      <text>
        <t xml:space="preserve">Sick Leave
	-Chris Joubert</t>
      </text>
    </comment>
    <comment authorId="0" ref="JE52">
      <text>
        <t xml:space="preserve">Added 4 additional hour to recover time for Dec 31st
	-Chris Joubert</t>
      </text>
    </comment>
    <comment authorId="0" ref="JD52">
      <text>
        <t xml:space="preserve">Added 4 additional hour to recover time for Dec 31st
	-Chris Joubert</t>
      </text>
    </comment>
    <comment authorId="0" ref="JD54">
      <text>
        <t xml:space="preserve">2 hour power outage. Will recover by eos.
	-Bianca Marini</t>
      </text>
    </comment>
    <comment authorId="0" ref="JP8">
      <text>
        <t xml:space="preserve">Compensation for time off on 7th of Jan
	-Chris Joubert</t>
      </text>
    </comment>
    <comment authorId="0" ref="JA33">
      <text>
        <t xml:space="preserve">Power Outage
	-Katerina Athanatou</t>
      </text>
    </comment>
    <comment authorId="0" ref="IY5">
      <text>
        <t xml:space="preserve">OT on PTO day
	-Katerina Athanatou</t>
      </text>
    </comment>
    <comment authorId="0" ref="JA41">
      <text>
        <t xml:space="preserve">Power Outage
	-Katerina Athanatou</t>
      </text>
    </comment>
    <comment authorId="0" ref="IY31">
      <text>
        <t xml:space="preserve">Scheduled 8 hours to compensate for 22 DEC
	-Chris Joubert</t>
      </text>
    </comment>
    <comment authorId="0" ref="JB35">
      <text>
        <t xml:space="preserve">Recovering lost hours (Originally an time-off date)
	-Chris Joubert</t>
      </text>
    </comment>
    <comment authorId="0" ref="JA35">
      <text>
        <t xml:space="preserve">Recovering lost hour
	-Chris Joubert</t>
      </text>
    </comment>
    <comment authorId="0" ref="IW31">
      <text>
        <t xml:space="preserve">Power outage. Only managed to work 15 mins and power went off. It came back 5h30mins later. Needs to recover
	-Bianca Marini</t>
      </text>
    </comment>
    <comment authorId="0" ref="IX29">
      <text>
        <t xml:space="preserve">Temp shift flex, starting shift 2 hours later
	-Chris Joubert</t>
      </text>
    </comment>
    <comment authorId="0" ref="JF58">
      <text>
        <t xml:space="preserve">Additional hour schedule to recover lost time from 22nd Dec
	-Chris Joubert</t>
      </text>
    </comment>
    <comment authorId="0" ref="JE58">
      <text>
        <t xml:space="preserve">Additional hour schedule to recover lost time from 22nd Dec
	-Chris Joubert</t>
      </text>
    </comment>
    <comment authorId="0" ref="JD58">
      <text>
        <t xml:space="preserve">Additional hour schedule to recover lost time from 22nd Dec
	-Chris Joubert</t>
      </text>
    </comment>
    <comment authorId="0" ref="IW58">
      <text>
        <t xml:space="preserve">Late due to outage
	-Chris Joubert</t>
      </text>
    </comment>
    <comment authorId="0" ref="JI45">
      <text>
        <t xml:space="preserve">⮞ Brazil
25th December observed same day
26th December is not a public holiday
1st January observed same day
	-Katerina Athanatou</t>
      </text>
    </comment>
    <comment authorId="0" ref="IV54">
      <text>
        <t xml:space="preserve">1 hour power outage. Will recover by eos
	-Bianca Marini</t>
      </text>
    </comment>
    <comment authorId="0" ref="IY35">
      <text>
        <t xml:space="preserve">Recovering lost hours (Originally an time-off date)
	-Katerina Athanatou</t>
      </text>
    </comment>
    <comment authorId="0" ref="IU8">
      <text>
        <t xml:space="preserve">Partial leave - sick leave
	-Katerina Athanatou</t>
      </text>
    </comment>
    <comment authorId="0" ref="JF33">
      <text>
        <t xml:space="preserve">Recovering lost time for 12.16
	-Katerina Athanatou
9PR
	-Sofia Vakidou</t>
      </text>
    </comment>
    <comment authorId="0" ref="IS42">
      <text>
        <t xml:space="preserve">Emergency Leave
	-Katerina Athanatou</t>
      </text>
    </comment>
    <comment authorId="0" ref="JA13">
      <text>
        <t xml:space="preserve">Half-day PTO
	-Katerina Athanatou</t>
      </text>
    </comment>
    <comment authorId="0" ref="IZ50">
      <text>
        <t xml:space="preserve">⮞ Brazil
25th December observed same day
26th December is not a public holiday
1st January observed same day
	-Katerina Athanatou</t>
      </text>
    </comment>
    <comment authorId="0" ref="IX35">
      <text>
        <t xml:space="preserve">Recovering lost hours for 12.17 (1h extra)
	-Katerina Athanatou</t>
      </text>
    </comment>
    <comment authorId="0" ref="IW35">
      <text>
        <t xml:space="preserve">Recovering lost hours for 12.17 (2h extra)
	-Katerina Athanatou</t>
      </text>
    </comment>
    <comment authorId="0" ref="IU35">
      <text>
        <t xml:space="preserve">Recovering lost hours for 12.16 &amp; 12.17 (4h for 16th, 4h for 17th)
	-Katerina Athanatou</t>
      </text>
    </comment>
    <comment authorId="0" ref="IT35">
      <text>
        <t xml:space="preserve">Recovering lost hours for 12.16 (1h extra)
	-Katerina Athanatou</t>
      </text>
    </comment>
    <comment authorId="0" ref="IS35">
      <text>
        <t xml:space="preserve">Recovering lost hours for 12.16 (1h extra)
	-Katerina Athanatou</t>
      </text>
    </comment>
    <comment authorId="0" ref="IR35">
      <text>
        <t xml:space="preserve">Emergency Leave - Outage due to hurricane
	-Katerina Athanatou</t>
      </text>
    </comment>
    <comment authorId="0" ref="IX50">
      <text>
        <t xml:space="preserve">OFF day day-swap with 12.20
	-Katerina Athanatou</t>
      </text>
    </comment>
    <comment authorId="0" ref="JD34">
      <text>
        <t xml:space="preserve">HR confirmed BH can be moved
	-Katerina Athanatou</t>
      </text>
    </comment>
    <comment authorId="0" ref="JB24">
      <text>
        <t xml:space="preserve">Recovering time from outage on 16/12
	-Chris Joubert</t>
      </text>
    </comment>
    <comment authorId="0" ref="IQ24">
      <text>
        <t xml:space="preserve">1 hour outage
	-Chris Joubert</t>
      </text>
    </comment>
    <comment authorId="0" ref="IN42">
      <text>
        <t xml:space="preserve">Sick Leave
	-Chris Joubert</t>
      </text>
    </comment>
    <comment authorId="0" ref="IQ35">
      <text>
        <t xml:space="preserve">Potential Power Outage, due to Typhoon in local area
	-Chris Joubert
Added 6 hours of outage
	-Chris Joubert</t>
      </text>
    </comment>
    <comment authorId="0" ref="IS5">
      <text>
        <t xml:space="preserve">Day swap with 12.17 and recovering OT from 12.13 and 12.16
	-Katerina Athanatou
Added 1h 30 min of OT
	-Katerina Athanatou</t>
      </text>
    </comment>
    <comment authorId="0" ref="JC35">
      <text>
        <t xml:space="preserve">Compensating for time off at 12.31
	-Katerina Athanatou</t>
      </text>
    </comment>
    <comment authorId="0" ref="IV35">
      <text>
        <t xml:space="preserve">Compensating for time off at 12.24
	-Katerina Athanatou</t>
      </text>
    </comment>
    <comment authorId="0" ref="JZ38">
      <text>
        <t xml:space="preserve">Compensating for time off at 1.2
	-Katerina Athanatou</t>
      </text>
    </comment>
    <comment authorId="0" ref="JS38">
      <text>
        <t xml:space="preserve">Compensating for time off at 1.1
	-Katerina Athanatou</t>
      </text>
    </comment>
    <comment authorId="0" ref="JC38">
      <text>
        <t xml:space="preserve">Compensating for time off at12.31
	-Katerina Athanatou</t>
      </text>
    </comment>
    <comment authorId="0" ref="IY24">
      <text>
        <t xml:space="preserve">Compensating 2h for 12.20
	-Katerina Athanatou</t>
      </text>
    </comment>
    <comment authorId="0" ref="IX24">
      <text>
        <t xml:space="preserve">Compensating 2h for 12.20
	-Katerina Athanatou
Applied 1 hour of sick leave due to covid shot
	-Chris Joubert</t>
      </text>
    </comment>
    <comment authorId="0" ref="IW24">
      <text>
        <t xml:space="preserve">Compensating 2h for 12.20
	-Katerina Athanatou</t>
      </text>
    </comment>
    <comment authorId="0" ref="IV24">
      <text>
        <t xml:space="preserve">Compensating 2h for 12.20
	-Katerina Athanatou</t>
      </text>
    </comment>
    <comment authorId="0" ref="IN29">
      <text>
        <t xml:space="preserve">1 hour compensation for PTO on 19th DEC
	-Katerina Athanatou</t>
      </text>
    </comment>
    <comment authorId="0" ref="IM42">
      <text>
        <t xml:space="preserve">Sick Leave
	-Katerina Athanatou</t>
      </text>
    </comment>
    <comment authorId="0" ref="IK51">
      <text>
        <t xml:space="preserve">Got online at 11:35 UTC
	-Bianca Marini</t>
      </text>
    </comment>
    <comment authorId="0" ref="IK5">
      <text>
        <t xml:space="preserve">Recovering OT done during 12.3, 12.6, 12.7
	-Katerina Athanatou</t>
      </text>
    </comment>
    <comment authorId="0" ref="IN14">
      <text>
        <t xml:space="preserve">Bday PTO
	-Katerina Athanatou</t>
      </text>
    </comment>
    <comment authorId="0" ref="IS9">
      <text>
        <t xml:space="preserve">Compensation for time off on monday 20th of Dec
	-Chris Joubert</t>
      </text>
    </comment>
    <comment authorId="0" ref="II16">
      <text>
        <t xml:space="preserve">Sick leave
	-Katerina Athanatou</t>
      </text>
    </comment>
    <comment authorId="0" ref="IS20">
      <text>
        <t xml:space="preserve">Compensation for off day on 3rd of DEC
	-Chris Joubert</t>
      </text>
    </comment>
    <comment authorId="0" ref="IL20">
      <text>
        <t xml:space="preserve">Compensation for off day on 2nd of DEC
	-Chris Joubert</t>
      </text>
    </comment>
    <comment authorId="0" ref="IS29">
      <text>
        <t xml:space="preserve">1 hour compensation for PTO on 19th DEC
	-Chris Joubert</t>
      </text>
    </comment>
    <comment authorId="0" ref="IR29">
      <text>
        <t xml:space="preserve">1 hour compensation for PTO on 19th DEC
	-Chris Joubert</t>
      </text>
    </comment>
    <comment authorId="0" ref="IQ29">
      <text>
        <t xml:space="preserve">1 hour compensation for PTO on 19th DEC
	-Chris Joubert</t>
      </text>
    </comment>
    <comment authorId="0" ref="IP29">
      <text>
        <t xml:space="preserve">1 hour compensation for PTO on 19th DEC
	-Chris Joubert</t>
      </text>
    </comment>
    <comment authorId="0" ref="IM29">
      <text>
        <t xml:space="preserve">1 hour compensation for PTO on 19th DEC
	-Chris Joubert</t>
      </text>
    </comment>
    <comment authorId="0" ref="IL29">
      <text>
        <t xml:space="preserve">1 hour compensation for PTO on 19th DEC
	-Chris Joubert</t>
      </text>
    </comment>
    <comment authorId="0" ref="IK29">
      <text>
        <t xml:space="preserve">1 hour compensation for PTO on 19th DEC
	-Chris Joubert</t>
      </text>
    </comment>
    <comment authorId="0" ref="JB4">
      <text>
        <t xml:space="preserve">25th December Bank holiday
26th December – Observed Monday 27 December Bank Holiday
1st January Bank Holiday
	-Katerina Athanatou</t>
      </text>
    </comment>
    <comment authorId="0" ref="IZ46">
      <text>
        <t xml:space="preserve">25th December observed same day
26th December is not a public holiday
1st January observed same day
	-Katerina Athanatou</t>
      </text>
    </comment>
    <comment authorId="0" ref="JB34">
      <text>
        <t xml:space="preserve">25th December – Observed Monday 27 December Bank Holiday
26th December – Observed Tuesday 28 December Bank Holiday
1st January – Observed Monday 3 January Bank Holiday
	-Katerina Athanatou</t>
      </text>
    </comment>
    <comment authorId="0" ref="IY47">
      <text>
        <t xml:space="preserve">Christmas Day falling on 25 December is granted for Christmas Eve, 24 December.
December 26th is observed on the same day.
New Year’s Day, 1st of January is observed on 7 January.
	-Katerina Athanatou</t>
      </text>
    </comment>
    <comment authorId="0" ref="IY43">
      <text>
        <t xml:space="preserve">Christmas Day falling on 25 December is granted for Christmas Eve, 24 December.
December 26th is observed on the same day.
New Year’s Day, 1st of January is observed on 7 January.
	-Katerina Athanatou</t>
      </text>
    </comment>
    <comment authorId="0" ref="JB36">
      <text>
        <t xml:space="preserve">Christmas Day and Saint Stephen’s day will be observed on 27 December Monday
New year’s Day will be observed on Monday 3 January 2022
	-Katerina Athanatou</t>
      </text>
    </comment>
    <comment authorId="0" ref="IL42">
      <text>
        <t xml:space="preserve">Recovering lost time for 12.7
	-Katerina Athanatou</t>
      </text>
    </comment>
    <comment authorId="0" ref="II42">
      <text>
        <t xml:space="preserve">Recovering lost time for 12.7
	-Katerina Athanatou</t>
      </text>
    </comment>
    <comment authorId="0" ref="IH42">
      <text>
        <t xml:space="preserve">Sick leave
	-Katerina Athanatou</t>
      </text>
    </comment>
    <comment authorId="0" ref="IG43">
      <text>
        <t xml:space="preserve">2 Hours earlier leave, due to personal reasons
	-Chris Joubert</t>
      </text>
    </comment>
    <comment authorId="0" ref="IG42">
      <text>
        <t xml:space="preserve">Network outage
	-Katerina Athanatou
1h 30min recovered on same day of outage
	-Katerina Athanatou</t>
      </text>
    </comment>
    <comment authorId="0" ref="JC47">
      <text>
        <t xml:space="preserve">Working day - due to PL regulations
	-Katerina Athanatou
Sick Leave
	-Katerina Athanatou</t>
      </text>
    </comment>
    <comment authorId="0" ref="IV47">
      <text>
        <t xml:space="preserve">Working day - due to PL regulations
	-Katerina Athanatou</t>
      </text>
    </comment>
    <comment authorId="0" ref="IE41">
      <text>
        <t xml:space="preserve">Sick Leave
	-Katerina Athanatou</t>
      </text>
    </comment>
    <comment authorId="0" ref="IG33">
      <text>
        <t xml:space="preserve">PC issues/outage
	-Katerina Athanatou</t>
      </text>
    </comment>
    <comment authorId="0" ref="IF33">
      <text>
        <t xml:space="preserve">PC issues/outage
	-Katerina Athanatou</t>
      </text>
    </comment>
    <comment authorId="0" ref="II7">
      <text>
        <t xml:space="preserve">Back holiday in Argentina: https://www.argentina.gob.ar/interior/feriados-nacionales-2021
	-Bianca Marini</t>
      </text>
    </comment>
    <comment authorId="0" ref="ID41">
      <text>
        <t xml:space="preserve">Sick Leave
	-Katerina Athanatou</t>
      </text>
    </comment>
    <comment authorId="0" ref="II15">
      <text>
        <t xml:space="preserve">Recovering lost time for 12.3
	-Katerina Athanatou</t>
      </text>
    </comment>
    <comment authorId="0" ref="GY20">
      <text>
        <t xml:space="preserve">Requested time off due to outage
	-Chris Joubert</t>
      </text>
    </comment>
    <comment authorId="0" ref="GX20">
      <text>
        <t xml:space="preserve">Requested time off due to outage
	-Chris Joubert</t>
      </text>
    </comment>
    <comment authorId="0" ref="HY43">
      <text>
        <t xml:space="preserve">2h early leave
	-Katerina Athanatou</t>
      </text>
    </comment>
    <comment authorId="0" ref="HY33">
      <text>
        <t xml:space="preserve">Computer Issues/Outage
	-Katerina Athanatou</t>
      </text>
    </comment>
    <comment authorId="0" ref="HY31">
      <text>
        <t xml:space="preserve">Added additional hours to recover lost time from outage
	-Chris Joubert</t>
      </text>
    </comment>
    <comment authorId="0" ref="HX31">
      <text>
        <t xml:space="preserve">Added additional hours to recover lost time from outage
	-Chris Joubert</t>
      </text>
    </comment>
    <comment authorId="0" ref="HW31">
      <text>
        <t xml:space="preserve">Outage
	-Chris Joubert</t>
      </text>
    </comment>
    <comment authorId="0" ref="HX33">
      <text>
        <t xml:space="preserve">Computer issues / Outage
	-Chris Joubert</t>
      </text>
    </comment>
    <comment authorId="0" ref="HW33">
      <text>
        <t xml:space="preserve">Computer issues / Outage
	-Chris Joubert</t>
      </text>
    </comment>
    <comment authorId="0" ref="HW42">
      <text>
        <t xml:space="preserve">Sick Leave
	-Chris Joubert</t>
      </text>
    </comment>
    <comment authorId="0" ref="HU43">
      <text>
        <t xml:space="preserve">2h early leave
	-Chris Joubert</t>
      </text>
    </comment>
    <comment authorId="0" ref="HV8">
      <text>
        <t xml:space="preserve">Recovering lost time for 11.25
	-Katerina Athanatou</t>
      </text>
    </comment>
    <comment authorId="0" ref="HT5">
      <text>
        <t xml:space="preserve">Recovering OT for 11.23
	-Katerina Athanatou</t>
      </text>
    </comment>
    <comment authorId="0" ref="IQ4">
      <text>
        <t xml:space="preserve">Day of Reconciliation  -BH
	-Chris Joubert</t>
      </text>
    </comment>
    <comment authorId="0" ref="HS5">
      <text>
        <t xml:space="preserve">Recovering OT for 11.22
	-Katerina Athanatou</t>
      </text>
    </comment>
    <comment authorId="0" ref="HR8">
      <text>
        <t xml:space="preserve">Sick leave
	-Katerina Athanatou</t>
      </text>
    </comment>
    <comment authorId="0" ref="HU10">
      <text>
        <t xml:space="preserve">Recovering lost time for 11.22
	-Katerina Athanatou</t>
      </text>
    </comment>
    <comment authorId="0" ref="HT10">
      <text>
        <t xml:space="preserve">Recovering lost time for 11.22
	-Katerina Athanatou</t>
      </text>
    </comment>
    <comment authorId="0" ref="HS10">
      <text>
        <t xml:space="preserve">Recovering lost time for 11.22
	-Katerina Athanatou</t>
      </text>
    </comment>
    <comment authorId="0" ref="HR10">
      <text>
        <t xml:space="preserve">Recovering lost time for 11.22
	-Katerina Athanatou</t>
      </text>
    </comment>
    <comment authorId="0" ref="HR33">
      <text>
        <t xml:space="preserve">Computer issues / Outage
	-Katerina Athanatou</t>
      </text>
    </comment>
    <comment authorId="0" ref="HQ10">
      <text>
        <t xml:space="preserve">Power Outage
	-Katerina Athanatou</t>
      </text>
    </comment>
    <comment authorId="0" ref="HR31">
      <text>
        <t xml:space="preserve">scheduled extra hour to recover lost time
	-Chris Joubert</t>
      </text>
    </comment>
    <comment authorId="0" ref="HQ31">
      <text>
        <t xml:space="preserve">Power outage - missed 2 hours, but stayed 1 hour past scheduled shift to recover
	-Chris Joubert</t>
      </text>
    </comment>
    <comment authorId="0" ref="HQ43">
      <text>
        <t xml:space="preserve">2h early leave
	-Chris Joubert</t>
      </text>
    </comment>
    <comment authorId="0" ref="HP33">
      <text>
        <t xml:space="preserve">Computer Issues/Outage
	-Katerina Athanatou</t>
      </text>
    </comment>
    <comment authorId="0" ref="HQ33">
      <text>
        <t xml:space="preserve">Computer Issues/Outage
	-Katerina Athanatou</t>
      </text>
    </comment>
    <comment authorId="0" ref="HT39">
      <text>
        <t xml:space="preserve">Transition to WED - THURS off
	-Chris Joubert</t>
      </text>
    </comment>
    <comment authorId="0" ref="HU16">
      <text>
        <t xml:space="preserve">Scheduled work day to recover lost 8 hours
	-Chris Joubert</t>
      </text>
    </comment>
    <comment authorId="0" ref="HN41">
      <text>
        <t xml:space="preserve">Recovering lost time for 11.17
	-Katerina Athanatou</t>
      </text>
    </comment>
    <comment authorId="0" ref="HM41">
      <text>
        <t xml:space="preserve">Recovering lost time for 11.17
	-Katerina Athanatou</t>
      </text>
    </comment>
    <comment authorId="0" ref="HQ32">
      <text>
        <t xml:space="preserve">Recovering lost time from 18th of Nov
	-Chris Joubert</t>
      </text>
    </comment>
    <comment authorId="0" ref="HM43">
      <text>
        <t xml:space="preserve">2h early leave
	-Chris Joubert</t>
      </text>
    </comment>
    <comment authorId="0" ref="HM16">
      <text>
        <t xml:space="preserve">Scheduled Power outage
	-Chris Joubert</t>
      </text>
    </comment>
    <comment authorId="0" ref="HK16">
      <text>
        <t xml:space="preserve">Power Outage
	-Katerina Athanatou</t>
      </text>
    </comment>
    <comment authorId="0" ref="GZ5">
      <text>
        <t xml:space="preserve">Recovering OT
	-Katerina Athanatou</t>
      </text>
    </comment>
    <comment authorId="0" ref="HL5">
      <text>
        <t xml:space="preserve">Recovering OT
	-Katerina Athanatou</t>
      </text>
    </comment>
    <comment authorId="0" ref="HJ5">
      <text>
        <t xml:space="preserve">Recovering OT
	-Katerina Athanatou</t>
      </text>
    </comment>
    <comment authorId="0" ref="HE5">
      <text>
        <t xml:space="preserve">Recovering OT
	-Katerina Athanatou</t>
      </text>
    </comment>
    <comment authorId="0" ref="HC5">
      <text>
        <t xml:space="preserve">Recovering OT
	-Katerina Athanatou</t>
      </text>
    </comment>
    <comment authorId="0" ref="HL41">
      <text>
        <t xml:space="preserve">Sick leave
	-Katerina Athanatou</t>
      </text>
    </comment>
    <comment authorId="0" ref="HL43">
      <text>
        <t xml:space="preserve">2h early leave
	-Katerina Athanatou</t>
      </text>
    </comment>
    <comment authorId="0" ref="HK43">
      <text>
        <t xml:space="preserve">2h early leave
	-Katerina Athanatou</t>
      </text>
    </comment>
    <comment authorId="0" ref="HJ43">
      <text>
        <t xml:space="preserve">2h early leave
	-Katerina Athanatou</t>
      </text>
    </comment>
    <comment authorId="0" ref="HM18">
      <text>
        <t xml:space="preserve">Day-swap with 11.18
	-Katerina Athanatou</t>
      </text>
    </comment>
    <comment authorId="0" ref="HK18">
      <text>
        <t xml:space="preserve">Day-swap with 11.18
	-Katerina Athanatou</t>
      </text>
    </comment>
    <comment authorId="0" ref="HH39">
      <text>
        <t xml:space="preserve">Sick leave
	-Katerina Athanatou</t>
      </text>
    </comment>
    <comment authorId="0" ref="HR39">
      <text>
        <t xml:space="preserve">Recovering lost time for 11.13
	-Katerina Athanatou</t>
      </text>
    </comment>
    <comment authorId="0" ref="HE33">
      <text>
        <t xml:space="preserve">Network Outage
	-Katerina Athanatou</t>
      </text>
    </comment>
    <comment authorId="0" ref="HH16">
      <text>
        <t xml:space="preserve">compensating lost time from 9th of Nov
	-Chris Joubert</t>
      </text>
    </comment>
    <comment authorId="0" ref="HF16">
      <text>
        <t xml:space="preserve">compensating lost time from 9th of Nov
	-Chris Joubert</t>
      </text>
    </comment>
    <comment authorId="0" ref="HE16">
      <text>
        <t xml:space="preserve">compensating lost time from 9th of Nov
	-Chris Joubert</t>
      </text>
    </comment>
    <comment authorId="0" ref="HD16">
      <text>
        <t xml:space="preserve">compensating lost time from 9th of Nov
	-Chris Joubert</t>
      </text>
    </comment>
    <comment authorId="0" ref="HB16">
      <text>
        <t xml:space="preserve">Missed 4 hours due to internet outage
	-Chris Joubert</t>
      </text>
    </comment>
    <comment authorId="0" ref="HC43">
      <text>
        <t xml:space="preserve">Adjusted due to emergency leave
	-Chris Joubert</t>
      </text>
    </comment>
    <comment authorId="0" ref="HC33">
      <text>
        <t xml:space="preserve">Laptop issues
	-Katerina Athanatou</t>
      </text>
    </comment>
    <comment authorId="0" ref="HC42">
      <text>
        <t xml:space="preserve">Emergency Leave
	-Katerina Athanatou</t>
      </text>
    </comment>
    <comment authorId="0" ref="HD32">
      <text>
        <t xml:space="preserve">Day-swap request
Exchanged 11.9 with 11.11
	-Katerina Athanatou</t>
      </text>
    </comment>
    <comment authorId="0" ref="HC32">
      <text>
        <t xml:space="preserve">Day-swap request
Exchanged 11.8 with 11.10
	-Katerina Athanatou</t>
      </text>
    </comment>
    <comment authorId="0" ref="GY35">
      <text>
        <t xml:space="preserve">Personal leave due to 2nd Vaccine shot
	-Chris Joubert</t>
      </text>
    </comment>
    <comment authorId="0" ref="HR38">
      <text>
        <t xml:space="preserve">Day-swap request
11.21 swapped with 11.23
	-Katerina Athanatou</t>
      </text>
    </comment>
    <comment authorId="0" ref="HP38">
      <text>
        <t xml:space="preserve">Day-swap request
11.21 swapped with 11.23
	-Katerina Athanatou</t>
      </text>
    </comment>
    <comment authorId="0" ref="GX42">
      <text>
        <t xml:space="preserve">Power Outage - Recovering 1h 40 min on the same day
► EoS 10:40 UTC
	-Katerina Athanatou</t>
      </text>
    </comment>
    <comment authorId="0" ref="GW33">
      <text>
        <t xml:space="preserve">Outage due to technical malfunction
	-Chris Joubert</t>
      </text>
    </comment>
    <comment authorId="0" ref="GZ6">
      <text>
        <t xml:space="preserve">Uncovering 3h worked during Bank Holiday on 11.1
	-Katerina Athanatou</t>
      </text>
    </comment>
    <comment authorId="0" ref="GV6">
      <text>
        <t xml:space="preserve">Bank Holiday - Accidentally worked 3h
	-Katerina Athanatou</t>
      </text>
    </comment>
    <comment authorId="0" ref="GV40">
      <text>
        <t xml:space="preserve">Didn't know BH procedure so clocked in at 8UTC - to 11:30 UTC. (worked 3,5 hours).
	-Bianca Marini</t>
      </text>
    </comment>
    <comment authorId="0" ref="GV4">
      <text>
        <t xml:space="preserve">Voting Day in South Africa
	-Chris Joubert</t>
      </text>
    </comment>
    <comment authorId="0" ref="GV32">
      <text>
        <t xml:space="preserve">Shift Flex due to 2nd covid shot in 02/11
	-Chris Joubert</t>
      </text>
    </comment>
    <comment authorId="0" ref="HF17">
      <text>
        <t xml:space="preserve">Final Working Day
	-Chris Joubert</t>
      </text>
    </comment>
    <comment authorId="0" ref="GQ4">
      <text>
        <t xml:space="preserve">Worked 3 hours less to recover OT
	-Chris Joubert</t>
      </text>
    </comment>
    <comment authorId="0" ref="GO4">
      <text>
        <t xml:space="preserve">OT for 1 hour and 10 min
	-Chris Joubert</t>
      </text>
    </comment>
    <comment authorId="0" ref="GO10">
      <text>
        <t xml:space="preserve">Sick day
	-Chris Joubert</t>
      </text>
    </comment>
    <comment authorId="0" ref="GI11">
      <text>
        <t xml:space="preserve">Recovered 1 hr OT
	-Sofia Vakidou</t>
      </text>
    </comment>
    <comment authorId="0" ref="GH11">
      <text>
        <t xml:space="preserve">1:15 OT
	-Sofia Vakidou</t>
      </text>
    </comment>
    <comment authorId="0" ref="GJ5">
      <text>
        <t xml:space="preserve">Uncovering OT done on 10.20
	-Katerina Athanatou</t>
      </text>
    </comment>
    <comment authorId="0" ref="GF4">
      <text>
        <t xml:space="preserve">30 Min OT
	-Chris Joubert</t>
      </text>
    </comment>
    <comment authorId="0" ref="GH4">
      <text>
        <t xml:space="preserve">50 Min OT
	-Chris Joubert</t>
      </text>
    </comment>
    <comment authorId="0" ref="GH33">
      <text>
        <t xml:space="preserve">Technical issues with laptop
	-Katerina Athanatou</t>
      </text>
    </comment>
    <comment authorId="0" ref="GN38">
      <text>
        <t xml:space="preserve">Recovering 8hs for PL on 21st
	-Katerina Athanatou</t>
      </text>
    </comment>
    <comment authorId="0" ref="GJ38">
      <text>
        <t xml:space="preserve">+1.5 hours to recover lost time on the 10.13
	-Katerina Athanatou</t>
      </text>
    </comment>
    <comment authorId="0" ref="HY19">
      <text>
        <t xml:space="preserve">PTO Request till Dec 3rd
	-Chris Joubert</t>
      </text>
    </comment>
    <comment authorId="0" ref="HX19">
      <text>
        <t xml:space="preserve">PTO Request till Dec 3rd
	-Chris Joubert</t>
      </text>
    </comment>
    <comment authorId="0" ref="HU19">
      <text>
        <t xml:space="preserve">PTO request till Dec 3rd
	-Chris Joubert</t>
      </text>
    </comment>
    <comment authorId="0" ref="GI38">
      <text>
        <t xml:space="preserve">Needs to recover 1h30mins for 13/10 outage
	-Bianca Marini
Time-off request, will recover 1.5 hours on the 22nd
	-Katerina Athanatou</t>
      </text>
    </comment>
    <comment authorId="0" ref="GH38">
      <text>
        <t xml:space="preserve">Needs to recover 1 hour for 13/10 outage
	-Bianca Marini</t>
      </text>
    </comment>
    <comment authorId="0" ref="GB38">
      <text>
        <t xml:space="preserve">Power outage - 1 hour recovery from 10/12
	-Bianca Marini</t>
      </text>
    </comment>
    <comment authorId="0" ref="GC7">
      <text>
        <t xml:space="preserve">Recovered 1h10mins OT
New for today: 30m
Pending: 1h
Total up to today: 1h30m
	-Bianca Marini</t>
      </text>
    </comment>
    <comment authorId="0" ref="GE27">
      <text>
        <t xml:space="preserve">recovering lost time due to outage
	-Chris Joubert</t>
      </text>
    </comment>
    <comment authorId="0" ref="GB27">
      <text>
        <t xml:space="preserve">Lost time due to outage
	-Chris Joubert</t>
      </text>
    </comment>
    <comment authorId="0" ref="GF5">
      <text>
        <t xml:space="preserve">Uncovering Overtime done on 10.14
	-Katerina Athanatou</t>
      </text>
    </comment>
    <comment authorId="0" ref="GA38">
      <text>
        <t xml:space="preserve">Power outage
	-Katerina Athanatou
Power outage 2.5 h.
Also recovered 1 hour from previous day. Total 5.5
	-Bianca Marini</t>
      </text>
    </comment>
    <comment authorId="0" ref="GA7">
      <text>
        <t xml:space="preserve">Recovering OT from 10/05 30 mins (remaining 60 mins).
+30 mins new OT.
total 1h30mins
	-Bianca Marini</t>
      </text>
    </comment>
    <comment authorId="0" ref="FZ38">
      <text>
        <t xml:space="preserve">Power Outage
	-Katerina Athanatou</t>
      </text>
    </comment>
    <comment authorId="0" ref="GA5">
      <text>
        <t xml:space="preserve">Recovering OT from 10.12
	-Katerina Athanatou</t>
      </text>
    </comment>
    <comment authorId="0" ref="FZ4">
      <text>
        <t xml:space="preserve">Sick Leave
	-Chris Joubert</t>
      </text>
    </comment>
    <comment authorId="0" ref="GB16">
      <text>
        <t xml:space="preserve">Recovering lost time for 10.9
	-Katerina Athanatou</t>
      </text>
    </comment>
    <comment authorId="0" ref="FZ25">
      <text>
        <t xml:space="preserve">Starting Later - "Jury Duty"
	-Chris Joubert
Started at 9:15 AM UTC
	-Chris Joubert</t>
      </text>
    </comment>
    <comment authorId="0" ref="GA16">
      <text>
        <t xml:space="preserve">Recovering lost time for 10.9
	-Katerina Athanatou</t>
      </text>
    </comment>
    <comment authorId="0" ref="FW16">
      <text>
        <t xml:space="preserve">Emergency Leave
	-Katerina Athanatou</t>
      </text>
    </comment>
    <comment authorId="0" ref="FY5">
      <text>
        <t xml:space="preserve">Recovering 1h of OT from last week that was not recovered prior
	-Katerina Athanatou</t>
      </text>
    </comment>
    <comment authorId="0" ref="FV4">
      <text>
        <t xml:space="preserve">Worked 30 min OT due to interview with candidate
	-Chris Joubert</t>
      </text>
    </comment>
    <comment authorId="0" ref="FV11">
      <text>
        <t xml:space="preserve">Recovered 2.5 hours OT
	-Sofia Vakidou</t>
      </text>
    </comment>
    <comment authorId="0" ref="FS11">
      <text>
        <t xml:space="preserve">30 mins OT
	-Sofia Vakidou</t>
      </text>
    </comment>
    <comment authorId="0" ref="FR11">
      <text>
        <t xml:space="preserve">2 hours over time
	-Sofia Vakidou</t>
      </text>
    </comment>
    <comment authorId="0" ref="FO20">
      <text>
        <t xml:space="preserve">Lateness due to shift-change confusion
	-Katerina Athanatou</t>
      </text>
    </comment>
    <comment authorId="0" ref="FV5">
      <text>
        <t xml:space="preserve">Recovered 0.5hs of OT for 10.5
	-Katerina Athanatou</t>
      </text>
    </comment>
    <comment authorId="0" ref="FT5">
      <text>
        <t xml:space="preserve">Recovered 30mins of OT for 10.5
	-Katerina Athanatou</t>
      </text>
    </comment>
    <comment authorId="0" ref="FU9">
      <text>
        <t xml:space="preserve">Left early due to medical reasons
	-Chris Joubert</t>
      </text>
    </comment>
    <comment authorId="0" ref="FV35">
      <text>
        <t xml:space="preserve">recovered time from outage by working 20 min extra
	-Chris Joubert</t>
      </text>
    </comment>
    <comment authorId="0" ref="FU35">
      <text>
        <t xml:space="preserve">Power Outage
	-Chris Joubert</t>
      </text>
    </comment>
    <comment authorId="0" ref="FS7">
      <text>
        <t xml:space="preserve">30 mins OT to complete additional tasks
	-Bianca Marini</t>
      </text>
    </comment>
    <comment authorId="0" ref="FR7">
      <text>
        <t xml:space="preserve">1 hour OT to complete additional tasks
	-Bianca Marini</t>
      </text>
    </comment>
    <comment authorId="0" ref="FU4">
      <text>
        <t xml:space="preserve">2 hours worked less to recover OT
	-Chris Joubert</t>
      </text>
    </comment>
    <comment authorId="0" ref="FT4">
      <text>
        <t xml:space="preserve">0.5 hours OT done to complete additional tasks
	-Chris Joubert</t>
      </text>
    </comment>
    <comment authorId="0" ref="FR4">
      <text>
        <t xml:space="preserve">1.5 hours OT done to complete additional tasks
	-Chris Joubert</t>
      </text>
    </comment>
    <comment authorId="0" ref="FW20">
      <text>
        <t xml:space="preserve">Recovering 3h for 10.1
	-Katerina Athanatou</t>
      </text>
    </comment>
    <comment authorId="0" ref="FY17">
      <text>
        <t xml:space="preserve">Switched with BH on Tue 12th
	-Chris Joubert</t>
      </text>
    </comment>
    <comment authorId="0" ref="FT31">
      <text>
        <t xml:space="preserve">Emergency leave
	-Chris Joubert</t>
      </text>
    </comment>
    <comment authorId="0" ref="FV28">
      <text>
        <t xml:space="preserve">Recovering lost time for 10.5
	-Katerina Athanatou</t>
      </text>
    </comment>
    <comment authorId="0" ref="FT28">
      <text>
        <t xml:space="preserve">Recovering lost time for 10.5
	-Katerina Athanatou</t>
      </text>
    </comment>
    <comment authorId="0" ref="FS28">
      <text>
        <t xml:space="preserve">Emergency Leave
	-Katerina Athanatou</t>
      </text>
    </comment>
    <comment authorId="0" ref="FU28">
      <text>
        <t xml:space="preserve">Recovering lost time for 10.5
	-Katerina Athanatou</t>
      </text>
    </comment>
    <comment authorId="0" ref="FR33">
      <text>
        <t xml:space="preserve">Flex to shadow Ramzi
	-Chris Joubert</t>
      </text>
    </comment>
    <comment authorId="0" ref="FQ33">
      <text>
        <t xml:space="preserve">Flex to shadow Ramzi
	-Chris Joubert</t>
      </text>
    </comment>
    <comment authorId="0" ref="FP33">
      <text>
        <t xml:space="preserve">Flex to shadow Ramzi
	-Chris Joubert</t>
      </text>
    </comment>
    <comment authorId="0" ref="FP10">
      <text>
        <t xml:space="preserve">Emergency Leave
	-Katerina Athanatou</t>
      </text>
    </comment>
    <comment authorId="0" ref="FO22">
      <text>
        <t xml:space="preserve">Outage
	-Katerina Athanatou</t>
      </text>
    </comment>
    <comment authorId="0" ref="FY7">
      <text>
        <t xml:space="preserve">National Holiday - Argentina
	-Bianca Marini</t>
      </text>
    </comment>
    <comment authorId="0" ref="FV7">
      <text>
        <t xml:space="preserve">National Holiday - Argentina
	-Bianca Marini</t>
      </text>
    </comment>
    <comment authorId="0" ref="FL28">
      <text>
        <t xml:space="preserve">Power Outage
	-Katerina Athanatou
3h recovered on the same day
	-Katerina Athanatou</t>
      </text>
    </comment>
    <comment authorId="0" ref="FO8">
      <text>
        <t xml:space="preserve">16:00 till 01:00 shift flex
	-Chris Joubert</t>
      </text>
    </comment>
    <comment authorId="0" ref="FL8">
      <text>
        <t xml:space="preserve">16:00 till 01:00 shift flex
	-Chris Joubert</t>
      </text>
    </comment>
    <comment authorId="0" ref="FK8">
      <text>
        <t xml:space="preserve">16:00 till 01:00 shift flex
	-Chris Joubert</t>
      </text>
    </comment>
    <comment authorId="0" ref="FJ8">
      <text>
        <t xml:space="preserve">16:00 till 01:00 shift flex
	-Chris Joubert</t>
      </text>
    </comment>
    <comment authorId="0" ref="FI8">
      <text>
        <t xml:space="preserve">16:00 till 01:00 shift flex
	-Chris Joubert</t>
      </text>
    </comment>
    <comment authorId="0" ref="FE19">
      <text>
        <t xml:space="preserve">Compensated time for Mon 20th
	-Chris Joubert</t>
      </text>
    </comment>
    <comment authorId="0" ref="FB19">
      <text>
        <t xml:space="preserve">Offline due to personal reasons - time to be compensated on Thurs 23rd
	-Chris Joubert</t>
      </text>
    </comment>
    <comment authorId="0" ref="FL20">
      <text>
        <t xml:space="preserve">Compensation for lost time on 17th Sept
	-Chris Joubert</t>
      </text>
    </comment>
    <comment authorId="0" ref="FK20">
      <text>
        <t xml:space="preserve">Compensation for lost time on 17th Sept
	-Chris Joubert
4h worked - outage - 5hs to recover
	-Katerina Athanatou</t>
      </text>
    </comment>
    <comment authorId="0" ref="FJ20">
      <text>
        <t xml:space="preserve">Compensation for lost time on 17th Sept
	-Chris Joubert</t>
      </text>
    </comment>
    <comment authorId="0" ref="FI20">
      <text>
        <t xml:space="preserve">Compensation for lost time on 17th Sept
	-Chris Joubert</t>
      </text>
    </comment>
    <comment authorId="0" ref="FF20">
      <text>
        <t xml:space="preserve">Compensation for lost time on 17th Sept
	-Chris Joubert</t>
      </text>
    </comment>
    <comment authorId="0" ref="FE20">
      <text>
        <t xml:space="preserve">Compensation for lost time on 17th Sept
	-Chris Joubert</t>
      </text>
    </comment>
    <comment authorId="0" ref="FD20">
      <text>
        <t xml:space="preserve">Compensation for lost time on 17th Sept
	-Chris Joubert</t>
      </text>
    </comment>
    <comment authorId="0" ref="FC20">
      <text>
        <t xml:space="preserve">Compensation for lost time on 17th Sept
	-Chris Joubert</t>
      </text>
    </comment>
    <comment authorId="0" ref="FB20">
      <text>
        <t xml:space="preserve">Compensation for lost time on 17th Sept
	-Chris Joubert</t>
      </text>
    </comment>
    <comment authorId="0" ref="FL10">
      <text>
        <t xml:space="preserve">Compensation for lost hours
	-Chris Joubert</t>
      </text>
    </comment>
    <comment authorId="0" ref="FE10">
      <text>
        <t xml:space="preserve">Compensation for lost hours
	-Chris Joubert</t>
      </text>
    </comment>
    <comment authorId="0" ref="EX10">
      <text>
        <t xml:space="preserve">Compensation for lost hours
	-Chris Joubert</t>
      </text>
    </comment>
    <comment authorId="0" ref="EY20">
      <text>
        <t xml:space="preserve">Network outage
	-Katerina Athanatou</t>
      </text>
    </comment>
    <comment authorId="0" ref="EX20">
      <text>
        <t xml:space="preserve">Network outage
	-Katerina Athanatou</t>
      </text>
    </comment>
    <comment authorId="0" ref="ES9">
      <text>
        <t xml:space="preserve">Scheduled training time
	-Katerina Athanatou</t>
      </text>
    </comment>
    <comment authorId="0" ref="FH17">
      <text>
        <t xml:space="preserve">Work day to recover lost time
	-Chris Joubert</t>
      </text>
    </comment>
    <comment authorId="0" ref="ET7">
      <text>
        <t xml:space="preserve">3 hours lost due to internet connection outage
	-Chris Joubert</t>
      </text>
    </comment>
    <comment authorId="0" ref="EV7">
      <text>
        <t xml:space="preserve">Recovering lost time from Sept 12th
	-Chris Joubert</t>
      </text>
    </comment>
    <comment authorId="0" ref="FG23">
      <text>
        <t xml:space="preserve">Start 2 hours earlier at 6am UTC
	-Chris Joubert</t>
      </text>
    </comment>
    <comment authorId="0" ref="EZ8">
      <text>
        <t xml:space="preserve">Compensated hours for off day on 15th
	-Chris Joubert</t>
      </text>
    </comment>
    <comment authorId="0" ref="ES20">
      <text>
        <t xml:space="preserve">Recover time for 8th of Sept
	-Katerina Athanatou</t>
      </text>
    </comment>
    <comment authorId="0" ref="EP20">
      <text>
        <t xml:space="preserve">Network outage
	-Katerina Athanatou</t>
      </text>
    </comment>
    <comment authorId="0" ref="EN10">
      <text>
        <t xml:space="preserve">Outage
	-Katerina Athanatou</t>
      </text>
    </comment>
    <comment authorId="0" ref="FD28">
      <text>
        <t xml:space="preserve">Time compensations for personal time off
	-Chris Joubert
Recovering 9/7
	-Katerina Athanatou</t>
      </text>
    </comment>
    <comment authorId="0" ref="EW28">
      <text>
        <t xml:space="preserve">Time compensations for personal time off
	-Chris Joubert
Recovering 9/3
	-Katerina Athanatou</t>
      </text>
    </comment>
    <comment authorId="0" ref="EN19">
      <text>
        <t xml:space="preserve">Partial leave
	-Katerina Athanatou</t>
      </text>
    </comment>
    <comment authorId="0" ref="E7">
      <text>
        <t xml:space="preserve">8am-5pm Sunday
	-Chris Joubert</t>
      </text>
    </comment>
    <comment authorId="0" ref="EQ19">
      <text>
        <t xml:space="preserve">Recovering lost time for the 4th of September
	-Katerina Athanatou</t>
      </text>
    </comment>
    <comment authorId="0" ref="EN23">
      <text>
        <t xml:space="preserve">Recovering for the 9/4
	-Katerina Athanatou</t>
      </text>
    </comment>
    <comment authorId="0" ref="EK8">
      <text>
        <t xml:space="preserve">Working 16:00-1:00 to recover lost time during day shift
	-Katerina Athanatou</t>
      </text>
    </comment>
    <comment authorId="0" ref="EF19">
      <text>
        <t xml:space="preserve">Half-day personal leave.
	-Katerina Athanatou</t>
      </text>
    </comment>
    <comment authorId="0" ref="DZ10">
      <text>
        <t xml:space="preserve">Half-shift time off
	-Katerina Athanatou</t>
      </text>
    </comment>
    <comment authorId="0" ref="EF10">
      <text>
        <t xml:space="preserve">Network Outage
	-Katerina Athanatou</t>
      </text>
    </comment>
    <comment authorId="0" ref="EO9">
      <text>
        <t xml:space="preserve">National Holiday - Brazil
	-Chris Joubert</t>
      </text>
    </comment>
    <comment authorId="0" ref="EF26">
      <text>
        <t xml:space="preserve">Recovering lost time for the 29th of August
	-Katerina Athanatou</t>
      </text>
    </comment>
    <comment authorId="0" ref="EE26">
      <text>
        <t xml:space="preserve">Recovering lost time for the 29th of August
	-Katerina Athanatou</t>
      </text>
    </comment>
    <comment authorId="0" ref="EA21">
      <text>
        <t xml:space="preserve">1h Network outage - recovered on the same day until 10:00 UTC
	-Katerina Athanatou</t>
      </text>
    </comment>
    <comment authorId="0" ref="EA12">
      <text>
        <t xml:space="preserve">Outage
	-Katerina Athanatou</t>
      </text>
    </comment>
    <comment authorId="0" ref="ED12">
      <text>
        <t xml:space="preserve">Compensations for lost time on 25th
	-Chris Joubert</t>
      </text>
    </comment>
    <comment authorId="0" ref="EC12">
      <text>
        <t xml:space="preserve">Compensations for lost time on 25th
	-Chris Joubert
----
Recovering lost time at 8/5
	-Katerina Athanatou</t>
      </text>
    </comment>
    <comment authorId="0" ref="DZ12">
      <text>
        <t xml:space="preserve">Outage - to compensate on other days
	-Chris Joubert</t>
      </text>
    </comment>
    <comment authorId="0" ref="DV26">
      <text>
        <t xml:space="preserve">Corrected due to power outage
	-Chris Joubert</t>
      </text>
    </comment>
    <comment authorId="0" ref="EB8">
      <text>
        <t xml:space="preserve">Temp shift change to 16.00-01.00
	-Chris Joubert</t>
      </text>
    </comment>
    <comment authorId="0" ref="EA8">
      <text>
        <t xml:space="preserve">Temp shift change to 16.00-01.00
	-Chris Joubert</t>
      </text>
    </comment>
    <comment authorId="0" ref="DZ8">
      <text>
        <t xml:space="preserve">Temp shift change to 16.00-01.00
	-Chris Joubert</t>
      </text>
    </comment>
    <comment authorId="0" ref="DY8">
      <text>
        <t xml:space="preserve">Temp shift change to 16.00-01.00
	-Chris Joubert</t>
      </text>
    </comment>
    <comment authorId="0" ref="DX8">
      <text>
        <t xml:space="preserve">Temp shift change to 16.00-01.00
	-Chris Joubert</t>
      </text>
    </comment>
    <comment authorId="0" ref="DS20">
      <text>
        <t xml:space="preserve">Power outage (no break taken)
	-Katerina Athanatou</t>
      </text>
    </comment>
    <comment authorId="0" ref="ED10">
      <text>
        <t xml:space="preserve">2h compensation for 15th &amp; 17th
	-Katerina Athanatou</t>
      </text>
    </comment>
    <comment authorId="0" ref="EC10">
      <text>
        <t xml:space="preserve">2h compensation for 15th &amp; 17th
	-Katerina Athanatou</t>
      </text>
    </comment>
    <comment authorId="0" ref="EB10">
      <text>
        <t xml:space="preserve">2h compensation for 15th &amp; 17th
	-Katerina Athanatou</t>
      </text>
    </comment>
    <comment authorId="0" ref="DY10">
      <text>
        <t xml:space="preserve">2h compensation for 15th &amp; 17th
	-Katerina Athanatou
----
Extra hour to recover lost time from 10/08
	-Chris Joubert</t>
      </text>
    </comment>
    <comment authorId="0" ref="DX10">
      <text>
        <t xml:space="preserve">2h compensation for 15th &amp; 17th
	-Katerina Athanatou
----
Extra hour to recover lost time from 10/08
	-Chris Joubert</t>
      </text>
    </comment>
    <comment authorId="0" ref="DW10">
      <text>
        <t xml:space="preserve">2h compensation for 15th &amp; 17th
	-Katerina Athanatou</t>
      </text>
    </comment>
    <comment authorId="0" ref="DV10">
      <text>
        <t xml:space="preserve">2h compensation for 15th &amp; 17th
	-Katerina Athanatou</t>
      </text>
    </comment>
    <comment authorId="0" ref="DU10">
      <text>
        <t xml:space="preserve">2h compensation for 15th &amp; 17th
	-Katerina Athanatou
----
Extra hour to recover lost time from 10/08
	-Chris Joubert</t>
      </text>
    </comment>
    <comment authorId="0" ref="DO9">
      <text>
        <t xml:space="preserve">Technical issues for the last 2h of shift
	-Katerina Athanatou</t>
      </text>
    </comment>
    <comment authorId="0" ref="DR7">
      <text>
        <t xml:space="preserve">Recovering 3 hours oflost time from 8/15
	-Katerina Athanatou</t>
      </text>
    </comment>
    <comment authorId="0" ref="DP7">
      <text>
        <t xml:space="preserve">Laptop Issues/Outage
	-Katerina Athanatou</t>
      </text>
    </comment>
    <comment authorId="0" ref="DT19">
      <text>
        <t xml:space="preserve">Recovering time lost for the 8/14
	-Katerina Athanatou</t>
      </text>
    </comment>
    <comment authorId="0" ref="DO19">
      <text>
        <t xml:space="preserve">Scheduled power outage
	-Katerina Athanatou</t>
      </text>
    </comment>
    <comment authorId="0" ref="EA10">
      <text>
        <t xml:space="preserve">Extra hour to recover lost time from 10/08
	-Chris Joubert</t>
      </text>
    </comment>
    <comment authorId="0" ref="DT10">
      <text>
        <t xml:space="preserve">Extra hour to recover lost time from 10/08
	-Chris Joubert</t>
      </text>
    </comment>
    <comment authorId="0" ref="DS10">
      <text>
        <t xml:space="preserve">Extra hour to recover lost time from 10/08
	-Chris Joubert</t>
      </text>
    </comment>
    <comment authorId="0" ref="DR10">
      <text>
        <t xml:space="preserve">Extra hour to recover lost time from 10/08
	-Chris Joubert</t>
      </text>
    </comment>
    <comment authorId="0" ref="DI4">
      <text>
        <t xml:space="preserve">Full day to recover half days from 04/08 and 06/08
	-Chris Joubert</t>
      </text>
    </comment>
    <comment authorId="0" ref="DG4">
      <text>
        <t xml:space="preserve">Half day flex - working full day on 08/08
	-Chris Joubert</t>
      </text>
    </comment>
    <comment authorId="0" ref="DE4">
      <text>
        <t xml:space="preserve">Half day flex - working full day on 08/08
	-Chris Joubert</t>
      </text>
    </comment>
    <comment authorId="0" ref="DE9">
      <text>
        <t xml:space="preserve">Emergency Leave
	-Katerina Athanatou</t>
      </text>
    </comment>
    <comment authorId="0" ref="DF12">
      <text>
        <t xml:space="preserve">Reported Outage
	-Katerina Athanatou</t>
      </text>
    </comment>
    <comment authorId="0" ref="DX27">
      <text>
        <t xml:space="preserve">Compensation for hour of personal leave on 7/8
	-Chris Joubert
Compensation invalid.
	-Katerina Athanatou</t>
      </text>
    </comment>
    <comment authorId="0" ref="DQ27">
      <text>
        <t xml:space="preserve">Compensation for hour of personal leave on 6/8
	-Chris Joubert
Compensation invalid.
	-Katerina Athanatou</t>
      </text>
    </comment>
    <comment authorId="0" ref="DJ27">
      <text>
        <t xml:space="preserve">Compensation for hour of personal leave on 5/8
	-Chris Joubert</t>
      </text>
    </comment>
    <comment authorId="0" ref="EC6">
      <text>
        <t xml:space="preserve">Compensation for personal leave on 13th of Aug
	-Chris Joubert</t>
      </text>
    </comment>
    <comment authorId="0" ref="DV6">
      <text>
        <t xml:space="preserve">Compensation for personal leave on 12th of Aug
	-Chris Joubert</t>
      </text>
    </comment>
    <comment authorId="0" ref="DI8">
      <text>
        <t xml:space="preserve">Compensation for hours taken off on 09/08/2021
	-Chris Joubert</t>
      </text>
    </comment>
    <comment authorId="0" ref="CI6">
      <text>
        <t xml:space="preserve">EL due to outage
	-Katerina Athanatou</t>
      </text>
    </comment>
    <comment authorId="0" ref="CP10">
      <text>
        <t xml:space="preserve">Off Day switched per agent's request
	-Chris Joubert</t>
      </text>
    </comment>
    <comment authorId="0" ref="CN10">
      <text>
        <t xml:space="preserve">Off Day switched per agent's request
	-Chris Joubert</t>
      </text>
    </comment>
    <comment authorId="0" ref="CL10">
      <text>
        <t xml:space="preserve">Extra hour to recover lost time
	-Chris Joubert</t>
      </text>
    </comment>
    <comment authorId="0" ref="CK10">
      <text>
        <t xml:space="preserve">Extra hour to recover lost time
	-Chris Joubert</t>
      </text>
    </comment>
    <comment authorId="0" ref="CJ10">
      <text>
        <t xml:space="preserve">Extra hour to recover lost time
	-Chris Joubert</t>
      </text>
    </comment>
    <comment authorId="0" ref="CG10">
      <text>
        <t xml:space="preserve">Extra hour to recover lost time
	-Chris Joubert</t>
      </text>
    </comment>
    <comment authorId="0" ref="CF10">
      <text>
        <t xml:space="preserve">Extra hour to recover lost time
	-Chris Joubert</t>
      </text>
    </comment>
    <comment authorId="0" ref="CE10">
      <text>
        <t xml:space="preserve">Extra hour to recover lost time
	-Chris Joubert</t>
      </text>
    </comment>
    <comment authorId="0" ref="CD10">
      <text>
        <t xml:space="preserve">Extra hour to recover lost time
	-Chris Joubert</t>
      </text>
    </comment>
    <comment authorId="0" ref="CC10">
      <text>
        <t xml:space="preserve">Early leave due to personal reasons
	-Chris Joubert</t>
      </text>
    </comment>
    <comment authorId="0" ref="CJ22">
      <text>
        <t xml:space="preserve">1 hour extra to recover personal leave
	-Chris Joubert</t>
      </text>
    </comment>
    <comment authorId="0" ref="CB28">
      <text>
        <t xml:space="preserve">Recovering lost training time
	-Katerina Athanatou</t>
      </text>
    </comment>
    <comment authorId="0" ref="BZ13">
      <text>
        <t xml:space="preserve">Technical Issues - Outage
	-Katerina Athanatou</t>
      </text>
    </comment>
    <comment authorId="0" ref="BZ10">
      <text>
        <t xml:space="preserve">emergency personal leave - approved by Chris
	-Chris Joubert</t>
      </text>
    </comment>
    <comment authorId="0" ref="CI22">
      <text>
        <t xml:space="preserve">1 hour extra to recover personal leave
	-Chris Joubert</t>
      </text>
    </comment>
    <comment authorId="0" ref="CH22">
      <text>
        <t xml:space="preserve">1 hour extra to recover personal leave
	-Chris Joubert</t>
      </text>
    </comment>
    <comment authorId="0" ref="CG22">
      <text>
        <t xml:space="preserve">1 hour extra to recover personal leave
	-Chris Joubert
Half an hour completed, pending 0.5h for another day
	-Katerina Athanatou</t>
      </text>
    </comment>
    <comment authorId="0" ref="CF22">
      <text>
        <t xml:space="preserve">1 hour extra to recover personal leave
	-Chris Joubert</t>
      </text>
    </comment>
    <comment authorId="0" ref="CA22">
      <text>
        <t xml:space="preserve">1 hour extra to recover personal leave
	-Chris Joubert</t>
      </text>
    </comment>
    <comment authorId="0" ref="BZ22">
      <text>
        <t xml:space="preserve">1 hour extra to recover personal leave
	-Chris Joubert</t>
      </text>
    </comment>
    <comment authorId="0" ref="CC7">
      <text>
        <t xml:space="preserve">Public Holiday
	-Bianca Marini</t>
      </text>
    </comment>
    <comment authorId="0" ref="BZ28">
      <text>
        <t xml:space="preserve">Half day personal leave
	-Chris Joubert</t>
      </text>
    </comment>
    <comment authorId="0" ref="CC9">
      <text>
        <t xml:space="preserve">Public Holiday
	-Chris Joubert</t>
      </text>
    </comment>
    <comment authorId="0" ref="BK7">
      <text>
        <t xml:space="preserve">1h Emergency Leave
	-Katerina Athanatou</t>
      </text>
    </comment>
    <comment authorId="0" ref="BP19">
      <text>
        <t xml:space="preserve">Personal Leave at - 2PM UTC
	-Chris Joubert</t>
      </text>
    </comment>
    <comment authorId="0" ref="BM26">
      <text>
        <t xml:space="preserve">Half day training  - other work commitment still
	-Chris Joubert</t>
      </text>
    </comment>
    <comment authorId="0" ref="BI5">
      <text>
        <t xml:space="preserve">Public Holiday
	-Katerina Athanatou</t>
      </text>
    </comment>
    <comment authorId="0" ref="BI7">
      <text>
        <t xml:space="preserve">Public Holiday
	-Chris Joubert</t>
      </text>
    </comment>
    <comment authorId="0" ref="AY24">
      <text>
        <t xml:space="preserve">Offline due to technical issue
	-Chris Joubert</t>
      </text>
    </comment>
    <comment authorId="0" ref="AW6">
      <text>
        <t xml:space="preserve">Transperfect orientation
	-Chris Joubert</t>
      </text>
    </comment>
    <comment authorId="0" ref="AP9">
      <text>
        <t xml:space="preserve">Technical issues
	-Chris Joubert
Agent had technical issues but was able to reply to and resolve existing issues
	-Chris Joubert</t>
      </text>
    </comment>
    <comment authorId="0" ref="AH8">
      <text>
        <t xml:space="preserve">Medical Day
	-Chris Joubert</t>
      </text>
    </comment>
    <comment authorId="0" ref="AB4">
      <text>
        <t xml:space="preserve">Medical appointment
	-Chris Joubert</t>
      </text>
    </comment>
    <comment authorId="0" ref="AF7">
      <text>
        <t xml:space="preserve">Public Holiday
	-Chris Joubert</t>
      </text>
    </comment>
    <comment authorId="0" ref="AA6">
      <text>
        <t xml:space="preserve">remote training at 10:00 UTC
	-Chris Joubert</t>
      </text>
    </comment>
    <comment authorId="0" ref="Z7">
      <text>
        <t xml:space="preserve">7 h (39h SP shift)
	-Diana Dobrovolskaja</t>
      </text>
    </comment>
    <comment authorId="0" ref="U6">
      <text>
        <t xml:space="preserve">follow up from wed, starting later
	-Chris Joubert
----
Catch up for past public holiday worked on
	-Chris Joubert</t>
      </text>
    </comment>
    <comment authorId="0" ref="T6">
      <text>
        <t xml:space="preserve">Follow up from wed, starting later
	-Chris Joubert
----
Public Holiday
	-Chris Joubert
----
Public Holiday
	-Chris Joubert</t>
      </text>
    </comment>
    <comment authorId="0" ref="AE7">
      <text>
        <t xml:space="preserve">Bank Holiday
	-Chris Joubert
----
Public Holiday -  Whit Monday
	-Chris Joubert</t>
      </text>
    </comment>
    <comment authorId="0" ref="T7">
      <text>
        <t xml:space="preserve">Public Holiday - Ascension Day
	-Chris Joubert</t>
      </text>
    </comment>
  </commentList>
</comments>
</file>

<file path=xl/comments7.xml><?xml version="1.0" encoding="utf-8"?>
<comments xmlns:r="http://schemas.openxmlformats.org/officeDocument/2006/relationships" xmlns="http://schemas.openxmlformats.org/spreadsheetml/2006/main">
  <authors>
    <author/>
  </authors>
  <commentList>
    <comment authorId="0" ref="K1">
      <text>
        <t xml:space="preserve">in old shift plan
</t>
      </text>
    </comment>
    <comment authorId="0" ref="L1">
      <text>
        <t xml:space="preserve">in new 
shift plan
</t>
      </text>
    </comment>
    <comment authorId="0" ref="G18">
      <text>
        <t xml:space="preserve">8am-5pm Sunday
	-Chris Joubert</t>
      </text>
    </comment>
    <comment authorId="0" ref="W17">
      <text>
        <t xml:space="preserve">Sam is used as an alternative due to security concerns
	-Chris Joubert</t>
      </text>
    </comment>
  </commentList>
</comments>
</file>

<file path=xl/comments8.xml><?xml version="1.0" encoding="utf-8"?>
<comments xmlns:r="http://schemas.openxmlformats.org/officeDocument/2006/relationships" xmlns="http://schemas.openxmlformats.org/spreadsheetml/2006/main">
  <authors>
    <author/>
  </authors>
  <commentList>
    <comment authorId="0" ref="K7">
      <text>
        <t xml:space="preserve">Irrelevant, it's another game</t>
      </text>
    </comment>
    <comment authorId="0" ref="J10">
      <text>
        <t xml:space="preserve">Irrelevant, for GoG (Guns of Glory) and KoA (King of Avalon)</t>
      </text>
    </comment>
  </commentList>
</comments>
</file>

<file path=xl/comments9.xml><?xml version="1.0" encoding="utf-8"?>
<comments xmlns:r="http://schemas.openxmlformats.org/officeDocument/2006/relationships" xmlns="http://schemas.openxmlformats.org/spreadsheetml/2006/main">
  <authors>
    <author/>
  </authors>
  <commentList>
    <comment authorId="0" ref="C30">
      <text>
        <t xml:space="preserve">4PM-1AM Thailand</t>
      </text>
    </comment>
    <comment authorId="0" ref="C31">
      <text>
        <t xml:space="preserve">12PM-9PM Thailand</t>
      </text>
    </comment>
    <comment authorId="0" ref="C32">
      <text>
        <t xml:space="preserve">12PM-9PM Thailand</t>
      </text>
    </comment>
  </commentList>
</comments>
</file>

<file path=xl/sharedStrings.xml><?xml version="1.0" encoding="utf-8"?>
<sst xmlns="http://schemas.openxmlformats.org/spreadsheetml/2006/main" count="16620" uniqueCount="1692">
  <si>
    <t>LINKS</t>
  </si>
  <si>
    <t>Shiftplan - SoS</t>
  </si>
  <si>
    <t>https://docs.google.com/spreadsheets/d/1FxjAJq5j6zFOdBrJzEGMH3V6vSCdththo5IEMmK2aaM/edit#gid=1608119291</t>
  </si>
  <si>
    <t>Shiftplan - KoA</t>
  </si>
  <si>
    <t>https://docs.google.com/spreadsheets/d/1FxjAJq5j6zFOdBrJzEGMH3V6vSCdththo5IEMmK2aaM/edit#gid=305838313</t>
  </si>
  <si>
    <t>Shiftplan - GoG</t>
  </si>
  <si>
    <t>https://docs.google.com/spreadsheets/d/1FxjAJq5j6zFOdBrJzEGMH3V6vSCdththo5IEMmK2aaM/edit#gid=712268517</t>
  </si>
  <si>
    <t>Resources</t>
  </si>
  <si>
    <t>https://docs.google.com/spreadsheets/d/1FxjAJq5j6zFOdBrJzEGMH3V6vSCdththo5IEMmK2aaM/edit#gid=1495864282</t>
  </si>
  <si>
    <t>Ticket example</t>
  </si>
  <si>
    <t>https://docs.google.com/spreadsheets/d/1FxjAJq5j6zFOdBrJzEGMH3V6vSCdththo5IEMmK2aaM/edit#gid=2094387098</t>
  </si>
  <si>
    <t>Translation files</t>
  </si>
  <si>
    <t>https://docs.google.com/spreadsheets/d/1FxjAJq5j6zFOdBrJzEGMH3V6vSCdththo5IEMmK2aaM/edit#gid=665940994</t>
  </si>
  <si>
    <t>Escalated tickets</t>
  </si>
  <si>
    <t>https://docs.google.com/spreadsheets/d/1A_iSXg332d8wEQtc-7eAPOT9Na_RG-XD5ry6JcnU3dc/edit#gid=1041844825</t>
  </si>
  <si>
    <t>Processes: How to escalate an issue:</t>
  </si>
  <si>
    <t>https://docs.google.com/spreadsheets/d/1FxjAJq5j6zFOdBrJzEGMH3V6vSCdththo5IEMmK2aaM/edit#gid=1336687647</t>
  </si>
  <si>
    <t>Processes: How to create a task on Asana (escalate to devs)</t>
  </si>
  <si>
    <t>Topic</t>
  </si>
  <si>
    <t>Resource</t>
  </si>
  <si>
    <t>Create a Gmail account with Mogi email</t>
  </si>
  <si>
    <t>https://accounts.google.com/signup/v2/webcreateaccount?hl=en&amp;flowName=GlifWebSignIn&amp;flowEntry=SignUp</t>
  </si>
  <si>
    <t>What is State of Survival?</t>
  </si>
  <si>
    <t>https://youtu.be/moLOK9VEjaI</t>
  </si>
  <si>
    <t>How to Change Username</t>
  </si>
  <si>
    <t>https://docs.google.com/document/d/1RFNaXvMZ1Pl1pFptYyPx-OqGPfsa9w2Dm74krABxdi8/edit?usp=sharing</t>
  </si>
  <si>
    <t>How to Move States</t>
  </si>
  <si>
    <t>https://www.youtube.com/watch?v=6I3jaEeJA94</t>
  </si>
  <si>
    <t>A Comprehensive Guide to Gameplay, Heroes, Alliances and More</t>
  </si>
  <si>
    <t>https://www.bluestacks.com/blog/game-overview/state-of-survival/sos-best-guides-tips-compilation-en.html#beginnerguide</t>
  </si>
  <si>
    <t>Game Tips and Tricks</t>
  </si>
  <si>
    <t>https://www.youtube.com/watch?v=i00ekUrmPEo</t>
  </si>
  <si>
    <t>Growth Goals for F2P Players</t>
  </si>
  <si>
    <t>https://www.youtube.com/watch?v=rHvA7buFMv8&amp;list=PLV8WA2T4X_BN6MQZ3mjYTRfeA4ebNs98s</t>
  </si>
  <si>
    <t>10 Noob Mistakes to Avoid</t>
  </si>
  <si>
    <t>https://www.youtube.com/watch?v=f6VLJ35iUnE</t>
  </si>
  <si>
    <t>Heros Breakdown</t>
  </si>
  <si>
    <t>https://www.youtube.com/watch?v=iLa4EI8DoZ0</t>
  </si>
  <si>
    <t>Chief Levels, Talents &amp; Skills</t>
  </si>
  <si>
    <t>https://www.youtube.com/watch?v=yJur77Z7bog</t>
  </si>
  <si>
    <t>Guide to Spending BioCaps</t>
  </si>
  <si>
    <t>https://youtu.be/9leOWdiAaIU?list=PLZ6nefpGX3AQ-NE6xEkFMvJmCHzxFb8vV</t>
  </si>
  <si>
    <t>Guide to PvP</t>
  </si>
  <si>
    <t>https://youtu.be/my2wckZC7A8?list=PLZ6nefpGX3AQ-NE6xEkFMvJmCHzxFb8vV</t>
  </si>
  <si>
    <t>Rally Skill Guide</t>
  </si>
  <si>
    <t>https://youtu.be/YbY6lOyKKUs?list=PLZ6nefpGX3AQ-NE6xEkFMvJmCHzxFb8vV</t>
  </si>
  <si>
    <t>Batch Healing</t>
  </si>
  <si>
    <t>https://youtu.be/td1q1rkGMVg?list=PLV8WA2T4X_BN6MQZ3mjYTRfeA4ebNs98s</t>
  </si>
  <si>
    <t>10 Tips to Protect your Troops (Part 1)</t>
  </si>
  <si>
    <t>https://youtu.be/J_E_C_M1H34?list=PLV8WA2T4X_BN6MQZ3mjYTRfeA4ebNs98s</t>
  </si>
  <si>
    <t>10 Tips to Protect your Troops (Part 2)</t>
  </si>
  <si>
    <t>https://youtu.be/DK6C-xw_qkc?list=PLV8WA2T4X_BN6MQZ3mjYTRfeA4ebNs98s</t>
  </si>
  <si>
    <t>Alliance Showdown Event</t>
  </si>
  <si>
    <t>https://www.youtube.com/watch?v=0qc8GskX2Vc</t>
  </si>
  <si>
    <t>Alliance Throwdown Event</t>
  </si>
  <si>
    <r>
      <rPr>
        <rFont val="Calibri"/>
        <color rgb="FF0563C1"/>
        <sz val="12.0"/>
        <u/>
      </rPr>
      <t xml:space="preserve">https://www.youtube.com/watch?v=GQqFzasDD6E, </t>
    </r>
    <r>
      <rPr>
        <rFont val="Calibri"/>
        <color rgb="FF1155CC"/>
        <sz val="12.0"/>
        <u/>
      </rPr>
      <t>https://youtu.be/CX38y79Ugh8?list=PLWHd_1d0GxB10WG9cL91yVOqzXYjg98Hy</t>
    </r>
  </si>
  <si>
    <t>Survival of the Fittest Event</t>
  </si>
  <si>
    <t>https://www.state-of-survival.net/events/survival-of-the-fittest/</t>
  </si>
  <si>
    <t>Reservoir Raid</t>
  </si>
  <si>
    <t>https://www.state-of-survival.net/events/reservoir-raid/</t>
  </si>
  <si>
    <t>State Warfare</t>
  </si>
  <si>
    <r>
      <rPr>
        <rFont val="Calibri"/>
        <color rgb="FF0563C1"/>
        <sz val="12.0"/>
        <u/>
      </rPr>
      <t xml:space="preserve">https://www.state-of-survival.net/events/state-warfare/, </t>
    </r>
    <r>
      <rPr>
        <rFont val="Calibri"/>
        <color rgb="FF1155CC"/>
        <sz val="12.0"/>
        <u/>
      </rPr>
      <t>https://www.youtube.com/watch?v=eEQmiKYVtHk</t>
    </r>
  </si>
  <si>
    <t>Capital Clash</t>
  </si>
  <si>
    <r>
      <rPr>
        <rFont val="Calibri"/>
        <color rgb="FF0563C1"/>
        <sz val="12.0"/>
        <u/>
      </rPr>
      <t xml:space="preserve">https://www.state-of-survival.net/events/capital-clash/, </t>
    </r>
    <r>
      <rPr>
        <rFont val="Calibri"/>
        <color rgb="FF1155CC"/>
        <sz val="12.0"/>
        <u/>
      </rPr>
      <t>https://www.youtube.com/watch?v=W47FMgHxyUA</t>
    </r>
  </si>
  <si>
    <t>Lucky Card Event</t>
  </si>
  <si>
    <t>https://www.youtube.com/watch?v=zYELn7xnS1s</t>
  </si>
  <si>
    <t>Jane's Grain Harvest</t>
  </si>
  <si>
    <t>https://www.youtube.com/watch?v=W3VSEwybRjc</t>
  </si>
  <si>
    <t>Troops guide</t>
  </si>
  <si>
    <t>https://zegaming.club/2020/07/20/state-of-survival-troops/#:~:text=Attack%20measures%20how%20likely%20you,against%20the%20enemy's%20troops'%20defence.&amp;text=Lethality%3A%20This%20is%20how%20likely,will%20die%20during%20the%20attack.</t>
  </si>
  <si>
    <t>1st Training Session Recording by Funplus team</t>
  </si>
  <si>
    <t>https://mogi.sharepoint.com/sites/funplus-project/Shared%20Documents/Forms/AllItems.aspx?id=%2Fsites%2Ffunplus%2Dproject%2FShared%20Documents%2FTraining</t>
  </si>
  <si>
    <t>1st Training Session Notes</t>
  </si>
  <si>
    <t>https://docs.google.com/document/d/1OzIemKEfcUtCmpr_-PcvX_VQXvxC7HO7Ct0Faqm9uOQ/edit?usp=sharing</t>
  </si>
  <si>
    <t>Hero Specialties</t>
  </si>
  <si>
    <t>https://www.youtube.com/watch?v=81oqCk3Mxf0</t>
  </si>
  <si>
    <t>Dec 2020 FAQ</t>
  </si>
  <si>
    <t>https://www.state-of-survival.net/guides/faqs-december-2020/</t>
  </si>
  <si>
    <t>Customer Service Specification</t>
  </si>
  <si>
    <t>https://docs.google.com/document/d/13mIm-2xL8fynSfPicy8xBxNPtYFkXQdanSyoqHYJ8qM/edit?usp=sharing</t>
  </si>
  <si>
    <t>helpshift一Online customer service operation guidance</t>
  </si>
  <si>
    <t>https://docs.google.com/document/d/14pYUL2QlzUC0H10bLhK6l6EmcjdPqXztVt_6iLx5ULo/edit?usp=sharing</t>
  </si>
  <si>
    <t>Value Card</t>
  </si>
  <si>
    <t>https://www.youtube.com/watch?v=E9SurMwJ6jg</t>
  </si>
  <si>
    <t>fan community</t>
  </si>
  <si>
    <t>https://www.reddit.com/r/TheSoSGame/</t>
  </si>
  <si>
    <t>March</t>
  </si>
  <si>
    <t>Language</t>
  </si>
  <si>
    <t>EN</t>
  </si>
  <si>
    <t>DE</t>
  </si>
  <si>
    <t>ES</t>
  </si>
  <si>
    <t>RU</t>
  </si>
  <si>
    <t>ID</t>
  </si>
  <si>
    <t>FR</t>
  </si>
  <si>
    <t>PL</t>
  </si>
  <si>
    <t>ITA</t>
  </si>
  <si>
    <t>WE / WD</t>
  </si>
  <si>
    <t>WE</t>
  </si>
  <si>
    <t>WD</t>
  </si>
  <si>
    <t>WD/WE</t>
  </si>
  <si>
    <t>Shift</t>
  </si>
  <si>
    <t>TIME</t>
  </si>
  <si>
    <t>02:00-11:00</t>
  </si>
  <si>
    <t>09:00-18:00</t>
  </si>
  <si>
    <t>15:00-00:00</t>
  </si>
  <si>
    <t>16:00-01:00</t>
  </si>
  <si>
    <t>06:00 - 15:00</t>
  </si>
  <si>
    <t>Day</t>
  </si>
  <si>
    <t>Valentin Covilar</t>
  </si>
  <si>
    <t>Nicha Mahakanchanakul</t>
  </si>
  <si>
    <t>Kevin Eikmeier</t>
  </si>
  <si>
    <t>Gabriela Mello</t>
  </si>
  <si>
    <t>Vivianne Mendonça</t>
  </si>
  <si>
    <t>João Guilherme Albuquerque Studart</t>
  </si>
  <si>
    <t>Manoela Soares Medici Antunes</t>
  </si>
  <si>
    <t>Raffael Azevedo Andrade</t>
  </si>
  <si>
    <t>Tayllor de Oliveira Masi</t>
  </si>
  <si>
    <t>Thercio Augusto Pires de Alencar Brandao</t>
  </si>
  <si>
    <t>Julian Soler</t>
  </si>
  <si>
    <t>Maria Luiza Hattler</t>
  </si>
  <si>
    <t>Matheus Ramos Cardoso Tinôco Cortez</t>
  </si>
  <si>
    <t>Ricardo David Flores Galeano</t>
  </si>
  <si>
    <t>Eddi Dostatni</t>
  </si>
  <si>
    <t>Jose Edgardo Mass Madrid</t>
  </si>
  <si>
    <t xml:space="preserve">
Vladyslav Tretyak</t>
  </si>
  <si>
    <t>Marcus Kiefer</t>
  </si>
  <si>
    <t>Javier Alfredo Islas</t>
  </si>
  <si>
    <t>Alexander Myaldzin</t>
  </si>
  <si>
    <t>Sascha Miller</t>
  </si>
  <si>
    <t>Zeljko Randic</t>
  </si>
  <si>
    <t>??</t>
  </si>
  <si>
    <t>Juan Verrone</t>
  </si>
  <si>
    <t>Akzharkyn Kozhageldiyeva</t>
  </si>
  <si>
    <t>Timo Jueptner</t>
  </si>
  <si>
    <t>Bryan Fernando Barahona Paiz</t>
  </si>
  <si>
    <t>Douglas Ariel Acosta Flores</t>
  </si>
  <si>
    <t>Yonatan Suhardi Yunarso</t>
  </si>
  <si>
    <t>Facundo Lasarte</t>
  </si>
  <si>
    <t>Gabriel Zambrano</t>
  </si>
  <si>
    <t>Bruno Toledo</t>
  </si>
  <si>
    <t>Airton Oliva</t>
  </si>
  <si>
    <t>Paulo Ximenes</t>
  </si>
  <si>
    <t>Carlos Andres Albarracin Calvopina</t>
  </si>
  <si>
    <t>Oussama El Hoz</t>
  </si>
  <si>
    <t>Kamil Pabin (WE+WD)</t>
  </si>
  <si>
    <t>Martin Rostagno</t>
  </si>
  <si>
    <t>Bruno Souza Gonçales</t>
  </si>
  <si>
    <t>Ramon César Roberto</t>
  </si>
  <si>
    <t>Grigory Stepanishev</t>
  </si>
  <si>
    <t>Guilherme Torres de Melo Rolim</t>
  </si>
  <si>
    <t>Hans Co</t>
  </si>
  <si>
    <t>Yury Esin</t>
  </si>
  <si>
    <t>Gustavo Albano</t>
  </si>
  <si>
    <t>Jose Mari Kanazawa</t>
  </si>
  <si>
    <t>Jorge Almeida</t>
  </si>
  <si>
    <t>Othmane Abidar</t>
  </si>
  <si>
    <t>Angelo Tabada</t>
  </si>
  <si>
    <t>Guilherme Perottoni</t>
  </si>
  <si>
    <t>Thiago Martins</t>
  </si>
  <si>
    <t>Enrico Fasani</t>
  </si>
  <si>
    <t>Ekaterina Bochkareva</t>
  </si>
  <si>
    <t>Mathilde Cantagrel</t>
  </si>
  <si>
    <t>Mykhailo Tarantsov</t>
  </si>
  <si>
    <t>Christian Giovanni Ries</t>
  </si>
  <si>
    <t>SL</t>
  </si>
  <si>
    <t>OFF</t>
  </si>
  <si>
    <t>-</t>
  </si>
  <si>
    <t>PTO</t>
  </si>
  <si>
    <t>Personal Leave</t>
  </si>
  <si>
    <t>SICK LEAVE</t>
  </si>
  <si>
    <t>ABSENT</t>
  </si>
  <si>
    <t>BH</t>
  </si>
  <si>
    <t>Personal leave</t>
  </si>
  <si>
    <t>personal leave</t>
  </si>
  <si>
    <t>Checked 29/04</t>
  </si>
  <si>
    <t>Checked 30/04</t>
  </si>
  <si>
    <t>How to escalate an issue:</t>
  </si>
  <si>
    <t>1. Make a note of the ticket number</t>
  </si>
  <si>
    <t>2. In the internal note of the ticket, document your question / what you have done so far to work on the ticket</t>
  </si>
  <si>
    <t>Rak 6+ vs Rank 5 Down</t>
  </si>
  <si>
    <r>
      <rPr/>
      <t xml:space="preserve">3. Copy the ticket number on this escalation file: </t>
    </r>
    <r>
      <rPr>
        <color rgb="FF1155CC"/>
        <u/>
      </rPr>
      <t>https://docs.google.com/spreadsheets/d/1A_iSXg332d8wEQtc-7eAPOT9Na_RG-XD5ry6JcnU3dc/edit#gid=1041844825</t>
    </r>
  </si>
  <si>
    <t>COUNTA of Shift</t>
  </si>
  <si>
    <t>COUNTA of DM</t>
  </si>
  <si>
    <t>DM</t>
  </si>
  <si>
    <t>Total</t>
  </si>
  <si>
    <t>Target Rank</t>
  </si>
  <si>
    <t>COUNTA of Target Rank</t>
  </si>
  <si>
    <t>COUNTA of WD/WE</t>
  </si>
  <si>
    <t>4. When client gets back on Shift the next day, Nicha will discuss with him our opened items from the list, and will provide an answer / course of action for us to follow</t>
  </si>
  <si>
    <t>00:00-09:00</t>
  </si>
  <si>
    <t>FL</t>
  </si>
  <si>
    <t>AM</t>
  </si>
  <si>
    <t>WE+WD</t>
  </si>
  <si>
    <t>Grand Total</t>
  </si>
  <si>
    <t>%WE Only</t>
  </si>
  <si>
    <t>5. At the beginning of your next shift, look for any answers to the issues you have escalated (if answered, Answered column will be ticked)</t>
  </si>
  <si>
    <t>07:00-16:00</t>
  </si>
  <si>
    <t>AM Total</t>
  </si>
  <si>
    <t>6. Process the ticket as instructed</t>
  </si>
  <si>
    <t>08:00-17:00</t>
  </si>
  <si>
    <t>JM</t>
  </si>
  <si>
    <t>AS+YS</t>
  </si>
  <si>
    <t>7. If it can benefit the team, send in chat the summary of the issue + its resolution</t>
  </si>
  <si>
    <t>2</t>
  </si>
  <si>
    <t>12:00-21:00</t>
  </si>
  <si>
    <t>3</t>
  </si>
  <si>
    <t>RA+VM</t>
  </si>
  <si>
    <t>AS+YS Total</t>
  </si>
  <si>
    <t>how to create an Asana Task:</t>
  </si>
  <si>
    <r>
      <rPr/>
      <t xml:space="preserve">1. Access Asana </t>
    </r>
    <r>
      <rPr>
        <color rgb="FF1155CC"/>
        <u/>
      </rPr>
      <t>https://app.asana.com/0/1190920533458250/list</t>
    </r>
  </si>
  <si>
    <t>5</t>
  </si>
  <si>
    <t>2. Select the appropriate list (Compensation / Report / Bugs / Account)</t>
  </si>
  <si>
    <t>6</t>
  </si>
  <si>
    <t>3. Scroll down to today's date</t>
  </si>
  <si>
    <t>7</t>
  </si>
  <si>
    <r>
      <rPr/>
      <t>4. Click on the plus if the issue hasn't already been reported (</t>
    </r>
    <r>
      <rPr>
        <color rgb="FF1155CC"/>
        <u/>
      </rPr>
      <t>https://cdn.discordapp.com/attachments/815863920660971520/818819324508372992/unknown.png</t>
    </r>
    <r>
      <rPr/>
      <t>)</t>
    </r>
  </si>
  <si>
    <t>8</t>
  </si>
  <si>
    <r>
      <rPr/>
      <t xml:space="preserve">5. Document the Asana task as per the guidelines of this file : </t>
    </r>
    <r>
      <rPr>
        <color rgb="FF1155CC"/>
        <u/>
      </rPr>
      <t>https://docs.google.com/document/d/1AoMx591j4NRzUqW4NWFy9sjzWsPLTIrEWeK6d5Y_5DQ/edit</t>
    </r>
  </si>
  <si>
    <r>
      <rPr/>
      <t>6. Copy the link on Asana (</t>
    </r>
    <r>
      <rPr>
        <color rgb="FF1155CC"/>
        <u/>
      </rPr>
      <t>https://cdn.discordapp.com/attachments/815863920660971520/818819445178761266/unknown.png</t>
    </r>
    <r>
      <rPr/>
      <t>)</t>
    </r>
  </si>
  <si>
    <t>FL Total</t>
  </si>
  <si>
    <t>7. In Helpshift, AS AN INTERNAL NOTE, Paste the Asana link of the card you created (Step 6)</t>
  </si>
  <si>
    <r>
      <rPr/>
      <t>8. considering we need to keep an eye on escalated cases, document it on the escalated ticket file (</t>
    </r>
    <r>
      <rPr>
        <color rgb="FF1155CC"/>
        <u/>
      </rPr>
      <t>https://docs.google.com/spreadsheets/d/1A_iSXg332d8wEQtc-7eAPOT9Na_RG-XD5ry6JcnU3dc/edit#gid=1041844825</t>
    </r>
    <r>
      <rPr/>
      <t>)</t>
    </r>
  </si>
  <si>
    <t>0</t>
  </si>
  <si>
    <t>9. Once we receive an update that issue has been investigated and resolved, we can get back to player with relevant information</t>
  </si>
  <si>
    <t>how to reissue players with items / Perform actions on player accounts:</t>
  </si>
  <si>
    <t>1. Verify and document your investigation in the internal of the ticket you're handling the justification of tool intervention</t>
  </si>
  <si>
    <t>2. Create the Asana task</t>
  </si>
  <si>
    <r>
      <rPr/>
      <t xml:space="preserve">3. Populate the Injection needed row in the following file: </t>
    </r>
    <r>
      <rPr>
        <color rgb="FF1155CC"/>
        <u/>
      </rPr>
      <t>https://docs.google.com/spreadsheets/d/1A_iSXg332d8wEQtc-7eAPOT9Na_RG-XD5ry6JcnU3dc/edit#gid=588422368</t>
    </r>
  </si>
  <si>
    <t>JM Total</t>
  </si>
  <si>
    <t>4. Check on the Asana status periodically</t>
  </si>
  <si>
    <t>5. When Action has been performed, inform the player accordingly</t>
  </si>
  <si>
    <t>9</t>
  </si>
  <si>
    <t>RA+VM Total</t>
  </si>
  <si>
    <t>Agent name</t>
  </si>
  <si>
    <t>Daguai Master</t>
  </si>
  <si>
    <t>TIME (UTC+0)</t>
  </si>
  <si>
    <t>Days Worked</t>
  </si>
  <si>
    <t>Sat</t>
  </si>
  <si>
    <t>Sun</t>
  </si>
  <si>
    <t>Mon</t>
  </si>
  <si>
    <t>Tue</t>
  </si>
  <si>
    <t>Wed</t>
  </si>
  <si>
    <t>Thu</t>
  </si>
  <si>
    <t>Fri</t>
  </si>
  <si>
    <t>Hrs</t>
  </si>
  <si>
    <t>PERSONAL LEAVE</t>
  </si>
  <si>
    <t>Kokoh Dahono Murti</t>
  </si>
  <si>
    <t>Oussama El Hoz FR</t>
  </si>
  <si>
    <t>Oussama El Hoz EN</t>
  </si>
  <si>
    <t>TL</t>
  </si>
  <si>
    <t>SN</t>
  </si>
  <si>
    <t>Mateus Cavalheiro de Sousa</t>
  </si>
  <si>
    <t>9,5</t>
  </si>
  <si>
    <t>Yonatan Suhardi</t>
  </si>
  <si>
    <t>TN</t>
  </si>
  <si>
    <t>Bruno Salvio Toledo</t>
  </si>
  <si>
    <t>Christian Ries</t>
  </si>
  <si>
    <t>Chaimaa Elaimeur</t>
  </si>
  <si>
    <t>Dmitry Patrushev</t>
  </si>
  <si>
    <t>Michael Gerard Smyth</t>
  </si>
  <si>
    <t>Amin Majindi</t>
  </si>
  <si>
    <t>Evgenii Ovcharov</t>
  </si>
  <si>
    <t>Valentin Cieur</t>
  </si>
  <si>
    <t>Tomás Mendez</t>
  </si>
  <si>
    <t>Alex Sidki</t>
  </si>
  <si>
    <t>d</t>
  </si>
  <si>
    <t>Guilherme Perottoni Araujo</t>
  </si>
  <si>
    <t>Adam Ellison</t>
  </si>
  <si>
    <t>Katherine Keen</t>
  </si>
  <si>
    <t>Thiago Lopes Mota Martins</t>
  </si>
  <si>
    <t>Eliana Galanda</t>
  </si>
  <si>
    <t>Hans Anderson Co</t>
  </si>
  <si>
    <t>Juan Manuel Verrone</t>
  </si>
  <si>
    <t>Lídia Aguiar Bezerra</t>
  </si>
  <si>
    <t>Ramilia Nurutdinova</t>
  </si>
  <si>
    <t>Alexander Snetkov</t>
  </si>
  <si>
    <t>Tatiana Kummer</t>
  </si>
  <si>
    <t>Rabia Türten</t>
  </si>
  <si>
    <t>Amanda Philot Trotta</t>
  </si>
  <si>
    <t>Kamil Pabin WE</t>
  </si>
  <si>
    <t>Xiogenys Pineda</t>
  </si>
  <si>
    <t>Daniel Kovacs</t>
  </si>
  <si>
    <t>Diana Dobrovolskaja</t>
  </si>
  <si>
    <t>Stefan Wunder Đokić</t>
  </si>
  <si>
    <t>Timothy Naldo</t>
  </si>
  <si>
    <t>Dani Taylor</t>
  </si>
  <si>
    <t>Nanthicha Meksuwan</t>
  </si>
  <si>
    <t>Guilherme Eduardo Atalla</t>
  </si>
  <si>
    <t>Burak Emlik</t>
  </si>
  <si>
    <t>Elif Emir</t>
  </si>
  <si>
    <t>Sebastian Hadjidimitris</t>
  </si>
  <si>
    <t>Coline Tan</t>
  </si>
  <si>
    <t>Ladina Adjarain Majindi</t>
  </si>
  <si>
    <t>Zul emyr Hadjula</t>
  </si>
  <si>
    <t>Rebeca de Cerqueira Mateus</t>
  </si>
  <si>
    <t>Lucas Motta Freese de Carvalho</t>
  </si>
  <si>
    <t>Zayad Mohamed Ayassi</t>
  </si>
  <si>
    <t>Ceyhun Cengiz</t>
  </si>
  <si>
    <t>Rodrigo Soares Silva</t>
  </si>
  <si>
    <t>Wissal Dahir</t>
  </si>
  <si>
    <t>Vicky Wu</t>
  </si>
  <si>
    <t>Jose Luis Alon</t>
  </si>
  <si>
    <t>Emanuel Alexander Koydl</t>
  </si>
  <si>
    <t>Eliezer Peña</t>
  </si>
  <si>
    <t>Ralph Jerome Cruz</t>
  </si>
  <si>
    <t>Vladimir Dolgov</t>
  </si>
  <si>
    <t>Zamzami Syadza</t>
  </si>
  <si>
    <t>Hanne Anette Barkerud Landmark</t>
  </si>
  <si>
    <t>Oscar Alfonso Zendejas Nevarez</t>
  </si>
  <si>
    <t>Marlon Nicho Ferrero</t>
  </si>
  <si>
    <t>Kaelen Bandao</t>
  </si>
  <si>
    <t>Katherine Joy Veneracion</t>
  </si>
  <si>
    <t>Farouk Saboula</t>
  </si>
  <si>
    <t>Rachel Cruz</t>
  </si>
  <si>
    <t>Rafael Palmieri</t>
  </si>
  <si>
    <t>José Agustín Torti Candellero</t>
  </si>
  <si>
    <t>Jesus Antonio Mejia Vasquez</t>
  </si>
  <si>
    <t>Hamza Benchreik</t>
  </si>
  <si>
    <t>Braulio de Araujo Braga</t>
  </si>
  <si>
    <t>Esther Elaweremi</t>
  </si>
  <si>
    <t>Arthur Tellechea Inda de Almeida</t>
  </si>
  <si>
    <t>Milos Martinovic</t>
  </si>
  <si>
    <t>Mohammed Bourassi</t>
  </si>
  <si>
    <t>Mohamed Amine Boudguig</t>
  </si>
  <si>
    <t>Bruno Allaria</t>
  </si>
  <si>
    <t>Sukum Naralertsukumpong</t>
  </si>
  <si>
    <t>Clark Jesse Falv Olayvar</t>
  </si>
  <si>
    <t>Allan Zambrano</t>
  </si>
  <si>
    <t>EN/PT</t>
  </si>
  <si>
    <t>Larissa Rodrigues</t>
  </si>
  <si>
    <t>Kapil Chawala</t>
  </si>
  <si>
    <t>Ksenia Lukyanova</t>
  </si>
  <si>
    <t>Nikita Denisjuks</t>
  </si>
  <si>
    <t/>
  </si>
  <si>
    <t>Kevin Craig</t>
  </si>
  <si>
    <t>Tauan Borgo François</t>
  </si>
  <si>
    <t>Paultre Stuart Beaucejour</t>
  </si>
  <si>
    <t>Anatolii Draliuk</t>
  </si>
  <si>
    <t>Pacome Kemeku Djoumessi</t>
  </si>
  <si>
    <t>Mohamed Zidan</t>
  </si>
  <si>
    <t>Joshua Clarke</t>
  </si>
  <si>
    <t>David Joshua Andres</t>
  </si>
  <si>
    <t>John Campos</t>
  </si>
  <si>
    <t>Licinio Gomes De Pina</t>
  </si>
  <si>
    <t>Ellen Borba</t>
  </si>
  <si>
    <t>Ernesto Zapanta</t>
  </si>
  <si>
    <t>Artur Venidiktov</t>
  </si>
  <si>
    <t>Malena Portuondo</t>
  </si>
  <si>
    <t>Lorenzo Martin Vergel</t>
  </si>
  <si>
    <t>Endrio de Oliveira Lima</t>
  </si>
  <si>
    <t>Stefan Tesic</t>
  </si>
  <si>
    <t>Karl Matthew Domingo Torres</t>
  </si>
  <si>
    <t>Ricardo Abelin Fleck</t>
  </si>
  <si>
    <t>Ian Daroz</t>
  </si>
  <si>
    <t>Gernot Orgler WE</t>
  </si>
  <si>
    <t>Gernot Orgler WD</t>
  </si>
  <si>
    <t>Uğur Can Aksu</t>
  </si>
  <si>
    <t>Rachelle Anne Manalo</t>
  </si>
  <si>
    <t>Victor Macário</t>
  </si>
  <si>
    <t>Gisellie Abiva</t>
  </si>
  <si>
    <t>Vladyslav Tretyak</t>
  </si>
  <si>
    <t>Stefan Nikolas Pacifici Schroeder</t>
  </si>
  <si>
    <t>Andrzej Karabasz</t>
  </si>
  <si>
    <t>Cedric Rosa</t>
  </si>
  <si>
    <t>Yassine Ekkazani</t>
  </si>
  <si>
    <t>Ricardo Flores</t>
  </si>
  <si>
    <t>Airton Oliva Marques</t>
  </si>
  <si>
    <t>Che-Jung Yu (Alvis)</t>
  </si>
  <si>
    <t>Julie Grace So</t>
  </si>
  <si>
    <t>Please do not edit data below.</t>
  </si>
  <si>
    <t>Gernot Orgler</t>
  </si>
  <si>
    <t>VIP</t>
  </si>
  <si>
    <t>Kamil Pabin</t>
  </si>
  <si>
    <t>Mogi/Dingtalk Email</t>
  </si>
  <si>
    <t>Active ?</t>
  </si>
  <si>
    <t>adam.ellison@mogi-group.com</t>
  </si>
  <si>
    <t>X</t>
  </si>
  <si>
    <t>alexander.sidki@mogi-group.com</t>
  </si>
  <si>
    <t>alexander.myaldzin@mogi-group.com</t>
  </si>
  <si>
    <t>alexander.snetkov@mogi-group.com</t>
  </si>
  <si>
    <t>amanda.philot-trotta@mogi-group.com</t>
  </si>
  <si>
    <t>Amin-Adjarain.Majindi@mogi-group.com</t>
  </si>
  <si>
    <t>anatolii.draliuk@mogi-group.com</t>
  </si>
  <si>
    <t>angelo.tabada@mogi-group.com</t>
  </si>
  <si>
    <t>bruno.toledo@mogi-group.com</t>
  </si>
  <si>
    <t>bruno.goncales@mogi-group.com</t>
  </si>
  <si>
    <t>burak.emlik@mogi-group.com</t>
  </si>
  <si>
    <t>ceyhun.cengiz@mogi-group.com</t>
  </si>
  <si>
    <t>chaimaa.elaimeur@mogi-group.com</t>
  </si>
  <si>
    <t>christian.ries@mogi-group.com</t>
  </si>
  <si>
    <t>coline-ysabel.tan@mogi-group.com</t>
  </si>
  <si>
    <t>dani.taylor@mogi-group.com</t>
  </si>
  <si>
    <t>daniel.kovacs@mogi-group.com</t>
  </si>
  <si>
    <t>diana.dobrovolskaja@mogi-group.com</t>
  </si>
  <si>
    <t>dmitry.patrushev@mogi-group.com</t>
  </si>
  <si>
    <t>ariel.acosta@mogi-group.com</t>
  </si>
  <si>
    <t>eddi.dostatni@mogi-group.com</t>
  </si>
  <si>
    <t>eliana.galanda@mogi-group.com</t>
  </si>
  <si>
    <t>eliezer.pena@mogi-group.com</t>
  </si>
  <si>
    <t>elif.emir@mogi-group.com</t>
  </si>
  <si>
    <t>emanuel.koydl@mogi-group.com</t>
  </si>
  <si>
    <t>endrio.lima@mogi-group.com</t>
  </si>
  <si>
    <t>enrico.fasani@mogi-group.com</t>
  </si>
  <si>
    <t>ernesto.zapanta@mogi-group.com</t>
  </si>
  <si>
    <t>eugene.ovcharov@mogi-group.com</t>
  </si>
  <si>
    <t>Facundo.lasarte@mogi-group.com</t>
  </si>
  <si>
    <t>gabriel.zambrano@mogi-group.com</t>
  </si>
  <si>
    <t>gabriela.mello@mogi-group.com</t>
  </si>
  <si>
    <t>gernot.orgler@mogi-group.com</t>
  </si>
  <si>
    <t>guilherme.atalla@mogi-group.com</t>
  </si>
  <si>
    <t>guilherme.perottoni@mogi-group.com</t>
  </si>
  <si>
    <t>guilherme.torres@mogi-group.com</t>
  </si>
  <si>
    <t>gustavo.albano@mogi-group.com</t>
  </si>
  <si>
    <t>hanne.barkerud@mogi-group.com</t>
  </si>
  <si>
    <t>hans.co@mogi-group.com</t>
  </si>
  <si>
    <t>joao.studart@mogi-group.com</t>
  </si>
  <si>
    <t>john.campos@mogi-group.com</t>
  </si>
  <si>
    <t>jorge.almeida@mogi-group.com</t>
  </si>
  <si>
    <t>jose.mass@mogi-group.com</t>
  </si>
  <si>
    <t>jose-luis.alon@mogi-group.com</t>
  </si>
  <si>
    <t>jose-mari.kanazawa@mogi-group.com</t>
  </si>
  <si>
    <t>joshua.clarke@mogi-group.com</t>
  </si>
  <si>
    <t>juan.verrone@mogi-group.com</t>
  </si>
  <si>
    <t>julian.soler@mogi-group.com</t>
  </si>
  <si>
    <t>kamil.pabin@mogi-group.com</t>
  </si>
  <si>
    <t>karl.torres@mogi-group.com</t>
  </si>
  <si>
    <t>katherine.keen@mogi-group.com</t>
  </si>
  <si>
    <t>kevin.eikmeier@mogi-group.com</t>
  </si>
  <si>
    <t>kokoh.murti@mogi-group.com</t>
  </si>
  <si>
    <t>ladina.majindi@mogi-group.com</t>
  </si>
  <si>
    <t>lidia.aguiar-bezerra@mogi-group.com</t>
  </si>
  <si>
    <t>lorenzo.vergel@mogi-group.com</t>
  </si>
  <si>
    <t>lucas.carvalho@mogi-group.com</t>
  </si>
  <si>
    <t>marcus.kiefer@mogi-group.com</t>
  </si>
  <si>
    <t>maria.hattler@mogi-group.com</t>
  </si>
  <si>
    <t>mateus.cavalheiro-de-sousa@mogi-group.com</t>
  </si>
  <si>
    <t>matheus.cortez@mogi-group.com</t>
  </si>
  <si>
    <t>mathilde.cantagrel@mogi-group.com</t>
  </si>
  <si>
    <t>gerard.smyth@mogi-group.com</t>
  </si>
  <si>
    <t>mohamed.zidan@mogi-group.com</t>
  </si>
  <si>
    <t>nanthicha.meksuwan@mogi-group.com</t>
  </si>
  <si>
    <t>nicha.mahakanchanakul@mogi-group.com</t>
  </si>
  <si>
    <t>alfonso.zendejas-nevarez@mogi-group.com</t>
  </si>
  <si>
    <t>othmane.abidar@mogi-group.com</t>
  </si>
  <si>
    <t>oussama.el-hoz@mogi-group.com</t>
  </si>
  <si>
    <t>pacome.kemkeu@mogi-group.com</t>
  </si>
  <si>
    <t>paulo.ximenes@mogi-group.com</t>
  </si>
  <si>
    <t>rabia.turten@mogi-group.com</t>
  </si>
  <si>
    <t>rachelle-anne.manalo@mogi-group.com</t>
  </si>
  <si>
    <t>raffael.azevedo-andrade@mogi-group.com</t>
  </si>
  <si>
    <t>ralph.cruz@mogi-group.com</t>
  </si>
  <si>
    <t>ramilia.nurutdinova@mogi-group.com</t>
  </si>
  <si>
    <t>ramon.roberto@mogi-group.com</t>
  </si>
  <si>
    <t>Rebeca.de-cerqueira-mateus@mogi-group.com</t>
  </si>
  <si>
    <t>ricardo.flores@mogi-group.com</t>
  </si>
  <si>
    <t>rodrigo.soares-silva@mogi-group.com</t>
  </si>
  <si>
    <t>sascha.miller@mogi-group.com</t>
  </si>
  <si>
    <t>sebastian.hadjidimitris@mogi-group.com</t>
  </si>
  <si>
    <t>stefan.schroeder@mogi-group.com</t>
  </si>
  <si>
    <t>stefan.djokic@mogi-group.com</t>
  </si>
  <si>
    <t>tatiana.kummer@mogi-group.com</t>
  </si>
  <si>
    <t>tayllor.masi@mogi-group.com</t>
  </si>
  <si>
    <t>thercio.brandao@mogi-group.com</t>
  </si>
  <si>
    <t>thiago.martins@mogi-group.com</t>
  </si>
  <si>
    <t>timothy.naldo@mogi-group.com</t>
  </si>
  <si>
    <t>tomas.mendez@mogi-group.com</t>
  </si>
  <si>
    <t>valentin.cieur@mogi-group.com</t>
  </si>
  <si>
    <t>valentin.covilar@mogi-group.com</t>
  </si>
  <si>
    <t>vicky.wu@mogi-group.com</t>
  </si>
  <si>
    <t>vivianne.de-lima-mendonca@mogi-group.com</t>
  </si>
  <si>
    <t>vladimir.dolgov@mogi-group.com</t>
  </si>
  <si>
    <t>wissal.dahir@mogi-group.com</t>
  </si>
  <si>
    <t>xiogenys.pineda@mogi-group.com</t>
  </si>
  <si>
    <t>yonatan.suhardi@mogi-group.com</t>
  </si>
  <si>
    <t>yury.esin@mogi-group.com</t>
  </si>
  <si>
    <t>zamzami.syadza@mogi-group.com</t>
  </si>
  <si>
    <t>zayad.ayassi@mogi-group.com</t>
  </si>
  <si>
    <t>zeljko.randic@mogi-group.com</t>
  </si>
  <si>
    <t>zul-emyr.pinera@mogi-group.com</t>
  </si>
  <si>
    <t>paultre-stuart.beaucejour@mogi-group.com</t>
  </si>
  <si>
    <t>nicho.ferrero@mogi-group.com</t>
  </si>
  <si>
    <t>kaelen.bandao@mogi-group.com</t>
  </si>
  <si>
    <t>katherine.veneracion@mogi-group.com</t>
  </si>
  <si>
    <t>rachel.cruz@mogi-group.com</t>
  </si>
  <si>
    <t>rafael.palmieri@mogi-group.com</t>
  </si>
  <si>
    <t>farouk.saboula@mogi-group.com</t>
  </si>
  <si>
    <t>jose.candellero@mogi-group.com</t>
  </si>
  <si>
    <t>hamza.benchreik@mogi-group.com</t>
  </si>
  <si>
    <t>Name</t>
  </si>
  <si>
    <t>Gmail</t>
  </si>
  <si>
    <t>Project</t>
  </si>
  <si>
    <t>Start Date (d/m/y)</t>
  </si>
  <si>
    <t>Days Worked Until April</t>
  </si>
  <si>
    <t>Days Worked After April</t>
  </si>
  <si>
    <t>Total Days Worked</t>
  </si>
  <si>
    <t>Status</t>
  </si>
  <si>
    <t>Daily Assigned Tickets Target</t>
  </si>
  <si>
    <t>L1 Fatal Errors Target (%)</t>
  </si>
  <si>
    <t>L2 Non-Fatal Errors (%)</t>
  </si>
  <si>
    <t>L1 Non-Fatal Errors (%)</t>
  </si>
  <si>
    <t>DingTalk Connected?</t>
  </si>
  <si>
    <t>Helpshift</t>
  </si>
  <si>
    <t>HS Name</t>
  </si>
  <si>
    <t>HS Nickname</t>
  </si>
  <si>
    <t>Asana?</t>
  </si>
  <si>
    <t>Remote Desktop (TPT)</t>
  </si>
  <si>
    <t>GM Tool?</t>
  </si>
  <si>
    <t>GM Tool Username/Password</t>
  </si>
  <si>
    <t>IG NAME</t>
  </si>
  <si>
    <t>IG State</t>
  </si>
  <si>
    <t>FPID</t>
  </si>
  <si>
    <t>Personality Type</t>
  </si>
  <si>
    <t>Account Escalations</t>
  </si>
  <si>
    <t>Player Report Escalations</t>
  </si>
  <si>
    <t>Abnormal Issue Escalations</t>
  </si>
  <si>
    <t>Compensation Escalations</t>
  </si>
  <si>
    <t>Day 1 Part 1 Form Filled</t>
  </si>
  <si>
    <t>Day 1 Part 2 Form Filled</t>
  </si>
  <si>
    <t>Day 2 Part 1 Form Filled</t>
  </si>
  <si>
    <t>Day 2 Part 2 Form Filled</t>
  </si>
  <si>
    <t>Day 3 Form Filled</t>
  </si>
  <si>
    <t>Day 4 Form Filled</t>
  </si>
  <si>
    <t>Day 5 Form Filled</t>
  </si>
  <si>
    <t>Role</t>
  </si>
  <si>
    <t>Work Days</t>
  </si>
  <si>
    <t>SoS</t>
  </si>
  <si>
    <t>Active</t>
  </si>
  <si>
    <t>Yes</t>
  </si>
  <si>
    <t>Account Created</t>
  </si>
  <si>
    <t>MoGi-DoctoR-EN</t>
  </si>
  <si>
    <t>DoctoR</t>
  </si>
  <si>
    <t>raffael.azevedo</t>
  </si>
  <si>
    <t>Toshinori</t>
  </si>
  <si>
    <t>Senior</t>
  </si>
  <si>
    <t>Mon, Wed, Thu, Sat, Sun</t>
  </si>
  <si>
    <t>gmelllo.mogi@gmail.com</t>
  </si>
  <si>
    <t>MoGi-Gabi-EN</t>
  </si>
  <si>
    <t>Gabi</t>
  </si>
  <si>
    <t>gmelllo.mogi</t>
  </si>
  <si>
    <t>orgabs93</t>
  </si>
  <si>
    <t>INFP-T</t>
  </si>
  <si>
    <t>Team Lead</t>
  </si>
  <si>
    <t>Mon, Tue, Wed, Thu, Fri</t>
  </si>
  <si>
    <t>Mogi-Julian-EN</t>
  </si>
  <si>
    <t>julian.soler</t>
  </si>
  <si>
    <t>Erebus</t>
  </si>
  <si>
    <t>Agent</t>
  </si>
  <si>
    <t>Wed, Thu, Fri, Sat, Sun</t>
  </si>
  <si>
    <t>kevin.mogi.group@gmail.com</t>
  </si>
  <si>
    <t>MoGi-Kevin-EN</t>
  </si>
  <si>
    <t>Kevin</t>
  </si>
  <si>
    <t>kevin.mogi.group</t>
  </si>
  <si>
    <t>Buzzord</t>
  </si>
  <si>
    <t>VIP Agent</t>
  </si>
  <si>
    <t>Sat, Sun</t>
  </si>
  <si>
    <t>mariahattler.mogi@gmail.com</t>
  </si>
  <si>
    <t>Mogi-Malu-EN</t>
  </si>
  <si>
    <t>Malu</t>
  </si>
  <si>
    <t>mariahattler.mogi</t>
  </si>
  <si>
    <t>MaluHattler</t>
  </si>
  <si>
    <t>Trainer</t>
  </si>
  <si>
    <t>ZR</t>
  </si>
  <si>
    <t>matheus.cortez.mogi@gmail.com</t>
  </si>
  <si>
    <t>MoGi-Matheus-EN</t>
  </si>
  <si>
    <t>Matheus</t>
  </si>
  <si>
    <t>matheus.cortez.mogi</t>
  </si>
  <si>
    <t>mcortez</t>
  </si>
  <si>
    <t>nicha.mogi@gmail.com</t>
  </si>
  <si>
    <t>Mogi-Nicha-EN</t>
  </si>
  <si>
    <t>Dyna</t>
  </si>
  <si>
    <t>nicha.mogi</t>
  </si>
  <si>
    <t>Dynamitez</t>
  </si>
  <si>
    <t>INFJ-T</t>
  </si>
  <si>
    <t>MoGi-Reverse-EN</t>
  </si>
  <si>
    <t>Reverse</t>
  </si>
  <si>
    <t>joao.studart</t>
  </si>
  <si>
    <t>Mon, Tue, Wed, Sat, Sun</t>
  </si>
  <si>
    <t>Mogi-Tayllor-EN</t>
  </si>
  <si>
    <t>TayMasi</t>
  </si>
  <si>
    <t>tayllor.masi</t>
  </si>
  <si>
    <t>therciobrandao@gmail.com</t>
  </si>
  <si>
    <t>MoGi-Thercio-EN</t>
  </si>
  <si>
    <t>Josias</t>
  </si>
  <si>
    <t>therciobrandao</t>
  </si>
  <si>
    <t>Thercio Brandao2</t>
  </si>
  <si>
    <t xml:space="preserve">vivimendonca93@gmail.com </t>
  </si>
  <si>
    <t>MoGi-Vivianne-EN</t>
  </si>
  <si>
    <t>Tobias</t>
  </si>
  <si>
    <t>vivimendonca93</t>
  </si>
  <si>
    <t>GM</t>
  </si>
  <si>
    <t>manoela.antunes@mogi-group.com</t>
  </si>
  <si>
    <t>soaresmanoela1607@gmail.com</t>
  </si>
  <si>
    <t>Inactive</t>
  </si>
  <si>
    <t>Created, Access Granted</t>
  </si>
  <si>
    <t>Mogi-Manoela-EN</t>
  </si>
  <si>
    <t>manoela.antunes</t>
  </si>
  <si>
    <t>ManoMogi</t>
  </si>
  <si>
    <t>MoGi-Jose-ES</t>
  </si>
  <si>
    <t>Jose Mass</t>
  </si>
  <si>
    <t>jose.mass</t>
  </si>
  <si>
    <t>NexusMasster</t>
  </si>
  <si>
    <t>Alyna Rylka</t>
  </si>
  <si>
    <t>alina.rylka@mogi-group.com</t>
  </si>
  <si>
    <t>rylkaalina@gmail.com</t>
  </si>
  <si>
    <t>MoGi-Alina-EN</t>
  </si>
  <si>
    <t>rylkaalina</t>
  </si>
  <si>
    <t>Arylka#645</t>
  </si>
  <si>
    <t>Thu, Fri, Sat, Sun</t>
  </si>
  <si>
    <t xml:space="preserve">GM+FL
</t>
  </si>
  <si>
    <t>Ronan Garcia</t>
  </si>
  <si>
    <t>ronan.garcia@mogi-group.com</t>
  </si>
  <si>
    <t>MoGi-Ronan-EN</t>
  </si>
  <si>
    <t>ronan.garcia</t>
  </si>
  <si>
    <t>DrDreads#667</t>
  </si>
  <si>
    <t>MoGi-Sascha-DE</t>
  </si>
  <si>
    <t>Sascha</t>
  </si>
  <si>
    <t>sascha.miller</t>
  </si>
  <si>
    <t>Light</t>
  </si>
  <si>
    <t>ISTJ-A</t>
  </si>
  <si>
    <t>MoGi-Buddy-DE</t>
  </si>
  <si>
    <t>Buddy</t>
  </si>
  <si>
    <t>marcus.kiefer</t>
  </si>
  <si>
    <t>BuddyPudding</t>
  </si>
  <si>
    <t>INTJ-A</t>
  </si>
  <si>
    <t>Tue, Thu, Fri, Sat, Sun</t>
  </si>
  <si>
    <t>ariel.acosta.mogi@gmail.com</t>
  </si>
  <si>
    <t>MoGi-Hoppachai-ES</t>
  </si>
  <si>
    <t>Hoppachai</t>
  </si>
  <si>
    <t>ariel.acosta</t>
  </si>
  <si>
    <t>javier-alfredo.islas@mogi-group.com</t>
  </si>
  <si>
    <t>Mogi-Javier-ES</t>
  </si>
  <si>
    <t>Form Submitted to Val and Stefan</t>
  </si>
  <si>
    <t>javier-alfredo.islas</t>
  </si>
  <si>
    <t>Dimcairion#645</t>
  </si>
  <si>
    <t>Natalia Vorobyeva</t>
  </si>
  <si>
    <t>natalia.vorobyeva@mogi-group.com</t>
  </si>
  <si>
    <t>natashagamer23@gmail.com</t>
  </si>
  <si>
    <t>DE/RU</t>
  </si>
  <si>
    <t>MoGi-Natalia-RU</t>
  </si>
  <si>
    <t>natalia.vorobyeva</t>
  </si>
  <si>
    <t>NatashaGamer23#645</t>
  </si>
  <si>
    <t>MoGi-Juanv-ES</t>
  </si>
  <si>
    <t>Juanv</t>
  </si>
  <si>
    <t>Juan.verrone</t>
  </si>
  <si>
    <t>bryan.barahona@mogi-group.com</t>
  </si>
  <si>
    <t>MoGi-Bryan-ES</t>
  </si>
  <si>
    <t>bryan.barahona</t>
  </si>
  <si>
    <t>Bryan B</t>
  </si>
  <si>
    <t>Mon, Wed, Sat, Sun</t>
  </si>
  <si>
    <t>vladyslav.tretiak@mogi-group.com</t>
  </si>
  <si>
    <t>Mogi-Vlad-RU</t>
  </si>
  <si>
    <t>vladyslav.tretiak</t>
  </si>
  <si>
    <t>Myonix</t>
  </si>
  <si>
    <t>Mon, Fri, Sat, Sun</t>
  </si>
  <si>
    <t>timo.jueptner@mogi-group.com</t>
  </si>
  <si>
    <t>23:00-8:00</t>
  </si>
  <si>
    <t>MoGI-Timo-DE</t>
  </si>
  <si>
    <t>timo.jueptner</t>
  </si>
  <si>
    <t>ZentraX7#645</t>
  </si>
  <si>
    <t>lasartefacu@gmail.com</t>
  </si>
  <si>
    <t>21:00-06:00</t>
  </si>
  <si>
    <t>MoGi-Facu-ES</t>
  </si>
  <si>
    <t>Facu</t>
  </si>
  <si>
    <t>lasartefacu</t>
  </si>
  <si>
    <t>KSP420</t>
  </si>
  <si>
    <t>NM</t>
  </si>
  <si>
    <t>mogi.zeljko@gmail.com</t>
  </si>
  <si>
    <t>MoGi-ZMan-EN</t>
  </si>
  <si>
    <t>ZMan</t>
  </si>
  <si>
    <t>mogi.zeljko</t>
  </si>
  <si>
    <t>RookieStuff34</t>
  </si>
  <si>
    <t>ISFJ-T</t>
  </si>
  <si>
    <t>carlos-andres.albarracin@mogi-group.com</t>
  </si>
  <si>
    <t>MoGi-Andres-EN</t>
  </si>
  <si>
    <t>Andres</t>
  </si>
  <si>
    <t>carlos-andres.albarracin</t>
  </si>
  <si>
    <t>Puki</t>
  </si>
  <si>
    <t>ENTJ</t>
  </si>
  <si>
    <t>MoGi-BrunoGoncales-EN</t>
  </si>
  <si>
    <t>Gordon</t>
  </si>
  <si>
    <t>bruno.goncales</t>
  </si>
  <si>
    <t>brunkz</t>
  </si>
  <si>
    <t>ENFP-T</t>
  </si>
  <si>
    <t>bruno.toledo938@gmail.com</t>
  </si>
  <si>
    <t>MoGi-BToledo-EN</t>
  </si>
  <si>
    <t>Beluga</t>
  </si>
  <si>
    <t>bruno.toledo938</t>
  </si>
  <si>
    <t>ENTP-T</t>
  </si>
  <si>
    <t>Mon, Tue, Thu, Sat, Sun</t>
  </si>
  <si>
    <t>MoGi-Eddi-DE</t>
  </si>
  <si>
    <t>Eddi</t>
  </si>
  <si>
    <t>eddi.dostatni</t>
  </si>
  <si>
    <t>PT</t>
  </si>
  <si>
    <t>MoGi-G.Torres-EN</t>
  </si>
  <si>
    <t>G.Torres</t>
  </si>
  <si>
    <t>guilherme.torres</t>
  </si>
  <si>
    <t>Bebo</t>
  </si>
  <si>
    <t>gabriel.zambrano.mogigroup@gmail.com</t>
  </si>
  <si>
    <t>MoGi-Gabriel-EN</t>
  </si>
  <si>
    <t>Gabriel</t>
  </si>
  <si>
    <t>gabriel.zambrano.mogigroup</t>
  </si>
  <si>
    <t>Gz07</t>
  </si>
  <si>
    <t>Mon, Tue, Wed, Thu, Sat</t>
  </si>
  <si>
    <t>gustavo.albano.mogi@gmail.com</t>
  </si>
  <si>
    <t>MoGi-Guga-EN</t>
  </si>
  <si>
    <t>Guga</t>
  </si>
  <si>
    <t>gustavo.albano.mogi</t>
  </si>
  <si>
    <t>GugaAlbano</t>
  </si>
  <si>
    <t>ENFJ-A</t>
  </si>
  <si>
    <t>paulo.ximenes.mogi@gmail.com</t>
  </si>
  <si>
    <t>MoGi-PXimenes-EN</t>
  </si>
  <si>
    <t>Tirol</t>
  </si>
  <si>
    <t>paulo.ximenes.mogi</t>
  </si>
  <si>
    <t>kountervibe</t>
  </si>
  <si>
    <t>INTP-T</t>
  </si>
  <si>
    <t>MoGi-Tico-EN</t>
  </si>
  <si>
    <t>Tico</t>
  </si>
  <si>
    <t>thiago.martins</t>
  </si>
  <si>
    <t>um tico</t>
  </si>
  <si>
    <t>airton.marques@mogi-group.com</t>
  </si>
  <si>
    <t>MoGi-Airton-EN</t>
  </si>
  <si>
    <t>airton.marques</t>
  </si>
  <si>
    <t>airtonlala2</t>
  </si>
  <si>
    <t>akzharkyn.kozhageldiyeva@mogi-group.com</t>
  </si>
  <si>
    <t>MoGi-Akzharkyn-RU</t>
  </si>
  <si>
    <t>akzharkyn.kozhageldiyeva</t>
  </si>
  <si>
    <t>moondust</t>
  </si>
  <si>
    <t>MoGi-Angelo-EN</t>
  </si>
  <si>
    <t>Gelo</t>
  </si>
  <si>
    <t>angelo.tabada</t>
  </si>
  <si>
    <t>AngeloT.</t>
  </si>
  <si>
    <t>ISTJ-T</t>
  </si>
  <si>
    <t>MoGi-Hans-EN</t>
  </si>
  <si>
    <t>Hans</t>
  </si>
  <si>
    <t>hans.co</t>
  </si>
  <si>
    <t>Heygen</t>
  </si>
  <si>
    <t>MoGi-JoseMari-EN</t>
  </si>
  <si>
    <t>Jose Mari</t>
  </si>
  <si>
    <t>jose-mari.kanazawa</t>
  </si>
  <si>
    <t>せいち～</t>
  </si>
  <si>
    <t>Mon, Thu, Fri, Sat, Sun</t>
  </si>
  <si>
    <t>Mogi-Othmane-EN</t>
  </si>
  <si>
    <t>Anayama</t>
  </si>
  <si>
    <t>othmane.abidar</t>
  </si>
  <si>
    <t>Deviim</t>
  </si>
  <si>
    <t>MoGi-Ramon-EN</t>
  </si>
  <si>
    <t>Ramon R.</t>
  </si>
  <si>
    <t>ramon.roberto</t>
  </si>
  <si>
    <t>EvenMoarDakka</t>
  </si>
  <si>
    <t>Sat, Sun, Mon, Tue, Wed</t>
  </si>
  <si>
    <t>jorge.almeidamogi@gmail.com</t>
  </si>
  <si>
    <t>MoGi-Jorge-EN</t>
  </si>
  <si>
    <t>juicefruit</t>
  </si>
  <si>
    <t>jorge.almeida</t>
  </si>
  <si>
    <t>sucodefruta</t>
  </si>
  <si>
    <t>IT</t>
  </si>
  <si>
    <t>MoGi-Enry-IT</t>
  </si>
  <si>
    <t>Enry</t>
  </si>
  <si>
    <t>enrico.fasani</t>
  </si>
  <si>
    <t>MoGi-Will-EN</t>
  </si>
  <si>
    <t>Will</t>
  </si>
  <si>
    <t>guilherme.perottoni</t>
  </si>
  <si>
    <t>Perottonis</t>
  </si>
  <si>
    <t>Tue, Wed, Thu, Fri, Sat</t>
  </si>
  <si>
    <t>MoGi-Yonatan-ID</t>
  </si>
  <si>
    <t>Yonatan</t>
  </si>
  <si>
    <t>yonatan.suhardi</t>
  </si>
  <si>
    <t>Spaz</t>
  </si>
  <si>
    <t>Tue, Wed, Thu, Sat, Sun</t>
  </si>
  <si>
    <t>ekaterina.bochkareva@mogi-group.com</t>
  </si>
  <si>
    <t>ekaterina.bochkareva@gmail.com</t>
  </si>
  <si>
    <t>MoGi-Ekaterina-RU</t>
  </si>
  <si>
    <t>Ekaterina</t>
  </si>
  <si>
    <t>ekaterina.bochkareva</t>
  </si>
  <si>
    <t>kid k</t>
  </si>
  <si>
    <t>Mon, Tue, Wed, Thu, Sun</t>
  </si>
  <si>
    <t>MoGi-Yury-EN</t>
  </si>
  <si>
    <t>Yury</t>
  </si>
  <si>
    <t>yury.esin</t>
  </si>
  <si>
    <t>Barracuda</t>
  </si>
  <si>
    <t>MoGi-Kamil-PL</t>
  </si>
  <si>
    <t>Kamil</t>
  </si>
  <si>
    <t>kamil.pabin</t>
  </si>
  <si>
    <t>Glabar</t>
  </si>
  <si>
    <t>Mon, Wed, Thu, Fri, Sat, Sun</t>
  </si>
  <si>
    <t>MoGi-Mathilde-FR</t>
  </si>
  <si>
    <t>Misha</t>
  </si>
  <si>
    <t>mathilde.cantagrel</t>
  </si>
  <si>
    <t>elhozoussamogi@gmail.com</t>
  </si>
  <si>
    <t>40</t>
  </si>
  <si>
    <t>10</t>
  </si>
  <si>
    <t>25</t>
  </si>
  <si>
    <t>Mogi-Oussama-FR</t>
  </si>
  <si>
    <t>Silver</t>
  </si>
  <si>
    <t>oussama.el-hoz</t>
  </si>
  <si>
    <t>grigory.stepanishev@mogi-group.com</t>
  </si>
  <si>
    <t>stepanishevgrigory32@gmail.com</t>
  </si>
  <si>
    <t>MoGi-Grigory-RU</t>
  </si>
  <si>
    <t>grigory.stepanishev</t>
  </si>
  <si>
    <t>TopGun#645</t>
  </si>
  <si>
    <t>martin.rostagno@mogi-group.com</t>
  </si>
  <si>
    <t>MoGi-Martin-ES</t>
  </si>
  <si>
    <t>Lion</t>
  </si>
  <si>
    <t>martin.rostagno</t>
  </si>
  <si>
    <t>Hazel Lion</t>
  </si>
  <si>
    <t>mykhailo.tarantsov@mogi-group.com</t>
  </si>
  <si>
    <t>mykhailomogi@gmail.com</t>
  </si>
  <si>
    <t>MoGi-Mykhailo-RU</t>
  </si>
  <si>
    <t>mykhailo.tarantsov</t>
  </si>
  <si>
    <t>Mykhailo7</t>
  </si>
  <si>
    <t>Mon, Tue, Sat, Sun</t>
  </si>
  <si>
    <t>Mogi-Christian-DE</t>
  </si>
  <si>
    <t>Hikaru</t>
  </si>
  <si>
    <t>Pending Access</t>
  </si>
  <si>
    <t>christian.ries</t>
  </si>
  <si>
    <t>Hikaru.K738</t>
  </si>
  <si>
    <t>Mogi-Kate-EN</t>
  </si>
  <si>
    <t>Kate</t>
  </si>
  <si>
    <t>katherine.keen</t>
  </si>
  <si>
    <t>katherine keen</t>
  </si>
  <si>
    <t>MoGi-Kokoh-ID</t>
  </si>
  <si>
    <t>Kokoh</t>
  </si>
  <si>
    <t>kokoh.murti</t>
  </si>
  <si>
    <t>Steady</t>
  </si>
  <si>
    <t>mateuscdesousa@gmail.com</t>
  </si>
  <si>
    <t>MoGi-Matthew-EN</t>
  </si>
  <si>
    <t>The Guy</t>
  </si>
  <si>
    <t>mateus.cavalheiro-de-sousa</t>
  </si>
  <si>
    <t>Kimerus</t>
  </si>
  <si>
    <t>andrzej.karabasz@mogi-group.com</t>
  </si>
  <si>
    <t>MoGi-Andrzej-RU</t>
  </si>
  <si>
    <t>andrzej.karabasz</t>
  </si>
  <si>
    <t>Scavenger.K738</t>
  </si>
  <si>
    <t>gisellie.abiva@mogi-group.com</t>
  </si>
  <si>
    <t>Mogi-Gisellie-EN</t>
  </si>
  <si>
    <t>gisellie.abiva</t>
  </si>
  <si>
    <t>Ghe Celie</t>
  </si>
  <si>
    <t>kevin.craig@mogi-group.com</t>
  </si>
  <si>
    <t>MoGi-Craig-EN</t>
  </si>
  <si>
    <t>kevin.craig</t>
  </si>
  <si>
    <t>Craig</t>
  </si>
  <si>
    <t>MoGi-Galeano-EN</t>
  </si>
  <si>
    <t>Bready</t>
  </si>
  <si>
    <t>ricardo.flores</t>
  </si>
  <si>
    <t>Riki</t>
  </si>
  <si>
    <t xml:space="preserve">WD </t>
  </si>
  <si>
    <t>Mogi-Alex-RU</t>
  </si>
  <si>
    <t>Zombiemar</t>
  </si>
  <si>
    <t>alexander.myaldzin</t>
  </si>
  <si>
    <t>Sarumanlunatic</t>
  </si>
  <si>
    <t>gerard.smyth.mogi@gmail.com</t>
  </si>
  <si>
    <t>MoGi-Archon-EN</t>
  </si>
  <si>
    <t>Archon</t>
  </si>
  <si>
    <t>gerard.smyth</t>
  </si>
  <si>
    <t>JamtheBlue</t>
  </si>
  <si>
    <t>c.elaimeur@gmail.com</t>
  </si>
  <si>
    <t>AR</t>
  </si>
  <si>
    <t>MoGi-Chaimaa-AR</t>
  </si>
  <si>
    <t>Borita</t>
  </si>
  <si>
    <t>chaimaa.elaimeur</t>
  </si>
  <si>
    <t>Borita17</t>
  </si>
  <si>
    <t>MoGi-Dmitry-Ru</t>
  </si>
  <si>
    <t>Mefod</t>
  </si>
  <si>
    <t>dmitry.patrushev</t>
  </si>
  <si>
    <t>yassine.zakani@mogi-group.com</t>
  </si>
  <si>
    <t>MoGi-Yassine-AR</t>
  </si>
  <si>
    <t>Yassine</t>
  </si>
  <si>
    <t>yassine.zakani</t>
  </si>
  <si>
    <t>CyberCable</t>
  </si>
  <si>
    <t>Che-jung Yu</t>
  </si>
  <si>
    <t>che-jung.yu@mogi-group.com</t>
  </si>
  <si>
    <t>WD+WE</t>
  </si>
  <si>
    <t>01:00-08:00</t>
  </si>
  <si>
    <t>Mogi-Alvis-EN</t>
  </si>
  <si>
    <t>Form Sent</t>
  </si>
  <si>
    <t>che-jung.yu</t>
  </si>
  <si>
    <t>Cjy</t>
  </si>
  <si>
    <t>Mogi-Amin-EN</t>
  </si>
  <si>
    <t>DiBoy</t>
  </si>
  <si>
    <t>Amin-Adjarain.Majindi</t>
  </si>
  <si>
    <t>BabyHadi</t>
  </si>
  <si>
    <t>MoGi-Eugene-RU</t>
  </si>
  <si>
    <t>Shepherd</t>
  </si>
  <si>
    <t>eugene.ovcharov</t>
  </si>
  <si>
    <t>JoeQuarter</t>
  </si>
  <si>
    <t>alexander.sidki@gmail.com</t>
  </si>
  <si>
    <t>MoGi-Alex.s-RU</t>
  </si>
  <si>
    <t>Hex</t>
  </si>
  <si>
    <t>alexander.sidki</t>
  </si>
  <si>
    <t>Coffin Breaker</t>
  </si>
  <si>
    <t>valentin.cieur.mogi@gmail.com</t>
  </si>
  <si>
    <t>MoGi-Fafnir-FR</t>
  </si>
  <si>
    <t>Fafnir</t>
  </si>
  <si>
    <t>valentin.cieur</t>
  </si>
  <si>
    <t>tomas.mendez.mogi@gmail.com</t>
  </si>
  <si>
    <t>Mogi-Trevor-ES</t>
  </si>
  <si>
    <t>Trevor</t>
  </si>
  <si>
    <t>tomas.mendez</t>
  </si>
  <si>
    <t>Prison Mike</t>
  </si>
  <si>
    <t>Mogi-Adam-EN</t>
  </si>
  <si>
    <t>Kermit</t>
  </si>
  <si>
    <t>adam.ellison</t>
  </si>
  <si>
    <t>Mogi-Eliana-ES</t>
  </si>
  <si>
    <t>Ariana</t>
  </si>
  <si>
    <t>eliana.galanda</t>
  </si>
  <si>
    <t>Eiko2022</t>
  </si>
  <si>
    <t>ian.daroz@mogi-group.com</t>
  </si>
  <si>
    <t>iandaroz.work@gmail.com</t>
  </si>
  <si>
    <t>MoGi-Ian-PT</t>
  </si>
  <si>
    <t>Harbinger</t>
  </si>
  <si>
    <t>form Sent</t>
  </si>
  <si>
    <t>ian.daroz</t>
  </si>
  <si>
    <t>Wyz</t>
  </si>
  <si>
    <t>MoGi-StefanNikolas-EN</t>
  </si>
  <si>
    <t>Stefan</t>
  </si>
  <si>
    <t>stefan.schroeder</t>
  </si>
  <si>
    <t>TheDuke</t>
  </si>
  <si>
    <t>julie.so@mogi-group.com</t>
  </si>
  <si>
    <t>MoGi-Julie-EN</t>
  </si>
  <si>
    <t>Suryanti</t>
  </si>
  <si>
    <t>julie.so</t>
  </si>
  <si>
    <t>Lasse</t>
  </si>
  <si>
    <t>raminurutdinova@gmail.com</t>
  </si>
  <si>
    <t>MoGi-Rami-EN/RU</t>
  </si>
  <si>
    <t>Trish</t>
  </si>
  <si>
    <t>Access Requested</t>
  </si>
  <si>
    <t>ramilia.nurutdinova</t>
  </si>
  <si>
    <t>rami</t>
  </si>
  <si>
    <t>Mogi-Alexander-RU</t>
  </si>
  <si>
    <t>DeadUnikorn</t>
  </si>
  <si>
    <t>alexander.snetkov</t>
  </si>
  <si>
    <t>AlexSnit</t>
  </si>
  <si>
    <t>MoGi-Lidia-PT</t>
  </si>
  <si>
    <t>Lidia</t>
  </si>
  <si>
    <t>lidia.aguiar-bezerra</t>
  </si>
  <si>
    <t>lidstew</t>
  </si>
  <si>
    <t xml:space="preserve">EN </t>
  </si>
  <si>
    <t>Mogi-Tatiana-EN</t>
  </si>
  <si>
    <t>Tina</t>
  </si>
  <si>
    <t>tatiana.kummer</t>
  </si>
  <si>
    <t>tkummer</t>
  </si>
  <si>
    <t>xiogenyspinedamogigroup@gmail.com</t>
  </si>
  <si>
    <t>MoGi-Xiogenys-ES</t>
  </si>
  <si>
    <t>Xio</t>
  </si>
  <si>
    <t>xiogenys.pineda</t>
  </si>
  <si>
    <t>Xiotica</t>
  </si>
  <si>
    <t>Mon, Tue, Thu, Fri</t>
  </si>
  <si>
    <t>gernot.orgler.mogi@gmail.com</t>
  </si>
  <si>
    <t>MoGi-Gernot-DE</t>
  </si>
  <si>
    <t>Eikki</t>
  </si>
  <si>
    <t>gernot.orgler</t>
  </si>
  <si>
    <t>Goalicious</t>
  </si>
  <si>
    <t>MoGi-Matt-EN</t>
  </si>
  <si>
    <t>Matt</t>
  </si>
  <si>
    <t>karl.torres</t>
  </si>
  <si>
    <t>Eyescold</t>
  </si>
  <si>
    <t>Mogi-Rachelle-EN</t>
  </si>
  <si>
    <t>Rachelle</t>
  </si>
  <si>
    <t>rachelle-anne.manalo</t>
  </si>
  <si>
    <t>Lego0327</t>
  </si>
  <si>
    <t>ricardo.fleck@mogi-group.com</t>
  </si>
  <si>
    <t>MoGi-Ricardo-EN</t>
  </si>
  <si>
    <t>Plasma Agent</t>
  </si>
  <si>
    <t>ricardo.fleck</t>
  </si>
  <si>
    <t>Lez</t>
  </si>
  <si>
    <t>victor.macario@mogi-group.com</t>
  </si>
  <si>
    <t>Mogi-Victor-PT</t>
  </si>
  <si>
    <t>victor.macario</t>
  </si>
  <si>
    <t>PotatoEnthusiast</t>
  </si>
  <si>
    <t>TR</t>
  </si>
  <si>
    <t>Mogi-Rabia-TR</t>
  </si>
  <si>
    <t>Rabis</t>
  </si>
  <si>
    <t>rabia.turten</t>
  </si>
  <si>
    <t>rabiaturten</t>
  </si>
  <si>
    <t>MoGi-Amanda-EN</t>
  </si>
  <si>
    <t>amanda.philot-trotta</t>
  </si>
  <si>
    <t>Migiojo</t>
  </si>
  <si>
    <t>Mogi-Kovacs-EN</t>
  </si>
  <si>
    <t>Kovacs</t>
  </si>
  <si>
    <t>daniel.kovacs</t>
  </si>
  <si>
    <t>kov</t>
  </si>
  <si>
    <t>Mogi-Cypher-EN</t>
  </si>
  <si>
    <t>Cypher</t>
  </si>
  <si>
    <t>endrio.lima</t>
  </si>
  <si>
    <t>end.ol</t>
  </si>
  <si>
    <t>stefan.tesic@mogi-group.com</t>
  </si>
  <si>
    <t>Mogi-Stefan-EN</t>
  </si>
  <si>
    <t>hanyuji</t>
  </si>
  <si>
    <t>Mon, Tue, Fri, Sat, Sun</t>
  </si>
  <si>
    <t>MoGi-Diana-RU</t>
  </si>
  <si>
    <t>Space Cat</t>
  </si>
  <si>
    <t>Should have already</t>
  </si>
  <si>
    <t>diana.dobrovolskaja</t>
  </si>
  <si>
    <t>Bacon Pancake</t>
  </si>
  <si>
    <t>MoGi-Wunder-EN</t>
  </si>
  <si>
    <t>Wunder</t>
  </si>
  <si>
    <t>stefan.djokic</t>
  </si>
  <si>
    <t>MoGi-Atalla-EN</t>
  </si>
  <si>
    <t>Escanor</t>
  </si>
  <si>
    <t>guilherme.atalla</t>
  </si>
  <si>
    <t>Survivor.191057</t>
  </si>
  <si>
    <t>burak.emlik.mogi@gmail.com</t>
  </si>
  <si>
    <t>MoGi-Burak-TR</t>
  </si>
  <si>
    <t>Bemlik</t>
  </si>
  <si>
    <t>burak.emlik</t>
  </si>
  <si>
    <t>bemlik</t>
  </si>
  <si>
    <t>MoGi-Dani-EN</t>
  </si>
  <si>
    <t>Dani</t>
  </si>
  <si>
    <t>dani.taylor</t>
  </si>
  <si>
    <t>DaniHeart</t>
  </si>
  <si>
    <t>elif.emir.mogi@gmail.com</t>
  </si>
  <si>
    <t>MoGi-Elif-TR</t>
  </si>
  <si>
    <t>elif</t>
  </si>
  <si>
    <t>elif.emir</t>
  </si>
  <si>
    <t>eledhwen</t>
  </si>
  <si>
    <t>MoGi-Tim-EN</t>
  </si>
  <si>
    <t>Tim</t>
  </si>
  <si>
    <t>timothy.naldo</t>
  </si>
  <si>
    <t>Tim_Naldo1203</t>
  </si>
  <si>
    <t>malena.portuondo@mogi-group.com</t>
  </si>
  <si>
    <t>portuondo.mogi@gmail.com</t>
  </si>
  <si>
    <t>EN/IT</t>
  </si>
  <si>
    <t>16:00-1:00</t>
  </si>
  <si>
    <t>Pending Creation, Access Granted</t>
  </si>
  <si>
    <t>nanthichameksuwan.mogi@gmail.com</t>
  </si>
  <si>
    <t>TH</t>
  </si>
  <si>
    <t>MoGi-Nanthicha-EN/TH</t>
  </si>
  <si>
    <t>Shoto</t>
  </si>
  <si>
    <t>nanthicha.meksuwan</t>
  </si>
  <si>
    <t>w1nds</t>
  </si>
  <si>
    <t>MoGi-Enzo-EN</t>
  </si>
  <si>
    <t>Enzo</t>
  </si>
  <si>
    <t>lorenzo.vergel</t>
  </si>
  <si>
    <t>enzokunn</t>
  </si>
  <si>
    <t>Mogi-Seba-ES/EN</t>
  </si>
  <si>
    <t>Seba</t>
  </si>
  <si>
    <t>sebastian.hadjidimitris</t>
  </si>
  <si>
    <t>SebasH</t>
  </si>
  <si>
    <t>Tue, Fri, Sat, Sun</t>
  </si>
  <si>
    <t>artur.venidiktov@mogi-group.com</t>
  </si>
  <si>
    <t>MoGi-Artur-RU</t>
  </si>
  <si>
    <t>Artur</t>
  </si>
  <si>
    <t>artur.venidiktov</t>
  </si>
  <si>
    <t>batmans.worship</t>
  </si>
  <si>
    <t>MoGi-Coline-EN</t>
  </si>
  <si>
    <t>Coline</t>
  </si>
  <si>
    <t>coline-ysabel.tan</t>
  </si>
  <si>
    <t>Mogi-Ladina-EN</t>
  </si>
  <si>
    <t>Elle</t>
  </si>
  <si>
    <t>ladina.majindi</t>
  </si>
  <si>
    <t>louise</t>
  </si>
  <si>
    <t>Mogi-Rebeca-EN/PT</t>
  </si>
  <si>
    <t>receba</t>
  </si>
  <si>
    <t>Rebeca.de-cerqueira-mateus</t>
  </si>
  <si>
    <t>Mogi-Zul-emyr-EN</t>
  </si>
  <si>
    <t>Zullie</t>
  </si>
  <si>
    <t>zul-emyr.pinera</t>
  </si>
  <si>
    <t>Yzzam</t>
  </si>
  <si>
    <t>david.andres@mogi-group.com</t>
  </si>
  <si>
    <t>MoGi-David-EN</t>
  </si>
  <si>
    <t>Presto</t>
  </si>
  <si>
    <t>Requested</t>
  </si>
  <si>
    <t>david.andres</t>
  </si>
  <si>
    <t>Dencci11</t>
  </si>
  <si>
    <t>ellen.borba@mogi-group.com</t>
  </si>
  <si>
    <t>ellen.borbamg@gmail.com</t>
  </si>
  <si>
    <t>Mogi-Ellen-EN/PT</t>
  </si>
  <si>
    <t>Survivor.213522</t>
  </si>
  <si>
    <t>MoGi-John-EN</t>
  </si>
  <si>
    <t>John</t>
  </si>
  <si>
    <t>john.campos</t>
  </si>
  <si>
    <t>boxtrophy</t>
  </si>
  <si>
    <t>GM+FL</t>
  </si>
  <si>
    <t>ceyhun.cengiz.mogi@gmail.com</t>
  </si>
  <si>
    <t>Mogi-Ceyhun-TR</t>
  </si>
  <si>
    <t>J-Man</t>
  </si>
  <si>
    <t>ceyhun.cengiz</t>
  </si>
  <si>
    <t>ceyycun1</t>
  </si>
  <si>
    <t>Mogi-Lifebender-EN</t>
  </si>
  <si>
    <t>Lifebender</t>
  </si>
  <si>
    <t>zayad.ayassi</t>
  </si>
  <si>
    <t>Mogi-Lucas-EN</t>
  </si>
  <si>
    <t>Leon</t>
  </si>
  <si>
    <t>lucas.carvalho</t>
  </si>
  <si>
    <t>Levin Strategist</t>
  </si>
  <si>
    <t>Mogi-Ernesto-EN</t>
  </si>
  <si>
    <t>Ran</t>
  </si>
  <si>
    <t>ernesto.zapanta</t>
  </si>
  <si>
    <t>Lupin</t>
  </si>
  <si>
    <t>MoGi-Joshua-EN</t>
  </si>
  <si>
    <t>JClarke</t>
  </si>
  <si>
    <t>joshua.clarke</t>
  </si>
  <si>
    <t>Oblivion000</t>
  </si>
  <si>
    <t>licinio.gomes-de-pina@mogi-group.com</t>
  </si>
  <si>
    <t>Access Granted</t>
  </si>
  <si>
    <t>MoGi-Rodi-EN</t>
  </si>
  <si>
    <t>Rodi</t>
  </si>
  <si>
    <t>rodrigo.soares-silva</t>
  </si>
  <si>
    <t>r4du1</t>
  </si>
  <si>
    <t>Mogi-wissal-AR</t>
  </si>
  <si>
    <t>Wissal</t>
  </si>
  <si>
    <t>wissal.dahir.outsource/Ourter@outer326</t>
  </si>
  <si>
    <t>wissyy</t>
  </si>
  <si>
    <t>MoGi-MZ-Arabic</t>
  </si>
  <si>
    <t>Zidan</t>
  </si>
  <si>
    <t>mohamed.zidan.outsource/Ourter@outer325</t>
  </si>
  <si>
    <t>Survivor.191150</t>
  </si>
  <si>
    <t>Mogi-Pacome-FR</t>
  </si>
  <si>
    <t>Pacome</t>
  </si>
  <si>
    <t>pacome.kemkeu.outsource/Ourter@outer3245</t>
  </si>
  <si>
    <t>PacM4n</t>
  </si>
  <si>
    <t>Mogi-Vicky-ID</t>
  </si>
  <si>
    <t>HirokiKaze</t>
  </si>
  <si>
    <t>vicky.wu</t>
  </si>
  <si>
    <t>HikariKaze</t>
  </si>
  <si>
    <t>Mogi-Luis-EN</t>
  </si>
  <si>
    <t>Luis</t>
  </si>
  <si>
    <t>jose-luis.alon</t>
  </si>
  <si>
    <t>Survivor.246456.K770</t>
  </si>
  <si>
    <t>eakoydl@gmail.com</t>
  </si>
  <si>
    <t>Mogi-Manny-DE</t>
  </si>
  <si>
    <t>Zombroni</t>
  </si>
  <si>
    <t>emanuel.koydl.outsource/Ourter@outer321</t>
  </si>
  <si>
    <t>MoGi-Eliezer-EN</t>
  </si>
  <si>
    <t>Kez</t>
  </si>
  <si>
    <t>eliezer.pena.outsource/Ourter@outer353</t>
  </si>
  <si>
    <t>Kezo</t>
  </si>
  <si>
    <t>mogi.ralphc@gmail.com</t>
  </si>
  <si>
    <t>MoGi-Ralph-EN</t>
  </si>
  <si>
    <t>Bliss</t>
  </si>
  <si>
    <t>ralph.cruz.outsource/Ourter@outer354</t>
  </si>
  <si>
    <t>MoGi-Anatolii-RU</t>
  </si>
  <si>
    <t>moons</t>
  </si>
  <si>
    <t>MoGi-Vladimir-RU</t>
  </si>
  <si>
    <t>Vladimir</t>
  </si>
  <si>
    <t>BRM</t>
  </si>
  <si>
    <t>cedric.dalla-rosa@mogi-group.com</t>
  </si>
  <si>
    <t>MoGi-Cédric-FR</t>
  </si>
  <si>
    <t>Lava</t>
  </si>
  <si>
    <t>cayes llj</t>
  </si>
  <si>
    <t>tauan.francois@mogi-group.com</t>
  </si>
  <si>
    <t>MoGiK-Tauan-EN</t>
  </si>
  <si>
    <t>MoGi-Alfonso-ES</t>
  </si>
  <si>
    <t>Yes (pending to verify</t>
  </si>
  <si>
    <t>Lonewolf_</t>
  </si>
  <si>
    <t>Mogi-Han-EN</t>
  </si>
  <si>
    <t>Hwøøt</t>
  </si>
  <si>
    <t>MoGi-Zamzam-ID</t>
  </si>
  <si>
    <t>Zamzam</t>
  </si>
  <si>
    <t>Zambro</t>
  </si>
  <si>
    <t>MoGi-Paultre-EN</t>
  </si>
  <si>
    <t>Stuart509</t>
  </si>
  <si>
    <t>MoGi-Kaelen-EN</t>
  </si>
  <si>
    <t>Kaelen</t>
  </si>
  <si>
    <t>MoGi-Katherine-EN</t>
  </si>
  <si>
    <t>Hirikawa Rin</t>
  </si>
  <si>
    <t>Mogi-Nicho-EN</t>
  </si>
  <si>
    <t>nicho15</t>
  </si>
  <si>
    <t>Mon, Wed, Fri, Sat, Sun</t>
  </si>
  <si>
    <t>MoGi-Rachel-EN</t>
  </si>
  <si>
    <t>Mikaela</t>
  </si>
  <si>
    <t>MoGi-Rafael-EN</t>
  </si>
  <si>
    <t>DarkToffe</t>
  </si>
  <si>
    <t>MoGI-Saboula-AR/EN</t>
  </si>
  <si>
    <t>arataka</t>
  </si>
  <si>
    <t>MoGi.Jose.Candellero@gmail.com</t>
  </si>
  <si>
    <t>Mogi-JoseC-ES</t>
  </si>
  <si>
    <t>SkepticalFox</t>
  </si>
  <si>
    <t>Mogi-Hamza-EN</t>
  </si>
  <si>
    <t>Dtr0y</t>
  </si>
  <si>
    <t>arthur.almeida@mogi-group.com</t>
  </si>
  <si>
    <t>MoGi-ArthurT-EN</t>
  </si>
  <si>
    <t>Tellechea</t>
  </si>
  <si>
    <t>Mon, Tue, Wed</t>
  </si>
  <si>
    <t>braulio.de-araujo-braga@mogi-group.com</t>
  </si>
  <si>
    <t>MoGi-Braulio-EN</t>
  </si>
  <si>
    <t>Lio</t>
  </si>
  <si>
    <t>esther.elaweremi@mogi-group.com</t>
  </si>
  <si>
    <t>MoGi-Esther-DE</t>
  </si>
  <si>
    <t>Esther</t>
  </si>
  <si>
    <t>jesus-antonio.mejia-vasquez@mogi-group.com</t>
  </si>
  <si>
    <t>Mogi-Jesus-EN</t>
  </si>
  <si>
    <t>Jamava</t>
  </si>
  <si>
    <t>Tue, Thu, Fri</t>
  </si>
  <si>
    <t>milos.martinovic@mogi-group.com</t>
  </si>
  <si>
    <t>milos.martinovic.mogi@gmail.com</t>
  </si>
  <si>
    <t>MoGi-Milos-EN</t>
  </si>
  <si>
    <t>MilosM</t>
  </si>
  <si>
    <t>mohamed.boudguig@mogi-group.com</t>
  </si>
  <si>
    <t>MoGi-Bobby-FR</t>
  </si>
  <si>
    <t>M.Dopamine</t>
  </si>
  <si>
    <t>mohammed.bourassi@mogi-group.com</t>
  </si>
  <si>
    <t>MoGi-Mike-FR</t>
  </si>
  <si>
    <t>MaximalAngryCat</t>
  </si>
  <si>
    <t>bruno.allaria@mogi-group.com</t>
  </si>
  <si>
    <t>MoGi-Bru-EN</t>
  </si>
  <si>
    <t>No</t>
  </si>
  <si>
    <t>DoctorWho</t>
  </si>
  <si>
    <t>sukum.naralertsukumpong@mogi-group.com</t>
  </si>
  <si>
    <t>MoGi-Pete-TH</t>
  </si>
  <si>
    <t>Duckezz</t>
  </si>
  <si>
    <t>Sat, Tue, Wed, Thu, Fri</t>
  </si>
  <si>
    <t>allan.zambrano@mogi-group.com</t>
  </si>
  <si>
    <t>EN+</t>
  </si>
  <si>
    <t>MoGi-Allan-EN</t>
  </si>
  <si>
    <t>Trollzor</t>
  </si>
  <si>
    <t>kapil.chawala@mogi-group.com</t>
  </si>
  <si>
    <t>MoGi-Kc-DE</t>
  </si>
  <si>
    <t>Kapil86</t>
  </si>
  <si>
    <t>larissa.rodrigues@mogi-group.com</t>
  </si>
  <si>
    <t>MoGi-Lily-EN</t>
  </si>
  <si>
    <t>Yannabel</t>
  </si>
  <si>
    <t>ksenia.lukyanova@mogi-group.com</t>
  </si>
  <si>
    <t>MoGi-Ksenia-RU</t>
  </si>
  <si>
    <t>Rosa Diaz</t>
  </si>
  <si>
    <t xml:space="preserve">Ksyu_i </t>
  </si>
  <si>
    <t>clark.olayvar@mogi-group.com</t>
  </si>
  <si>
    <t>Elijah19</t>
  </si>
  <si>
    <t>nikita.denisjuks@mogi-group.com</t>
  </si>
  <si>
    <t>Kayce</t>
  </si>
  <si>
    <t>Armand Van As</t>
  </si>
  <si>
    <t>armand.van-as@mogi-group.com</t>
  </si>
  <si>
    <t>Callum Riding-Smith</t>
  </si>
  <si>
    <t>callum.riding-smith@mogi-group.com</t>
  </si>
  <si>
    <t>Form sent</t>
  </si>
  <si>
    <t xml:space="preserve">Scallumal </t>
  </si>
  <si>
    <t>Huseyn Ismayilov</t>
  </si>
  <si>
    <t>huseyn.ismayilov@mogi-group.com</t>
  </si>
  <si>
    <t>Liliya Konovalova</t>
  </si>
  <si>
    <t>liliya.konovalova@mogi-group.com</t>
  </si>
  <si>
    <t>This sheet will no longer be updated, please find the new roster in the MGMT Dingtalk Chat!</t>
  </si>
  <si>
    <t>AGENT</t>
  </si>
  <si>
    <t>LANGUAGE</t>
  </si>
  <si>
    <t>SHIFT</t>
  </si>
  <si>
    <t>DAYS WORKED</t>
  </si>
  <si>
    <t>Leow Rou Shen</t>
  </si>
  <si>
    <t>PM</t>
  </si>
  <si>
    <t>00:00 - 09:00</t>
  </si>
  <si>
    <t>MAY</t>
  </si>
  <si>
    <t>JUNE</t>
  </si>
  <si>
    <t>JULY</t>
  </si>
  <si>
    <t>AUGUST</t>
  </si>
  <si>
    <t>SEPTEMBER</t>
  </si>
  <si>
    <t>OCTOBER</t>
  </si>
  <si>
    <t>NOVEMBER</t>
  </si>
  <si>
    <t>DECEMBER</t>
  </si>
  <si>
    <t>JANUARY</t>
  </si>
  <si>
    <t>FEBRUARY</t>
  </si>
  <si>
    <t>MARCH</t>
  </si>
  <si>
    <t>Chris Joubert</t>
  </si>
  <si>
    <t>08:00 - 17:00</t>
  </si>
  <si>
    <t>Katerina Athanatou</t>
  </si>
  <si>
    <t>04:00 - 13:00</t>
  </si>
  <si>
    <t>Alexandro Tsingos</t>
  </si>
  <si>
    <t>Bianca Marini</t>
  </si>
  <si>
    <t>SNR</t>
  </si>
  <si>
    <t>09:00 - 18:00</t>
  </si>
  <si>
    <t>Hanna Smith</t>
  </si>
  <si>
    <t>Gustavo Mishima Dela Rosa</t>
  </si>
  <si>
    <t>16:00 - 01:00</t>
  </si>
  <si>
    <t>Sofia Vakidou</t>
  </si>
  <si>
    <t>Matthew Chung</t>
  </si>
  <si>
    <t>Jordano Assis</t>
  </si>
  <si>
    <t>18:00 - 03:00</t>
  </si>
  <si>
    <t>Mauri Francisco da Silva Júnior</t>
  </si>
  <si>
    <t>Kimberly Anne de Jesus Ignacio</t>
  </si>
  <si>
    <t>Tereza Letícia Niederauer</t>
  </si>
  <si>
    <t>Ariel de Carvalho Santos</t>
  </si>
  <si>
    <t>Beyza Ebrar Özdemir</t>
  </si>
  <si>
    <t>Hannes Schilling</t>
  </si>
  <si>
    <t>Raphael Fenner</t>
  </si>
  <si>
    <t>Ariane Paola Flores</t>
  </si>
  <si>
    <t>Natasha Kovch</t>
  </si>
  <si>
    <t>Alvaro Bernart Filho</t>
  </si>
  <si>
    <t>Anna Dmitreva</t>
  </si>
  <si>
    <t>Vladimir Sabanjiev</t>
  </si>
  <si>
    <t>Mark Anthony Bavas</t>
  </si>
  <si>
    <t>Ramzi Terai</t>
  </si>
  <si>
    <t>Irina Galyautdinova</t>
  </si>
  <si>
    <t>Alexander Solowjow</t>
  </si>
  <si>
    <t>Bryan Alvarado</t>
  </si>
  <si>
    <t>Anggi Lubis</t>
  </si>
  <si>
    <t>Jean-Sébastien Champeau</t>
  </si>
  <si>
    <t>Cassandra Holgate</t>
  </si>
  <si>
    <t>Lorebill de Amor Loresto</t>
  </si>
  <si>
    <t>John Heaney</t>
  </si>
  <si>
    <t>Sorika Reilly</t>
  </si>
  <si>
    <t>Melvin Bustillo</t>
  </si>
  <si>
    <t>Kyle Anthony Ignacio</t>
  </si>
  <si>
    <t>Mario Ignacio Ramírez</t>
  </si>
  <si>
    <t>Brenda Noquillo</t>
  </si>
  <si>
    <t>Ela Soroño</t>
  </si>
  <si>
    <t>Bartosz Sobala</t>
  </si>
  <si>
    <t>Salah Bouriche</t>
  </si>
  <si>
    <t>Ana Luiza Dantas</t>
  </si>
  <si>
    <t>Matheus de Freitas Santos</t>
  </si>
  <si>
    <t>Anna Dublas</t>
  </si>
  <si>
    <t>Davide Castellucci</t>
  </si>
  <si>
    <t>Hafsat Idris</t>
  </si>
  <si>
    <t>Leonardo Fernandes</t>
  </si>
  <si>
    <t>Simeon Terzungwe Denen</t>
  </si>
  <si>
    <t>Alisa Maltseva</t>
  </si>
  <si>
    <t>Bruce Thalys</t>
  </si>
  <si>
    <t>Joseph Ayoro</t>
  </si>
  <si>
    <t>Karen Samá</t>
  </si>
  <si>
    <t>Christian Schlabitz</t>
  </si>
  <si>
    <t>Leonardo Parise Dias</t>
  </si>
  <si>
    <t>Pedro Dalben</t>
  </si>
  <si>
    <t>End Date (d/m/y)</t>
  </si>
  <si>
    <t>Batch#</t>
  </si>
  <si>
    <t>Daily Public Replies Target</t>
  </si>
  <si>
    <t>Remote Desktop</t>
  </si>
  <si>
    <t>GM Tool Username</t>
  </si>
  <si>
    <t xml:space="preserve">Kingdom </t>
  </si>
  <si>
    <t>Agent Status</t>
  </si>
  <si>
    <t>gustavo.mishima-dela-rosa@mogi-group.com</t>
  </si>
  <si>
    <t>KoA</t>
  </si>
  <si>
    <t>Current</t>
  </si>
  <si>
    <t>MoGiK-Gustavo-EN</t>
  </si>
  <si>
    <t>gustavo.mishima-dela-rosa.outsource</t>
  </si>
  <si>
    <t>pineaps</t>
  </si>
  <si>
    <t>Ariel.de-Carvalho-Santos@mogi-group.com</t>
  </si>
  <si>
    <t>MoGiK-Ariel-EN</t>
  </si>
  <si>
    <t>Ariel.de-Carvalho-Santos.outsource</t>
  </si>
  <si>
    <t>Oaksaint</t>
  </si>
  <si>
    <t>yes</t>
  </si>
  <si>
    <t>tauan.francois.outsource</t>
  </si>
  <si>
    <t>Garsh</t>
  </si>
  <si>
    <t>markos-antonios.bavas@mogi-group.com</t>
  </si>
  <si>
    <t>markosbavasmogi@gmail.com</t>
  </si>
  <si>
    <t>MoGiK-Mark-EN</t>
  </si>
  <si>
    <t>markos-antonios.bavas.outsource</t>
  </si>
  <si>
    <t>Punisheart</t>
  </si>
  <si>
    <t>sorika.reilly@mogi-group.com</t>
  </si>
  <si>
    <t>MoGiK-Sorcha-EN</t>
  </si>
  <si>
    <t>hafsat.Haladu-idris@mogi-group.com</t>
  </si>
  <si>
    <t>MoGiK-Hafsat-RU</t>
  </si>
  <si>
    <t>tereza.niederauer@mogi-group.com</t>
  </si>
  <si>
    <t>tereza.niederauer.mogigroup@gmail.com</t>
  </si>
  <si>
    <t>08.00 - 17.00</t>
  </si>
  <si>
    <t>MoGiK-Tereza-PT</t>
  </si>
  <si>
    <t>tereza.niederarer.outsource</t>
  </si>
  <si>
    <t xml:space="preserve">TerezaN </t>
  </si>
  <si>
    <t>joseph.ayoro@mogi-group.com</t>
  </si>
  <si>
    <t>MoGiK-Joseph-RU</t>
  </si>
  <si>
    <t>alexander.solowjow@mogi-group.com</t>
  </si>
  <si>
    <t>12/31/2021</t>
  </si>
  <si>
    <t>MoGiK-Alexander.S-DE</t>
  </si>
  <si>
    <t>brenda.noquillo@mogi-group.com</t>
  </si>
  <si>
    <t>MoGiK-Brenda-EN</t>
  </si>
  <si>
    <t>mario.ramirez@mogi-group.com</t>
  </si>
  <si>
    <t>MoGiK-Mario-ES</t>
  </si>
  <si>
    <t>leow-rou.shen@mogi-group.com</t>
  </si>
  <si>
    <t>SoS/KoA</t>
  </si>
  <si>
    <t>MoGi-Lotion-EN</t>
  </si>
  <si>
    <t>chris.joubert.outsource</t>
  </si>
  <si>
    <t>OM3G3</t>
  </si>
  <si>
    <t>Project Manager</t>
  </si>
  <si>
    <t>chris.joubert@mogi-group.com</t>
  </si>
  <si>
    <t>chrisj.mogi@gmail.com</t>
  </si>
  <si>
    <t>MoGiK-Chris-EN</t>
  </si>
  <si>
    <t>OM3G4</t>
  </si>
  <si>
    <t>katerina.athanatou@mogi-group.com</t>
  </si>
  <si>
    <t>03:00 - 12:00</t>
  </si>
  <si>
    <t>MoGiK-Katerina-EN</t>
  </si>
  <si>
    <t>katerina.athanatou.outsource</t>
  </si>
  <si>
    <t>Enchordia</t>
  </si>
  <si>
    <t>alexandro.tsingos@mogi-group.com</t>
  </si>
  <si>
    <t>MoGiK-Alexandro-IT</t>
  </si>
  <si>
    <t>alexandro.tsingos.outsource</t>
  </si>
  <si>
    <t>L#100762da75efe</t>
  </si>
  <si>
    <t>bianca.marini@mogi-group.com</t>
  </si>
  <si>
    <t>Senior agent</t>
  </si>
  <si>
    <t>MoGiK-Bianca-ES</t>
  </si>
  <si>
    <t>bianca.marini.outsource</t>
  </si>
  <si>
    <t>Biannibal</t>
  </si>
  <si>
    <t>ugur.aksu@mogi-group.com</t>
  </si>
  <si>
    <t>MoGiK-Uğur-EN</t>
  </si>
  <si>
    <t xml:space="preserve">Yes </t>
  </si>
  <si>
    <t>ugur.aksu.outsource</t>
  </si>
  <si>
    <t>Nomad</t>
  </si>
  <si>
    <t>hanna.smith@mogi-group.com</t>
  </si>
  <si>
    <t>MoGiK-Hanna-EN</t>
  </si>
  <si>
    <t>hanna.smith.outsource</t>
  </si>
  <si>
    <t>TiaLila</t>
  </si>
  <si>
    <t>beyza.ozdemir@mogi-group.com</t>
  </si>
  <si>
    <t>MoGiK-Ebrar-TR</t>
  </si>
  <si>
    <t>not yet available</t>
  </si>
  <si>
    <t>ebrarik</t>
  </si>
  <si>
    <t>ariane.flores@mogi-group.com</t>
  </si>
  <si>
    <t>MoGiK-Ariane-EN</t>
  </si>
  <si>
    <t>ariane.flores.outsource</t>
  </si>
  <si>
    <t>miya</t>
  </si>
  <si>
    <t>raphael.fenner@mogi-group.com</t>
  </si>
  <si>
    <t>MoGiK-Raphael-EN</t>
  </si>
  <si>
    <t>raphael.fenner.outsource</t>
  </si>
  <si>
    <t>ClowN</t>
  </si>
  <si>
    <t>sofia.vakidou@mogi-group.com</t>
  </si>
  <si>
    <t>MoGiK-Sofia-EN</t>
  </si>
  <si>
    <t>sofia.vakidou.outsource</t>
  </si>
  <si>
    <t>Sofita</t>
  </si>
  <si>
    <t>matthew.chung@mogi-group.com</t>
  </si>
  <si>
    <t>MoGiK-Matthew-EN</t>
  </si>
  <si>
    <t>matthew.chung.outsource</t>
  </si>
  <si>
    <t>Absolute</t>
  </si>
  <si>
    <t>natasha.kovch@mogi-group.com</t>
  </si>
  <si>
    <t>MoGiK-Natasha-RU</t>
  </si>
  <si>
    <t>natasha.kovch.outsource</t>
  </si>
  <si>
    <t>Uran Kovch</t>
  </si>
  <si>
    <t>kimberly.ignacio@mogi-group.com</t>
  </si>
  <si>
    <t>MoGiK-Kimberly-EN</t>
  </si>
  <si>
    <t>kimberly.ignacio.outsource</t>
  </si>
  <si>
    <t>Reisi</t>
  </si>
  <si>
    <t>jordano.assis@mogi-group.com</t>
  </si>
  <si>
    <t>MoGiK-Jordano-EN</t>
  </si>
  <si>
    <t>jordano.assis.outsource</t>
  </si>
  <si>
    <t>Schatanwer</t>
  </si>
  <si>
    <t>mauri.silva@mogi-group.com</t>
  </si>
  <si>
    <t>MoGiK-Mauri-EN</t>
  </si>
  <si>
    <t>mauri.silva.outource</t>
  </si>
  <si>
    <t>Malik</t>
  </si>
  <si>
    <t>alvaro.filho@mogi-group.com</t>
  </si>
  <si>
    <t>MoGiK-Alvaro-EN</t>
  </si>
  <si>
    <t>alvaro.filho.outsource</t>
  </si>
  <si>
    <t>Alfie</t>
  </si>
  <si>
    <t>hannes.schilling@mogi-group.com</t>
  </si>
  <si>
    <t>MoGiK-Hannes-DE</t>
  </si>
  <si>
    <t>hannes.schilling.outsource</t>
  </si>
  <si>
    <t>Tenchu</t>
  </si>
  <si>
    <t>vladimir.sabanjiev@mogi-group.com</t>
  </si>
  <si>
    <t>MoGiK-Vladimir-RU</t>
  </si>
  <si>
    <t>vladimir.sabanjiev.outsource</t>
  </si>
  <si>
    <t>Thalsian</t>
  </si>
  <si>
    <t>anna.dmitrieva@mogi-group.com</t>
  </si>
  <si>
    <t>MoGiK-Anna-RU</t>
  </si>
  <si>
    <t>anna.dmitrieva.outsource</t>
  </si>
  <si>
    <t>Anna_asp</t>
  </si>
  <si>
    <t>ramzi.terai@mogi-group.com</t>
  </si>
  <si>
    <t>MoGiK-Ramzi-FR</t>
  </si>
  <si>
    <t>ramzi.terai.outsource</t>
  </si>
  <si>
    <t>Wolfyy</t>
  </si>
  <si>
    <t>irina.galyautdinova@mogi-group.com</t>
  </si>
  <si>
    <t>MoGiK-Irina-RU</t>
  </si>
  <si>
    <t>bryan.alvarado-medina@mogi-group.com</t>
  </si>
  <si>
    <t>MoGiK-Bryan-ES</t>
  </si>
  <si>
    <t>anggi.lubis@mogi-group.com</t>
  </si>
  <si>
    <t>MoGiK-Anggi-ID</t>
  </si>
  <si>
    <t>jean-sebastien.champeau@mogi-group.com</t>
  </si>
  <si>
    <t>MoGiK-Jean-Sébastien-FR</t>
  </si>
  <si>
    <t>cassandra.holgate@mogi-group.com</t>
  </si>
  <si>
    <t>MoGiK-Cassandra-EN</t>
  </si>
  <si>
    <t>lorebill-de-amor.loresto@mogi-group.com</t>
  </si>
  <si>
    <t>MoGiK-Lorebill-EN</t>
  </si>
  <si>
    <t>john.heaney@mogi-group.com</t>
  </si>
  <si>
    <t>MoGiK-John-EN</t>
  </si>
  <si>
    <t>melvin.bustillo@mogi-group.com</t>
  </si>
  <si>
    <t>MoGiK-Melvin-EN</t>
  </si>
  <si>
    <t>kyle-anthony.ignacio@mogi-group.com</t>
  </si>
  <si>
    <t>MoGiK-Kyle-EN</t>
  </si>
  <si>
    <t>ela.sorono@mogi-group.com</t>
  </si>
  <si>
    <t>MoGiK-Ela-EN</t>
  </si>
  <si>
    <t>bartosz.sobala@mogi-group.com</t>
  </si>
  <si>
    <t>MoGiK-Bartosz-PL</t>
  </si>
  <si>
    <t>salah.bouriche@mogi-group.com?</t>
  </si>
  <si>
    <t>MoGiK-Salah-AR</t>
  </si>
  <si>
    <t>ana-luiza.dantas@mogi-group.com</t>
  </si>
  <si>
    <t>MoGiK-Ana-EN</t>
  </si>
  <si>
    <t>matheus.de-freitas-santos@mogi-group.com</t>
  </si>
  <si>
    <t>MoGiK-Matheus-EN</t>
  </si>
  <si>
    <t>anna.dublas@mogi-group.com</t>
  </si>
  <si>
    <t>MoGiK-Anna-PL</t>
  </si>
  <si>
    <t>davide.castellucci@mogi-group.com</t>
  </si>
  <si>
    <t>MoGiK-Davide-IT</t>
  </si>
  <si>
    <t>leonardo-marciano.fernandes@mogi-group.com</t>
  </si>
  <si>
    <t>MoGiK-Leonardo-EN</t>
  </si>
  <si>
    <t>simeon.denen@mogi-group.com</t>
  </si>
  <si>
    <t>MoGiK-Simeon-RU</t>
  </si>
  <si>
    <t>alisa.maltseva@mogi-group.com</t>
  </si>
  <si>
    <t>MoGiK-Alisa-EN</t>
  </si>
  <si>
    <t>bruce.thalys@mogi-group.com</t>
  </si>
  <si>
    <t>MoGiK-Bruce-EN</t>
  </si>
  <si>
    <t>MoGiK-Juan-EN</t>
  </si>
  <si>
    <t>karen.sama@mogi-group.com</t>
  </si>
  <si>
    <t>MoGiK-Karen-EN</t>
  </si>
  <si>
    <t>christian.schlabitz@mogi-group.com</t>
  </si>
  <si>
    <t>MoGiK-Christian-PT</t>
  </si>
  <si>
    <t>leonardo.dias@mogi-group.com</t>
  </si>
  <si>
    <t>MoGiK-Leonardo.D-EN</t>
  </si>
  <si>
    <t>pedro.dalben@mogi-group.com</t>
  </si>
  <si>
    <t>MoGiK-Pedro-DE</t>
  </si>
  <si>
    <t>Email</t>
  </si>
  <si>
    <t>Your Name</t>
  </si>
  <si>
    <t>Trainee Name</t>
  </si>
  <si>
    <t>Raphael De Leon</t>
  </si>
  <si>
    <t>Preechaya Nopakun</t>
  </si>
  <si>
    <t>Anastasia Mursanto</t>
  </si>
  <si>
    <t>Marialessandra Cecchi</t>
  </si>
  <si>
    <t>Kirsten van Werven</t>
  </si>
  <si>
    <t>Maria Warren</t>
  </si>
  <si>
    <t>Tarinee Rittiron</t>
  </si>
  <si>
    <t>Felino Widjaya</t>
  </si>
  <si>
    <t>Mohamed Taha Hailani</t>
  </si>
  <si>
    <t>Winnie Ferreira</t>
  </si>
  <si>
    <t>Leon Norgall</t>
  </si>
  <si>
    <t>Mariana Kummer</t>
  </si>
  <si>
    <t>Maciej Dutkiewicz</t>
  </si>
  <si>
    <t>Jennifer Torrey</t>
  </si>
  <si>
    <t>Peter Nilsson</t>
  </si>
  <si>
    <t>Natthacha Thanthitichod</t>
  </si>
  <si>
    <t>Mario Moura</t>
  </si>
  <si>
    <t>Damian Figura</t>
  </si>
  <si>
    <t>Dario Funez</t>
  </si>
  <si>
    <t>Viraj Senarath</t>
  </si>
  <si>
    <t>Chasandra Faradila</t>
  </si>
  <si>
    <t>Annisa Taradiva</t>
  </si>
  <si>
    <t>Rahina Larasati</t>
  </si>
  <si>
    <t>Ulaş Başaran</t>
  </si>
  <si>
    <t>Ladiza Majindi</t>
  </si>
  <si>
    <t>Renato Vidal de Negreiros Oliveira de Souza</t>
  </si>
  <si>
    <t>Daniela Bezerra</t>
  </si>
  <si>
    <t>Bruce Thalys Rodrigues Nascimento</t>
  </si>
  <si>
    <t>Filename</t>
  </si>
  <si>
    <t>source file Link</t>
  </si>
  <si>
    <t>Access</t>
  </si>
  <si>
    <t>Title</t>
  </si>
  <si>
    <t>Translated file</t>
  </si>
  <si>
    <t>Shared ?</t>
  </si>
  <si>
    <t>valentinmogi@gmail.com</t>
  </si>
  <si>
    <t>客服服务规范</t>
  </si>
  <si>
    <t>https://docs.google.com/document/d/13mIm-2xL8fynSfPicy8xBxNPtYFkXQdanSyoqHYJ8qM/edit</t>
  </si>
  <si>
    <t>granted</t>
  </si>
  <si>
    <t>Customer Service Etiquette</t>
  </si>
  <si>
    <t>https://docs.google.com/document/d/13mIm-2xL8fynSfPicy8xBxNPtYFkXQdanSyoqHYJ8qM/edit#</t>
  </si>
  <si>
    <t>Vivianne</t>
  </si>
  <si>
    <t>done</t>
  </si>
  <si>
    <t>helpshift一线客服操作指导</t>
  </si>
  <si>
    <t>https://docs.google.com/document/d/1buamM9HxRhUpttzoOwWlMUFq3UCyNaoEz3_foTrqJao/edit</t>
  </si>
  <si>
    <t>Helpshift Guide (Ticketing System)</t>
  </si>
  <si>
    <t>Common Reply Templete Reference</t>
  </si>
  <si>
    <t>https://docs.google.com/spreadsheets/d/1PrvQFNeWOxR6L7xnVxqkDC1wf1-9ng842P1jVp70neI/edit?usp=sharing</t>
  </si>
  <si>
    <t>常见问题及答案</t>
  </si>
  <si>
    <t>https://docs.google.com/spreadsheets/d/1BlB4G31hHk0TBUuGfUZAX78smU6cng6XNSSqDaIgUG0/edit#gid=246219343</t>
  </si>
  <si>
    <t>Frequently Asked Questions and Answers</t>
  </si>
  <si>
    <t>https://docs.google.com/spreadsheets/d/1BlB4G31hHk0TBUuGfUZAX78smU6cng6XNSSqDaIgUG0/edit?usp=sharing</t>
  </si>
  <si>
    <t>Thercio</t>
  </si>
  <si>
    <t>Done</t>
  </si>
  <si>
    <t>一线组Asana提单规范标准</t>
  </si>
  <si>
    <t>https://docs.google.com/document/d/13OtX6TCK2u3P4-q2zlq1DGD4DETx7B3989oVq0u-cw8/edit</t>
  </si>
  <si>
    <t>Asana Guide</t>
  </si>
  <si>
    <t>https://docs.google.com/document/d/1AoMx591j4NRzUqW4NWFy9sjzWsPLTIrEWeK6d5Y_5DQ/edit?usp=sharing</t>
  </si>
  <si>
    <t>Julian</t>
  </si>
  <si>
    <t>基本使用说明</t>
  </si>
  <si>
    <t>https://docs.google.com/document/d/1BxFjBFFmUrZ20b9r9ZvAWeszRcRs4ez9tFplZ8KS77w/edit</t>
  </si>
  <si>
    <t>KG Basic Instructions</t>
  </si>
  <si>
    <t>https://docs.google.com/document/d/18dJdpJYt7-evyYFQ_NRlDrAVoBP3KL8z9y5MqDBo-fc/edit</t>
  </si>
  <si>
    <t>Val</t>
  </si>
  <si>
    <t>xu.jing@funplus.biz chen.wang@funplus.biz jia.liu@funplus.biz tingkai.zong@funplus.biz yuening.sun@funplus.biz zexi.li@funplus.biz</t>
  </si>
  <si>
    <t>SoS GM Tool Guide</t>
  </si>
  <si>
    <t>https://drive.google.com/file/d/1OQ4oOSmMQKDbac8ai53oOjFTMNH1Yr3u/view?usp=sharing</t>
  </si>
  <si>
    <t>进阶查询教学</t>
  </si>
  <si>
    <t>https://docs.google.com/document/d/1svVSj6_RQ2UGVGdmKXDSKxsTn7kJK5u1SO4ds1ZqhZ0/edit</t>
  </si>
  <si>
    <t>GM Tool Advanced Query Guide</t>
  </si>
  <si>
    <t>https://docs.google.com/document/d/17vX1wjEuujCMrDQuHsNucTL99iLA6CnYocMgEQ47KjE/edit?usp=sharing</t>
  </si>
  <si>
    <t>user log代码大全</t>
  </si>
  <si>
    <t>https://docs.google.com/spreadsheets/d/1kkTealGtjhIzchbRNgGnaRukMDpzd85e6fBvxb7jT6E/edit#gid=1027218365</t>
  </si>
  <si>
    <t>User Log Code</t>
  </si>
  <si>
    <t>https://docs.google.com/spreadsheets/d/1zYetGVGwderVIBAcOqbvrzL9iUQwAe_1hbNJjpsP5Jg/edit?usp=sharing</t>
  </si>
  <si>
    <t>Joao</t>
  </si>
  <si>
    <t>HS标签说明</t>
  </si>
  <si>
    <t>https://docs.google.com/document/d/1FeIJ6WJQopGQq34iZ3g30Ddmuidj6yqymU0TUK2Y_fQ/edit</t>
  </si>
  <si>
    <t>Maria</t>
  </si>
  <si>
    <t>Funplus客服部一线业务流程</t>
  </si>
  <si>
    <t>https://docs.google.com/document/d/1WjaXroxZsMsMUU92YoX4h88YvhajIDz_JjWeZpbq4xk/edit</t>
  </si>
  <si>
    <t>Translation In Progress</t>
  </si>
  <si>
    <t>Funplus - Workflow Instructions</t>
  </si>
  <si>
    <t>https://docs.google.com/document/d/1ex4j-3do02xdRW51LNmT8jpL0VUR9X7rg_uzUB3jvOU/edit?usp=sharing</t>
  </si>
  <si>
    <t>Tayllor</t>
  </si>
  <si>
    <t>参考文件：标签暂拟信息01</t>
  </si>
  <si>
    <t>https://docs.google.com/spreadsheets/d/1oSs8rrYl0wQsMPz4R1Tgj0vMJYJ8rvhkG3eM0PHu7U0/edit#gid=48286096</t>
  </si>
  <si>
    <t>Label Information</t>
  </si>
  <si>
    <t>https://docs.google.com/spreadsheets/d/1ZTm34Vw8KN6cyADAqi9Bc4e8EQM0GbvTMECZrDCHeJc/edit?usp=sharing</t>
  </si>
  <si>
    <t>Nicha</t>
  </si>
  <si>
    <t>网址链接汇总</t>
  </si>
  <si>
    <t>https://docs.google.com/document/d/1Bk966b4-8mk6wNUaaDiNlpCLA32AKfHGeKmYzhFkrVQ/edit</t>
  </si>
  <si>
    <t>URL link collections</t>
  </si>
  <si>
    <t>https://docs.google.com/document/d/1QdKMEEG1vndhfG9O4oMbfyBgh75fwfl6n87AuI5evEE/edit</t>
  </si>
  <si>
    <t>Training Notes</t>
  </si>
  <si>
    <t xml:space="preserve">Summary of Log Language
</t>
  </si>
  <si>
    <t>https://docs.google.com/spreadsheets/d/14e2uI_fQYFRliGMp8lwG5fUmhTc7asEd3c32m_bHI9w/edit#gid=0</t>
  </si>
  <si>
    <t>Note</t>
  </si>
  <si>
    <t>How to check a double charge</t>
  </si>
  <si>
    <t>Feature suggestion</t>
  </si>
  <si>
    <t>Speedup event when buildings max level</t>
  </si>
  <si>
    <t>Account transfer requirements</t>
  </si>
  <si>
    <t>How to receive theme park cornivor event rewards</t>
  </si>
  <si>
    <t>Connectivity issue</t>
  </si>
  <si>
    <t>BP decrease when upgrading troop</t>
  </si>
  <si>
    <t>Cheat report</t>
  </si>
  <si>
    <t>Request for screenshots related to inappropriate behavior</t>
  </si>
  <si>
    <t>419027, 423662</t>
  </si>
  <si>
    <t>Login issue</t>
  </si>
  <si>
    <t>speedup event when buildings max level</t>
  </si>
  <si>
    <t>Log Investigation on unused throwdown coins</t>
  </si>
  <si>
    <t>Lvl 30 HQ to Plasma 1 requirements</t>
  </si>
  <si>
    <t>How to unblock</t>
  </si>
  <si>
    <t>Check hero fragment usage in log</t>
  </si>
  <si>
    <t>item_survivor_chip_(hero name)</t>
  </si>
  <si>
    <t>How to use legendary badge</t>
  </si>
  <si>
    <t>Troop dismissle</t>
  </si>
  <si>
    <t>Can compensate for the first time (Asana &gt; compensation) , City:DismissTroop</t>
  </si>
  <si>
    <t>Apple group receipt</t>
  </si>
  <si>
    <t>Account selling report</t>
  </si>
  <si>
    <t>January</t>
  </si>
  <si>
    <t>February</t>
  </si>
  <si>
    <t>April</t>
  </si>
  <si>
    <t>May</t>
  </si>
  <si>
    <t>June</t>
  </si>
  <si>
    <t>July</t>
  </si>
  <si>
    <t>August</t>
  </si>
  <si>
    <t>September</t>
  </si>
  <si>
    <t>October</t>
  </si>
  <si>
    <t>November</t>
  </si>
  <si>
    <t>December</t>
  </si>
  <si>
    <t>Monday</t>
  </si>
  <si>
    <t>Tuesday</t>
  </si>
  <si>
    <t>Wednesday</t>
  </si>
  <si>
    <t>Thursday</t>
  </si>
  <si>
    <t>Friday</t>
  </si>
  <si>
    <t>Saturday</t>
  </si>
  <si>
    <t>Sunday</t>
  </si>
  <si>
    <t>Shifts</t>
  </si>
  <si>
    <t>09 am</t>
  </si>
  <si>
    <t>06 pm</t>
  </si>
  <si>
    <t>00:00</t>
  </si>
  <si>
    <t>09:00</t>
  </si>
  <si>
    <t>08:00</t>
  </si>
  <si>
    <t>17:00</t>
  </si>
  <si>
    <t>16:00</t>
  </si>
  <si>
    <t>01:00</t>
  </si>
  <si>
    <t>18:00</t>
  </si>
  <si>
    <t>02:00</t>
  </si>
  <si>
    <t>11:00</t>
  </si>
  <si>
    <t>GM TOOL</t>
  </si>
  <si>
    <t>@所有人 Hello, these guys' GM Tool permission added, please try login this website:</t>
  </si>
  <si>
    <t>http://ss-global-gm.kingsgroupgames.com:555/</t>
  </si>
  <si>
    <t>using these usernames:</t>
  </si>
  <si>
    <t>valentinmogi</t>
  </si>
  <si>
    <t>the password is same as the username</t>
  </si>
  <si>
    <t>NAME</t>
  </si>
  <si>
    <t>Gmail account</t>
  </si>
  <si>
    <t>vivimendonca93@gmail.com</t>
  </si>
  <si>
    <t>Joao Studart</t>
  </si>
  <si>
    <t>Thercio Brandao</t>
  </si>
  <si>
    <t>Tayllor Masi</t>
  </si>
  <si>
    <t>Matheus Cortez</t>
  </si>
  <si>
    <t>Manoela Soares Antunes</t>
  </si>
  <si>
    <t>Raffael Azevedo</t>
  </si>
  <si>
    <t>raffael.azevedo@gmail.com</t>
  </si>
  <si>
    <t>TIMEZONE</t>
  </si>
  <si>
    <t>João Guilherme</t>
  </si>
  <si>
    <t>Raffael Azevedo Andrade?</t>
  </si>
  <si>
    <t>Alina Rylka</t>
  </si>
  <si>
    <t>8,5</t>
  </si>
  <si>
    <t>TOTAL</t>
  </si>
  <si>
    <t>GRAND TOTAL</t>
  </si>
  <si>
    <t>Issue</t>
  </si>
  <si>
    <t>Suggestion</t>
  </si>
  <si>
    <t>Link</t>
  </si>
  <si>
    <t>Repro steps</t>
  </si>
  <si>
    <t>Game Version</t>
  </si>
  <si>
    <t>Additional info</t>
  </si>
  <si>
    <t>notavailableyet1.jfif</t>
  </si>
  <si>
    <t>The broadcast building appears in-game but when we try to place it, it shows that it needs a game update, that doesn't exist yet.</t>
  </si>
  <si>
    <t>https://drive.google.com/file/d/1VWZGl3pKPXxQD0R-iwR7-fzTRtBI01aB/view?usp=sharing</t>
  </si>
  <si>
    <t>1. In your settlement, click on Build;
2. Click on the "Broadcasting Office";
3. A pop up appears showing the games needs to be updated;
4. When we click to update it leads us to Play Store but there are no updates available.</t>
  </si>
  <si>
    <t>1.9.125</t>
  </si>
  <si>
    <t>notavailableyet2.jfif</t>
  </si>
  <si>
    <t>https://drive.google.com/file/d/1VwPM18v9h1O29bjYFTbyvC79r6L5eIMI/view?usp=sharing</t>
  </si>
  <si>
    <t>notavailableyet3.jfif</t>
  </si>
  <si>
    <t>Broadcasting Office</t>
  </si>
  <si>
    <t>Trying to build structure asks player to update game and send to playstore page</t>
  </si>
  <si>
    <t>Possible future feature of the game</t>
  </si>
  <si>
    <t>https://drive.google.com/file/d/1VHULaph8LIX5xtYU2GReYd7e6Z5aPil-/view</t>
  </si>
  <si>
    <t>Building icon shows there is a new building. Going to buildings availables there is Broadcasting Office. Clicking on it takes you to a prompt asking you to update the game and clicking update takes you to playstore.</t>
  </si>
  <si>
    <t>You should get a message saying "available soon"</t>
  </si>
  <si>
    <t>RoyalDecree.png</t>
  </si>
  <si>
    <t>In the Broadcasting Office under "Tips &amp; Announcements" the items are still labeled "Royal Decree" which sounds like news from the other game before State of Survival. It does not fit the style and game of SoS.</t>
  </si>
  <si>
    <t>A different wording that sounds better for the style of the game State of Survival. Maybe "Emergency Broadcast" or "Survivor News" or anything that fits SoS theme better.</t>
  </si>
  <si>
    <t>https://drive.google.com/file/d/1VGK74tvTMsWYTaeGcy6JlRNYjo35zymn/view?usp=sharing</t>
  </si>
  <si>
    <t>Tap on "Broadcasting office"
Tap on "Tips &amp; Announcements"</t>
  </si>
  <si>
    <t>1.10.20</t>
  </si>
  <si>
    <t>looks like it didn't get updated from previous game</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</si>
</sst>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d/MM/yyyy"/>
    <numFmt numFmtId="165" formatCode="hh:mm"/>
    <numFmt numFmtId="166" formatCode="mm/dd/yyyy"/>
    <numFmt numFmtId="167" formatCode="dd/mm/yyyy"/>
    <numFmt numFmtId="168" formatCode="d/m/yyyy"/>
  </numFmts>
  <fonts count="68">
    <font>
      <sz val="10.0"/>
      <color rgb="FF000000"/>
      <name val="Arial"/>
    </font>
    <font>
      <color theme="1"/>
      <name val="Arial"/>
    </font>
    <font>
      <sz val="11.0"/>
      <color rgb="FF111F2C"/>
      <name val="Arial"/>
    </font>
    <font>
      <u/>
      <color rgb="FF1155CC"/>
    </font>
    <font>
      <u/>
      <color rgb="FF0000FF"/>
    </font>
    <font>
      <u/>
      <color rgb="FF0000FF"/>
    </font>
    <font>
      <b/>
      <sz val="12.0"/>
      <color theme="1"/>
      <name val="Calibri"/>
    </font>
    <font>
      <sz val="12.0"/>
      <color theme="1"/>
      <name val="Calibri"/>
    </font>
    <font>
      <u/>
      <sz val="12.0"/>
      <color rgb="FF0563C1"/>
      <name val="Calibri"/>
    </font>
    <font>
      <u/>
      <sz val="12.0"/>
      <color rgb="FF0563C1"/>
      <name val="Calibri"/>
    </font>
    <font>
      <sz val="12.0"/>
      <color rgb="FF000000"/>
      <name val="Calibri"/>
    </font>
    <font>
      <u/>
      <sz val="12.0"/>
      <color rgb="FF1155CC"/>
      <name val="Calibri"/>
    </font>
    <font>
      <color rgb="FFFFFFFF"/>
      <name val="Arial"/>
    </font>
    <font>
      <sz val="10.0"/>
      <color rgb="FFFFFFFF"/>
      <name val="Arial"/>
    </font>
    <font>
      <color rgb="FF000000"/>
      <name val="Arial"/>
    </font>
    <font>
      <color rgb="FFFF0000"/>
      <name val="Arial"/>
    </font>
    <font>
      <u/>
      <color rgb="FF0000FF"/>
    </font>
    <font>
      <b/>
      <color rgb="FFFFFFFF"/>
      <name val="Arial"/>
    </font>
    <font>
      <b/>
      <color theme="1"/>
      <name val="Arial"/>
    </font>
    <font>
      <sz val="10.0"/>
      <color theme="1"/>
      <name val="Arial"/>
    </font>
    <font>
      <color rgb="FF0D0D0D"/>
      <name val="Arial"/>
    </font>
    <font>
      <color rgb="FF0E0D0C"/>
      <name val="Arial"/>
    </font>
    <font>
      <color rgb="FF060606"/>
      <name val="Arial"/>
    </font>
    <font>
      <strike/>
      <color theme="1"/>
      <name val="Arial"/>
    </font>
    <font>
      <strike/>
      <sz val="10.0"/>
      <color rgb="FF000000"/>
      <name val="Arial"/>
    </font>
    <font>
      <strike/>
      <color rgb="FF000000"/>
      <name val="Arial"/>
    </font>
    <font>
      <sz val="11.0"/>
      <color theme="1"/>
      <name val="Arial"/>
    </font>
    <font>
      <strike/>
      <sz val="11.0"/>
      <color theme="1"/>
      <name val="Arial"/>
    </font>
    <font>
      <strike/>
      <color rgb="FF000000"/>
      <name val="Roboto"/>
    </font>
    <font>
      <b/>
      <sz val="10.0"/>
      <color theme="1"/>
      <name val="Arial"/>
    </font>
    <font>
      <strike/>
      <sz val="10.0"/>
      <color theme="1"/>
      <name val="Arial"/>
    </font>
    <font>
      <color rgb="FF0D0D0D"/>
      <name val="&quot;Arial&quot;"/>
    </font>
    <font>
      <strike/>
      <sz val="11.0"/>
      <color rgb="FF111F2C"/>
      <name val="&quot;Segoe UI&quot;"/>
    </font>
    <font>
      <color rgb="FF000000"/>
      <name val="Roboto"/>
    </font>
    <font>
      <sz val="11.0"/>
      <color rgb="FF202124"/>
      <name val="Roboto"/>
    </font>
    <font>
      <sz val="24.0"/>
      <color theme="1"/>
      <name val="Arial"/>
    </font>
    <font>
      <color rgb="FFFFFFFF"/>
      <name val="Nunito"/>
    </font>
    <font>
      <b/>
      <color rgb="FFFFFFFF"/>
      <name val="Nunito"/>
    </font>
    <font>
      <color theme="1"/>
      <name val="Nunito"/>
    </font>
    <font>
      <sz val="11.0"/>
      <color rgb="FF000000"/>
      <name val="Nunito"/>
    </font>
    <font>
      <color rgb="FF000000"/>
      <name val="Nunito"/>
    </font>
    <font>
      <b/>
      <color rgb="FFFF0000"/>
      <name val="Nunito"/>
    </font>
    <font>
      <strike/>
      <color theme="1"/>
      <name val="Nunito"/>
    </font>
    <font>
      <strike/>
      <sz val="11.0"/>
      <color rgb="FF000000"/>
      <name val="Nunito"/>
    </font>
    <font>
      <b/>
      <strike/>
      <color rgb="FFFFFFFF"/>
      <name val="Nunito"/>
    </font>
    <font>
      <strike/>
      <color rgb="FF000000"/>
      <name val="Nunito"/>
    </font>
    <font>
      <color rgb="FF000000"/>
      <name val="Docs-Nunito"/>
    </font>
    <font>
      <strike/>
      <color rgb="FF000000"/>
      <name val="Docs-Nunito"/>
    </font>
    <font>
      <color rgb="FF201F1E"/>
      <name val="Arial"/>
    </font>
    <font>
      <b/>
      <color rgb="FF273E54"/>
      <name val="Arial"/>
    </font>
    <font>
      <sz val="10.0"/>
      <color rgb="FF111F2C"/>
      <name val="Arial"/>
    </font>
    <font>
      <color rgb="FF273E54"/>
      <name val="Arial"/>
    </font>
    <font>
      <color theme="1"/>
      <name val="Inherit"/>
    </font>
    <font>
      <sz val="11.0"/>
      <color rgb="FF111F2C"/>
      <name val="&quot;Segoe UI&quot;"/>
    </font>
    <font>
      <sz val="11.0"/>
      <color rgb="FFF7981D"/>
      <name val="Inconsolata"/>
    </font>
    <font>
      <color rgb="FF434343"/>
      <name val="Arial"/>
    </font>
    <font>
      <u/>
      <color rgb="FF1155CC"/>
      <name val="Arial"/>
    </font>
    <font>
      <u/>
      <color rgb="FF1155CC"/>
      <name val="Arial"/>
    </font>
    <font>
      <u/>
      <color rgb="FF0000FF"/>
      <name val="Arial"/>
    </font>
    <font>
      <u/>
      <color rgb="FF1155CC"/>
      <name val="Arial"/>
    </font>
    <font>
      <u/>
      <color rgb="FF1155CC"/>
      <name val="Arial"/>
    </font>
    <font>
      <u/>
      <color rgb="FF1155CC"/>
      <name val="Arial"/>
    </font>
    <font>
      <u/>
      <color rgb="FF1155CC"/>
      <name val="Arial"/>
    </font>
    <font>
      <u/>
      <color rgb="FF1155CC"/>
      <name val="Arial"/>
    </font>
    <font>
      <u/>
      <sz val="11.0"/>
      <color rgb="FF111F2C"/>
      <name val="&quot;Segoe UI&quot;"/>
    </font>
    <font>
      <u/>
      <color rgb="FF1155CC"/>
    </font>
    <font>
      <u/>
      <color rgb="FF0000FF"/>
    </font>
    <font>
      <u/>
      <color rgb="FF0000FF"/>
    </font>
  </fonts>
  <fills count="30">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999999"/>
        <bgColor rgb="FF999999"/>
      </patternFill>
    </fill>
    <fill>
      <patternFill patternType="solid">
        <fgColor theme="0"/>
        <bgColor theme="0"/>
      </patternFill>
    </fill>
    <fill>
      <patternFill patternType="solid">
        <fgColor rgb="FFE06666"/>
        <bgColor rgb="FFE06666"/>
      </patternFill>
    </fill>
    <fill>
      <patternFill patternType="solid">
        <fgColor rgb="FF3D85C6"/>
        <bgColor rgb="FF3D85C6"/>
      </patternFill>
    </fill>
    <fill>
      <patternFill patternType="solid">
        <fgColor rgb="FFF1C232"/>
        <bgColor rgb="FFF1C232"/>
      </patternFill>
    </fill>
    <fill>
      <patternFill patternType="solid">
        <fgColor rgb="FFFFF2CC"/>
        <bgColor rgb="FFFFF2CC"/>
      </patternFill>
    </fill>
    <fill>
      <patternFill patternType="solid">
        <fgColor rgb="FF38761D"/>
        <bgColor rgb="FF38761D"/>
      </patternFill>
    </fill>
    <fill>
      <patternFill patternType="solid">
        <fgColor rgb="FFD9EAD3"/>
        <bgColor rgb="FFD9EAD3"/>
      </patternFill>
    </fill>
    <fill>
      <patternFill patternType="solid">
        <fgColor rgb="FFEA9999"/>
        <bgColor rgb="FFEA9999"/>
      </patternFill>
    </fill>
    <fill>
      <patternFill patternType="solid">
        <fgColor rgb="FF78909C"/>
        <bgColor rgb="FF78909C"/>
      </patternFill>
    </fill>
    <fill>
      <patternFill patternType="solid">
        <fgColor rgb="FF9FC5E8"/>
        <bgColor rgb="FF9FC5E8"/>
      </patternFill>
    </fill>
    <fill>
      <patternFill patternType="solid">
        <fgColor rgb="FFB6D7A8"/>
        <bgColor rgb="FFB6D7A8"/>
      </patternFill>
    </fill>
    <fill>
      <patternFill patternType="solid">
        <fgColor rgb="FFF7981D"/>
        <bgColor rgb="FFF7981D"/>
      </patternFill>
    </fill>
    <fill>
      <patternFill patternType="solid">
        <fgColor rgb="FFFFE599"/>
        <bgColor rgb="FFFFE599"/>
      </patternFill>
    </fill>
    <fill>
      <patternFill patternType="solid">
        <fgColor rgb="FFD9D9D9"/>
        <bgColor rgb="FFD9D9D9"/>
      </patternFill>
    </fill>
    <fill>
      <patternFill patternType="solid">
        <fgColor rgb="FFF4CCCC"/>
        <bgColor rgb="FFF4CCCC"/>
      </patternFill>
    </fill>
    <fill>
      <patternFill patternType="solid">
        <fgColor rgb="FFEBEFF1"/>
        <bgColor rgb="FFEBEFF1"/>
      </patternFill>
    </fill>
    <fill>
      <patternFill patternType="solid">
        <fgColor rgb="FFCCCCCC"/>
        <bgColor rgb="FFCCCCCC"/>
      </patternFill>
    </fill>
    <fill>
      <patternFill patternType="solid">
        <fgColor rgb="FFFF0000"/>
        <bgColor rgb="FFFF0000"/>
      </patternFill>
    </fill>
    <fill>
      <patternFill patternType="solid">
        <fgColor rgb="FFFF9900"/>
        <bgColor rgb="FFFF9900"/>
      </patternFill>
    </fill>
    <fill>
      <patternFill patternType="solid">
        <fgColor rgb="FF434343"/>
        <bgColor rgb="FF434343"/>
      </patternFill>
    </fill>
    <fill>
      <patternFill patternType="solid">
        <fgColor rgb="FF666666"/>
        <bgColor rgb="FF666666"/>
      </patternFill>
    </fill>
    <fill>
      <patternFill patternType="solid">
        <fgColor rgb="FFA2C4C9"/>
        <bgColor rgb="FFA2C4C9"/>
      </patternFill>
    </fill>
    <fill>
      <patternFill patternType="solid">
        <fgColor rgb="FFEFEFEF"/>
        <bgColor rgb="FFEFEFEF"/>
      </patternFill>
    </fill>
    <fill>
      <patternFill patternType="solid">
        <fgColor rgb="FFCFE2F3"/>
        <bgColor rgb="FFCFE2F3"/>
      </patternFill>
    </fill>
    <fill>
      <patternFill patternType="solid">
        <fgColor rgb="FF040405"/>
        <bgColor rgb="FF040405"/>
      </patternFill>
    </fill>
  </fills>
  <borders count="13">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top style="dotted">
        <color rgb="FFB7B7B7"/>
      </top>
      <bottom style="dotted">
        <color rgb="FFB7B7B7"/>
      </bottom>
    </border>
    <border>
      <bottom style="dotted">
        <color rgb="FF434343"/>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540">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0" fontId="3" numFmtId="0" xfId="0" applyAlignment="1" applyFont="1">
      <alignment readingOrder="0"/>
    </xf>
    <xf borderId="0" fillId="0" fontId="4" numFmtId="0" xfId="0" applyFont="1"/>
    <xf borderId="0" fillId="0" fontId="5" numFmtId="0" xfId="0" applyAlignment="1" applyFont="1">
      <alignment readingOrder="0"/>
    </xf>
    <xf borderId="0" fillId="0" fontId="6" numFmtId="0" xfId="0" applyFont="1"/>
    <xf borderId="0" fillId="0" fontId="7" numFmtId="0" xfId="0" applyAlignment="1" applyFont="1">
      <alignment readingOrder="0"/>
    </xf>
    <xf borderId="0" fillId="0" fontId="8" numFmtId="0" xfId="0" applyAlignment="1" applyFont="1">
      <alignment readingOrder="0"/>
    </xf>
    <xf borderId="0" fillId="0" fontId="7" numFmtId="0" xfId="0" applyFont="1"/>
    <xf borderId="0" fillId="0" fontId="9" numFmtId="0" xfId="0" applyAlignment="1" applyFont="1">
      <alignment readingOrder="0"/>
    </xf>
    <xf borderId="0" fillId="0" fontId="10" numFmtId="0" xfId="0" applyAlignment="1" applyFont="1">
      <alignment readingOrder="0"/>
    </xf>
    <xf borderId="0" fillId="0" fontId="11" numFmtId="0" xfId="0" applyAlignment="1" applyFont="1">
      <alignment readingOrder="0"/>
    </xf>
    <xf borderId="0" fillId="3" fontId="12" numFmtId="164" xfId="0" applyAlignment="1" applyFill="1" applyFont="1" applyNumberFormat="1">
      <alignment horizontal="center" readingOrder="0" shrinkToFit="0" vertical="center" wrapText="1"/>
    </xf>
    <xf borderId="1" fillId="0" fontId="1" numFmtId="164" xfId="0" applyAlignment="1" applyBorder="1" applyFont="1" applyNumberFormat="1">
      <alignment horizontal="center" shrinkToFit="0" wrapText="1"/>
    </xf>
    <xf borderId="0" fillId="0" fontId="1" numFmtId="0" xfId="0" applyAlignment="1" applyFont="1">
      <alignment horizontal="center"/>
    </xf>
    <xf borderId="0" fillId="0" fontId="1" numFmtId="0" xfId="0" applyAlignment="1" applyFont="1">
      <alignment horizontal="center" readingOrder="0"/>
    </xf>
    <xf borderId="0" fillId="0" fontId="1" numFmtId="1" xfId="0" applyAlignment="1" applyFont="1" applyNumberFormat="1">
      <alignment horizontal="center"/>
    </xf>
    <xf borderId="0" fillId="0" fontId="1" numFmtId="164" xfId="0" applyFont="1" applyNumberFormat="1"/>
    <xf borderId="2" fillId="0" fontId="1" numFmtId="0" xfId="0" applyAlignment="1" applyBorder="1" applyFont="1">
      <alignment horizontal="center" readingOrder="0" shrinkToFit="0" wrapText="1"/>
    </xf>
    <xf borderId="2" fillId="0" fontId="1" numFmtId="0" xfId="0" applyAlignment="1" applyBorder="1" applyFont="1">
      <alignment horizontal="center" readingOrder="0"/>
    </xf>
    <xf borderId="2" fillId="0" fontId="1" numFmtId="0" xfId="0" applyAlignment="1" applyBorder="1" applyFont="1">
      <alignment horizontal="center" readingOrder="0" vertical="bottom"/>
    </xf>
    <xf borderId="2" fillId="0" fontId="1" numFmtId="0" xfId="0" applyAlignment="1" applyBorder="1" applyFont="1">
      <alignment horizontal="center" vertical="bottom"/>
    </xf>
    <xf borderId="2" fillId="0" fontId="1" numFmtId="1" xfId="0" applyAlignment="1" applyBorder="1" applyFont="1" applyNumberFormat="1">
      <alignment horizontal="center" vertical="bottom"/>
    </xf>
    <xf borderId="3" fillId="0" fontId="1" numFmtId="0" xfId="0" applyAlignment="1" applyBorder="1" applyFont="1">
      <alignment horizontal="center" vertical="bottom"/>
    </xf>
    <xf borderId="0" fillId="0" fontId="1" numFmtId="0" xfId="0" applyAlignment="1" applyFont="1">
      <alignment horizontal="center" readingOrder="0" vertical="bottom"/>
    </xf>
    <xf borderId="4" fillId="0" fontId="1" numFmtId="164" xfId="0" applyAlignment="1" applyBorder="1" applyFont="1" applyNumberFormat="1">
      <alignment horizontal="center" shrinkToFit="0" wrapText="1"/>
    </xf>
    <xf borderId="0" fillId="0" fontId="1" numFmtId="0" xfId="0" applyAlignment="1" applyFont="1">
      <alignment horizontal="center" readingOrder="0" shrinkToFit="0" wrapText="1"/>
    </xf>
    <xf borderId="0" fillId="0" fontId="1" numFmtId="0" xfId="0" applyAlignment="1" applyFont="1">
      <alignment horizontal="center" vertical="bottom"/>
    </xf>
    <xf borderId="0" fillId="0" fontId="1" numFmtId="1" xfId="0" applyAlignment="1" applyFont="1" applyNumberFormat="1">
      <alignment horizontal="center" readingOrder="0" vertical="bottom"/>
    </xf>
    <xf borderId="5" fillId="0" fontId="1" numFmtId="0" xfId="0" applyAlignment="1" applyBorder="1" applyFont="1">
      <alignment horizontal="center" readingOrder="0" vertical="bottom"/>
    </xf>
    <xf borderId="0" fillId="0" fontId="1" numFmtId="0" xfId="0" applyAlignment="1" applyFont="1">
      <alignment horizontal="center" shrinkToFit="0" vertical="bottom" wrapText="1"/>
    </xf>
    <xf borderId="0" fillId="0" fontId="1" numFmtId="0" xfId="0" applyAlignment="1" applyFont="1">
      <alignment horizontal="center" readingOrder="0" shrinkToFit="0" vertical="bottom" wrapText="1"/>
    </xf>
    <xf borderId="0" fillId="0" fontId="1" numFmtId="1" xfId="0" applyAlignment="1" applyFont="1" applyNumberFormat="1">
      <alignment horizontal="center" shrinkToFit="0" vertical="bottom" wrapText="1"/>
    </xf>
    <xf borderId="5" fillId="0" fontId="1" numFmtId="0" xfId="0" applyAlignment="1" applyBorder="1" applyFont="1">
      <alignment horizontal="center" shrinkToFit="0" vertical="bottom" wrapText="1"/>
    </xf>
    <xf borderId="6" fillId="0" fontId="1" numFmtId="164" xfId="0" applyAlignment="1" applyBorder="1" applyFont="1" applyNumberFormat="1">
      <alignment horizontal="center" shrinkToFit="0" wrapText="1"/>
    </xf>
    <xf borderId="7" fillId="0" fontId="1" numFmtId="0" xfId="0" applyAlignment="1" applyBorder="1" applyFont="1">
      <alignment horizontal="center" readingOrder="0" shrinkToFit="0" wrapText="1"/>
    </xf>
    <xf borderId="7" fillId="0" fontId="1" numFmtId="0" xfId="0" applyAlignment="1" applyBorder="1" applyFont="1">
      <alignment horizontal="center" shrinkToFit="0" wrapText="1"/>
    </xf>
    <xf borderId="7" fillId="0" fontId="1" numFmtId="1" xfId="0" applyAlignment="1" applyBorder="1" applyFont="1" applyNumberFormat="1">
      <alignment horizontal="center" shrinkToFit="0" wrapText="1"/>
    </xf>
    <xf borderId="8" fillId="0" fontId="1" numFmtId="0" xfId="0" applyAlignment="1" applyBorder="1" applyFont="1">
      <alignment horizontal="center" shrinkToFit="0" wrapText="1"/>
    </xf>
    <xf borderId="0" fillId="4" fontId="12" numFmtId="164" xfId="0" applyAlignment="1" applyFill="1" applyFont="1" applyNumberFormat="1">
      <alignment horizontal="center" vertical="center"/>
    </xf>
    <xf borderId="0" fillId="4" fontId="12" numFmtId="0" xfId="0" applyAlignment="1" applyFont="1">
      <alignment horizontal="center" shrinkToFit="0" vertical="center" wrapText="1"/>
    </xf>
    <xf borderId="0" fillId="4" fontId="12" numFmtId="0" xfId="0" applyAlignment="1" applyFont="1">
      <alignment horizontal="center" readingOrder="0" shrinkToFit="0" vertical="center" wrapText="1"/>
    </xf>
    <xf borderId="0" fillId="4" fontId="12" numFmtId="0" xfId="0" applyAlignment="1" applyFont="1">
      <alignment horizontal="center" readingOrder="0" shrinkToFit="0" vertical="center" wrapText="1"/>
    </xf>
    <xf borderId="0" fillId="4" fontId="13" numFmtId="0" xfId="0" applyAlignment="1" applyFont="1">
      <alignment horizontal="center" readingOrder="0" vertical="center"/>
    </xf>
    <xf borderId="0" fillId="4" fontId="12" numFmtId="1" xfId="0" applyAlignment="1" applyFont="1" applyNumberFormat="1">
      <alignment horizontal="center" readingOrder="0" shrinkToFit="0" vertical="center" wrapText="1"/>
    </xf>
    <xf borderId="0" fillId="0" fontId="1" numFmtId="164" xfId="0" applyAlignment="1" applyFont="1" applyNumberFormat="1">
      <alignment horizontal="center"/>
    </xf>
    <xf borderId="0" fillId="0" fontId="1" numFmtId="0" xfId="0" applyAlignment="1" applyFont="1">
      <alignment horizontal="center" readingOrder="0" shrinkToFit="0" wrapText="0"/>
    </xf>
    <xf borderId="0" fillId="3" fontId="1" numFmtId="0" xfId="0" applyAlignment="1" applyFont="1">
      <alignment horizontal="center"/>
    </xf>
    <xf borderId="0" fillId="3" fontId="1" numFmtId="0" xfId="0" applyAlignment="1" applyFont="1">
      <alignment horizontal="center" vertical="bottom"/>
    </xf>
    <xf borderId="0" fillId="3" fontId="1" numFmtId="1" xfId="0" applyAlignment="1" applyFont="1" applyNumberFormat="1">
      <alignment horizontal="center"/>
    </xf>
    <xf borderId="0" fillId="5" fontId="14" numFmtId="0" xfId="0" applyAlignment="1" applyFill="1" applyFont="1">
      <alignment horizontal="center" readingOrder="0"/>
    </xf>
    <xf borderId="0" fillId="2" fontId="14" numFmtId="0" xfId="0" applyAlignment="1" applyFont="1">
      <alignment horizontal="center" readingOrder="0"/>
    </xf>
    <xf borderId="0" fillId="2" fontId="1" numFmtId="0" xfId="0" applyAlignment="1" applyFont="1">
      <alignment horizontal="center" readingOrder="0"/>
    </xf>
    <xf borderId="0" fillId="0" fontId="14" numFmtId="0" xfId="0" applyAlignment="1" applyFont="1">
      <alignment horizontal="center" readingOrder="0"/>
    </xf>
    <xf borderId="0" fillId="0" fontId="1" numFmtId="1" xfId="0" applyAlignment="1" applyFont="1" applyNumberFormat="1">
      <alignment horizontal="center"/>
    </xf>
    <xf borderId="0" fillId="0" fontId="1" numFmtId="1" xfId="0" applyAlignment="1" applyFont="1" applyNumberFormat="1">
      <alignment horizontal="center" shrinkToFit="0" wrapText="1"/>
    </xf>
    <xf borderId="0" fillId="0" fontId="1" numFmtId="1" xfId="0" applyAlignment="1" applyFont="1" applyNumberFormat="1">
      <alignment horizontal="center" readingOrder="0"/>
    </xf>
    <xf borderId="0" fillId="2" fontId="1" numFmtId="1" xfId="0" applyAlignment="1" applyFont="1" applyNumberFormat="1">
      <alignment horizontal="center" readingOrder="0"/>
    </xf>
    <xf borderId="0" fillId="0" fontId="1" numFmtId="1" xfId="0" applyFont="1" applyNumberFormat="1"/>
    <xf borderId="0" fillId="0" fontId="1" numFmtId="165" xfId="0" applyAlignment="1" applyFont="1" applyNumberFormat="1">
      <alignment horizontal="center" readingOrder="0"/>
    </xf>
    <xf borderId="0" fillId="0" fontId="15" numFmtId="0" xfId="0" applyAlignment="1" applyFont="1">
      <alignment horizontal="center" readingOrder="0"/>
    </xf>
    <xf borderId="0" fillId="0" fontId="15" numFmtId="0" xfId="0" applyAlignment="1" applyFont="1">
      <alignment horizontal="center" readingOrder="0" vertical="bottom"/>
    </xf>
    <xf borderId="0" fillId="0" fontId="1" numFmtId="0" xfId="0" applyAlignment="1" applyFont="1">
      <alignment vertical="bottom"/>
    </xf>
    <xf borderId="0" fillId="0" fontId="1" numFmtId="0" xfId="0" applyAlignment="1" applyFont="1">
      <alignment horizontal="center" vertical="bottom"/>
    </xf>
    <xf borderId="0" fillId="0" fontId="1" numFmtId="1" xfId="0" applyAlignment="1" applyFont="1" applyNumberFormat="1">
      <alignment horizontal="center" readingOrder="0"/>
    </xf>
    <xf borderId="0" fillId="0" fontId="1" numFmtId="0" xfId="0" applyAlignment="1" applyFont="1">
      <alignment horizontal="left"/>
    </xf>
    <xf borderId="0" fillId="0" fontId="1" numFmtId="0" xfId="0" applyAlignment="1" applyFont="1">
      <alignment vertical="center"/>
    </xf>
    <xf borderId="0" fillId="0" fontId="1" numFmtId="0" xfId="0" applyAlignment="1" applyFont="1">
      <alignment horizontal="left" vertical="center"/>
    </xf>
    <xf borderId="0" fillId="0" fontId="1" numFmtId="10" xfId="0" applyAlignment="1" applyFont="1" applyNumberFormat="1">
      <alignment horizontal="left"/>
    </xf>
    <xf borderId="0" fillId="0" fontId="1" numFmtId="0" xfId="0" applyAlignment="1" applyFont="1">
      <alignment horizontal="left" readingOrder="0"/>
    </xf>
    <xf borderId="0" fillId="0" fontId="16" numFmtId="0" xfId="0" applyAlignment="1" applyFont="1">
      <alignment readingOrder="0"/>
    </xf>
    <xf borderId="0" fillId="6" fontId="17" numFmtId="0" xfId="0" applyAlignment="1" applyFill="1" applyFont="1">
      <alignment horizontal="left"/>
    </xf>
    <xf borderId="0" fillId="6" fontId="17" numFmtId="0" xfId="0" applyAlignment="1" applyFont="1">
      <alignment horizontal="left" readingOrder="0"/>
    </xf>
    <xf borderId="0" fillId="6" fontId="17" numFmtId="0" xfId="0" applyAlignment="1" applyFont="1">
      <alignment readingOrder="0" vertical="center"/>
    </xf>
    <xf borderId="0" fillId="6" fontId="17" numFmtId="0" xfId="0" applyAlignment="1" applyFont="1">
      <alignment horizontal="left" readingOrder="0" vertical="center"/>
    </xf>
    <xf borderId="0" fillId="6" fontId="17" numFmtId="1" xfId="0" applyAlignment="1" applyFont="1" applyNumberFormat="1">
      <alignment horizontal="left"/>
    </xf>
    <xf borderId="0" fillId="0" fontId="1" numFmtId="10" xfId="0" applyAlignment="1" applyFont="1" applyNumberFormat="1">
      <alignment horizontal="left" vertical="center"/>
    </xf>
    <xf borderId="0" fillId="7" fontId="12" numFmtId="0" xfId="0" applyAlignment="1" applyFill="1" applyFont="1">
      <alignment horizontal="left"/>
    </xf>
    <xf borderId="0" fillId="7" fontId="12" numFmtId="0" xfId="0" applyAlignment="1" applyFont="1">
      <alignment horizontal="left" readingOrder="0"/>
    </xf>
    <xf borderId="0" fillId="7" fontId="12" numFmtId="0" xfId="0" applyAlignment="1" applyFont="1">
      <alignment readingOrder="0" vertical="center"/>
    </xf>
    <xf borderId="0" fillId="7" fontId="12" numFmtId="0" xfId="0" applyAlignment="1" applyFont="1">
      <alignment horizontal="left" vertical="center"/>
    </xf>
    <xf borderId="0" fillId="7" fontId="12" numFmtId="1" xfId="0" applyAlignment="1" applyFont="1" applyNumberFormat="1">
      <alignment horizontal="left"/>
    </xf>
    <xf borderId="0" fillId="8" fontId="12" numFmtId="0" xfId="0" applyAlignment="1" applyFill="1" applyFont="1">
      <alignment horizontal="left"/>
    </xf>
    <xf borderId="0" fillId="8" fontId="12" numFmtId="0" xfId="0" applyAlignment="1" applyFont="1">
      <alignment horizontal="left" readingOrder="0"/>
    </xf>
    <xf borderId="0" fillId="8" fontId="12" numFmtId="0" xfId="0" applyAlignment="1" applyFont="1">
      <alignment readingOrder="0" vertical="center"/>
    </xf>
    <xf borderId="0" fillId="8" fontId="12" numFmtId="0" xfId="0" applyAlignment="1" applyFont="1">
      <alignment horizontal="left" vertical="center"/>
    </xf>
    <xf borderId="0" fillId="9" fontId="1" numFmtId="1" xfId="0" applyAlignment="1" applyFill="1" applyFont="1" applyNumberFormat="1">
      <alignment horizontal="left"/>
    </xf>
    <xf borderId="0" fillId="9" fontId="1" numFmtId="0" xfId="0" applyAlignment="1" applyFont="1">
      <alignment horizontal="left"/>
    </xf>
    <xf borderId="0" fillId="10" fontId="12" numFmtId="0" xfId="0" applyAlignment="1" applyFill="1" applyFont="1">
      <alignment horizontal="left"/>
    </xf>
    <xf borderId="0" fillId="10" fontId="12" numFmtId="0" xfId="0" applyAlignment="1" applyFont="1">
      <alignment horizontal="left" readingOrder="0"/>
    </xf>
    <xf borderId="0" fillId="10" fontId="12" numFmtId="0" xfId="0" applyAlignment="1" applyFont="1">
      <alignment readingOrder="0" vertical="center"/>
    </xf>
    <xf borderId="0" fillId="10" fontId="12" numFmtId="0" xfId="0" applyAlignment="1" applyFont="1">
      <alignment horizontal="left" vertical="center"/>
    </xf>
    <xf borderId="0" fillId="11" fontId="1" numFmtId="0" xfId="0" applyAlignment="1" applyFill="1" applyFont="1">
      <alignment horizontal="left"/>
    </xf>
    <xf borderId="0" fillId="11" fontId="1" numFmtId="1" xfId="0" applyAlignment="1" applyFont="1" applyNumberFormat="1">
      <alignment horizontal="left"/>
    </xf>
    <xf borderId="0" fillId="12" fontId="12" numFmtId="0" xfId="0" applyAlignment="1" applyFill="1" applyFont="1">
      <alignment horizontal="left"/>
    </xf>
    <xf borderId="0" fillId="12" fontId="12" numFmtId="0" xfId="0" applyAlignment="1" applyFont="1">
      <alignment vertical="center"/>
    </xf>
    <xf borderId="0" fillId="12" fontId="12" numFmtId="0" xfId="0" applyAlignment="1" applyFont="1">
      <alignment horizontal="left" vertical="center"/>
    </xf>
    <xf borderId="0" fillId="0" fontId="1" numFmtId="1" xfId="0" applyAlignment="1" applyFont="1" applyNumberFormat="1">
      <alignment horizontal="left"/>
    </xf>
    <xf borderId="0" fillId="0" fontId="18" numFmtId="0" xfId="0" applyAlignment="1" applyFont="1">
      <alignment readingOrder="0"/>
    </xf>
    <xf borderId="0" fillId="13" fontId="12" numFmtId="167" xfId="0" applyAlignment="1" applyFill="1" applyFont="1" applyNumberFormat="1">
      <alignment horizontal="center" readingOrder="0" textRotation="45"/>
    </xf>
    <xf borderId="0" fillId="0" fontId="1" numFmtId="0" xfId="0" applyAlignment="1" applyFont="1">
      <alignment horizontal="left" readingOrder="0"/>
    </xf>
    <xf borderId="0" fillId="0" fontId="1" numFmtId="0" xfId="0" applyAlignment="1" applyFont="1">
      <alignment horizontal="left"/>
    </xf>
    <xf borderId="0" fillId="0" fontId="19" numFmtId="0" xfId="0" applyAlignment="1" applyFont="1">
      <alignment horizontal="left" readingOrder="0"/>
    </xf>
    <xf borderId="0" fillId="0" fontId="20" numFmtId="4" xfId="0" applyAlignment="1" applyFont="1" applyNumberFormat="1">
      <alignment horizontal="center" readingOrder="0"/>
    </xf>
    <xf borderId="0" fillId="2" fontId="1" numFmtId="0" xfId="0" applyAlignment="1" applyFont="1">
      <alignment horizontal="center"/>
    </xf>
    <xf borderId="0" fillId="2" fontId="1" numFmtId="0" xfId="0" applyAlignment="1" applyFont="1">
      <alignment horizontal="left"/>
    </xf>
    <xf borderId="0" fillId="2" fontId="0" numFmtId="4" xfId="0" applyAlignment="1" applyFont="1" applyNumberFormat="1">
      <alignment horizontal="left" readingOrder="0"/>
    </xf>
    <xf borderId="0" fillId="2" fontId="1" numFmtId="0" xfId="0" applyAlignment="1" applyFont="1">
      <alignment horizontal="left" readingOrder="0"/>
    </xf>
    <xf borderId="0" fillId="2" fontId="1" numFmtId="0" xfId="0" applyAlignment="1" applyFont="1">
      <alignment horizontal="center"/>
    </xf>
    <xf borderId="0" fillId="11" fontId="1" numFmtId="0" xfId="0" applyAlignment="1" applyFont="1">
      <alignment horizontal="center" readingOrder="0"/>
    </xf>
    <xf borderId="0" fillId="2" fontId="1" numFmtId="0" xfId="0" applyAlignment="1" applyFont="1">
      <alignment horizontal="left" readingOrder="0"/>
    </xf>
    <xf borderId="0" fillId="0" fontId="14" numFmtId="0" xfId="0" applyAlignment="1" applyFont="1">
      <alignment horizontal="center" readingOrder="0" vertical="bottom"/>
    </xf>
    <xf borderId="0" fillId="2" fontId="1" numFmtId="1" xfId="0" applyAlignment="1" applyFont="1" applyNumberFormat="1">
      <alignment horizontal="center"/>
    </xf>
    <xf borderId="0" fillId="14" fontId="14" numFmtId="0" xfId="0" applyAlignment="1" applyFill="1" applyFont="1">
      <alignment horizontal="center" vertical="bottom"/>
    </xf>
    <xf borderId="0" fillId="2" fontId="1" numFmtId="0" xfId="0" applyAlignment="1" applyFont="1">
      <alignment horizontal="center" readingOrder="0"/>
    </xf>
    <xf borderId="0" fillId="15" fontId="1" numFmtId="0" xfId="0" applyAlignment="1" applyFill="1" applyFont="1">
      <alignment horizontal="center" readingOrder="0"/>
    </xf>
    <xf borderId="0" fillId="16" fontId="1" numFmtId="0" xfId="0" applyAlignment="1" applyFill="1" applyFont="1">
      <alignment horizontal="left"/>
    </xf>
    <xf borderId="0" fillId="9" fontId="1" numFmtId="0" xfId="0" applyAlignment="1" applyFont="1">
      <alignment horizontal="center" readingOrder="0"/>
    </xf>
    <xf borderId="0" fillId="11" fontId="1" numFmtId="0" xfId="0" applyAlignment="1" applyFont="1">
      <alignment horizontal="center" readingOrder="0" vertical="bottom"/>
    </xf>
    <xf borderId="0" fillId="9" fontId="1" numFmtId="0" xfId="0" applyAlignment="1" applyFont="1">
      <alignment horizontal="center" readingOrder="0" vertical="bottom"/>
    </xf>
    <xf borderId="0" fillId="11" fontId="1" numFmtId="0" xfId="0" applyAlignment="1" applyFont="1">
      <alignment horizontal="center" vertical="bottom"/>
    </xf>
    <xf borderId="0" fillId="0" fontId="1" numFmtId="0" xfId="0" applyAlignment="1" applyFont="1">
      <alignment horizontal="center" readingOrder="0"/>
    </xf>
    <xf borderId="0" fillId="11" fontId="1" numFmtId="1" xfId="0" applyAlignment="1" applyFont="1" applyNumberFormat="1">
      <alignment horizontal="center"/>
    </xf>
    <xf borderId="0" fillId="11" fontId="1" numFmtId="1" xfId="0" applyAlignment="1" applyFont="1" applyNumberFormat="1">
      <alignment horizontal="center" readingOrder="0"/>
    </xf>
    <xf borderId="0" fillId="11" fontId="1" numFmtId="0" xfId="0" applyAlignment="1" applyFont="1">
      <alignment horizontal="left" readingOrder="0"/>
    </xf>
    <xf borderId="0" fillId="16" fontId="1" numFmtId="0" xfId="0" applyAlignment="1" applyFont="1">
      <alignment horizontal="left" readingOrder="0"/>
    </xf>
    <xf borderId="0" fillId="0" fontId="1" numFmtId="0" xfId="0" applyAlignment="1" applyFont="1">
      <alignment horizontal="left" readingOrder="0"/>
    </xf>
    <xf borderId="0" fillId="14" fontId="14" numFmtId="0" xfId="0" applyAlignment="1" applyFont="1">
      <alignment horizontal="center" readingOrder="0" vertical="bottom"/>
    </xf>
    <xf borderId="0" fillId="11" fontId="1" numFmtId="0" xfId="0" applyAlignment="1" applyFont="1">
      <alignment horizontal="center" readingOrder="0"/>
    </xf>
    <xf borderId="0" fillId="17" fontId="1" numFmtId="0" xfId="0" applyAlignment="1" applyFill="1" applyFont="1">
      <alignment horizontal="center" readingOrder="0"/>
    </xf>
    <xf borderId="0" fillId="18" fontId="1" numFmtId="0" xfId="0" applyAlignment="1" applyFill="1" applyFont="1">
      <alignment horizontal="center" vertical="bottom"/>
    </xf>
    <xf borderId="0" fillId="14" fontId="14" numFmtId="0" xfId="0" applyAlignment="1" applyFont="1">
      <alignment horizontal="center" vertical="bottom"/>
    </xf>
    <xf borderId="0" fillId="19" fontId="1" numFmtId="0" xfId="0" applyAlignment="1" applyFill="1" applyFont="1">
      <alignment horizontal="center" vertical="bottom"/>
    </xf>
    <xf borderId="0" fillId="2" fontId="1" numFmtId="0" xfId="0" applyAlignment="1" applyFont="1">
      <alignment horizontal="center" vertical="bottom"/>
    </xf>
    <xf borderId="0" fillId="18" fontId="1" numFmtId="0" xfId="0" applyAlignment="1" applyFont="1">
      <alignment horizontal="center"/>
    </xf>
    <xf borderId="0" fillId="2" fontId="1" numFmtId="1" xfId="0" applyAlignment="1" applyFont="1" applyNumberFormat="1">
      <alignment horizontal="center" readingOrder="0" shrinkToFit="0" wrapText="0"/>
    </xf>
    <xf borderId="0" fillId="18" fontId="1" numFmtId="0" xfId="0" applyAlignment="1" applyFont="1">
      <alignment horizontal="center" readingOrder="0"/>
    </xf>
    <xf borderId="0" fillId="9" fontId="1" numFmtId="0" xfId="0" applyAlignment="1" applyFont="1">
      <alignment horizontal="left" readingOrder="0"/>
    </xf>
    <xf borderId="0" fillId="9" fontId="1" numFmtId="0" xfId="0" applyAlignment="1" applyFont="1">
      <alignment horizontal="left" readingOrder="0"/>
    </xf>
    <xf borderId="0" fillId="2" fontId="21" numFmtId="0" xfId="0" applyAlignment="1" applyFont="1">
      <alignment horizontal="left" readingOrder="0"/>
    </xf>
    <xf borderId="0" fillId="0" fontId="21" numFmtId="0" xfId="0" applyAlignment="1" applyFont="1">
      <alignment horizontal="center" readingOrder="0"/>
    </xf>
    <xf borderId="0" fillId="0" fontId="22" numFmtId="0" xfId="0" applyAlignment="1" applyFont="1">
      <alignment horizontal="center" readingOrder="0"/>
    </xf>
    <xf borderId="0" fillId="11" fontId="1" numFmtId="1" xfId="0" applyAlignment="1" applyFont="1" applyNumberFormat="1">
      <alignment horizontal="center" vertical="bottom"/>
    </xf>
    <xf borderId="0" fillId="2" fontId="1" numFmtId="1" xfId="0" applyAlignment="1" applyFont="1" applyNumberFormat="1">
      <alignment horizontal="center" vertical="bottom"/>
    </xf>
    <xf borderId="0" fillId="0" fontId="1" numFmtId="0" xfId="0" applyFont="1"/>
    <xf borderId="0" fillId="2" fontId="1" numFmtId="1" xfId="0" applyAlignment="1" applyFont="1" applyNumberFormat="1">
      <alignment readingOrder="0"/>
    </xf>
    <xf borderId="0" fillId="2" fontId="1" numFmtId="1" xfId="0" applyFont="1" applyNumberFormat="1"/>
    <xf borderId="0" fillId="11" fontId="1" numFmtId="1" xfId="0" applyFont="1" applyNumberFormat="1"/>
    <xf borderId="0" fillId="0" fontId="23" numFmtId="0" xfId="0" applyAlignment="1" applyFont="1">
      <alignment horizontal="left" readingOrder="0"/>
    </xf>
    <xf borderId="0" fillId="2" fontId="23" numFmtId="0" xfId="0" applyAlignment="1" applyFont="1">
      <alignment horizontal="left"/>
    </xf>
    <xf borderId="0" fillId="2" fontId="24" numFmtId="4" xfId="0" applyAlignment="1" applyFont="1" applyNumberFormat="1">
      <alignment horizontal="left" readingOrder="0"/>
    </xf>
    <xf borderId="0" fillId="2" fontId="23" numFmtId="0" xfId="0" applyAlignment="1" applyFont="1">
      <alignment horizontal="left" readingOrder="0"/>
    </xf>
    <xf borderId="0" fillId="2" fontId="23" numFmtId="0" xfId="0" applyAlignment="1" applyFont="1">
      <alignment horizontal="center"/>
    </xf>
    <xf borderId="0" fillId="0" fontId="23" numFmtId="0" xfId="0" applyAlignment="1" applyFont="1">
      <alignment readingOrder="0"/>
    </xf>
    <xf borderId="0" fillId="0" fontId="23" numFmtId="0" xfId="0" applyFont="1"/>
    <xf borderId="0" fillId="0" fontId="23" numFmtId="0" xfId="0" applyAlignment="1" applyFont="1">
      <alignment horizontal="left"/>
    </xf>
    <xf borderId="0" fillId="2" fontId="23" numFmtId="0" xfId="0" applyAlignment="1" applyFont="1">
      <alignment horizontal="center"/>
    </xf>
    <xf borderId="0" fillId="0" fontId="23" numFmtId="0" xfId="0" applyAlignment="1" applyFont="1">
      <alignment horizontal="center" readingOrder="0"/>
    </xf>
    <xf borderId="0" fillId="0" fontId="23" numFmtId="0" xfId="0" applyAlignment="1" applyFont="1">
      <alignment horizontal="center" readingOrder="0" vertical="bottom"/>
    </xf>
    <xf borderId="0" fillId="14" fontId="25" numFmtId="0" xfId="0" applyAlignment="1" applyFont="1">
      <alignment horizontal="center" vertical="bottom"/>
    </xf>
    <xf borderId="0" fillId="0" fontId="23" numFmtId="0" xfId="0" applyAlignment="1" applyFont="1">
      <alignment horizontal="center" vertical="bottom"/>
    </xf>
    <xf borderId="0" fillId="2" fontId="23" numFmtId="1" xfId="0" applyAlignment="1" applyFont="1" applyNumberFormat="1">
      <alignment horizontal="center"/>
    </xf>
    <xf borderId="0" fillId="2" fontId="23" numFmtId="1" xfId="0" applyFont="1" applyNumberFormat="1"/>
    <xf borderId="0" fillId="2" fontId="23" numFmtId="1" xfId="0" applyAlignment="1" applyFont="1" applyNumberFormat="1">
      <alignment readingOrder="0"/>
    </xf>
    <xf borderId="0" fillId="11" fontId="1" numFmtId="1" xfId="0" applyAlignment="1" applyFont="1" applyNumberFormat="1">
      <alignment readingOrder="0"/>
    </xf>
    <xf borderId="0" fillId="20" fontId="1" numFmtId="0" xfId="0" applyAlignment="1" applyFill="1" applyFont="1">
      <alignment readingOrder="0" vertical="bottom"/>
    </xf>
    <xf borderId="0" fillId="2" fontId="1" numFmtId="0" xfId="0" applyFont="1"/>
    <xf borderId="0" fillId="0" fontId="26" numFmtId="0" xfId="0" applyAlignment="1" applyFont="1">
      <alignment horizontal="center" readingOrder="0"/>
    </xf>
    <xf borderId="0" fillId="9" fontId="1" numFmtId="0" xfId="0" applyAlignment="1" applyFont="1">
      <alignment horizontal="left" readingOrder="0"/>
    </xf>
    <xf borderId="0" fillId="9" fontId="1" numFmtId="0" xfId="0" applyAlignment="1" applyFont="1">
      <alignment horizontal="center"/>
    </xf>
    <xf borderId="0" fillId="2" fontId="14" numFmtId="0" xfId="0" applyAlignment="1" applyFont="1">
      <alignment horizontal="center" vertical="bottom"/>
    </xf>
    <xf borderId="0" fillId="2" fontId="14" numFmtId="0" xfId="0" applyAlignment="1" applyFont="1">
      <alignment horizontal="center" readingOrder="0" vertical="bottom"/>
    </xf>
    <xf borderId="0" fillId="9" fontId="1" numFmtId="0" xfId="0" applyAlignment="1" applyFont="1">
      <alignment horizontal="center" vertical="bottom"/>
    </xf>
    <xf borderId="0" fillId="2" fontId="1" numFmtId="0" xfId="0" applyAlignment="1" applyFont="1">
      <alignment horizontal="center" readingOrder="0" vertical="bottom"/>
    </xf>
    <xf borderId="0" fillId="2" fontId="1" numFmtId="0" xfId="0" applyAlignment="1" applyFont="1">
      <alignment horizontal="center" vertical="bottom"/>
    </xf>
    <xf borderId="0" fillId="9" fontId="0" numFmtId="4" xfId="0" applyAlignment="1" applyFont="1" applyNumberFormat="1">
      <alignment horizontal="left" readingOrder="0"/>
    </xf>
    <xf borderId="0" fillId="2" fontId="1" numFmtId="0" xfId="0" applyAlignment="1" applyFont="1">
      <alignment horizontal="center" readingOrder="0"/>
    </xf>
    <xf borderId="0" fillId="0" fontId="23" numFmtId="0" xfId="0" applyAlignment="1" applyFont="1">
      <alignment horizontal="left" readingOrder="0"/>
    </xf>
    <xf borderId="0" fillId="3" fontId="23" numFmtId="0" xfId="0" applyAlignment="1" applyFont="1">
      <alignment horizontal="center"/>
    </xf>
    <xf borderId="0" fillId="0" fontId="23" numFmtId="0" xfId="0" applyAlignment="1" applyFont="1">
      <alignment horizontal="center"/>
    </xf>
    <xf borderId="0" fillId="2" fontId="23" numFmtId="0" xfId="0" applyAlignment="1" applyFont="1">
      <alignment horizontal="left"/>
    </xf>
    <xf borderId="0" fillId="2" fontId="23" numFmtId="1" xfId="0" applyAlignment="1" applyFont="1" applyNumberFormat="1">
      <alignment horizontal="center" readingOrder="0"/>
    </xf>
    <xf borderId="0" fillId="9" fontId="23" numFmtId="0" xfId="0" applyAlignment="1" applyFont="1">
      <alignment horizontal="center" readingOrder="0"/>
    </xf>
    <xf borderId="0" fillId="9" fontId="23" numFmtId="0" xfId="0" applyAlignment="1" applyFont="1">
      <alignment horizontal="left" readingOrder="0"/>
    </xf>
    <xf borderId="0" fillId="9" fontId="23" numFmtId="0" xfId="0" applyAlignment="1" applyFont="1">
      <alignment horizontal="center"/>
    </xf>
    <xf borderId="0" fillId="2" fontId="23" numFmtId="0" xfId="0" applyAlignment="1" applyFont="1">
      <alignment horizontal="left" readingOrder="0"/>
    </xf>
    <xf borderId="0" fillId="0" fontId="27" numFmtId="0" xfId="0" applyAlignment="1" applyFont="1">
      <alignment horizontal="center" readingOrder="0"/>
    </xf>
    <xf borderId="0" fillId="2" fontId="23" numFmtId="0" xfId="0" applyAlignment="1" applyFont="1">
      <alignment horizontal="center" readingOrder="0"/>
    </xf>
    <xf borderId="0" fillId="2" fontId="25" numFmtId="0" xfId="0" applyAlignment="1" applyFont="1">
      <alignment horizontal="center" vertical="bottom"/>
    </xf>
    <xf borderId="0" fillId="2" fontId="23" numFmtId="0" xfId="0" applyFont="1"/>
    <xf borderId="0" fillId="0" fontId="25" numFmtId="0" xfId="0" applyAlignment="1" applyFont="1">
      <alignment horizontal="center" readingOrder="0" vertical="bottom"/>
    </xf>
    <xf borderId="0" fillId="18" fontId="23" numFmtId="0" xfId="0" applyAlignment="1" applyFont="1">
      <alignment horizontal="center" vertical="bottom"/>
    </xf>
    <xf borderId="0" fillId="14" fontId="25" numFmtId="0" xfId="0" applyAlignment="1" applyFont="1">
      <alignment horizontal="center" vertical="bottom"/>
    </xf>
    <xf borderId="0" fillId="0" fontId="23" numFmtId="0" xfId="0" applyAlignment="1" applyFont="1">
      <alignment horizontal="center" vertical="bottom"/>
    </xf>
    <xf borderId="0" fillId="18" fontId="23" numFmtId="0" xfId="0" applyAlignment="1" applyFont="1">
      <alignment horizontal="center" readingOrder="0" vertical="bottom"/>
    </xf>
    <xf borderId="0" fillId="18" fontId="1" numFmtId="0" xfId="0" applyAlignment="1" applyFont="1">
      <alignment vertical="bottom"/>
    </xf>
    <xf borderId="0" fillId="18" fontId="23" numFmtId="0" xfId="0" applyAlignment="1" applyFont="1">
      <alignment horizontal="left"/>
    </xf>
    <xf borderId="0" fillId="18" fontId="23" numFmtId="0" xfId="0" applyAlignment="1" applyFont="1">
      <alignment horizontal="center" readingOrder="0"/>
    </xf>
    <xf borderId="0" fillId="18" fontId="23" numFmtId="0" xfId="0" applyAlignment="1" applyFont="1">
      <alignment horizontal="left" readingOrder="0"/>
    </xf>
    <xf borderId="0" fillId="18" fontId="23" numFmtId="0" xfId="0" applyAlignment="1" applyFont="1">
      <alignment horizontal="center"/>
    </xf>
    <xf borderId="0" fillId="18" fontId="23" numFmtId="0" xfId="0" applyAlignment="1" applyFont="1">
      <alignment horizontal="left" readingOrder="0"/>
    </xf>
    <xf borderId="0" fillId="11" fontId="23" numFmtId="0" xfId="0" applyAlignment="1" applyFont="1">
      <alignment horizontal="center" readingOrder="0"/>
    </xf>
    <xf borderId="0" fillId="21" fontId="23" numFmtId="0" xfId="0" applyAlignment="1" applyFill="1" applyFont="1">
      <alignment horizontal="center" readingOrder="0"/>
    </xf>
    <xf borderId="0" fillId="21" fontId="23" numFmtId="0" xfId="0" applyAlignment="1" applyFont="1">
      <alignment horizontal="left" readingOrder="0"/>
    </xf>
    <xf borderId="0" fillId="0" fontId="23" numFmtId="0" xfId="0" applyAlignment="1" applyFont="1">
      <alignment horizontal="left"/>
    </xf>
    <xf borderId="0" fillId="0" fontId="23" numFmtId="0" xfId="0" applyAlignment="1" applyFont="1">
      <alignment horizontal="center" readingOrder="0"/>
    </xf>
    <xf borderId="0" fillId="11" fontId="23" numFmtId="0" xfId="0" applyAlignment="1" applyFont="1">
      <alignment horizontal="left" readingOrder="0"/>
    </xf>
    <xf borderId="0" fillId="11" fontId="23" numFmtId="0" xfId="0" applyAlignment="1" applyFont="1">
      <alignment horizontal="center" readingOrder="0"/>
    </xf>
    <xf borderId="0" fillId="2" fontId="28" numFmtId="0" xfId="0" applyAlignment="1" applyFont="1">
      <alignment readingOrder="0"/>
    </xf>
    <xf borderId="0" fillId="2" fontId="24" numFmtId="4" xfId="0" applyAlignment="1" applyFont="1" applyNumberFormat="1">
      <alignment horizontal="left" readingOrder="0"/>
    </xf>
    <xf borderId="0" fillId="2" fontId="23" numFmtId="0" xfId="0" applyAlignment="1" applyFont="1">
      <alignment horizontal="center" readingOrder="0"/>
    </xf>
    <xf borderId="0" fillId="2" fontId="23" numFmtId="0" xfId="0" applyAlignment="1" applyFont="1">
      <alignment horizontal="center" vertical="bottom"/>
    </xf>
    <xf borderId="0" fillId="2" fontId="25" numFmtId="0" xfId="0" applyAlignment="1" applyFont="1">
      <alignment horizontal="center" readingOrder="0" vertical="bottom"/>
    </xf>
    <xf borderId="0" fillId="2" fontId="23" numFmtId="0" xfId="0" applyAlignment="1" applyFont="1">
      <alignment horizontal="center" readingOrder="0" vertical="bottom"/>
    </xf>
    <xf borderId="0" fillId="14" fontId="25" numFmtId="0" xfId="0" applyAlignment="1" applyFont="1">
      <alignment horizontal="center" readingOrder="0" vertical="bottom"/>
    </xf>
    <xf borderId="0" fillId="21" fontId="23" numFmtId="0" xfId="0" applyAlignment="1" applyFont="1">
      <alignment horizontal="center"/>
    </xf>
    <xf borderId="0" fillId="6" fontId="1" numFmtId="0" xfId="0" applyAlignment="1" applyFont="1">
      <alignment horizontal="center" readingOrder="0"/>
    </xf>
    <xf borderId="0" fillId="6" fontId="1" numFmtId="0" xfId="0" applyAlignment="1" applyFont="1">
      <alignment horizontal="left" readingOrder="0"/>
    </xf>
    <xf borderId="0" fillId="6" fontId="1" numFmtId="0" xfId="0" applyAlignment="1" applyFont="1">
      <alignment horizontal="center"/>
    </xf>
    <xf borderId="0" fillId="19" fontId="23" numFmtId="0" xfId="0" applyAlignment="1" applyFont="1">
      <alignment horizontal="left" readingOrder="0"/>
    </xf>
    <xf borderId="0" fillId="19" fontId="24" numFmtId="4" xfId="0" applyAlignment="1" applyFont="1" applyNumberFormat="1">
      <alignment horizontal="left" readingOrder="0"/>
    </xf>
    <xf borderId="0" fillId="19" fontId="23" numFmtId="0" xfId="0" applyAlignment="1" applyFont="1">
      <alignment horizontal="center"/>
    </xf>
    <xf borderId="0" fillId="19" fontId="23" numFmtId="0" xfId="0" applyAlignment="1" applyFont="1">
      <alignment horizontal="center" vertical="bottom"/>
    </xf>
    <xf borderId="0" fillId="6" fontId="23" numFmtId="0" xfId="0" applyAlignment="1" applyFont="1">
      <alignment horizontal="center"/>
    </xf>
    <xf borderId="0" fillId="19" fontId="1" numFmtId="0" xfId="0" applyAlignment="1" applyFont="1">
      <alignment horizontal="left" readingOrder="0"/>
    </xf>
    <xf borderId="0" fillId="19" fontId="0" numFmtId="4" xfId="0" applyAlignment="1" applyFont="1" applyNumberFormat="1">
      <alignment horizontal="left" readingOrder="0"/>
    </xf>
    <xf borderId="0" fillId="19" fontId="1" numFmtId="0" xfId="0" applyAlignment="1" applyFont="1">
      <alignment horizontal="center"/>
    </xf>
    <xf borderId="0" fillId="19" fontId="1" numFmtId="0" xfId="0" applyAlignment="1" applyFont="1">
      <alignment horizontal="left"/>
    </xf>
    <xf borderId="0" fillId="17" fontId="29" numFmtId="0" xfId="0" applyAlignment="1" applyFont="1">
      <alignment horizontal="left" readingOrder="0" shrinkToFit="0" vertical="center" wrapText="1"/>
    </xf>
    <xf borderId="0" fillId="0" fontId="30" numFmtId="0" xfId="0" applyAlignment="1" applyFont="1">
      <alignment horizontal="left" readingOrder="0"/>
    </xf>
    <xf borderId="0" fillId="0" fontId="19" numFmtId="0" xfId="0" applyAlignment="1" applyFont="1">
      <alignment horizontal="left" readingOrder="0"/>
    </xf>
    <xf borderId="0" fillId="0" fontId="23" numFmtId="164" xfId="0" applyAlignment="1" applyFont="1" applyNumberFormat="1">
      <alignment horizontal="left" readingOrder="0"/>
    </xf>
    <xf borderId="0" fillId="0" fontId="1" numFmtId="0" xfId="0" applyAlignment="1" applyFont="1">
      <alignment readingOrder="0"/>
    </xf>
    <xf borderId="0" fillId="2" fontId="1" numFmtId="0" xfId="0" applyAlignment="1" applyFont="1">
      <alignment readingOrder="0" vertical="bottom"/>
    </xf>
    <xf borderId="0" fillId="2" fontId="1" numFmtId="0" xfId="0" applyAlignment="1" applyFont="1">
      <alignment readingOrder="0" vertical="bottom"/>
    </xf>
    <xf borderId="0" fillId="20" fontId="23" numFmtId="0" xfId="0" applyAlignment="1" applyFont="1">
      <alignment readingOrder="0" vertical="bottom"/>
    </xf>
    <xf borderId="0" fillId="20" fontId="1" numFmtId="0" xfId="0" applyAlignment="1" applyFont="1">
      <alignment readingOrder="0" vertical="bottom"/>
    </xf>
    <xf borderId="0" fillId="20" fontId="23" numFmtId="0" xfId="0" applyAlignment="1" applyFont="1">
      <alignment readingOrder="0" vertical="bottom"/>
    </xf>
    <xf borderId="0" fillId="0" fontId="23" numFmtId="0" xfId="0" applyAlignment="1" applyFont="1">
      <alignment horizontal="left" readingOrder="0"/>
    </xf>
    <xf borderId="0" fillId="2" fontId="0" numFmtId="0" xfId="0" applyAlignment="1" applyFont="1">
      <alignment horizontal="left" readingOrder="0"/>
    </xf>
    <xf borderId="0" fillId="2" fontId="0" numFmtId="0" xfId="0" applyAlignment="1" applyFont="1">
      <alignment horizontal="left" readingOrder="0"/>
    </xf>
    <xf borderId="0" fillId="2" fontId="23" numFmtId="0" xfId="0" applyAlignment="1" applyFont="1">
      <alignment readingOrder="0" vertical="bottom"/>
    </xf>
    <xf borderId="0" fillId="0" fontId="19" numFmtId="0" xfId="0" applyAlignment="1" applyFont="1">
      <alignment horizontal="left" readingOrder="0"/>
    </xf>
    <xf borderId="0" fillId="22" fontId="19" numFmtId="0" xfId="0" applyAlignment="1" applyFill="1" applyFont="1">
      <alignment horizontal="left" readingOrder="0"/>
    </xf>
    <xf borderId="0" fillId="0" fontId="1" numFmtId="0" xfId="0" applyAlignment="1" applyFont="1">
      <alignment readingOrder="0" vertical="bottom"/>
    </xf>
    <xf borderId="0" fillId="2" fontId="2" numFmtId="0" xfId="0" applyAlignment="1" applyFont="1">
      <alignment horizontal="left" readingOrder="0"/>
    </xf>
    <xf borderId="0" fillId="0" fontId="2" numFmtId="0" xfId="0" applyAlignment="1" applyFont="1">
      <alignment horizontal="left" readingOrder="0"/>
    </xf>
    <xf borderId="0" fillId="22" fontId="1" numFmtId="0" xfId="0" applyAlignment="1" applyFont="1">
      <alignment readingOrder="0" vertical="bottom"/>
    </xf>
    <xf borderId="0" fillId="0" fontId="19" numFmtId="0" xfId="0" applyAlignment="1" applyFont="1">
      <alignment horizontal="left" readingOrder="0" shrinkToFit="0" wrapText="1"/>
    </xf>
    <xf borderId="0" fillId="0" fontId="19" numFmtId="0" xfId="0" applyAlignment="1" applyFont="1">
      <alignment horizontal="left" readingOrder="0" shrinkToFit="0" wrapText="1"/>
    </xf>
    <xf borderId="0" fillId="23" fontId="19" numFmtId="0" xfId="0" applyAlignment="1" applyFill="1" applyFont="1">
      <alignment horizontal="left" readingOrder="0" shrinkToFit="0" wrapText="1"/>
    </xf>
    <xf borderId="0" fillId="23" fontId="1" numFmtId="0" xfId="0" applyAlignment="1" applyFont="1">
      <alignment readingOrder="0" vertical="bottom"/>
    </xf>
    <xf borderId="0" fillId="23" fontId="19" numFmtId="0" xfId="0" applyAlignment="1" applyFont="1">
      <alignment horizontal="left" readingOrder="0"/>
    </xf>
    <xf borderId="0" fillId="2" fontId="1" numFmtId="0" xfId="0" applyAlignment="1" applyFont="1">
      <alignment readingOrder="0" vertical="bottom"/>
    </xf>
    <xf borderId="0" fillId="13" fontId="31" numFmtId="0" xfId="0" applyAlignment="1" applyFont="1">
      <alignment horizontal="center" readingOrder="0" shrinkToFit="0" wrapText="0"/>
    </xf>
    <xf borderId="0" fillId="13" fontId="29" numFmtId="0" xfId="0" applyAlignment="1" applyFont="1">
      <alignment horizontal="left" readingOrder="0" shrinkToFit="0" vertical="center" wrapText="0"/>
    </xf>
    <xf borderId="0" fillId="13" fontId="18" numFmtId="0" xfId="0" applyAlignment="1" applyFont="1">
      <alignment horizontal="left" readingOrder="0" shrinkToFit="0" vertical="center" wrapText="0"/>
    </xf>
    <xf borderId="0" fillId="13" fontId="18" numFmtId="166" xfId="0" applyAlignment="1" applyFont="1" applyNumberFormat="1">
      <alignment horizontal="left" readingOrder="0" shrinkToFit="0" vertical="center" wrapText="0"/>
    </xf>
    <xf borderId="0" fillId="13" fontId="18" numFmtId="1" xfId="0" applyAlignment="1" applyFont="1" applyNumberFormat="1">
      <alignment horizontal="left" readingOrder="0" shrinkToFit="0" vertical="center" wrapText="0"/>
    </xf>
    <xf borderId="0" fillId="13" fontId="1" numFmtId="1" xfId="0" applyAlignment="1" applyFont="1" applyNumberFormat="1">
      <alignment horizontal="left" readingOrder="0" shrinkToFit="0" vertical="center" wrapText="0"/>
    </xf>
    <xf borderId="0" fillId="13" fontId="18" numFmtId="4" xfId="0" applyAlignment="1" applyFont="1" applyNumberFormat="1">
      <alignment horizontal="left" readingOrder="0" shrinkToFit="0" vertical="center" wrapText="0"/>
    </xf>
    <xf borderId="0" fillId="13" fontId="19" numFmtId="0" xfId="0" applyAlignment="1" applyFont="1">
      <alignment horizontal="left" readingOrder="0" shrinkToFit="0" vertical="center" wrapText="0"/>
    </xf>
    <xf borderId="0" fillId="13" fontId="1" numFmtId="0" xfId="0" applyAlignment="1" applyFont="1">
      <alignment horizontal="left" readingOrder="0" shrinkToFit="0" vertical="center" wrapText="0"/>
    </xf>
    <xf borderId="0" fillId="13" fontId="18" numFmtId="0" xfId="0" applyAlignment="1" applyFont="1">
      <alignment horizontal="left" shrinkToFit="0" wrapText="0"/>
    </xf>
    <xf borderId="0" fillId="13" fontId="18" numFmtId="0" xfId="0" applyAlignment="1" applyFont="1">
      <alignment horizontal="left" readingOrder="0" shrinkToFit="0" wrapText="0"/>
    </xf>
    <xf borderId="0" fillId="2" fontId="19" numFmtId="0" xfId="0" applyAlignment="1" applyFont="1">
      <alignment horizontal="left" readingOrder="0"/>
    </xf>
    <xf borderId="0" fillId="2" fontId="1" numFmtId="166" xfId="0" applyAlignment="1" applyFont="1" applyNumberFormat="1">
      <alignment horizontal="left" readingOrder="0"/>
    </xf>
    <xf borderId="0" fillId="2" fontId="1" numFmtId="1" xfId="0" applyAlignment="1" applyFont="1" applyNumberFormat="1">
      <alignment horizontal="left" readingOrder="0"/>
    </xf>
    <xf borderId="0" fillId="2" fontId="1" numFmtId="1" xfId="0" applyAlignment="1" applyFont="1" applyNumberFormat="1">
      <alignment horizontal="left"/>
    </xf>
    <xf borderId="0" fillId="2" fontId="1" numFmtId="4" xfId="0" applyAlignment="1" applyFont="1" applyNumberFormat="1">
      <alignment horizontal="left"/>
    </xf>
    <xf borderId="0" fillId="2" fontId="1" numFmtId="0" xfId="0" applyAlignment="1" applyFont="1">
      <alignment horizontal="left" readingOrder="0" shrinkToFit="0" wrapText="0"/>
    </xf>
    <xf borderId="0" fillId="2" fontId="19" numFmtId="0" xfId="0" applyAlignment="1" applyFont="1">
      <alignment horizontal="left" vertical="center"/>
    </xf>
    <xf borderId="0" fillId="2" fontId="1" numFmtId="0" xfId="0" applyAlignment="1" applyFont="1">
      <alignment horizontal="left"/>
    </xf>
    <xf borderId="0" fillId="20" fontId="1" numFmtId="0" xfId="0" applyAlignment="1" applyFont="1">
      <alignment horizontal="left"/>
    </xf>
    <xf borderId="0" fillId="20" fontId="19" numFmtId="0" xfId="0" applyAlignment="1" applyFont="1">
      <alignment horizontal="left" readingOrder="0"/>
    </xf>
    <xf borderId="0" fillId="20" fontId="1" numFmtId="0" xfId="0" applyAlignment="1" applyFont="1">
      <alignment horizontal="left" readingOrder="0"/>
    </xf>
    <xf borderId="0" fillId="20" fontId="1" numFmtId="166" xfId="0" applyAlignment="1" applyFont="1" applyNumberFormat="1">
      <alignment horizontal="left" readingOrder="0"/>
    </xf>
    <xf borderId="0" fillId="20" fontId="1" numFmtId="1" xfId="0" applyAlignment="1" applyFont="1" applyNumberFormat="1">
      <alignment horizontal="left" readingOrder="0"/>
    </xf>
    <xf borderId="0" fillId="20" fontId="1" numFmtId="1" xfId="0" applyAlignment="1" applyFont="1" applyNumberFormat="1">
      <alignment horizontal="left"/>
    </xf>
    <xf borderId="0" fillId="20" fontId="1" numFmtId="4" xfId="0" applyAlignment="1" applyFont="1" applyNumberFormat="1">
      <alignment horizontal="left"/>
    </xf>
    <xf borderId="0" fillId="20" fontId="1" numFmtId="0" xfId="0" applyAlignment="1" applyFont="1">
      <alignment horizontal="left" readingOrder="0" shrinkToFit="0" wrapText="0"/>
    </xf>
    <xf borderId="0" fillId="20" fontId="19" numFmtId="0" xfId="0" applyAlignment="1" applyFont="1">
      <alignment horizontal="left" readingOrder="0" vertical="center"/>
    </xf>
    <xf borderId="0" fillId="2" fontId="0" numFmtId="0" xfId="0" applyAlignment="1" applyFont="1">
      <alignment horizontal="left" readingOrder="0"/>
    </xf>
    <xf borderId="0" fillId="20" fontId="19" numFmtId="0" xfId="0" applyAlignment="1" applyFont="1">
      <alignment horizontal="left" vertical="center"/>
    </xf>
    <xf borderId="0" fillId="2" fontId="1" numFmtId="167" xfId="0" applyAlignment="1" applyFont="1" applyNumberFormat="1">
      <alignment horizontal="left" readingOrder="0"/>
    </xf>
    <xf borderId="0" fillId="2" fontId="19" numFmtId="0" xfId="0" applyAlignment="1" applyFont="1">
      <alignment horizontal="left" readingOrder="0" vertical="center"/>
    </xf>
    <xf borderId="0" fillId="20" fontId="23" numFmtId="0" xfId="0" applyAlignment="1" applyFont="1">
      <alignment horizontal="left" readingOrder="0"/>
    </xf>
    <xf borderId="0" fillId="20" fontId="30" numFmtId="0" xfId="0" applyAlignment="1" applyFont="1">
      <alignment horizontal="left" readingOrder="0"/>
    </xf>
    <xf borderId="0" fillId="20" fontId="23" numFmtId="166" xfId="0" applyAlignment="1" applyFont="1" applyNumberFormat="1">
      <alignment horizontal="left" readingOrder="0"/>
    </xf>
    <xf borderId="0" fillId="20" fontId="23" numFmtId="1" xfId="0" applyAlignment="1" applyFont="1" applyNumberFormat="1">
      <alignment horizontal="left" readingOrder="0"/>
    </xf>
    <xf borderId="0" fillId="20" fontId="23" numFmtId="1" xfId="0" applyAlignment="1" applyFont="1" applyNumberFormat="1">
      <alignment horizontal="left"/>
    </xf>
    <xf borderId="0" fillId="20" fontId="23" numFmtId="4" xfId="0" applyAlignment="1" applyFont="1" applyNumberFormat="1">
      <alignment horizontal="left"/>
    </xf>
    <xf borderId="0" fillId="20" fontId="23" numFmtId="0" xfId="0" applyAlignment="1" applyFont="1">
      <alignment horizontal="left" readingOrder="0" shrinkToFit="0" wrapText="0"/>
    </xf>
    <xf borderId="0" fillId="20" fontId="30" numFmtId="0" xfId="0" applyAlignment="1" applyFont="1">
      <alignment horizontal="left" vertical="center"/>
    </xf>
    <xf borderId="0" fillId="20" fontId="23" numFmtId="0" xfId="0" applyAlignment="1" applyFont="1">
      <alignment horizontal="left"/>
    </xf>
    <xf borderId="0" fillId="20" fontId="23" numFmtId="164" xfId="0" applyAlignment="1" applyFont="1" applyNumberFormat="1">
      <alignment horizontal="left" readingOrder="0"/>
    </xf>
    <xf borderId="0" fillId="2" fontId="23" numFmtId="0" xfId="0" applyAlignment="1" applyFont="1">
      <alignment horizontal="left" readingOrder="0"/>
    </xf>
    <xf borderId="0" fillId="2" fontId="23" numFmtId="166" xfId="0" applyAlignment="1" applyFont="1" applyNumberFormat="1">
      <alignment horizontal="left" readingOrder="0"/>
    </xf>
    <xf borderId="0" fillId="2" fontId="23" numFmtId="1" xfId="0" applyAlignment="1" applyFont="1" applyNumberFormat="1">
      <alignment horizontal="left"/>
    </xf>
    <xf borderId="0" fillId="2" fontId="23" numFmtId="4" xfId="0" applyAlignment="1" applyFont="1" applyNumberFormat="1">
      <alignment horizontal="left"/>
    </xf>
    <xf borderId="0" fillId="2" fontId="23" numFmtId="0" xfId="0" applyAlignment="1" applyFont="1">
      <alignment horizontal="left" readingOrder="0" shrinkToFit="0" wrapText="0"/>
    </xf>
    <xf borderId="0" fillId="2" fontId="30" numFmtId="0" xfId="0" applyAlignment="1" applyFont="1">
      <alignment horizontal="left" vertical="center"/>
    </xf>
    <xf borderId="0" fillId="20" fontId="23" numFmtId="0" xfId="0" applyAlignment="1" applyFont="1">
      <alignment horizontal="left" readingOrder="0" vertical="center"/>
    </xf>
    <xf borderId="0" fillId="2" fontId="23" numFmtId="0" xfId="0" applyAlignment="1" applyFont="1">
      <alignment horizontal="left" readingOrder="0" vertical="center"/>
    </xf>
    <xf borderId="0" fillId="2" fontId="30" numFmtId="0" xfId="0" applyAlignment="1" applyFont="1">
      <alignment horizontal="left" readingOrder="0"/>
    </xf>
    <xf borderId="0" fillId="2" fontId="23" numFmtId="1" xfId="0" applyAlignment="1" applyFont="1" applyNumberFormat="1">
      <alignment horizontal="left" readingOrder="0"/>
    </xf>
    <xf borderId="0" fillId="2" fontId="30" numFmtId="0" xfId="0" applyAlignment="1" applyFont="1">
      <alignment horizontal="left" readingOrder="0" vertical="center"/>
    </xf>
    <xf borderId="9" fillId="20" fontId="1" numFmtId="0" xfId="0" applyAlignment="1" applyBorder="1" applyFont="1">
      <alignment horizontal="left" readingOrder="0"/>
    </xf>
    <xf borderId="0" fillId="20" fontId="1" numFmtId="0" xfId="0" applyAlignment="1" applyFont="1">
      <alignment readingOrder="0" vertical="bottom"/>
    </xf>
    <xf borderId="9" fillId="2" fontId="1" numFmtId="0" xfId="0" applyAlignment="1" applyBorder="1" applyFont="1">
      <alignment horizontal="left" readingOrder="0"/>
    </xf>
    <xf borderId="0" fillId="20" fontId="0" numFmtId="0" xfId="0" applyAlignment="1" applyFont="1">
      <alignment horizontal="left" readingOrder="0"/>
    </xf>
    <xf borderId="0" fillId="20" fontId="0" numFmtId="0" xfId="0" applyAlignment="1" applyFont="1">
      <alignment horizontal="left" readingOrder="0" vertical="center"/>
    </xf>
    <xf borderId="0" fillId="20" fontId="32" numFmtId="0" xfId="0" applyAlignment="1" applyFont="1">
      <alignment horizontal="left" readingOrder="0"/>
    </xf>
    <xf borderId="0" fillId="20" fontId="30" numFmtId="0" xfId="0" applyAlignment="1" applyFont="1">
      <alignment horizontal="left" readingOrder="0" vertical="center"/>
    </xf>
    <xf borderId="0" fillId="2" fontId="1" numFmtId="0" xfId="0" applyAlignment="1" applyFont="1">
      <alignment horizontal="left"/>
    </xf>
    <xf borderId="0" fillId="2" fontId="1" numFmtId="0" xfId="0" applyAlignment="1" applyFont="1">
      <alignment horizontal="left" readingOrder="0" vertical="bottom"/>
    </xf>
    <xf borderId="0" fillId="2" fontId="1" numFmtId="0" xfId="0" applyAlignment="1" applyFont="1">
      <alignment horizontal="left" readingOrder="0"/>
    </xf>
    <xf borderId="0" fillId="20" fontId="1" numFmtId="0" xfId="0" applyAlignment="1" applyFont="1">
      <alignment horizontal="left" readingOrder="0" vertical="bottom"/>
    </xf>
    <xf borderId="0" fillId="2" fontId="1" numFmtId="0" xfId="0" applyAlignment="1" applyFont="1">
      <alignment horizontal="left" readingOrder="0"/>
    </xf>
    <xf borderId="0" fillId="20" fontId="23" numFmtId="0" xfId="0" applyAlignment="1" applyFont="1">
      <alignment horizontal="left" readingOrder="0"/>
    </xf>
    <xf borderId="0" fillId="20" fontId="23" numFmtId="0" xfId="0" applyAlignment="1" applyFont="1">
      <alignment horizontal="left" readingOrder="0" shrinkToFit="0" wrapText="0"/>
    </xf>
    <xf borderId="0" fillId="20" fontId="23" numFmtId="0" xfId="0" applyAlignment="1" applyFont="1">
      <alignment horizontal="left" readingOrder="0" shrinkToFit="0" wrapText="1"/>
    </xf>
    <xf borderId="0" fillId="20" fontId="30" numFmtId="0" xfId="0" applyAlignment="1" applyFont="1">
      <alignment horizontal="left" readingOrder="0" shrinkToFit="0" wrapText="1"/>
    </xf>
    <xf borderId="0" fillId="20" fontId="23" numFmtId="166" xfId="0" applyAlignment="1" applyFont="1" applyNumberFormat="1">
      <alignment horizontal="left" readingOrder="0" shrinkToFit="0" wrapText="1"/>
    </xf>
    <xf borderId="0" fillId="20" fontId="23" numFmtId="1" xfId="0" applyAlignment="1" applyFont="1" applyNumberFormat="1">
      <alignment horizontal="left" readingOrder="0" shrinkToFit="0" wrapText="1"/>
    </xf>
    <xf borderId="0" fillId="20" fontId="23" numFmtId="1" xfId="0" applyAlignment="1" applyFont="1" applyNumberFormat="1">
      <alignment horizontal="left" shrinkToFit="0" wrapText="1"/>
    </xf>
    <xf borderId="0" fillId="20" fontId="23" numFmtId="4" xfId="0" applyAlignment="1" applyFont="1" applyNumberFormat="1">
      <alignment horizontal="left" shrinkToFit="0" wrapText="1"/>
    </xf>
    <xf borderId="0" fillId="20" fontId="30" numFmtId="0" xfId="0" applyAlignment="1" applyFont="1">
      <alignment horizontal="left" shrinkToFit="0" vertical="center" wrapText="1"/>
    </xf>
    <xf borderId="0" fillId="20" fontId="23" numFmtId="0" xfId="0" applyAlignment="1" applyFont="1">
      <alignment horizontal="left" shrinkToFit="0" wrapText="1"/>
    </xf>
    <xf borderId="0" fillId="20" fontId="1" numFmtId="0" xfId="0" applyAlignment="1" applyFont="1">
      <alignment horizontal="left" readingOrder="0" shrinkToFit="0" wrapText="0"/>
    </xf>
    <xf borderId="0" fillId="2" fontId="1" numFmtId="0" xfId="0" applyAlignment="1" applyFont="1">
      <alignment horizontal="left" readingOrder="0" shrinkToFit="0" wrapText="0"/>
    </xf>
    <xf borderId="0" fillId="2" fontId="23" numFmtId="0" xfId="0" applyAlignment="1" applyFont="1">
      <alignment horizontal="left" readingOrder="0" shrinkToFit="0" wrapText="0"/>
    </xf>
    <xf borderId="0" fillId="2" fontId="20" numFmtId="0" xfId="0" applyAlignment="1" applyFont="1">
      <alignment horizontal="left" readingOrder="0" shrinkToFit="0" wrapText="0"/>
    </xf>
    <xf borderId="0" fillId="2" fontId="33" numFmtId="0" xfId="0" applyAlignment="1" applyFont="1">
      <alignment horizontal="left" readingOrder="0"/>
    </xf>
    <xf borderId="0" fillId="20" fontId="1" numFmtId="0" xfId="0" applyAlignment="1" applyFont="1">
      <alignment horizontal="left" readingOrder="0"/>
    </xf>
    <xf borderId="0" fillId="20" fontId="19" numFmtId="0" xfId="0" applyAlignment="1" applyFont="1">
      <alignment horizontal="left" readingOrder="0"/>
    </xf>
    <xf borderId="0" fillId="20" fontId="20" numFmtId="0" xfId="0" applyAlignment="1" applyFont="1">
      <alignment horizontal="left" readingOrder="0" shrinkToFit="0" wrapText="0"/>
    </xf>
    <xf borderId="0" fillId="20" fontId="33" numFmtId="0" xfId="0" applyAlignment="1" applyFont="1">
      <alignment horizontal="left" readingOrder="0"/>
    </xf>
    <xf borderId="0" fillId="20" fontId="23" numFmtId="0" xfId="0" applyAlignment="1" applyFont="1">
      <alignment horizontal="left" readingOrder="0" vertical="bottom"/>
    </xf>
    <xf borderId="0" fillId="20" fontId="28" numFmtId="0" xfId="0" applyAlignment="1" applyFont="1">
      <alignment horizontal="left" readingOrder="0"/>
    </xf>
    <xf borderId="0" fillId="2" fontId="28" numFmtId="0" xfId="0" applyAlignment="1" applyFont="1">
      <alignment horizontal="left" readingOrder="0"/>
    </xf>
    <xf borderId="0" fillId="2" fontId="23" numFmtId="0" xfId="0" applyAlignment="1" applyFont="1">
      <alignment vertical="bottom"/>
    </xf>
    <xf borderId="0" fillId="20" fontId="23" numFmtId="0" xfId="0" applyAlignment="1" applyFont="1">
      <alignment horizontal="left" readingOrder="0"/>
    </xf>
    <xf borderId="0" fillId="2" fontId="1" numFmtId="0" xfId="0" applyAlignment="1" applyFont="1">
      <alignment horizontal="left" vertical="bottom"/>
    </xf>
    <xf borderId="0" fillId="20" fontId="1" numFmtId="0" xfId="0" applyAlignment="1" applyFont="1">
      <alignment horizontal="left" vertical="bottom"/>
    </xf>
    <xf borderId="0" fillId="20" fontId="23" numFmtId="0" xfId="0" applyAlignment="1" applyFont="1">
      <alignment horizontal="left" readingOrder="0" vertical="bottom"/>
    </xf>
    <xf borderId="0" fillId="2" fontId="23" numFmtId="0" xfId="0" applyAlignment="1" applyFont="1">
      <alignment horizontal="left" vertical="bottom"/>
    </xf>
    <xf borderId="0" fillId="2" fontId="1" numFmtId="0" xfId="0" applyAlignment="1" applyFont="1">
      <alignment readingOrder="0" shrinkToFit="0" vertical="bottom" wrapText="0"/>
    </xf>
    <xf borderId="0" fillId="2" fontId="1" numFmtId="0" xfId="0" applyAlignment="1" applyFont="1">
      <alignment vertical="bottom"/>
    </xf>
    <xf borderId="0" fillId="2" fontId="23" numFmtId="0" xfId="0" applyAlignment="1" applyFont="1">
      <alignment horizontal="left" shrinkToFit="0" wrapText="0"/>
    </xf>
    <xf borderId="0" fillId="20" fontId="1" numFmtId="0" xfId="0" applyAlignment="1" applyFont="1">
      <alignment readingOrder="0" shrinkToFit="0" vertical="bottom" wrapText="0"/>
    </xf>
    <xf borderId="0" fillId="20" fontId="1" numFmtId="0" xfId="0" applyFont="1"/>
    <xf borderId="0" fillId="20" fontId="1" numFmtId="0" xfId="0" applyAlignment="1" applyFont="1">
      <alignment vertical="bottom"/>
    </xf>
    <xf borderId="0" fillId="20" fontId="1" numFmtId="0" xfId="0" applyAlignment="1" applyFont="1">
      <alignment horizontal="left" vertical="bottom"/>
    </xf>
    <xf borderId="0" fillId="2" fontId="23" numFmtId="0" xfId="0" applyAlignment="1" applyFont="1">
      <alignment horizontal="left" vertical="bottom"/>
    </xf>
    <xf borderId="0" fillId="20" fontId="1" numFmtId="0" xfId="0" applyAlignment="1" applyFont="1">
      <alignment readingOrder="0"/>
    </xf>
    <xf borderId="0" fillId="20" fontId="1" numFmtId="0" xfId="0" applyAlignment="1" applyFont="1">
      <alignment readingOrder="0" shrinkToFit="0" wrapText="0"/>
    </xf>
    <xf borderId="0" fillId="2" fontId="1" numFmtId="0" xfId="0" applyAlignment="1" applyFont="1">
      <alignment readingOrder="0"/>
    </xf>
    <xf borderId="0" fillId="20" fontId="23" numFmtId="0" xfId="0" applyAlignment="1" applyFont="1">
      <alignment readingOrder="0" vertical="bottom"/>
    </xf>
    <xf borderId="0" fillId="20" fontId="23" numFmtId="0" xfId="0" applyAlignment="1" applyFont="1">
      <alignment horizontal="left" vertical="bottom"/>
    </xf>
    <xf borderId="0" fillId="20" fontId="23" numFmtId="0" xfId="0" applyAlignment="1" applyFont="1">
      <alignment readingOrder="0"/>
    </xf>
    <xf borderId="0" fillId="20" fontId="23" numFmtId="0" xfId="0" applyAlignment="1" applyFont="1">
      <alignment readingOrder="0" shrinkToFit="0" vertical="bottom" wrapText="0"/>
    </xf>
    <xf borderId="0" fillId="20" fontId="23" numFmtId="0" xfId="0" applyFont="1"/>
    <xf borderId="0" fillId="20" fontId="23" numFmtId="0" xfId="0" applyAlignment="1" applyFont="1">
      <alignment vertical="bottom"/>
    </xf>
    <xf borderId="0" fillId="2" fontId="23" numFmtId="0" xfId="0" applyAlignment="1" applyFont="1">
      <alignment readingOrder="0" vertical="bottom"/>
    </xf>
    <xf borderId="0" fillId="2" fontId="23" numFmtId="0" xfId="0" applyAlignment="1" applyFont="1">
      <alignment readingOrder="0" shrinkToFit="0" vertical="bottom" wrapText="0"/>
    </xf>
    <xf borderId="0" fillId="2" fontId="23" numFmtId="0" xfId="0" applyAlignment="1" applyFont="1">
      <alignment horizontal="left" readingOrder="0" vertical="bottom"/>
    </xf>
    <xf borderId="0" fillId="9" fontId="23" numFmtId="0" xfId="0" applyAlignment="1" applyFont="1">
      <alignment readingOrder="0" vertical="bottom"/>
    </xf>
    <xf borderId="0" fillId="2" fontId="25" numFmtId="0" xfId="0" applyAlignment="1" applyFont="1">
      <alignment horizontal="left" readingOrder="0"/>
    </xf>
    <xf borderId="0" fillId="2" fontId="23" numFmtId="0" xfId="0" applyAlignment="1" applyFont="1">
      <alignment shrinkToFit="0" vertical="bottom" wrapText="0"/>
    </xf>
    <xf borderId="0" fillId="2" fontId="1" numFmtId="0" xfId="0" applyAlignment="1" applyFont="1">
      <alignment readingOrder="0" vertical="bottom"/>
    </xf>
    <xf borderId="0" fillId="20" fontId="1" numFmtId="0" xfId="0" applyAlignment="1" applyFont="1">
      <alignment readingOrder="0" vertical="bottom"/>
    </xf>
    <xf borderId="0" fillId="20" fontId="23" numFmtId="0" xfId="0" applyAlignment="1" applyFont="1">
      <alignment readingOrder="0" vertical="bottom"/>
    </xf>
    <xf borderId="0" fillId="20" fontId="23" numFmtId="0" xfId="0" applyAlignment="1" applyFont="1">
      <alignment readingOrder="0" shrinkToFit="0" vertical="bottom" wrapText="0"/>
    </xf>
    <xf borderId="0" fillId="2" fontId="1" numFmtId="0" xfId="0" applyAlignment="1" applyFont="1">
      <alignment readingOrder="0" shrinkToFit="0" vertical="bottom" wrapText="0"/>
    </xf>
    <xf borderId="0" fillId="20" fontId="1" numFmtId="0" xfId="0" applyAlignment="1" applyFont="1">
      <alignment readingOrder="0" shrinkToFit="0" vertical="bottom" wrapText="0"/>
    </xf>
    <xf borderId="0" fillId="9" fontId="23" numFmtId="0" xfId="0" applyAlignment="1" applyFont="1">
      <alignment readingOrder="0"/>
    </xf>
    <xf borderId="0" fillId="2" fontId="1" numFmtId="0" xfId="0" applyAlignment="1" applyFont="1">
      <alignment shrinkToFit="0" vertical="bottom" wrapText="0"/>
    </xf>
    <xf borderId="0" fillId="20" fontId="1" numFmtId="0" xfId="0" applyAlignment="1" applyFont="1">
      <alignment shrinkToFit="0" vertical="bottom" wrapText="0"/>
    </xf>
    <xf borderId="0" fillId="2" fontId="34" numFmtId="0" xfId="0" applyAlignment="1" applyFont="1">
      <alignment readingOrder="0"/>
    </xf>
    <xf borderId="0" fillId="20" fontId="2" numFmtId="0" xfId="0" applyAlignment="1" applyFont="1">
      <alignment horizontal="left" readingOrder="0"/>
    </xf>
    <xf borderId="0" fillId="2" fontId="35" numFmtId="0" xfId="0" applyAlignment="1" applyFont="1">
      <alignment horizontal="left" readingOrder="0"/>
    </xf>
    <xf borderId="0" fillId="24" fontId="36" numFmtId="0" xfId="0" applyAlignment="1" applyFill="1" applyFont="1">
      <alignment horizontal="center" readingOrder="0"/>
    </xf>
    <xf borderId="0" fillId="24" fontId="36" numFmtId="0" xfId="0" applyAlignment="1" applyFont="1">
      <alignment horizontal="center"/>
    </xf>
    <xf borderId="0" fillId="24" fontId="36" numFmtId="167" xfId="0" applyAlignment="1" applyFont="1" applyNumberFormat="1">
      <alignment horizontal="center" readingOrder="0" textRotation="45"/>
    </xf>
    <xf borderId="0" fillId="24" fontId="36" numFmtId="167" xfId="0" applyAlignment="1" applyFont="1" applyNumberFormat="1">
      <alignment horizontal="center" readingOrder="0"/>
    </xf>
    <xf borderId="0" fillId="24" fontId="36" numFmtId="167" xfId="0" applyAlignment="1" applyFont="1" applyNumberFormat="1">
      <alignment vertical="bottom"/>
    </xf>
    <xf borderId="0" fillId="25" fontId="37" numFmtId="0" xfId="0" applyAlignment="1" applyFill="1" applyFont="1">
      <alignment horizontal="center" readingOrder="0"/>
    </xf>
    <xf borderId="0" fillId="25" fontId="37" numFmtId="0" xfId="0" applyAlignment="1" applyFont="1">
      <alignment horizontal="center"/>
    </xf>
    <xf borderId="0" fillId="25" fontId="37" numFmtId="0" xfId="0" applyAlignment="1" applyFont="1">
      <alignment horizontal="left" readingOrder="0" shrinkToFit="0" wrapText="0"/>
    </xf>
    <xf borderId="0" fillId="25" fontId="36" numFmtId="0" xfId="0" applyAlignment="1" applyFont="1">
      <alignment horizontal="center"/>
    </xf>
    <xf borderId="0" fillId="25" fontId="36" numFmtId="0" xfId="0" applyAlignment="1" applyFont="1">
      <alignment vertical="bottom"/>
    </xf>
    <xf borderId="0" fillId="26" fontId="38" numFmtId="0" xfId="0" applyAlignment="1" applyFill="1" applyFont="1">
      <alignment horizontal="center" readingOrder="0"/>
    </xf>
    <xf borderId="0" fillId="0" fontId="38" numFmtId="0" xfId="0" applyAlignment="1" applyFont="1">
      <alignment horizontal="center" readingOrder="0"/>
    </xf>
    <xf borderId="0" fillId="0" fontId="39" numFmtId="4" xfId="0" applyAlignment="1" applyFont="1" applyNumberFormat="1">
      <alignment horizontal="center"/>
    </xf>
    <xf borderId="0" fillId="0" fontId="38" numFmtId="0" xfId="0" applyAlignment="1" applyFont="1">
      <alignment horizontal="center" readingOrder="0" shrinkToFit="0" wrapText="1"/>
    </xf>
    <xf borderId="0" fillId="2" fontId="38" numFmtId="0" xfId="0" applyAlignment="1" applyFont="1">
      <alignment horizontal="center"/>
    </xf>
    <xf borderId="0" fillId="25" fontId="37" numFmtId="0" xfId="0" applyAlignment="1" applyFont="1">
      <alignment horizontal="center" readingOrder="0" textRotation="90" vertical="center"/>
    </xf>
    <xf borderId="0" fillId="24" fontId="37" numFmtId="0" xfId="0" applyAlignment="1" applyFont="1">
      <alignment horizontal="center" readingOrder="0" textRotation="90" vertical="center"/>
    </xf>
    <xf borderId="0" fillId="0" fontId="38" numFmtId="0" xfId="0" applyAlignment="1" applyFont="1">
      <alignment horizontal="center"/>
    </xf>
    <xf borderId="0" fillId="27" fontId="38" numFmtId="0" xfId="0" applyAlignment="1" applyFill="1" applyFont="1">
      <alignment vertical="bottom"/>
    </xf>
    <xf borderId="0" fillId="25" fontId="37" numFmtId="0" xfId="0" applyAlignment="1" applyFont="1">
      <alignment horizontal="center" readingOrder="0" shrinkToFit="0" textRotation="90" vertical="center" wrapText="0"/>
    </xf>
    <xf borderId="0" fillId="18" fontId="40" numFmtId="0" xfId="0" applyAlignment="1" applyFont="1">
      <alignment horizontal="center" readingOrder="0"/>
    </xf>
    <xf borderId="0" fillId="26" fontId="38" numFmtId="0" xfId="0" applyAlignment="1" applyFont="1">
      <alignment horizontal="center" readingOrder="0" vertical="bottom"/>
    </xf>
    <xf borderId="0" fillId="24" fontId="38" numFmtId="0" xfId="0" applyAlignment="1" applyFont="1">
      <alignment horizontal="center"/>
    </xf>
    <xf borderId="0" fillId="0" fontId="39" numFmtId="0" xfId="0" applyFont="1"/>
    <xf borderId="0" fillId="0" fontId="38" numFmtId="0" xfId="0" applyAlignment="1" applyFont="1">
      <alignment horizontal="center" vertical="bottom"/>
    </xf>
    <xf borderId="0" fillId="0" fontId="41" numFmtId="0" xfId="0" applyAlignment="1" applyFont="1">
      <alignment horizontal="center" readingOrder="0"/>
    </xf>
    <xf borderId="0" fillId="26" fontId="40" numFmtId="0" xfId="0" applyAlignment="1" applyFont="1">
      <alignment horizontal="center" readingOrder="0"/>
    </xf>
    <xf borderId="0" fillId="0" fontId="40" numFmtId="0" xfId="0" applyAlignment="1" applyFont="1">
      <alignment horizontal="center" readingOrder="0"/>
    </xf>
    <xf borderId="0" fillId="26" fontId="42" numFmtId="0" xfId="0" applyAlignment="1" applyFont="1">
      <alignment horizontal="center" readingOrder="0"/>
    </xf>
    <xf borderId="0" fillId="0" fontId="42" numFmtId="0" xfId="0" applyAlignment="1" applyFont="1">
      <alignment horizontal="center" readingOrder="0"/>
    </xf>
    <xf borderId="0" fillId="0" fontId="43" numFmtId="4" xfId="0" applyAlignment="1" applyFont="1" applyNumberFormat="1">
      <alignment horizontal="center"/>
    </xf>
    <xf borderId="0" fillId="0" fontId="42" numFmtId="0" xfId="0" applyAlignment="1" applyFont="1">
      <alignment horizontal="center" readingOrder="0" shrinkToFit="0" wrapText="1"/>
    </xf>
    <xf borderId="0" fillId="0" fontId="42" numFmtId="0" xfId="0" applyAlignment="1" applyFont="1">
      <alignment horizontal="center"/>
    </xf>
    <xf borderId="0" fillId="24" fontId="42" numFmtId="0" xfId="0" applyAlignment="1" applyFont="1">
      <alignment horizontal="center"/>
    </xf>
    <xf borderId="0" fillId="0" fontId="43" numFmtId="0" xfId="0" applyFont="1"/>
    <xf borderId="0" fillId="0" fontId="42" numFmtId="0" xfId="0" applyAlignment="1" applyFont="1">
      <alignment horizontal="center" vertical="bottom"/>
    </xf>
    <xf borderId="0" fillId="25" fontId="44" numFmtId="0" xfId="0" applyAlignment="1" applyFont="1">
      <alignment horizontal="center" readingOrder="0" textRotation="90" vertical="center"/>
    </xf>
    <xf borderId="0" fillId="26" fontId="38" numFmtId="0" xfId="0" applyAlignment="1" applyFont="1">
      <alignment horizontal="center" vertical="bottom"/>
    </xf>
    <xf borderId="0" fillId="0" fontId="38" numFmtId="0" xfId="0" applyAlignment="1" applyFont="1">
      <alignment horizontal="center" readingOrder="0" vertical="bottom"/>
    </xf>
    <xf borderId="0" fillId="0" fontId="38" numFmtId="0" xfId="0" applyAlignment="1" applyFont="1">
      <alignment horizontal="center" vertical="bottom"/>
    </xf>
    <xf borderId="0" fillId="0" fontId="38" numFmtId="0" xfId="0" applyAlignment="1" applyFont="1">
      <alignment horizontal="center" readingOrder="0" shrinkToFit="0" vertical="bottom" wrapText="1"/>
    </xf>
    <xf borderId="0" fillId="0" fontId="38" numFmtId="0" xfId="0" applyAlignment="1" applyFont="1">
      <alignment horizontal="center" shrinkToFit="0" vertical="bottom" wrapText="1"/>
    </xf>
    <xf borderId="0" fillId="0" fontId="45" numFmtId="0" xfId="0" applyAlignment="1" applyFont="1">
      <alignment horizontal="center" readingOrder="0"/>
    </xf>
    <xf borderId="0" fillId="2" fontId="42" numFmtId="0" xfId="0" applyAlignment="1" applyFont="1">
      <alignment horizontal="center" readingOrder="0"/>
    </xf>
    <xf borderId="0" fillId="26" fontId="42" numFmtId="0" xfId="0" applyAlignment="1" applyFont="1">
      <alignment horizontal="center" readingOrder="0" vertical="bottom"/>
    </xf>
    <xf borderId="0" fillId="0" fontId="42" numFmtId="0" xfId="0" applyAlignment="1" applyFont="1">
      <alignment horizontal="center" readingOrder="0" vertical="bottom"/>
    </xf>
    <xf borderId="0" fillId="0" fontId="42" numFmtId="0" xfId="0" applyAlignment="1" applyFont="1">
      <alignment horizontal="center" shrinkToFit="0" vertical="bottom" wrapText="1"/>
    </xf>
    <xf borderId="0" fillId="0" fontId="38" numFmtId="0" xfId="0" applyAlignment="1" applyFont="1">
      <alignment horizontal="center" shrinkToFit="0" vertical="bottom" wrapText="1"/>
    </xf>
    <xf borderId="0" fillId="2" fontId="46" numFmtId="0" xfId="0" applyAlignment="1" applyFont="1">
      <alignment horizontal="center" readingOrder="0"/>
    </xf>
    <xf borderId="0" fillId="26" fontId="42" numFmtId="0" xfId="0" applyAlignment="1" applyFont="1">
      <alignment horizontal="center" vertical="bottom"/>
    </xf>
    <xf borderId="0" fillId="0" fontId="42" numFmtId="0" xfId="0" applyAlignment="1" applyFont="1">
      <alignment horizontal="center" vertical="bottom"/>
    </xf>
    <xf borderId="0" fillId="24" fontId="42" numFmtId="0" xfId="0" applyAlignment="1" applyFont="1">
      <alignment horizontal="center" readingOrder="0"/>
    </xf>
    <xf borderId="0" fillId="24" fontId="38" numFmtId="0" xfId="0" applyAlignment="1" applyFont="1">
      <alignment horizontal="center" readingOrder="0"/>
    </xf>
    <xf borderId="0" fillId="18" fontId="45" numFmtId="0" xfId="0" applyAlignment="1" applyFont="1">
      <alignment horizontal="center" readingOrder="0"/>
    </xf>
    <xf borderId="0" fillId="2" fontId="38" numFmtId="0" xfId="0" applyAlignment="1" applyFont="1">
      <alignment horizontal="center" readingOrder="0"/>
    </xf>
    <xf borderId="0" fillId="24" fontId="38" numFmtId="0" xfId="0" applyAlignment="1" applyFont="1">
      <alignment vertical="bottom"/>
    </xf>
    <xf borderId="0" fillId="2" fontId="42" numFmtId="0" xfId="0" applyAlignment="1" applyFont="1">
      <alignment horizontal="center"/>
    </xf>
    <xf borderId="0" fillId="24" fontId="42" numFmtId="0" xfId="0" applyAlignment="1" applyFont="1">
      <alignment vertical="bottom"/>
    </xf>
    <xf borderId="0" fillId="2" fontId="38" numFmtId="0" xfId="0" applyAlignment="1" applyFont="1">
      <alignment horizontal="center" vertical="bottom"/>
    </xf>
    <xf borderId="0" fillId="28" fontId="38" numFmtId="0" xfId="0" applyAlignment="1" applyFill="1" applyFont="1">
      <alignment horizontal="center" vertical="bottom"/>
    </xf>
    <xf borderId="0" fillId="28" fontId="38" numFmtId="0" xfId="0" applyAlignment="1" applyFont="1">
      <alignment horizontal="center" readingOrder="0" vertical="bottom"/>
    </xf>
    <xf borderId="0" fillId="28" fontId="42" numFmtId="0" xfId="0" applyAlignment="1" applyFont="1">
      <alignment horizontal="center" vertical="bottom"/>
    </xf>
    <xf borderId="0" fillId="27" fontId="42" numFmtId="0" xfId="0" applyAlignment="1" applyFont="1">
      <alignment vertical="bottom"/>
    </xf>
    <xf borderId="0" fillId="2" fontId="47" numFmtId="0" xfId="0" applyAlignment="1" applyFont="1">
      <alignment horizontal="center" readingOrder="0"/>
    </xf>
    <xf borderId="0" fillId="0" fontId="38" numFmtId="0" xfId="0" applyAlignment="1" applyFont="1">
      <alignment horizontal="center" shrinkToFit="0" wrapText="1"/>
    </xf>
    <xf borderId="0" fillId="0" fontId="18" numFmtId="0" xfId="0" applyAlignment="1" applyFont="1">
      <alignment horizontal="center" readingOrder="0" shrinkToFit="0" vertical="center" wrapText="1"/>
    </xf>
    <xf borderId="0" fillId="0" fontId="18" numFmtId="1" xfId="0" applyAlignment="1" applyFont="1" applyNumberFormat="1">
      <alignment horizontal="center" readingOrder="0" shrinkToFit="0" vertical="center" wrapText="1"/>
    </xf>
    <xf borderId="0" fillId="0" fontId="1" numFmtId="1" xfId="0" applyAlignment="1" applyFont="1" applyNumberFormat="1">
      <alignment horizontal="center" readingOrder="0" shrinkToFit="0" vertical="center" wrapText="1"/>
    </xf>
    <xf borderId="0" fillId="0" fontId="18" numFmtId="4" xfId="0" applyAlignment="1" applyFont="1" applyNumberFormat="1">
      <alignment horizontal="center" readingOrder="0" shrinkToFit="0" vertical="center" wrapText="1"/>
    </xf>
    <xf borderId="0" fillId="0" fontId="18" numFmtId="0" xfId="0" applyAlignment="1" applyFont="1">
      <alignment horizontal="center" readingOrder="0" shrinkToFit="0" vertical="center" wrapText="0"/>
    </xf>
    <xf borderId="0" fillId="0" fontId="18" numFmtId="0" xfId="0" applyAlignment="1" applyFont="1">
      <alignment horizontal="center" shrinkToFit="0" vertical="center" wrapText="1"/>
    </xf>
    <xf borderId="0" fillId="0" fontId="48" numFmtId="0" xfId="0" applyAlignment="1" applyFont="1">
      <alignment vertical="bottom"/>
    </xf>
    <xf borderId="0" fillId="0" fontId="1" numFmtId="164" xfId="0" applyAlignment="1" applyFont="1" applyNumberFormat="1">
      <alignment horizontal="center" readingOrder="0"/>
    </xf>
    <xf borderId="0" fillId="0" fontId="1" numFmtId="1" xfId="0" applyAlignment="1" applyFont="1" applyNumberFormat="1">
      <alignment horizontal="left" readingOrder="0"/>
    </xf>
    <xf borderId="0" fillId="0" fontId="1" numFmtId="4" xfId="0" applyFont="1" applyNumberFormat="1"/>
    <xf borderId="0" fillId="0" fontId="1" numFmtId="0" xfId="0" applyAlignment="1" applyFont="1">
      <alignment readingOrder="0" shrinkToFit="0" wrapText="0"/>
    </xf>
    <xf borderId="0" fillId="2" fontId="49" numFmtId="0" xfId="0" applyAlignment="1" applyFont="1">
      <alignment readingOrder="0" shrinkToFit="0" wrapText="0"/>
    </xf>
    <xf borderId="0" fillId="0" fontId="1" numFmtId="0" xfId="0" applyAlignment="1" applyFont="1">
      <alignment readingOrder="0" vertical="bottom"/>
    </xf>
    <xf borderId="0" fillId="0" fontId="1" numFmtId="164" xfId="0" applyAlignment="1" applyFont="1" applyNumberFormat="1">
      <alignment horizontal="left" readingOrder="0"/>
    </xf>
    <xf borderId="0" fillId="0" fontId="1" numFmtId="168" xfId="0" applyAlignment="1" applyFont="1" applyNumberFormat="1">
      <alignment horizontal="center" readingOrder="0"/>
    </xf>
    <xf borderId="0" fillId="0" fontId="1" numFmtId="167" xfId="0" applyAlignment="1" applyFont="1" applyNumberFormat="1">
      <alignment horizontal="center" readingOrder="0"/>
    </xf>
    <xf borderId="0" fillId="0" fontId="1" numFmtId="0" xfId="0" applyAlignment="1" applyFont="1">
      <alignment readingOrder="0"/>
    </xf>
    <xf borderId="0" fillId="0" fontId="1" numFmtId="0" xfId="0" applyAlignment="1" applyFont="1">
      <alignment shrinkToFit="0" wrapText="0"/>
    </xf>
    <xf borderId="0" fillId="0" fontId="1" numFmtId="1" xfId="0" applyAlignment="1" applyFont="1" applyNumberFormat="1">
      <alignment horizontal="left"/>
    </xf>
    <xf borderId="0" fillId="0" fontId="1" numFmtId="0" xfId="0" applyAlignment="1" applyFont="1">
      <alignment horizontal="left" readingOrder="0" vertical="bottom"/>
    </xf>
    <xf borderId="0" fillId="0" fontId="1" numFmtId="0" xfId="0" applyAlignment="1" applyFont="1">
      <alignment horizontal="left" vertical="bottom"/>
    </xf>
    <xf borderId="0" fillId="2" fontId="14" numFmtId="0" xfId="0" applyAlignment="1" applyFont="1">
      <alignment horizontal="left" readingOrder="0"/>
    </xf>
    <xf borderId="0" fillId="0" fontId="50" numFmtId="0" xfId="0" applyAlignment="1" applyFont="1">
      <alignment horizontal="left" readingOrder="0"/>
    </xf>
    <xf borderId="0" fillId="0" fontId="1" numFmtId="0" xfId="0" applyAlignment="1" applyFont="1">
      <alignment horizontal="left" readingOrder="0" vertical="center"/>
    </xf>
    <xf borderId="9" fillId="0" fontId="1" numFmtId="0" xfId="0" applyAlignment="1" applyBorder="1" applyFont="1">
      <alignment readingOrder="0"/>
    </xf>
    <xf borderId="0" fillId="2" fontId="51" numFmtId="0" xfId="0" applyAlignment="1" applyFont="1">
      <alignment readingOrder="0" shrinkToFit="0" wrapText="0"/>
    </xf>
    <xf borderId="0" fillId="0" fontId="1" numFmtId="0" xfId="0" applyAlignment="1" applyFont="1">
      <alignment horizontal="left" vertical="bottom"/>
    </xf>
    <xf borderId="0" fillId="0" fontId="1" numFmtId="0" xfId="0" applyAlignment="1" applyFont="1">
      <alignment vertical="bottom"/>
    </xf>
    <xf borderId="0" fillId="0" fontId="52" numFmtId="0" xfId="0" applyAlignment="1" applyFont="1">
      <alignment readingOrder="0" shrinkToFit="0" wrapText="1"/>
    </xf>
    <xf borderId="0" fillId="2" fontId="0" numFmtId="0" xfId="0" applyAlignment="1" applyFont="1">
      <alignment horizontal="left" readingOrder="0"/>
    </xf>
    <xf borderId="0" fillId="2" fontId="53" numFmtId="0" xfId="0" applyAlignment="1" applyFont="1">
      <alignment horizontal="left" readingOrder="0"/>
    </xf>
    <xf borderId="0" fillId="0" fontId="48" numFmtId="0" xfId="0" applyAlignment="1" applyFont="1">
      <alignment readingOrder="0" vertical="bottom"/>
    </xf>
    <xf borderId="0" fillId="0" fontId="1" numFmtId="164" xfId="0" applyAlignment="1" applyFont="1" applyNumberFormat="1">
      <alignment horizontal="left"/>
    </xf>
    <xf borderId="0" fillId="3" fontId="12" numFmtId="0" xfId="0" applyAlignment="1" applyFont="1">
      <alignment horizontal="center" readingOrder="0"/>
    </xf>
    <xf borderId="0" fillId="2" fontId="54" numFmtId="0" xfId="0" applyFont="1"/>
    <xf borderId="0" fillId="2" fontId="54" numFmtId="0" xfId="0" applyAlignment="1" applyFont="1">
      <alignment readingOrder="0"/>
    </xf>
    <xf borderId="10" fillId="0" fontId="55" numFmtId="0" xfId="0" applyAlignment="1" applyBorder="1" applyFont="1">
      <alignment horizontal="left" readingOrder="0" vertical="center"/>
    </xf>
    <xf borderId="0" fillId="0" fontId="18" numFmtId="0" xfId="0" applyAlignment="1" applyFont="1">
      <alignment vertical="bottom"/>
    </xf>
    <xf borderId="0" fillId="0" fontId="18" numFmtId="0" xfId="0" applyAlignment="1" applyFont="1">
      <alignment horizontal="center" shrinkToFit="0" vertical="bottom" wrapText="0"/>
    </xf>
    <xf borderId="0" fillId="0" fontId="18" numFmtId="0" xfId="0" applyAlignment="1" applyFont="1">
      <alignment shrinkToFit="0" vertical="bottom" wrapText="1"/>
    </xf>
    <xf borderId="0" fillId="0" fontId="56" numFmtId="0" xfId="0" applyAlignment="1" applyFont="1">
      <alignment shrinkToFit="0" vertical="bottom" wrapText="0"/>
    </xf>
    <xf borderId="0" fillId="0" fontId="1" numFmtId="0" xfId="0" applyAlignment="1" applyFont="1">
      <alignment readingOrder="0" shrinkToFit="0" vertical="bottom" wrapText="1"/>
    </xf>
    <xf borderId="11" fillId="0" fontId="57" numFmtId="0" xfId="0" applyAlignment="1" applyBorder="1" applyFont="1">
      <alignment readingOrder="0" shrinkToFit="0" vertical="bottom" wrapText="0"/>
    </xf>
    <xf borderId="0" fillId="0" fontId="58" numFmtId="0" xfId="0" applyAlignment="1" applyFont="1">
      <alignment readingOrder="0" vertical="bottom"/>
    </xf>
    <xf borderId="0" fillId="0" fontId="1" numFmtId="0" xfId="0" applyAlignment="1" applyFont="1">
      <alignment shrinkToFit="0" vertical="bottom" wrapText="1"/>
    </xf>
    <xf borderId="11" fillId="0" fontId="59" numFmtId="0" xfId="0" applyAlignment="1" applyBorder="1" applyFont="1">
      <alignment shrinkToFit="0" vertical="bottom" wrapText="0"/>
    </xf>
    <xf borderId="0" fillId="0" fontId="60" numFmtId="0" xfId="0" applyAlignment="1" applyFont="1">
      <alignment readingOrder="0" shrinkToFit="0" vertical="bottom" wrapText="0"/>
    </xf>
    <xf borderId="0" fillId="0" fontId="61" numFmtId="0" xfId="0" applyAlignment="1" applyFont="1">
      <alignment readingOrder="0" vertical="bottom"/>
    </xf>
    <xf borderId="0" fillId="2" fontId="53" numFmtId="0" xfId="0" applyAlignment="1" applyFont="1">
      <alignment vertical="bottom"/>
    </xf>
    <xf borderId="0" fillId="19" fontId="1" numFmtId="0" xfId="0" applyAlignment="1" applyFont="1">
      <alignment vertical="bottom"/>
    </xf>
    <xf borderId="0" fillId="19" fontId="62" numFmtId="0" xfId="0" applyAlignment="1" applyFont="1">
      <alignment readingOrder="0" shrinkToFit="0" vertical="bottom" wrapText="0"/>
    </xf>
    <xf borderId="0" fillId="19" fontId="1" numFmtId="0" xfId="0" applyAlignment="1" applyFont="1">
      <alignment shrinkToFit="0" vertical="bottom" wrapText="1"/>
    </xf>
    <xf borderId="11" fillId="19" fontId="63" numFmtId="0" xfId="0" applyAlignment="1" applyBorder="1" applyFont="1">
      <alignment shrinkToFit="0" vertical="bottom" wrapText="0"/>
    </xf>
    <xf borderId="0" fillId="19" fontId="1" numFmtId="0" xfId="0" applyFont="1"/>
    <xf borderId="11" fillId="0" fontId="1" numFmtId="0" xfId="0" applyAlignment="1" applyBorder="1" applyFont="1">
      <alignment readingOrder="0" vertical="bottom"/>
    </xf>
    <xf borderId="11" fillId="2" fontId="53" numFmtId="0" xfId="0" applyAlignment="1" applyBorder="1" applyFont="1">
      <alignment horizontal="left" readingOrder="0"/>
    </xf>
    <xf borderId="0" fillId="0" fontId="18" numFmtId="0" xfId="0" applyAlignment="1" applyFont="1">
      <alignment horizontal="left" readingOrder="0"/>
    </xf>
    <xf borderId="0" fillId="0" fontId="18" numFmtId="0" xfId="0" applyFont="1"/>
    <xf borderId="0" fillId="0" fontId="1" numFmtId="168" xfId="0" applyFont="1" applyNumberFormat="1"/>
    <xf borderId="0" fillId="0" fontId="1" numFmtId="168" xfId="0" applyAlignment="1" applyFont="1" applyNumberFormat="1">
      <alignment readingOrder="0"/>
    </xf>
    <xf borderId="0" fillId="2" fontId="38" numFmtId="49" xfId="0" applyAlignment="1" applyFont="1" applyNumberFormat="1">
      <alignment horizontal="right" readingOrder="0"/>
    </xf>
    <xf borderId="0" fillId="2" fontId="38" numFmtId="49" xfId="0" applyAlignment="1" applyFont="1" applyNumberFormat="1">
      <alignment readingOrder="0"/>
    </xf>
    <xf borderId="0" fillId="2" fontId="64" numFmtId="0" xfId="0" applyAlignment="1" applyFont="1">
      <alignment horizontal="left" readingOrder="0"/>
    </xf>
    <xf borderId="0" fillId="2" fontId="53" numFmtId="0" xfId="0" applyAlignment="1" applyFont="1">
      <alignment horizontal="left"/>
    </xf>
    <xf borderId="0" fillId="3" fontId="12" numFmtId="0" xfId="0" applyAlignment="1" applyFont="1">
      <alignment horizontal="center" readingOrder="0" shrinkToFit="0" vertical="center" wrapText="1"/>
    </xf>
    <xf borderId="0" fillId="0" fontId="1" numFmtId="0" xfId="0" applyAlignment="1" applyFont="1">
      <alignment shrinkToFit="0" wrapText="1"/>
    </xf>
    <xf borderId="0" fillId="0" fontId="1" numFmtId="0" xfId="0" applyAlignment="1" applyFont="1">
      <alignment readingOrder="0" shrinkToFit="0" wrapText="1"/>
    </xf>
    <xf borderId="0" fillId="0" fontId="1" numFmtId="0" xfId="0" applyAlignment="1" applyFont="1">
      <alignment horizontal="center" shrinkToFit="0" wrapText="1"/>
    </xf>
    <xf borderId="0" fillId="3" fontId="12" numFmtId="0" xfId="0" applyAlignment="1" applyFont="1">
      <alignment horizontal="center" vertical="center"/>
    </xf>
    <xf borderId="0" fillId="3" fontId="12" numFmtId="0" xfId="0" applyAlignment="1" applyFont="1">
      <alignment horizontal="center" shrinkToFit="0" vertical="center" wrapText="1"/>
    </xf>
    <xf borderId="0" fillId="3" fontId="12" numFmtId="0" xfId="0" applyAlignment="1" applyFont="1">
      <alignment horizontal="center" readingOrder="0" shrinkToFit="0" vertical="center" wrapText="1"/>
    </xf>
    <xf borderId="0" fillId="29" fontId="13" numFmtId="0" xfId="0" applyAlignment="1" applyFill="1" applyFont="1">
      <alignment readingOrder="0" vertical="center"/>
    </xf>
    <xf borderId="11" fillId="0" fontId="1" numFmtId="0" xfId="0" applyAlignment="1" applyBorder="1" applyFont="1">
      <alignment horizontal="center" readingOrder="0"/>
    </xf>
    <xf borderId="11" fillId="3" fontId="1" numFmtId="0" xfId="0" applyAlignment="1" applyBorder="1" applyFont="1">
      <alignment horizontal="center"/>
    </xf>
    <xf borderId="12" fillId="3" fontId="1" numFmtId="0" xfId="0" applyAlignment="1" applyBorder="1" applyFont="1">
      <alignment vertical="bottom"/>
    </xf>
    <xf borderId="11" fillId="0" fontId="1" numFmtId="0" xfId="0" applyAlignment="1" applyBorder="1" applyFont="1">
      <alignment horizontal="center"/>
    </xf>
    <xf borderId="11" fillId="5" fontId="14" numFmtId="0" xfId="0" applyAlignment="1" applyBorder="1" applyFont="1">
      <alignment horizontal="center" readingOrder="0"/>
    </xf>
    <xf borderId="11" fillId="2" fontId="14" numFmtId="0" xfId="0" applyAlignment="1" applyBorder="1" applyFont="1">
      <alignment horizontal="center" readingOrder="0"/>
    </xf>
    <xf borderId="11" fillId="2" fontId="14" numFmtId="0" xfId="0" applyAlignment="1" applyBorder="1" applyFont="1">
      <alignment horizontal="center"/>
    </xf>
    <xf borderId="0" fillId="3" fontId="1" numFmtId="0" xfId="0" applyFont="1"/>
    <xf borderId="0" fillId="3" fontId="1" numFmtId="0" xfId="0" applyAlignment="1" applyFont="1">
      <alignment vertical="bottom"/>
    </xf>
    <xf borderId="11" fillId="19" fontId="14" numFmtId="0" xfId="0" applyAlignment="1" applyBorder="1" applyFont="1">
      <alignment horizontal="center" readingOrder="0"/>
    </xf>
    <xf borderId="0" fillId="19" fontId="14" numFmtId="0" xfId="0" applyAlignment="1" applyFont="1">
      <alignment horizontal="center" readingOrder="0"/>
    </xf>
    <xf borderId="0" fillId="3" fontId="12" numFmtId="0" xfId="0" applyAlignment="1" applyFont="1">
      <alignment readingOrder="0" shrinkToFit="0" wrapText="1"/>
    </xf>
    <xf borderId="0" fillId="0" fontId="1"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0" fontId="65" numFmtId="0" xfId="0" applyAlignment="1" applyFont="1">
      <alignment horizontal="center" readingOrder="0" shrinkToFit="0" vertical="center" wrapText="1"/>
    </xf>
    <xf borderId="0" fillId="0" fontId="66" numFmtId="0" xfId="0" applyAlignment="1" applyFont="1">
      <alignment horizontal="center" readingOrder="0" shrinkToFit="0" vertical="center" wrapText="1"/>
    </xf>
    <xf borderId="0" fillId="0" fontId="1" numFmtId="0" xfId="0" applyAlignment="1" applyFont="1">
      <alignment readingOrder="0" shrinkToFit="0" vertical="center" wrapText="1"/>
    </xf>
    <xf borderId="0" fillId="0" fontId="67" numFmtId="0" xfId="0" applyAlignment="1" applyFont="1">
      <alignment readingOrder="0" shrinkToFit="0" vertical="center" wrapText="1"/>
    </xf>
    <xf borderId="0" fillId="0" fontId="1" numFmtId="0" xfId="0" applyAlignment="1" applyFont="1">
      <alignment horizontal="left" readingOrder="0" shrinkToFit="0" vertical="center" wrapText="1"/>
    </xf>
    <xf borderId="0" fillId="0" fontId="1" numFmtId="0" xfId="0" applyAlignment="1" applyFont="1">
      <alignment shrinkToFit="0" vertical="center" wrapText="1"/>
    </xf>
  </cellXfs>
  <cellStyles count="1">
    <cellStyle xfId="0" name="Normal" builtinId="0"/>
  </cellStyles>
  <dxfs count="24">
    <dxf>
      <font/>
      <fill>
        <patternFill patternType="solid">
          <fgColor rgb="FFF4CCCC"/>
          <bgColor rgb="FFF4CCCC"/>
        </patternFill>
      </fill>
      <border/>
    </dxf>
    <dxf>
      <font>
        <color rgb="FF000000"/>
      </font>
      <fill>
        <patternFill patternType="solid">
          <fgColor rgb="FF9FC5E8"/>
          <bgColor rgb="FF9FC5E8"/>
        </patternFill>
      </fill>
      <border/>
    </dxf>
    <dxf>
      <font/>
      <fill>
        <patternFill patternType="solid">
          <fgColor rgb="FFD9D9D9"/>
          <bgColor rgb="FFD9D9D9"/>
        </patternFill>
      </fill>
      <border/>
    </dxf>
    <dxf>
      <font/>
      <fill>
        <patternFill patternType="none"/>
      </fill>
      <border/>
    </dxf>
    <dxf>
      <font/>
      <fill>
        <patternFill patternType="solid">
          <fgColor rgb="FF78909C"/>
          <bgColor rgb="FF78909C"/>
        </patternFill>
      </fill>
      <border/>
    </dxf>
    <dxf>
      <font/>
      <fill>
        <patternFill patternType="solid">
          <fgColor rgb="FFFFFFFF"/>
          <bgColor rgb="FFFFFFFF"/>
        </patternFill>
      </fill>
      <border/>
    </dxf>
    <dxf>
      <font/>
      <fill>
        <patternFill patternType="solid">
          <fgColor rgb="FFEBEFF1"/>
          <bgColor rgb="FFEBEFF1"/>
        </patternFill>
      </fill>
      <border/>
    </dxf>
    <dxf>
      <font/>
      <fill>
        <patternFill patternType="solid">
          <fgColor rgb="FFF3F3F3"/>
          <bgColor rgb="FFF3F3F3"/>
        </patternFill>
      </fill>
      <border/>
    </dxf>
    <dxf>
      <font/>
      <fill>
        <patternFill patternType="solid">
          <fgColor rgb="FFCFE2F3"/>
          <bgColor rgb="FFCFE2F3"/>
        </patternFill>
      </fill>
      <border/>
    </dxf>
    <dxf>
      <font/>
      <fill>
        <patternFill patternType="solid">
          <fgColor rgb="FFFCE5CD"/>
          <bgColor rgb="FFFCE5CD"/>
        </patternFill>
      </fill>
      <border/>
    </dxf>
    <dxf>
      <font/>
      <fill>
        <patternFill patternType="solid">
          <fgColor rgb="FFD9D2E9"/>
          <bgColor rgb="FFD9D2E9"/>
        </patternFill>
      </fill>
      <border/>
    </dxf>
    <dxf>
      <font/>
      <fill>
        <patternFill patternType="solid">
          <fgColor rgb="FFB6D7A8"/>
          <bgColor rgb="FFB6D7A8"/>
        </patternFill>
      </fill>
      <border/>
    </dxf>
    <dxf>
      <font/>
      <fill>
        <patternFill patternType="solid">
          <fgColor rgb="FFE6B8AF"/>
          <bgColor rgb="FFE6B8AF"/>
        </patternFill>
      </fill>
      <border/>
    </dxf>
    <dxf>
      <font/>
      <fill>
        <patternFill patternType="solid">
          <fgColor rgb="FFF9CB9C"/>
          <bgColor rgb="FFF9CB9C"/>
        </patternFill>
      </fill>
      <border/>
    </dxf>
    <dxf>
      <font/>
      <fill>
        <patternFill patternType="solid">
          <fgColor rgb="FFA4C2F4"/>
          <bgColor rgb="FFA4C2F4"/>
        </patternFill>
      </fill>
      <border/>
    </dxf>
    <dxf>
      <font/>
      <fill>
        <patternFill patternType="solid">
          <fgColor rgb="FFFFE599"/>
          <bgColor rgb="FFFFE599"/>
        </patternFill>
      </fill>
      <border/>
    </dxf>
    <dxf>
      <font/>
      <fill>
        <patternFill patternType="solid">
          <fgColor rgb="FF76A5AF"/>
          <bgColor rgb="FF76A5AF"/>
        </patternFill>
      </fill>
      <border/>
    </dxf>
    <dxf>
      <font/>
      <fill>
        <patternFill patternType="solid">
          <fgColor rgb="FFB4A7D6"/>
          <bgColor rgb="FFB4A7D6"/>
        </patternFill>
      </fill>
      <border/>
    </dxf>
    <dxf>
      <font/>
      <fill>
        <patternFill patternType="solid">
          <fgColor rgb="FFD5A6BD"/>
          <bgColor rgb="FFD5A6BD"/>
        </patternFill>
      </fill>
      <border/>
    </dxf>
    <dxf>
      <font/>
      <fill>
        <patternFill patternType="solid">
          <fgColor rgb="FF33A974"/>
          <bgColor rgb="FF33A974"/>
        </patternFill>
      </fill>
      <border/>
    </dxf>
    <dxf>
      <font/>
      <fill>
        <patternFill patternType="solid">
          <fgColor rgb="FF6AA84F"/>
          <bgColor rgb="FF6AA84F"/>
        </patternFill>
      </fill>
      <border/>
    </dxf>
    <dxf>
      <font/>
      <fill>
        <patternFill patternType="solid">
          <fgColor rgb="FF6FA8DC"/>
          <bgColor rgb="FF6FA8DC"/>
        </patternFill>
      </fill>
      <border/>
    </dxf>
    <dxf>
      <font/>
      <fill>
        <patternFill patternType="solid">
          <fgColor rgb="FFD7749F"/>
          <bgColor rgb="FFD7749F"/>
        </patternFill>
      </fill>
      <border/>
    </dxf>
    <dxf>
      <font/>
      <fill>
        <patternFill patternType="solid">
          <fgColor rgb="FFEFEFEF"/>
          <bgColor rgb="FFEFEFEF"/>
        </patternFill>
      </fill>
      <border/>
    </dxf>
  </dxfs>
  <tableStyles count="2">
    <tableStyle count="3" pivot="0" name="Shiftplan SoS-style">
      <tableStyleElement dxfId="4" type="headerRow"/>
      <tableStyleElement dxfId="5" type="firstRowStripe"/>
      <tableStyleElement dxfId="6" type="secondRowStripe"/>
    </tableStyle>
    <tableStyle count="3" pivot="0" name="Active SoS email list-style">
      <tableStyleElement dxfId="4" type="headerRow"/>
      <tableStyleElement dxfId="5" type="firstRowStripe"/>
      <tableStyleElement dxfId="6" type="secondRowStripe"/>
    </tableStyle>
  </tableStyle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3" Type="http://schemas.openxmlformats.org/officeDocument/2006/relationships/pivotCacheDefinition" Target="pivotCache/pivotCacheDefinition1.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19050</xdr:colOff>
      <xdr:row>2</xdr:row>
      <xdr:rowOff>171450</xdr:rowOff>
    </xdr:from>
    <xdr:ext cx="2009775" cy="933450"/>
    <xdr:grpSp>
      <xdr:nvGrpSpPr>
        <xdr:cNvPr id="2" name="Shape 2" title="Drawing"/>
        <xdr:cNvGrpSpPr/>
      </xdr:nvGrpSpPr>
      <xdr:grpSpPr>
        <a:xfrm>
          <a:off x="2644925" y="1665750"/>
          <a:ext cx="1988100" cy="911400"/>
          <a:chOff x="2644925" y="1665750"/>
          <a:chExt cx="1988100" cy="911400"/>
        </a:xfrm>
      </xdr:grpSpPr>
      <xdr:sp>
        <xdr:nvSpPr>
          <xdr:cNvPr id="3" name="Shape 3"/>
          <xdr:cNvSpPr/>
        </xdr:nvSpPr>
        <xdr:spPr>
          <a:xfrm>
            <a:off x="2644925" y="1665750"/>
            <a:ext cx="1988100" cy="911400"/>
          </a:xfrm>
          <a:prstGeom prst="bevel">
            <a:avLst>
              <a:gd fmla="val 12500"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4" name="Shape 4"/>
          <xdr:cNvSpPr txBox="1"/>
        </xdr:nvSpPr>
        <xdr:spPr>
          <a:xfrm>
            <a:off x="2843825" y="1921350"/>
            <a:ext cx="1590300" cy="4002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400"/>
              <a:t>Update All Form</a:t>
            </a:r>
            <a:endParaRPr sz="1400"/>
          </a:p>
        </xdr:txBody>
      </xdr:sp>
    </xdr:grpSp>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AQ165" sheet="SoS - Agents Info"/>
  </cacheSource>
  <cacheFields>
    <cacheField name="Name" numFmtId="0">
      <sharedItems containsBlank="1">
        <s v="Raffael Azevedo Andrade"/>
        <s v="Gabriela Mello"/>
        <s v="Julian Soler"/>
        <s v="Kevin Eikmeier"/>
        <s v="Maria Luiza Hattler"/>
        <s v="Matheus Ramos Cardoso Tinôco Cortez"/>
        <s v="Nicha Mahakanchanakul"/>
        <s v="João Guilherme Albuquerque Studart"/>
        <s v="Tayllor de Oliveira Masi"/>
        <s v="Thercio Augusto Pires de Alencar Brandao"/>
        <s v="Vivianne Mendonça"/>
        <s v="Manoela Soares Medici Antunes"/>
        <s v="Jose Edgardo Mass Madrid"/>
        <s v="Alyna Rylka"/>
        <s v="Ronan Garcia"/>
        <s v="Sascha Miller"/>
        <s v="Marcus Kiefer"/>
        <s v="Douglas Ariel Acosta Flores"/>
        <s v="Javier Alfredo Islas"/>
        <s v="Natalia Vorobyeva"/>
        <s v="Juan Manuel Verrone"/>
        <s v="Bryan Fernando Barahona Paiz"/>
        <s v="Vladyslav Tretyak"/>
        <s v="Timo Jueptner"/>
        <s v="Facundo Lasarte"/>
        <s v="Zeljko Randic"/>
        <s v="Carlos Andres Albarracin Calvopina"/>
        <s v="Bruno Souza Gonçales"/>
        <s v="Bruno Salvio Toledo"/>
        <s v="Eddi Dostatni"/>
        <s v="Guilherme Torres de Melo Rolim"/>
        <s v="Gabriel Zambrano"/>
        <s v="Gustavo Albano"/>
        <s v="Paulo Ximenes"/>
        <s v="Thiago Martins"/>
        <s v="Airton Oliva Marques"/>
        <s v="Akzharkyn Kozhageldiyeva"/>
        <s v="Angelo Tabada"/>
        <s v="Hans Anderson Co"/>
        <s v="Jose Mari Kanazawa"/>
        <s v="Othmane Abidar"/>
        <s v="Ramon César Roberto"/>
        <s v="Jorge Almeida"/>
        <s v="Enrico Fasani"/>
        <s v="Guilherme Perottoni Araujo"/>
        <s v="Yonatan Suhardi"/>
        <s v="Ekaterina Bochkareva"/>
        <s v="Yury Esin"/>
        <s v="Kamil Pabin"/>
        <s v="Mathilde Cantagrel"/>
        <s v="Oussama El Hoz"/>
        <s v="Grigory Stepanishev"/>
        <s v="Martin Rostagno"/>
        <s v="Mykhailo Tarantsov"/>
        <s v="Christian Ries"/>
        <s v="Katherine Keen"/>
        <s v="Kokoh Dahono Murti"/>
        <s v="Mateus Cavalheiro de Sousa"/>
        <s v="Andrzej Karabasz"/>
        <s v="Gisellie Abiva"/>
        <s v="Kevin Craig"/>
        <s v="Ricardo Flores"/>
        <s v="Alexander Myaldzin"/>
        <s v="Michael Gerard Smyth"/>
        <s v="Chaimaa Elaimeur"/>
        <s v="Dmitry Patrushev"/>
        <s v="Yassine Ekkazani"/>
        <s v="Che-jung Yu"/>
        <s v="Amin Majindi"/>
        <s v="Evgenii Ovcharov"/>
        <s v="Alex Sidki"/>
        <s v="Valentin Cieur"/>
        <s v="Tomás Mendez"/>
        <s v="Adam Ellison"/>
        <s v="Eliana Galanda"/>
        <s v="Ian Daroz"/>
        <s v="Stefan Nikolas Pacifici Schroeder"/>
        <s v="Julie Grace So"/>
        <s v="Ramilia Nurutdinova"/>
        <s v="Alexander Snetkov"/>
        <s v="Lídia Aguiar Bezerra"/>
        <s v="Tatiana Kummer"/>
        <s v="Xiogenys Pineda"/>
        <s v="Gernot Orgler"/>
        <s v="Karl Matthew Domingo Torres"/>
        <s v="Rachelle Anne Manalo"/>
        <s v="Ricardo Abelin Fleck"/>
        <s v="Victor Macário"/>
        <s v="Rabia Türten"/>
        <s v="Amanda Philot Trotta"/>
        <s v="Daniel Kovacs"/>
        <s v="Endrio de Oliveira Lima"/>
        <s v="Stefan Tesic"/>
        <s v="Diana Dobrovolskaja"/>
        <s v="Stefan Wunder Đokić"/>
        <s v="Guilherme Eduardo Atalla"/>
        <s v="Burak Emlik"/>
        <s v="Dani Taylor"/>
        <s v="Elif Emir"/>
        <s v="Timothy Naldo"/>
        <s v="Malena Portuondo"/>
        <s v="Nanthicha Meksuwan"/>
        <s v="Lorenzo Martin Vergel"/>
        <s v="Sebastian Hadjidimitris"/>
        <s v="Artur Venidiktov"/>
        <s v="Coline Tan"/>
        <s v="Ladina Adjarain Majindi"/>
        <s v="Rebeca de Cerqueira Mateus"/>
        <s v="Zul emyr Hadjula"/>
        <s v="David Joshua Andres"/>
        <s v="Ellen Borba"/>
        <s v="John Campos"/>
        <s v="Ceyhun Cengiz"/>
        <s v="Zayad Mohamed Ayassi"/>
        <s v="Lucas Motta Freese de Carvalho"/>
        <s v="Ernesto Zapanta"/>
        <s v="Joshua Clarke"/>
        <s v="Licinio Gomes De Pina"/>
        <s v="Rodrigo Soares Silva"/>
        <s v="Wissal Dahir"/>
        <s v="Mohamed Zidan"/>
        <s v="Pacome Kemeku Djoumessi"/>
        <s v="Vicky Wu"/>
        <s v="Jose Luis Alon"/>
        <s v="Emanuel Alexander Koydl"/>
        <s v="Eliezer Peña"/>
        <s v="Ralph Jerome Cruz"/>
        <s v="Anatolii Draliuk"/>
        <s v="Vladimir Dolgov"/>
        <s v="Cedric Rosa"/>
        <s v="Tauan Borgo François"/>
        <s v="Oscar Alfonso Zendejas Nevarez"/>
        <s v="Hanne Anette Barkerud Landmark"/>
        <s v="Zamzami Syadza"/>
        <s v="Paultre Stuart Beaucejour"/>
        <s v="Kaelen Bandao"/>
        <s v="Katherine Joy Veneracion"/>
        <s v="Marlon Nicho Ferrero"/>
        <s v="Rachel Cruz"/>
        <s v="Rafael Palmieri"/>
        <s v="Farouk Saboula"/>
        <s v="José Agustín Torti Candellero"/>
        <s v="Hamza Benchreik"/>
        <s v="Arthur Tellechea Inda de Almeida"/>
        <s v="Braulio de Araujo Braga"/>
        <s v="Esther Elaweremi"/>
        <s v="Jesus Antonio Mejia Vasquez"/>
        <s v="Milos Martinovic"/>
        <s v="Mohamed Amine Boudguig"/>
        <s v="Mohammed Bourassi"/>
        <s v="Bruno Allaria"/>
        <s v="Sukum Naralertsukumpong"/>
        <s v="Allan Zambrano"/>
        <s v="Kapil Chawala"/>
        <s v="Larissa Rodrigues"/>
        <s v="Ksenia Lukyanova"/>
        <s v="Clark Jesse Falv Olayvar"/>
        <s v="Nikita Denisjuks"/>
        <s v="Armand Van As"/>
        <s v="Callum Riding-Smith"/>
        <s v="Huseyn Ismayilov"/>
        <s v="Liliya Konovalova"/>
        <s v="This sheet will no longer be updated, please find the new roster in the MGMT Dingtalk Chat!"/>
        <m/>
      </sharedItems>
    </cacheField>
    <cacheField name="Mogi/Dingtalk Email" numFmtId="0">
      <sharedItems containsBlank="1">
        <s v="raffael.azevedo-andrade@mogi-group.com"/>
        <s v="gabriela.mello@mogi-group.com"/>
        <s v="julian.soler@mogi-group.com"/>
        <s v="kevin.eikmeier@mogi-group.com"/>
        <s v="maria.hattler@mogi-group.com"/>
        <s v="matheus.cortez@mogi-group.com"/>
        <s v="nicha.mahakanchanakul@mogi-group.com"/>
        <s v="joao.studart@mogi-group.com"/>
        <s v="tayllor.masi@mogi-group.com"/>
        <s v="thercio.brandao@mogi-group.com"/>
        <s v="vivianne.de-lima-mendonca@mogi-group.com"/>
        <s v="manoela.antunes@mogi-group.com"/>
        <s v="jose.mass@mogi-group.com"/>
        <s v="alina.rylka@mogi-group.com"/>
        <s v="ronan.garcia@mogi-group.com"/>
        <s v="sascha.miller@mogi-group.com"/>
        <s v="marcus.kiefer@mogi-group.com"/>
        <s v="ariel.acosta@mogi-group.com"/>
        <s v="javier-alfredo.islas@mogi-group.com"/>
        <s v="natalia.vorobyeva@mogi-group.com"/>
        <s v="juan.verrone@mogi-group.com"/>
        <s v="bryan.barahona@mogi-group.com"/>
        <s v="vladyslav.tretiak@mogi-group.com"/>
        <s v="timo.jueptner@mogi-group.com"/>
        <s v="Facundo.lasarte@mogi-group.com"/>
        <s v="zeljko.randic@mogi-group.com"/>
        <s v="carlos-andres.albarracin@mogi-group.com"/>
        <s v="bruno.goncales@mogi-group.com"/>
        <s v="bruno.toledo@mogi-group.com"/>
        <s v="eddi.dostatni@mogi-group.com"/>
        <s v="guilherme.torres@mogi-group.com"/>
        <s v="gabriel.zambrano@mogi-group.com"/>
        <s v="gustavo.albano@mogi-group.com"/>
        <s v="paulo.ximenes@mogi-group.com"/>
        <s v="thiago.martins@mogi-group.com"/>
        <s v="airton.marques@mogi-group.com"/>
        <s v="akzharkyn.kozhageldiyeva@mogi-group.com"/>
        <s v="angelo.tabada@mogi-group.com"/>
        <s v="hans.co@mogi-group.com"/>
        <s v="jose-mari.kanazawa@mogi-group.com"/>
        <s v="othmane.abidar@mogi-group.com"/>
        <s v="ramon.roberto@mogi-group.com"/>
        <s v="jorge.almeida@mogi-group.com"/>
        <s v="enrico.fasani@mogi-group.com"/>
        <s v="guilherme.perottoni@mogi-group.com"/>
        <s v="yonatan.suhardi@mogi-group.com"/>
        <s v="ekaterina.bochkareva@mogi-group.com"/>
        <s v="yury.esin@mogi-group.com"/>
        <s v="kamil.pabin@mogi-group.com"/>
        <s v="mathilde.cantagrel@mogi-group.com"/>
        <s v="oussama.el-hoz@mogi-group.com"/>
        <s v="grigory.stepanishev@mogi-group.com"/>
        <s v="martin.rostagno@mogi-group.com"/>
        <s v="mykhailo.tarantsov@mogi-group.com"/>
        <s v="christian.ries@mogi-group.com"/>
        <s v="katherine.keen@mogi-group.com"/>
        <s v="kokoh.murti@mogi-group.com"/>
        <s v="mateus.cavalheiro-de-sousa@mogi-group.com"/>
        <s v="andrzej.karabasz@mogi-group.com"/>
        <s v="gisellie.abiva@mogi-group.com"/>
        <s v="kevin.craig@mogi-group.com"/>
        <s v="ricardo.flores@mogi-group.com"/>
        <s v="alexander.myaldzin@mogi-group.com"/>
        <s v="gerard.smyth@mogi-group.com"/>
        <s v="chaimaa.elaimeur@mogi-group.com"/>
        <s v="dmitry.patrushev@mogi-group.com"/>
        <s v="yassine.zakani@mogi-group.com"/>
        <s v="che-jung.yu@mogi-group.com"/>
        <s v="Amin-Adjarain.Majindi@mogi-group.com"/>
        <s v="eugene.ovcharov@mogi-group.com"/>
        <s v="alexander.sidki@mogi-group.com"/>
        <s v="valentin.cieur@mogi-group.com"/>
        <s v="tomas.mendez@mogi-group.com"/>
        <s v="adam.ellison@mogi-group.com"/>
        <s v="eliana.galanda@mogi-group.com"/>
        <s v="ian.daroz@mogi-group.com"/>
        <s v="stefan.schroeder@mogi-group.com"/>
        <s v="julie.so@mogi-group.com"/>
        <s v="ramilia.nurutdinova@mogi-group.com"/>
        <s v="alexander.snetkov@mogi-group.com"/>
        <s v="lidia.aguiar-bezerra@mogi-group.com"/>
        <s v="tatiana.kummer@mogi-group.com"/>
        <s v="xiogenys.pineda@mogi-group.com"/>
        <s v="gernot.orgler@mogi-group.com"/>
        <s v="karl.torres@mogi-group.com"/>
        <s v="rachelle-anne.manalo@mogi-group.com"/>
        <s v="ricardo.fleck@mogi-group.com"/>
        <s v="victor.macario@mogi-group.com"/>
        <s v="rabia.turten@mogi-group.com"/>
        <s v="amanda.philot-trotta@mogi-group.com"/>
        <s v="daniel.kovacs@mogi-group.com"/>
        <s v="endrio.lima@mogi-group.com"/>
        <s v="stefan.tesic@mogi-group.com"/>
        <s v="diana.dobrovolskaja@mogi-group.com"/>
        <s v="stefan.djokic@mogi-group.com"/>
        <s v="guilherme.atalla@mogi-group.com"/>
        <s v="burak.emlik@mogi-group.com"/>
        <s v="dani.taylor@mogi-group.com"/>
        <s v="elif.emir@mogi-group.com"/>
        <s v="timothy.naldo@mogi-group.com"/>
        <s v="malena.portuondo@mogi-group.com"/>
        <s v="nanthicha.meksuwan@mogi-group.com"/>
        <s v="lorenzo.vergel@mogi-group.com"/>
        <s v="sebastian.hadjidimitris@mogi-group.com"/>
        <s v="artur.venidiktov@mogi-group.com"/>
        <s v="coline-ysabel.tan@mogi-group.com"/>
        <s v="ladina.majindi@mogi-group.com"/>
        <s v="Rebeca.de-cerqueira-mateus@mogi-group.com"/>
        <s v="zul-emyr.pinera@mogi-group.com"/>
        <s v="david.andres@mogi-group.com"/>
        <s v="ellen.borba@mogi-group.com"/>
        <s v="john.campos@mogi-group.com"/>
        <s v="ceyhun.cengiz@mogi-group.com"/>
        <s v="zayad.ayassi@mogi-group.com"/>
        <s v="lucas.carvalho@mogi-group.com"/>
        <s v="ernesto.zapanta@mogi-group.com"/>
        <s v="joshua.clarke@mogi-group.com"/>
        <s v="licinio.gomes-de-pina@mogi-group.com"/>
        <s v="rodrigo.soares-silva@mogi-group.com"/>
        <s v="wissal.dahir@mogi-group.com"/>
        <s v="mohamed.zidan@mogi-group.com"/>
        <s v="pacome.kemkeu@mogi-group.com"/>
        <s v="vicky.wu@mogi-group.com"/>
        <s v="jose-luis.alon@mogi-group.com"/>
        <s v="emanuel.koydl@mogi-group.com"/>
        <s v="eliezer.pena@mogi-group.com"/>
        <s v="ralph.cruz@mogi-group.com"/>
        <s v="anatolii.draliuk@mogi-group.com"/>
        <s v="vladimir.dolgov@mogi-group.com"/>
        <s v="cedric.dalla-rosa@mogi-group.com"/>
        <s v="tauan.francois@mogi-group.com"/>
        <s v="alfonso.zendejas-nevarez@mogi-group.com"/>
        <s v="hanne.barkerud@mogi-group.com"/>
        <s v="zamzami.syadza@mogi-group.com"/>
        <s v="paultre-stuart.beaucejour@mogi-group.com"/>
        <s v="kaelen.bandao@mogi-group.com"/>
        <s v="katherine.veneracion@mogi-group.com"/>
        <s v="nicho.ferrero@mogi-group.com"/>
        <s v="rachel.cruz@mogi-group.com"/>
        <s v="rafael.palmieri@mogi-group.com"/>
        <s v="farouk.saboula@mogi-group.com"/>
        <s v="jose.candellero@mogi-group.com"/>
        <s v="hamza.benchreik@mogi-group.com"/>
        <s v="arthur.almeida@mogi-group.com"/>
        <s v="braulio.de-araujo-braga@mogi-group.com"/>
        <s v="esther.elaweremi@mogi-group.com"/>
        <s v="jesus-antonio.mejia-vasquez@mogi-group.com"/>
        <s v="milos.martinovic@mogi-group.com"/>
        <s v="mohamed.boudguig@mogi-group.com"/>
        <s v="mohammed.bourassi@mogi-group.com"/>
        <s v="bruno.allaria@mogi-group.com"/>
        <s v="sukum.naralertsukumpong@mogi-group.com"/>
        <s v="allan.zambrano@mogi-group.com"/>
        <s v="kapil.chawala@mogi-group.com"/>
        <s v="larissa.rodrigues@mogi-group.com"/>
        <s v="ksenia.lukyanova@mogi-group.com"/>
        <s v="clark.olayvar@mogi-group.com"/>
        <s v="nikita.denisjuks@mogi-group.com"/>
        <s v="armand.van-as@mogi-group.com"/>
        <s v="callum.riding-smith@mogi-group.com"/>
        <s v="huseyn.ismayilov@mogi-group.com"/>
        <s v="liliya.konovalova@mogi-group.com"/>
        <m/>
      </sharedItems>
    </cacheField>
    <cacheField name="Gmail" numFmtId="0">
      <sharedItems containsBlank="1">
        <s v="raffael.azevedo-andrade@mogi-group.com"/>
        <s v="gmelllo.mogi@gmail.com"/>
        <s v="julian.soler@mogi-group.com"/>
        <s v="kevin.mogi.group@gmail.com"/>
        <s v="mariahattler.mogi@gmail.com"/>
        <s v="matheus.cortez.mogi@gmail.com"/>
        <s v="nicha.mogi@gmail.com"/>
        <s v="joao.studart@mogi-group.com"/>
        <s v="tayllor.masi@mogi-group.com"/>
        <s v="therciobrandao@gmail.com"/>
        <s v="vivimendonca93@gmail.com "/>
        <s v="soaresmanoela1607@gmail.com"/>
        <s v="jose.mass@mogi-group.com"/>
        <s v="rylkaalina@gmail.com"/>
        <s v="ronan.garcia@mogi-group.com"/>
        <s v="sascha.miller@mogi-group.com"/>
        <s v="marcus.kiefer@mogi-group.com"/>
        <s v="ariel.acosta.mogi@gmail.com"/>
        <s v="javier-alfredo.islas@mogi-group.com"/>
        <s v="natashagamer23@gmail.com"/>
        <s v="juan.verrone@mogi-group.com"/>
        <s v="bryan.barahona@mogi-group.com"/>
        <s v="vladyslav.tretiak@mogi-group.com"/>
        <s v="timo.jueptner@mogi-group.com"/>
        <s v="lasartefacu@gmail.com"/>
        <s v="mogi.zeljko@gmail.com"/>
        <s v="carlos-andres.albarracin@mogi-group.com"/>
        <s v="bruno.goncales@mogi-group.com"/>
        <s v="bruno.toledo938@gmail.com"/>
        <s v="eddi.dostatni@mogi-group.com"/>
        <s v="guilherme.torres@mogi-group.com"/>
        <s v="gabriel.zambrano.mogigroup@gmail.com"/>
        <s v="gustavo.albano.mogi@gmail.com"/>
        <s v="paulo.ximenes.mogi@gmail.com"/>
        <s v="thiago.martins@mogi-group.com"/>
        <s v="airton.marques@mogi-group.com"/>
        <s v="akzharkyn.kozhageldiyeva@mogi-group.com"/>
        <s v="angelo.tabada@mogi-group.com"/>
        <s v="hans.co@mogi-group.com"/>
        <s v="jose-mari.kanazawa@mogi-group.com"/>
        <s v="othmane.abidar@mogi-group.com"/>
        <s v="ramon.roberto@mogi-group.com"/>
        <s v="jorge.almeidamogi@gmail.com"/>
        <s v="enrico.fasani@mogi-group.com"/>
        <s v="guilherme.perottoni@mogi-group.com"/>
        <s v="yonatan.suhardi@mogi-group.com"/>
        <s v="ekaterina.bochkareva@gmail.com"/>
        <s v="yury.esin@mogi-group.com"/>
        <s v="kamil.pabin@mogi-group.com"/>
        <s v="mathilde.cantagrel@mogi-group.com"/>
        <s v="elhozoussamogi@gmail.com"/>
        <s v="stepanishevgrigory32@gmail.com"/>
        <s v="martin.rostagno@mogi-group.com"/>
        <s v="mykhailomogi@gmail.com"/>
        <s v="christian.ries@mogi-group.com"/>
        <s v="katherine.keen@mogi-group.com"/>
        <s v="kokoh.murti@mogi-group.com"/>
        <s v="mateuscdesousa@gmail.com"/>
        <s v="andrzej.karabasz@mogi-group.com"/>
        <s v="gisellie.abiva@mogi-group.com"/>
        <s v="kevin.craig@mogi-group.com"/>
        <s v="ricardo.flores@mogi-group.com"/>
        <s v="alexander.myaldzin@mogi-group.com"/>
        <s v="gerard.smyth.mogi@gmail.com"/>
        <s v="c.elaimeur@gmail.com"/>
        <s v="dmitry.patrushev@mogi-group.com"/>
        <s v="yassine.zakani@mogi-group.com"/>
        <s v="che-jung.yu@mogi-group.com"/>
        <s v="Amin-Adjarain.Majindi@mogi-group.com"/>
        <s v="eugene.ovcharov@mogi-group.com"/>
        <s v="alexander.sidki@gmail.com"/>
        <s v="valentin.cieur.mogi@gmail.com"/>
        <s v="tomas.mendez.mogi@gmail.com"/>
        <s v="adam.ellison@mogi-group.com"/>
        <s v="eliana.galanda@mogi-group.com"/>
        <s v="iandaroz.work@gmail.com"/>
        <s v="stefan.schroeder@mogi-group.com"/>
        <s v="julie.so@mogi-group.com"/>
        <s v="raminurutdinova@gmail.com"/>
        <s v="alexander.snetkov@mogi-group.com"/>
        <s v="lidia.aguiar-bezerra@mogi-group.com"/>
        <s v="tatiana.kummer@mogi-group.com"/>
        <s v="xiogenyspinedamogigroup@gmail.com"/>
        <s v="gernot.orgler.mogi@gmail.com"/>
        <s v="karl.torres@mogi-group.com"/>
        <s v="rachelle-anne.manalo@mogi-group.com"/>
        <s v="ricardo.fleck@mogi-group.com"/>
        <s v="victor.macario@mogi-group.com"/>
        <s v="rabia.turten@mogi-group.com"/>
        <s v="amanda.philot-trotta@mogi-group.com"/>
        <s v="daniel.kovacs@mogi-group.com"/>
        <s v="endrio.lima@mogi-group.com"/>
        <s v="stefan.tesic@mogi-group.com"/>
        <s v="diana.dobrovolskaja@mogi-group.com"/>
        <s v="stefan.djokic@mogi-group.com"/>
        <s v="guilherme.atalla@mogi-group.com"/>
        <s v="burak.emlik.mogi@gmail.com"/>
        <s v="dani.taylor@mogi-group.com"/>
        <s v="elif.emir.mogi@gmail.com"/>
        <s v="timothy.naldo@mogi-group.com"/>
        <s v="portuondo.mogi@gmail.com"/>
        <s v="nanthichameksuwan.mogi@gmail.com"/>
        <s v="lorenzo.vergel@mogi-group.com"/>
        <s v="sebastian.hadjidimitris@mogi-group.com"/>
        <s v="artur.venidiktov@mogi-group.com"/>
        <s v="coline-ysabel.tan@mogi-group.com"/>
        <s v="ladina.majindi@mogi-group.com"/>
        <s v="Rebeca.de-cerqueira-mateus@mogi-group.com"/>
        <s v="zul-emyr.pinera@mogi-group.com"/>
        <s v="david.andres@mogi-group.com"/>
        <s v="ellen.borbamg@gmail.com"/>
        <s v="john.campos@mogi-group.com"/>
        <s v="ceyhun.cengiz.mogi@gmail.com"/>
        <s v="zayad.ayassi@mogi-group.com"/>
        <s v="lucas.carvalho@mogi-group.com"/>
        <s v="ernesto.zapanta@mogi-group.com"/>
        <s v="joshua.clarke@mogi-group.com"/>
        <s v="licinio.gomes-de-pina@mogi-group.com"/>
        <s v="rodrigo.soares-silva@mogi-group.com"/>
        <s v="wissal.dahir@mogi-group.com"/>
        <s v="mohamed.zidan@mogi-group.com"/>
        <s v="pacome.kemkeu@mogi-group.com"/>
        <s v="vicky.wu@mogi-group.com"/>
        <s v="jose-luis.alon@mogi-group.com"/>
        <s v="eakoydl@gmail.com"/>
        <s v="eliezer.pena@mogi-group.com"/>
        <s v="mogi.ralphc@gmail.com"/>
        <s v="anatolii.draliuk@mogi-group.com"/>
        <s v="vladimir.dolgov@mogi-group.com"/>
        <s v="cedric.dalla-rosa@mogi-group.com"/>
        <s v="tauan.francois@mogi-group.com"/>
        <s v="alfonso.zendejas-nevarez@mogi-group.com"/>
        <s v="hanne.barkerud@mogi-group.com"/>
        <s v="zamzami.syadza@mogi-group.com"/>
        <s v="paultre-stuart.beaucejour@mogi-group.com"/>
        <s v="kaelen.bandao@mogi-group.com"/>
        <s v="katherine.veneracion@mogi-group.com"/>
        <s v="nicho.ferrero@mogi-group.com"/>
        <s v="rachel.cruz@mogi-group.com"/>
        <s v="rafael.palmieri@mogi-group.com"/>
        <s v="farouk.saboula@mogi-group.com"/>
        <s v="MoGi.Jose.Candellero@gmail.com"/>
        <s v="hamza.benchreik@mogi-group.com"/>
        <s v="arthur.almeida@mogi-group.com"/>
        <s v="braulio.de-araujo-braga@mogi-group.com"/>
        <s v="esther.elaweremi@mogi-group.com"/>
        <s v="jesus-antonio.mejia-vasquez@mogi-group.com"/>
        <s v="milos.martinovic.mogi@gmail.com"/>
        <s v="mohamed.boudguig@mogi-group.com"/>
        <s v="mohammed.bourassi@mogi-group.com"/>
        <s v="bruno.allaria@mogi-group.com"/>
        <s v="sukum.naralertsukumpong@mogi-group.com"/>
        <s v="allan.zambrano@mogi-group.com"/>
        <s v="kapil.chawala@mogi-group.com"/>
        <s v="larissa.rodrigues@mogi-group.com"/>
        <s v="ksenia.lukyanova@mogi-group.com"/>
        <s v="clark.olayvar@mogi-group.com"/>
        <s v="nikita.denisjuks@mogi-group.com"/>
        <s v="armand.van-as@mogi-group.com"/>
        <s v="callum.riding-smith@mogi-group.com"/>
        <s v="huseyn.ismayilov@mogi-group.com"/>
        <s v="liliya.konovalova@mogi-group.com"/>
        <m/>
      </sharedItems>
    </cacheField>
    <cacheField name="Project" numFmtId="0">
      <sharedItems containsBlank="1">
        <s v="SoS"/>
        <m/>
      </sharedItems>
    </cacheField>
    <cacheField name="Language" numFmtId="0">
      <sharedItems containsBlank="1">
        <s v="EN"/>
        <s v="ES"/>
        <s v="DE"/>
        <s v="DE/RU"/>
        <s v="RU"/>
        <s v="PT"/>
        <s v="IT"/>
        <s v="PL"/>
        <s v="ID"/>
        <s v="FR"/>
        <s v="AR"/>
        <s v="EN "/>
        <s v="TR"/>
        <s v="EN/IT"/>
        <s v="TH"/>
        <s v="EN+"/>
        <m/>
      </sharedItems>
    </cacheField>
    <cacheField name="WD/WE" numFmtId="0">
      <sharedItems containsBlank="1">
        <s v="WD"/>
        <s v="WE"/>
        <s v="WE+WD"/>
        <s v="WD "/>
        <s v="WD+WE"/>
        <m/>
      </sharedItems>
    </cacheField>
    <cacheField name="Shift" numFmtId="0">
      <sharedItems containsBlank="1">
        <s v="16:00-01:00"/>
        <s v="00:00-09:00"/>
        <s v="08:00-17:00"/>
        <s v="09:00-18:00"/>
        <s v="23:00-8:00"/>
        <s v="21:00-06:00"/>
        <s v="15:00-00:00"/>
        <s v="07:00-16:00"/>
        <s v="12:00-21:00"/>
        <s v="01:00-08:00"/>
        <s v="16:00-1:00"/>
        <m/>
      </sharedItems>
    </cacheField>
    <cacheField name="Start Date (d/m/y)" numFmtId="166">
      <sharedItems containsDate="1" containsString="0" containsBlank="1">
        <d v="2021-03-01T00:00:00Z"/>
        <d v="2021-03-08T00:00:00Z"/>
        <d v="2021-03-18T00:00:00Z"/>
        <d v="2021-03-24T00:00:00Z"/>
        <d v="2021-04-01T00:00:00Z"/>
        <d v="2021-04-02T00:00:00Z"/>
        <d v="2021-04-05T00:00:00Z"/>
        <d v="2021-04-12T00:00:00Z"/>
        <d v="2021-04-13T00:00:00Z"/>
        <d v="2021-04-15T00:00:00Z"/>
        <d v="2021-04-26T00:00:00Z"/>
        <d v="2021-04-27T00:00:00Z"/>
        <d v="2021-05-03T00:00:00Z"/>
        <d v="2021-05-04T00:00:00Z"/>
        <d v="2021-05-05T00:00:00Z"/>
        <d v="2021-05-07T00:00:00Z"/>
        <d v="2021-05-10T00:00:00Z"/>
        <d v="2021-05-11T00:00:00Z"/>
        <d v="2021-05-12T00:00:00Z"/>
        <d v="2021-05-13T00:00:00Z"/>
        <d v="2021-05-15T00:00:00Z"/>
        <d v="2021-05-17T00:00:00Z"/>
        <d v="2021-05-18T00:00:00Z"/>
        <d v="2021-05-19T00:00:00Z"/>
        <d v="2021-05-20T00:00:00Z"/>
        <d v="2021-05-21T00:00:00Z"/>
        <d v="2021-05-24T00:00:00Z"/>
        <d v="2021-05-25T00:00:00Z"/>
        <d v="2021-05-26T00:00:00Z"/>
        <d v="2021-05-27T00:00:00Z"/>
        <d v="2021-05-31T00:00:00Z"/>
        <d v="2021-06-01T00:00:00Z"/>
        <d v="2021-06-02T00:00:00Z"/>
        <d v="2021-06-03T00:00:00Z"/>
        <d v="2021-06-07T00:00:00Z"/>
        <d v="2021-06-09T00:00:00Z"/>
        <d v="2021-06-14T00:00:00Z"/>
        <d v="2021-06-16T00:00:00Z"/>
        <d v="2021-06-25T00:00:00Z"/>
        <d v="2021-06-28T00:00:00Z"/>
        <d v="2021-06-29T00:00:00Z"/>
        <d v="2021-06-30T00:00:00Z"/>
        <d v="2021-07-01T00:00:00Z"/>
        <d v="2021-07-05T00:00:00Z"/>
        <d v="2021-07-12T00:00:00Z"/>
        <d v="2021-07-19T00:00:00Z"/>
        <d v="2021-08-16T00:00:00Z"/>
        <d v="2021-08-17T00:00:00Z"/>
        <d v="2021-08-18T00:00:00Z"/>
        <d v="2021-08-25T00:00:00Z"/>
        <d v="2021-08-30T00:00:00Z"/>
        <d v="2021-08-31T00:00:00Z"/>
        <d v="2021-09-02T00:00:00Z"/>
        <m/>
      </sharedItems>
    </cacheField>
    <cacheField name="Days Worked Until April" numFmtId="1">
      <sharedItems containsString="0" containsBlank="1" containsNumber="1" containsInteger="1">
        <n v="43.0"/>
        <n v="42.0"/>
        <n v="18.0"/>
        <n v="45.0"/>
        <n v="20.0"/>
        <n v="19.0"/>
        <n v="16.0"/>
        <n v="40.0"/>
        <n v="38.0"/>
        <n v="0.0"/>
        <n v="13.0"/>
        <n v="5.0"/>
        <n v="10.0"/>
        <n v="14.0"/>
        <n v="15.0"/>
        <n v="8.0"/>
        <n v="7.0"/>
        <n v="12.0"/>
        <n v="9.0"/>
        <n v="3.0"/>
        <n v="4.0"/>
        <n v="2.0"/>
        <n v="1.0"/>
        <m/>
      </sharedItems>
    </cacheField>
    <cacheField name="Days Worked After April">
      <sharedItems containsBlank="1" containsMixedTypes="1" containsNumber="1" containsInteger="1">
        <n v="82.0"/>
        <n v="48.0"/>
        <n v="36.0"/>
        <n v="80.0"/>
        <n v="39.0"/>
        <m/>
        <n v="83.0"/>
        <n v="85.0"/>
        <n v="12.0"/>
        <n v="87.0"/>
        <n v="64.0"/>
        <n v="79.0"/>
        <n v="81.0"/>
        <n v="0.0"/>
        <n v="3.0"/>
        <n v="84.0"/>
        <n v="40.0"/>
        <n v="88.0"/>
        <e v="#N/A"/>
        <n v="33.0"/>
        <n v="77.0"/>
        <n v="76.0"/>
        <n v="31.0"/>
        <n v="75.0"/>
        <n v="45.0"/>
        <n v="28.0"/>
        <n v="58.0"/>
        <n v="35.0"/>
        <n v="20.0"/>
        <n v="70.0"/>
        <n v="86.0"/>
        <n v="15.0"/>
        <n v="11.0"/>
        <n v="34.0"/>
        <n v="62.0"/>
        <n v="72.0"/>
        <n v="68.0"/>
        <n v="78.0"/>
        <n v="60.0"/>
        <n v="52.0"/>
        <n v="7.0"/>
        <n v="74.0"/>
        <n v="71.0"/>
        <n v="38.0"/>
        <n v="22.0"/>
        <n v="41.0"/>
        <n v="55.0"/>
        <n v="30.0"/>
        <n v="42.0"/>
        <n v="6.0"/>
        <n v="2.0"/>
        <n v="27.0"/>
        <n v="66.0"/>
        <n v="59.0"/>
        <n v="1.0"/>
        <n v="54.0"/>
        <n v="25.0"/>
        <n v="23.0"/>
        <n v="56.0"/>
        <n v="51.0"/>
        <n v="44.0"/>
        <n v="13.0"/>
        <n v="24.0"/>
        <n v="8.0"/>
        <n v="9.0"/>
        <n v="10.0"/>
      </sharedItems>
    </cacheField>
    <cacheField name="Total Days Worked">
      <sharedItems containsBlank="1" containsMixedTypes="1" containsNumber="1" containsInteger="1">
        <n v="125.0"/>
        <n v="90.0"/>
        <n v="54.0"/>
        <n v="127.0"/>
        <n v="100.0"/>
        <n v="58.0"/>
        <n v="45.0"/>
        <n v="128.0"/>
        <n v="98.0"/>
        <n v="105.0"/>
        <n v="50.0"/>
        <m/>
        <n v="82.0"/>
        <n v="95.0"/>
        <n v="94.0"/>
        <n v="36.0"/>
        <n v="5.0"/>
        <n v="0.0"/>
        <n v="13.0"/>
        <n v="104.0"/>
        <n v="60.0"/>
        <n v="97.0"/>
        <n v="80.0"/>
        <n v="96.0"/>
        <n v="99.0"/>
        <e v="#N/A"/>
        <n v="33.0"/>
        <n v="84.0"/>
        <n v="76.0"/>
        <n v="87.0"/>
        <n v="43.0"/>
        <n v="40.0"/>
        <n v="81.0"/>
        <n v="88.0"/>
        <n v="2.0"/>
        <n v="39.0"/>
        <n v="21.0"/>
        <n v="70.0"/>
        <n v="86.0"/>
        <n v="15.0"/>
        <n v="11.0"/>
        <n v="34.0"/>
        <n v="62.0"/>
        <n v="85.0"/>
        <n v="72.0"/>
        <n v="68.0"/>
        <n v="35.0"/>
        <n v="28.0"/>
        <n v="75.0"/>
        <n v="78.0"/>
        <n v="31.0"/>
        <n v="77.0"/>
        <n v="52.0"/>
        <n v="7.0"/>
        <n v="74.0"/>
        <n v="71.0"/>
        <n v="38.0"/>
        <n v="22.0"/>
        <n v="41.0"/>
        <n v="55.0"/>
        <n v="3.0"/>
        <n v="30.0"/>
        <n v="42.0"/>
        <n v="6.0"/>
        <n v="27.0"/>
        <n v="66.0"/>
        <n v="59.0"/>
        <n v="1.0"/>
        <n v="64.0"/>
        <n v="25.0"/>
        <n v="23.0"/>
        <n v="56.0"/>
        <n v="51.0"/>
        <n v="20.0"/>
        <n v="44.0"/>
        <n v="24.0"/>
        <n v="12.0"/>
        <n v="8.0"/>
        <n v="9.0"/>
        <n v="10.0"/>
      </sharedItems>
    </cacheField>
    <cacheField name="Status" numFmtId="0">
      <sharedItems containsBlank="1">
        <s v="Active"/>
        <s v="Inactive"/>
        <m/>
      </sharedItems>
    </cacheField>
    <cacheField name="Target Rank" numFmtId="1">
      <sharedItems containsBlank="1">
        <e v="#N/A"/>
        <s v="8"/>
        <s v="6"/>
        <s v="9"/>
        <s v="0"/>
        <s v="7"/>
        <s v="3"/>
        <s v="5"/>
        <s v="1"/>
        <s v="4"/>
        <s v="2"/>
        <m/>
      </sharedItems>
    </cacheField>
    <cacheField name="Daily Assigned Tickets Target" numFmtId="4">
      <sharedItems containsBlank="1">
        <e v="#N/A"/>
        <s v="60"/>
        <s v="50"/>
        <s v="0"/>
        <m/>
        <s v="40"/>
        <s v="10"/>
        <s v="25"/>
        <s v="30"/>
        <s v="20"/>
      </sharedItems>
    </cacheField>
    <cacheField name="L1 Fatal Errors Target (%)" numFmtId="0">
      <sharedItems containsBlank="1">
        <e v="#N/A"/>
        <s v="0"/>
        <s v="5"/>
        <s v="-"/>
        <m/>
        <s v="10"/>
        <s v="20"/>
        <s v="15"/>
      </sharedItems>
    </cacheField>
    <cacheField name="L2 Non-Fatal Errors (%)" numFmtId="0">
      <sharedItems containsBlank="1">
        <e v="#N/A"/>
        <s v="0"/>
        <s v="-"/>
        <m/>
        <s v="5"/>
        <s v="10"/>
      </sharedItems>
    </cacheField>
    <cacheField name="L1 Non-Fatal Errors (%)" numFmtId="0">
      <sharedItems containsBlank="1">
        <e v="#N/A"/>
        <s v="10"/>
        <s v="20"/>
        <s v="5"/>
        <s v="-"/>
        <s v="15"/>
        <m/>
        <s v="25"/>
        <s v="30"/>
      </sharedItems>
    </cacheField>
    <cacheField name="DingTalk Connected?" numFmtId="0">
      <sharedItems containsBlank="1">
        <s v="Yes"/>
        <m/>
      </sharedItems>
    </cacheField>
    <cacheField name="Helpshift" numFmtId="0">
      <sharedItems containsBlank="1">
        <s v="Account Created"/>
        <s v="Created, Access Granted"/>
        <s v="Pending Creation, Access Granted"/>
        <s v="Access Granted"/>
        <s v="Requested"/>
        <m/>
      </sharedItems>
    </cacheField>
    <cacheField name="HS Name" numFmtId="0">
      <sharedItems containsBlank="1">
        <s v="MoGi-DoctoR-EN"/>
        <s v="MoGi-Gabi-EN"/>
        <s v="Mogi-Julian-EN"/>
        <s v="MoGi-Kevin-EN"/>
        <s v="Mogi-Malu-EN"/>
        <s v="MoGi-Matheus-EN"/>
        <s v="Mogi-Nicha-EN"/>
        <s v="MoGi-Reverse-EN"/>
        <s v="Mogi-Tayllor-EN"/>
        <s v="MoGi-Thercio-EN"/>
        <s v="MoGi-Vivianne-EN"/>
        <s v="Mogi-Manoela-EN"/>
        <s v="MoGi-Jose-ES"/>
        <s v="MoGi-Alina-EN"/>
        <s v="MoGi-Ronan-EN"/>
        <s v="MoGi-Sascha-DE"/>
        <s v="MoGi-Buddy-DE"/>
        <s v="MoGi-Hoppachai-ES"/>
        <s v="Mogi-Javier-ES"/>
        <s v="MoGi-Natalia-RU"/>
        <s v="MoGi-Juanv-ES"/>
        <s v="MoGi-Bryan-ES"/>
        <s v="Mogi-Vlad-RU"/>
        <s v="MoGI-Timo-DE"/>
        <s v="MoGi-Facu-ES"/>
        <s v="MoGi-ZMan-EN"/>
        <s v="MoGi-Andres-EN"/>
        <s v="MoGi-BrunoGoncales-EN"/>
        <s v="MoGi-BToledo-EN"/>
        <s v="MoGi-Eddi-DE"/>
        <s v="MoGi-G.Torres-EN"/>
        <s v="MoGi-Gabriel-EN"/>
        <s v="MoGi-Guga-EN"/>
        <s v="MoGi-PXimenes-EN"/>
        <s v="MoGi-Tico-EN"/>
        <s v="MoGi-Airton-EN"/>
        <s v="MoGi-Akzharkyn-RU"/>
        <s v="MoGi-Angelo-EN"/>
        <s v="MoGi-Hans-EN"/>
        <s v="MoGi-JoseMari-EN"/>
        <s v="Mogi-Othmane-EN"/>
        <s v="MoGi-Ramon-EN"/>
        <s v="MoGi-Jorge-EN"/>
        <s v="MoGi-Enry-IT"/>
        <s v="MoGi-Will-EN"/>
        <s v="MoGi-Yonatan-ID"/>
        <s v="MoGi-Ekaterina-RU"/>
        <s v="MoGi-Yury-EN"/>
        <s v="MoGi-Kamil-PL"/>
        <s v="MoGi-Mathilde-FR"/>
        <s v="Mogi-Oussama-FR"/>
        <s v="MoGi-Grigory-RU"/>
        <s v="MoGi-Martin-ES"/>
        <s v="MoGi-Mykhailo-RU"/>
        <s v="Mogi-Christian-DE"/>
        <s v="Mogi-Kate-EN"/>
        <s v="MoGi-Kokoh-ID"/>
        <s v="MoGi-Matthew-EN"/>
        <s v="MoGi-Andrzej-RU"/>
        <s v="Mogi-Gisellie-EN"/>
        <s v="MoGi-Craig-EN"/>
        <s v="MoGi-Galeano-EN"/>
        <s v="Mogi-Alex-RU"/>
        <s v="MoGi-Archon-EN"/>
        <s v="MoGi-Chaimaa-AR"/>
        <s v="MoGi-Dmitry-Ru"/>
        <s v="MoGi-Yassine-AR"/>
        <s v="Mogi-Alvis-EN"/>
        <s v="Mogi-Amin-EN"/>
        <s v="MoGi-Eugene-RU"/>
        <s v="MoGi-Alex.s-RU"/>
        <s v="MoGi-Fafnir-FR"/>
        <s v="Mogi-Trevor-ES"/>
        <s v="Mogi-Adam-EN"/>
        <s v="Mogi-Eliana-ES"/>
        <s v="MoGi-Ian-PT"/>
        <s v="MoGi-StefanNikolas-EN"/>
        <s v="MoGi-Julie-EN"/>
        <s v="MoGi-Rami-EN/RU"/>
        <s v="Mogi-Alexander-RU"/>
        <s v="MoGi-Lidia-PT"/>
        <s v="Mogi-Tatiana-EN"/>
        <s v="MoGi-Xiogenys-ES"/>
        <s v="MoGi-Gernot-DE"/>
        <s v="MoGi-Matt-EN"/>
        <s v="Mogi-Rachelle-EN"/>
        <s v="MoGi-Ricardo-EN"/>
        <s v="Mogi-Victor-PT"/>
        <s v="Mogi-Rabia-TR"/>
        <s v="MoGi-Amanda-EN"/>
        <s v="Mogi-Kovacs-EN"/>
        <s v="Mogi-Cypher-EN"/>
        <s v="Mogi-Stefan-EN"/>
        <s v="MoGi-Diana-RU"/>
        <s v="MoGi-Wunder-EN"/>
        <s v="MoGi-Atalla-EN"/>
        <s v="MoGi-Burak-TR"/>
        <s v="MoGi-Dani-EN"/>
        <s v="MoGi-Elif-TR"/>
        <s v="MoGi-Tim-EN"/>
        <m/>
        <s v="MoGi-Nanthicha-EN/TH"/>
        <s v="MoGi-Enzo-EN"/>
        <s v="Mogi-Seba-ES/EN"/>
        <s v="MoGi-Artur-RU"/>
        <s v="MoGi-Coline-EN"/>
        <s v="Mogi-Ladina-EN"/>
        <s v="Mogi-Rebeca-EN/PT"/>
        <s v="Mogi-Zul-emyr-EN"/>
        <s v="MoGi-David-EN"/>
        <s v="Mogi-Ellen-EN/PT"/>
        <s v="MoGi-John-EN"/>
        <s v="Mogi-Ceyhun-TR"/>
        <s v="Mogi-Lifebender-EN"/>
        <s v="Mogi-Lucas-EN"/>
        <s v="Mogi-Ernesto-EN"/>
        <s v="MoGi-Joshua-EN"/>
        <s v="MoGi-Rodi-EN"/>
        <s v="Mogi-wissal-AR"/>
        <s v="MoGi-MZ-Arabic"/>
        <s v="Mogi-Pacome-FR"/>
        <s v="Mogi-Vicky-ID"/>
        <s v="Mogi-Luis-EN"/>
        <s v="Mogi-Manny-DE"/>
        <s v="MoGi-Eliezer-EN"/>
        <s v="MoGi-Ralph-EN"/>
        <s v="MoGi-Anatolii-RU"/>
        <s v="MoGi-Vladimir-RU"/>
        <s v="MoGi-Cédric-FR"/>
        <s v="MoGiK-Tauan-EN"/>
        <s v="MoGi-Alfonso-ES"/>
        <s v="Mogi-Han-EN"/>
        <s v="MoGi-Zamzam-ID"/>
        <s v="MoGi-Paultre-EN"/>
        <s v="MoGi-Kaelen-EN"/>
        <s v="MoGi-Katherine-EN"/>
        <s v="Mogi-Nicho-EN"/>
        <s v="MoGi-Rachel-EN"/>
        <s v="MoGi-Rafael-EN"/>
        <s v="MoGI-Saboula-AR/EN"/>
        <s v="Mogi-JoseC-ES"/>
        <s v="Mogi-Hamza-EN"/>
        <s v="MoGi-ArthurT-EN"/>
        <s v="MoGi-Braulio-EN"/>
        <s v="MoGi-Esther-DE"/>
        <s v="Mogi-Jesus-EN"/>
        <s v="MoGi-Milos-EN"/>
        <s v="MoGi-Bobby-FR"/>
        <s v="MoGi-Mike-FR"/>
        <s v="MoGi-Bru-EN"/>
        <s v="MoGi-Pete-TH"/>
        <s v="MoGi-Allan-EN"/>
        <s v="MoGi-Kc-DE"/>
        <s v="MoGi-Lily-EN"/>
        <s v="MoGi-Ksenia-RU"/>
      </sharedItems>
    </cacheField>
    <cacheField name="HS Nickname" numFmtId="0">
      <sharedItems containsBlank="1">
        <s v="DoctoR"/>
        <s v="Gabi"/>
        <s v="Julian Soler"/>
        <s v="Kevin"/>
        <s v="Malu"/>
        <s v="Matheus"/>
        <s v="Dyna"/>
        <s v="Reverse"/>
        <s v="TayMasi"/>
        <s v="Josias"/>
        <s v="Tobias"/>
        <m/>
        <s v="Jose Mass"/>
        <s v="Sascha"/>
        <s v="Buddy"/>
        <s v="Hoppachai"/>
        <s v="Juanv"/>
        <s v="Facu"/>
        <s v="ZMan"/>
        <s v="Andres"/>
        <s v="Gordon"/>
        <s v="Beluga"/>
        <s v="Eddi"/>
        <s v="G.Torres"/>
        <s v="Gabriel"/>
        <s v="Guga"/>
        <s v="Tirol"/>
        <s v="Tico"/>
        <s v="Gelo"/>
        <s v="Hans"/>
        <s v="Jose Mari"/>
        <s v="Anayama"/>
        <s v="Ramon R."/>
        <s v="juicefruit"/>
        <s v="Enry"/>
        <s v="Will"/>
        <s v="Yonatan"/>
        <s v="Ekaterina"/>
        <s v="Yury"/>
        <s v="Kamil"/>
        <s v="Misha"/>
        <s v="Silver"/>
        <s v="Lion"/>
        <s v="Hikaru"/>
        <s v="Kate"/>
        <s v="Kokoh"/>
        <s v="The Guy"/>
        <s v="Andrzej Karabasz"/>
        <s v="Bready"/>
        <s v="Zombiemar"/>
        <s v="Archon"/>
        <s v="Borita"/>
        <s v="Mefod"/>
        <s v="Yassine"/>
        <s v="DiBoy"/>
        <s v="Shepherd"/>
        <s v="Hex"/>
        <s v="Fafnir"/>
        <s v="Trevor"/>
        <s v="Kermit"/>
        <s v="Ariana"/>
        <s v="Harbinger"/>
        <s v="Stefan"/>
        <s v="Suryanti"/>
        <s v="Trish"/>
        <s v="DeadUnikorn"/>
        <s v="Lidia"/>
        <s v="Tina"/>
        <s v="Xio"/>
        <s v="Eikki"/>
        <s v="Matt"/>
        <s v="Rachelle"/>
        <s v="Plasma Agent"/>
        <s v="Rabis"/>
        <s v="Kovacs"/>
        <s v="Cypher"/>
        <s v="Space Cat"/>
        <s v="Wunder"/>
        <s v="Escanor"/>
        <s v="Bemlik"/>
        <s v="Dani"/>
        <s v="elif"/>
        <s v="Tim"/>
        <s v="Shoto"/>
        <s v="Enzo"/>
        <s v="Seba"/>
        <s v="Artur"/>
        <s v="Coline"/>
        <s v="Elle"/>
        <s v="receba"/>
        <s v="Zullie"/>
        <s v="Presto"/>
        <s v="John"/>
        <s v="J-Man"/>
        <s v="Lifebender"/>
        <s v="Leon"/>
        <s v="Ran"/>
        <s v="JClarke"/>
        <s v="Rodi"/>
        <s v="Wissal"/>
        <s v="Zidan"/>
        <s v="Pacome"/>
        <s v="HirokiKaze"/>
        <s v="Luis"/>
        <s v="Zombroni"/>
        <s v="Kez"/>
        <s v="Bliss"/>
        <s v="Anatolii Draliuk"/>
        <s v="Vladimir"/>
        <s v="Lava"/>
        <s v="Zamzam"/>
        <s v="Dtr0y"/>
        <s v="Trollzor"/>
        <s v="Rosa Diaz"/>
      </sharedItems>
    </cacheField>
    <cacheField name="Asana?" numFmtId="0">
      <sharedItems containsBlank="1">
        <s v="Yes"/>
        <s v="Access Requested"/>
        <s v="Account Created"/>
        <s v="Requested"/>
        <s v="Access Granted"/>
        <m/>
      </sharedItems>
    </cacheField>
    <cacheField name="Remote Desktop (TPT)" numFmtId="0">
      <sharedItems containsBlank="1">
        <s v="Yes"/>
        <s v="Form Submitted to Val and Stefan"/>
        <s v="Pending Access"/>
        <s v="Form Sent"/>
        <s v="Access Requested"/>
        <s v="Should have already"/>
        <m/>
        <s v="No"/>
        <s v="Requested"/>
      </sharedItems>
    </cacheField>
    <cacheField name="GM Tool?" numFmtId="0">
      <sharedItems containsBlank="1">
        <s v="Yes"/>
        <s v="Access Requested"/>
        <s v="Requested"/>
        <m/>
        <s v="Yes (pending to verify"/>
      </sharedItems>
    </cacheField>
    <cacheField name="GM Tool Username/Password" numFmtId="0">
      <sharedItems containsBlank="1">
        <s v="raffael.azevedo"/>
        <s v="gmelllo.mogi"/>
        <s v="julian.soler"/>
        <s v="kevin.mogi.group"/>
        <s v="mariahattler.mogi"/>
        <s v="matheus.cortez.mogi"/>
        <s v="nicha.mogi"/>
        <s v="joao.studart"/>
        <s v="tayllor.masi"/>
        <s v="therciobrandao"/>
        <s v="vivimendonca93"/>
        <s v="manoela.antunes"/>
        <s v="jose.mass"/>
        <s v="rylkaalina"/>
        <s v="ronan.garcia"/>
        <s v="sascha.miller"/>
        <s v="marcus.kiefer"/>
        <s v="ariel.acosta"/>
        <s v="javier-alfredo.islas"/>
        <s v="natalia.vorobyeva"/>
        <s v="Juan.verrone"/>
        <s v="bryan.barahona"/>
        <s v="vladyslav.tretiak"/>
        <s v="timo.jueptner"/>
        <s v="lasartefacu"/>
        <s v="mogi.zeljko"/>
        <s v="carlos-andres.albarracin"/>
        <s v="bruno.goncales"/>
        <s v="bruno.toledo938"/>
        <s v="eddi.dostatni"/>
        <s v="guilherme.torres"/>
        <s v="gabriel.zambrano.mogigroup"/>
        <s v="gustavo.albano.mogi"/>
        <s v="paulo.ximenes.mogi"/>
        <s v="thiago.martins"/>
        <s v="airton.marques"/>
        <s v="akzharkyn.kozhageldiyeva"/>
        <s v="angelo.tabada"/>
        <s v="hans.co"/>
        <s v="jose-mari.kanazawa"/>
        <s v="othmane.abidar"/>
        <s v="ramon.roberto"/>
        <s v="jorge.almeida"/>
        <s v="enrico.fasani"/>
        <s v="guilherme.perottoni"/>
        <s v="yonatan.suhardi"/>
        <s v="ekaterina.bochkareva"/>
        <s v="yury.esin"/>
        <s v="kamil.pabin"/>
        <s v="mathilde.cantagrel"/>
        <s v="oussama.el-hoz"/>
        <s v="grigory.stepanishev"/>
        <s v="martin.rostagno"/>
        <s v="mykhailo.tarantsov"/>
        <s v="christian.ries"/>
        <s v="katherine.keen"/>
        <s v="kokoh.murti"/>
        <s v="mateus.cavalheiro-de-sousa"/>
        <s v="andrzej.karabasz"/>
        <s v="gisellie.abiva"/>
        <s v="kevin.craig"/>
        <s v="ricardo.flores"/>
        <s v="alexander.myaldzin"/>
        <s v="gerard.smyth"/>
        <s v="chaimaa.elaimeur"/>
        <s v="dmitry.patrushev"/>
        <s v="yassine.zakani"/>
        <s v="che-jung.yu"/>
        <s v="Amin-Adjarain.Majindi"/>
        <s v="eugene.ovcharov"/>
        <s v="alexander.sidki"/>
        <s v="valentin.cieur"/>
        <s v="tomas.mendez"/>
        <s v="adam.ellison"/>
        <s v="eliana.galanda"/>
        <s v="ian.daroz"/>
        <s v="stefan.schroeder"/>
        <s v="julie.so"/>
        <s v="ramilia.nurutdinova"/>
        <s v="alexander.snetkov"/>
        <s v="lidia.aguiar-bezerra"/>
        <s v="tatiana.kummer"/>
        <s v="xiogenys.pineda"/>
        <s v="gernot.orgler"/>
        <s v="karl.torres"/>
        <s v="rachelle-anne.manalo"/>
        <s v="ricardo.fleck"/>
        <s v="victor.macario"/>
        <s v="rabia.turten"/>
        <s v="amanda.philot-trotta"/>
        <s v="daniel.kovacs"/>
        <s v="endrio.lima"/>
        <m/>
        <s v="diana.dobrovolskaja"/>
        <s v="stefan.djokic"/>
        <s v="guilherme.atalla"/>
        <s v="burak.emlik"/>
        <s v="dani.taylor"/>
        <s v="elif.emir"/>
        <s v="timothy.naldo"/>
        <s v="nanthicha.meksuwan"/>
        <s v="lorenzo.vergel"/>
        <s v="sebastian.hadjidimitris"/>
        <s v="artur.venidiktov"/>
        <s v="coline-ysabel.tan"/>
        <s v="ladina.majindi"/>
        <s v="Rebeca.de-cerqueira-mateus"/>
        <s v="zul-emyr.pinera"/>
        <s v="david.andres"/>
        <s v="john.campos"/>
        <s v="ceyhun.cengiz"/>
        <s v="zayad.ayassi"/>
        <s v="lucas.carvalho"/>
        <s v="ernesto.zapanta"/>
        <s v="joshua.clarke"/>
        <s v="rodrigo.soares-silva"/>
        <s v="wissal.dahir.outsource/Ourter@outer326"/>
        <s v="mohamed.zidan.outsource/Ourter@outer325"/>
        <s v="pacome.kemkeu.outsource/Ourter@outer3245"/>
        <s v="vicky.wu"/>
        <s v="jose-luis.alon"/>
        <s v="emanuel.koydl.outsource/Ourter@outer321"/>
        <s v="eliezer.pena.outsource/Ourter@outer353"/>
        <s v="ralph.cruz.outsource/Ourter@outer354"/>
      </sharedItems>
    </cacheField>
    <cacheField name="IG NAME" numFmtId="0">
      <sharedItems containsBlank="1">
        <s v="Toshinori"/>
        <s v="orgabs93"/>
        <s v="Erebus"/>
        <s v="Buzzord"/>
        <s v="MaluHattler"/>
        <s v="mcortez"/>
        <s v="Dynamitez"/>
        <s v="Reverse"/>
        <s v="TayMasi"/>
        <s v="Thercio Brandao2"/>
        <s v="Tobias"/>
        <s v="ManoMogi"/>
        <s v="NexusMasster"/>
        <s v="Arylka#645"/>
        <s v="DrDreads#667"/>
        <s v="Light"/>
        <s v="BuddyPudding"/>
        <s v="Hoppachai"/>
        <s v="Dimcairion#645"/>
        <s v="NatashaGamer23#645"/>
        <s v="Juanv"/>
        <s v="Bryan B"/>
        <s v="Myonix"/>
        <s v="ZentraX7#645"/>
        <s v="KSP420"/>
        <s v="RookieStuff34"/>
        <s v="Puki"/>
        <s v="brunkz"/>
        <s v="Beluga"/>
        <s v="Eddi"/>
        <s v="Bebo"/>
        <s v="Gz07"/>
        <s v="GugaAlbano"/>
        <s v="kountervibe"/>
        <s v="um tico"/>
        <s v="airtonlala2"/>
        <s v="moondust"/>
        <s v="AngeloT."/>
        <s v="Heygen"/>
        <s v="せいち～"/>
        <s v="Deviim"/>
        <s v="EvenMoarDakka"/>
        <s v="sucodefruta"/>
        <s v="Enrico Fasani"/>
        <s v="Perottonis"/>
        <s v="Spaz"/>
        <s v="kid k"/>
        <s v="Barracuda"/>
        <s v="Glabar"/>
        <s v="Misha"/>
        <s v="Oussama El Hoz"/>
        <s v="TopGun#645"/>
        <s v="Hazel Lion"/>
        <s v="Mykhailo7"/>
        <s v="Hikaru.K738"/>
        <s v="katherine keen"/>
        <s v="Steady"/>
        <s v="Kimerus"/>
        <s v="Scavenger.K738"/>
        <s v="Ghe Celie"/>
        <s v="Craig"/>
        <s v="Riki"/>
        <s v="Sarumanlunatic"/>
        <s v="JamtheBlue"/>
        <s v="Borita17"/>
        <s v="Mefod"/>
        <s v="CyberCable"/>
        <s v="Cjy"/>
        <s v="BabyHadi"/>
        <s v="JoeQuarter"/>
        <s v="Coffin Breaker"/>
        <s v="Fafnir"/>
        <s v="Prison Mike"/>
        <s v="Kermit"/>
        <s v="Eiko2022"/>
        <s v="Wyz"/>
        <s v="TheDuke"/>
        <s v="Lasse"/>
        <s v="rami"/>
        <s v="AlexSnit"/>
        <s v="lidstew"/>
        <s v="tkummer"/>
        <s v="Xiotica"/>
        <s v="Goalicious"/>
        <s v="Eyescold"/>
        <s v="Lego0327"/>
        <s v="Lez"/>
        <s v="PotatoEnthusiast"/>
        <s v="rabiaturten"/>
        <s v="Migiojo"/>
        <s v="kov"/>
        <s v="end.ol"/>
        <s v="hanyuji"/>
        <s v="Bacon Pancake"/>
        <s v="Wunder"/>
        <s v="Survivor.191057"/>
        <s v="bemlik"/>
        <s v="DaniHeart"/>
        <s v="eledhwen"/>
        <s v="Tim_Naldo1203"/>
        <m/>
        <s v="w1nds"/>
        <s v="enzokunn"/>
        <s v="SebasH"/>
        <s v="batmans.worship"/>
        <s v="Coline Tan"/>
        <s v="louise"/>
        <s v="receba"/>
        <s v="Yzzam"/>
        <s v="Dencci11"/>
        <s v="Survivor.213522"/>
        <s v="boxtrophy"/>
        <s v="ceyycun1"/>
        <s v="Lifebender"/>
        <s v="Levin Strategist"/>
        <s v="Lupin"/>
        <s v="Oblivion000"/>
        <s v="r4du1"/>
        <s v="wissyy"/>
        <s v="Survivor.191150"/>
        <s v="PacM4n"/>
        <s v="HikariKaze"/>
        <s v="Survivor.246456.K770"/>
        <s v="Zombroni"/>
        <s v="Kezo"/>
        <s v="Bliss"/>
        <s v="moons"/>
        <s v="BRM"/>
        <s v="cayes llj"/>
        <s v="Lonewolf_"/>
        <s v="Hwøøt"/>
        <s v="Zambro"/>
        <s v="Stuart509"/>
        <s v="Kaelen"/>
        <s v="Hirikawa Rin"/>
        <s v="nicho15"/>
        <s v="Mikaela"/>
        <s v="DarkToffe"/>
        <s v="arataka"/>
        <s v="SkepticalFox"/>
        <s v="Dtr0y"/>
        <s v="Tellechea"/>
        <s v="Lio"/>
        <s v="Esther"/>
        <s v="Jamava"/>
        <s v="MilosM"/>
        <s v="M.Dopamine"/>
        <s v="MaximalAngryCat"/>
        <s v="DoctorWho"/>
        <s v="Duckezz"/>
        <s v="Trollzor"/>
        <s v="Kapil86"/>
        <s v="Yannabel"/>
        <s v="Ksyu_i "/>
        <s v="Elijah19"/>
        <s v="Kayce"/>
        <s v="Scallumal "/>
      </sharedItems>
    </cacheField>
    <cacheField name="IG State">
      <sharedItems containsBlank="1" containsMixedTypes="1" containsNumber="1" containsInteger="1">
        <n v="645.0"/>
        <n v="659.0"/>
        <n v="646.0"/>
        <s v="-"/>
        <n v="694.0"/>
        <n v="658.0"/>
        <n v="710.0"/>
        <n v="67.0"/>
        <n v="13.0"/>
        <n v="29.0"/>
        <n v="62.0"/>
        <n v="42.0"/>
        <n v="20.0"/>
        <n v="4.0"/>
        <n v="1.0"/>
        <n v="2.0"/>
        <n v="15.0"/>
        <n v="8.0"/>
        <n v="7.0"/>
        <n v="744.0"/>
        <n v="10.0"/>
        <n v="5.0"/>
        <n v="22.0"/>
        <n v="11.0"/>
        <n v="34.0"/>
        <n v="60.0"/>
        <n v="9.0"/>
        <n v="462.0"/>
        <n v="40.0"/>
        <n v="742.0"/>
        <n v="754.0"/>
        <m/>
        <n v="49.0"/>
        <n v="655.0"/>
        <n v="50.0"/>
        <n v="35.0"/>
        <n v="59.0"/>
        <n v="12.0"/>
        <n v="53.0"/>
        <n v="44.0"/>
        <n v="355.0"/>
        <n v="766.0"/>
        <n v="36.0"/>
        <n v="473.0"/>
        <n v="18.0"/>
        <n v="777.0"/>
        <n v="681.0"/>
        <n v="16.0"/>
        <n v="785.0"/>
        <n v="43.0"/>
        <n v="786.0"/>
        <n v="23.0"/>
        <n v="55.0"/>
        <n v="349.0"/>
        <n v="826.0"/>
        <n v="52.0"/>
      </sharedItems>
    </cacheField>
    <cacheField name="FPID">
      <sharedItems containsBlank="1" containsMixedTypes="1" containsNumber="1" containsInteger="1">
        <n v="3.014975877662E12"/>
        <n v="3.011174095459E12"/>
        <n v="3.01197589526E12"/>
        <n v="3.018475888125E12"/>
        <n v="3.014975920019E12"/>
        <n v="3.013575877524E12"/>
        <n v="3.011375914723E12"/>
        <n v="3.015277025809E12"/>
        <n v="3.011075895983E12"/>
        <n v="3.017975926976E12"/>
        <n v="3.013675878327E12"/>
        <n v="3.019374213854E12"/>
        <n v="3.016677022369E12"/>
        <n v="3.018577013589E12"/>
        <n v="3.019278605685E12"/>
        <n v="3.019079579852E12"/>
        <n v="3.012979540997E12"/>
        <n v="3.019279527943E12"/>
        <s v="-"/>
        <n v="3.012380827555E12"/>
        <n v="3.017580870388E12"/>
        <n v="3.016080823567E12"/>
        <n v="3.018781712887E12"/>
        <n v="3.019281561118E12"/>
        <n v="3.018181556887E12"/>
        <n v="3.016781566825E12"/>
        <n v="3.013382794746E12"/>
        <n v="3.011780560704E12"/>
        <n v="3.016882827836E12"/>
        <n v="3.018575748559E12"/>
        <n v="3.012183364174E12"/>
        <n v="3.01833608821E11"/>
        <n v="3.012282792473E12"/>
        <n v="3.015082964821E12"/>
        <n v="3.012983228463E12"/>
        <n v="3.017682980562E12"/>
        <n v="3.017083347788E12"/>
        <n v="3.019983364119E12"/>
        <n v="3.016783348208E12"/>
        <n v="3.011583558364E12"/>
        <n v="3.019483341621E12"/>
        <n v="3.017083074555E12"/>
        <n v="3.011285394825E12"/>
        <n v="3.019985391176E12"/>
        <n v="3.013885388406E12"/>
        <n v="3.013885663907E12"/>
        <n v="3.01798537846E12"/>
        <n v="3.014085406482E12"/>
        <n v="3.019485564179E12"/>
        <n v="3.017485565708E12"/>
        <n v="3.016185570579E12"/>
        <n v="3.013585573427E12"/>
        <n v="3.014486708587E12"/>
        <n v="3.017786694301E12"/>
        <n v="3.016386698444E12"/>
        <n v="3.015186705766E12"/>
        <n v="3.016186693648E12"/>
        <n v="3.011686695993E12"/>
        <n v="3.017086710606E12"/>
        <n v="3.016086715026E12"/>
        <n v="3.013986694367E12"/>
        <n v="3.018986879004E12"/>
        <n v="3.017587091668E12"/>
        <n v="3.012787141688E12"/>
        <n v="3.011787073427E12"/>
        <n v="3.017587101122E12"/>
        <n v="3.038187374515E12"/>
        <n v="3.013387944534E12"/>
        <n v="3.019287957936E12"/>
        <n v="3.013687976931E12"/>
        <n v="3.018688101064E12"/>
        <n v="3.016988163443E12"/>
        <n v="3.017588283578E12"/>
        <n v="3.016188267933E12"/>
        <n v="3.011388303423E12"/>
        <n v="3.014788270579E12"/>
        <n v="3.011788413303E12"/>
        <n v="3.011088637316E12"/>
        <n v="3.017388875441E12"/>
        <n v="3.017688871098E12"/>
        <n v="3.018888946131E12"/>
        <n v="3.015988895717E12"/>
        <n v="3.018388877297E12"/>
        <n v="3.01948887409E12"/>
        <n v="3.018988890207E12"/>
        <n v="3.011482903927E12"/>
        <n v="3.018388990942E12"/>
        <n v="3.017688968592E12"/>
        <n v="3.013982862207E12"/>
        <n v="3.014389065186E12"/>
        <n v="3.011489066467E12"/>
        <n v="3.012489064943E12"/>
        <n v="3.016287213756E12"/>
        <n v="3.019089062222E12"/>
        <n v="3.015899766814E12"/>
        <n v="3.013289654035E12"/>
        <n v="3.018989651358E12"/>
        <n v="3.016689653154E12"/>
        <n v="3.018389630982E12"/>
        <m/>
        <n v="3.016689791242E12"/>
        <n v="3.014289875331E12"/>
        <n v="3.016489995888E12"/>
        <n v="3.065190004062E12"/>
        <n v="3.017090524711E12"/>
        <n v="3.011690527985E12"/>
        <n v="3.016590533258E12"/>
        <n v="3.019190528225E12"/>
        <n v="3.01399054189E12"/>
        <n v="3.011490569849E12"/>
        <n v="3.014590529877E12"/>
        <n v="3.015790649708E12"/>
        <n v="3.016390644994E12"/>
        <n v="3.015690605203E12"/>
        <n v="3.015590653339E12"/>
        <n v="3.016290666013E12"/>
        <n v="3.012290703595E12"/>
        <n v="3.011890975043E12"/>
        <n v="3.01269103897E12"/>
        <n v="3.016390938903E12"/>
        <n v="3.013691484277E12"/>
        <n v="3.018391505059E12"/>
        <n v="3.018291742607E12"/>
        <n v="3.018291906745E12"/>
        <n v="3.015992387409E12"/>
        <n v="3.019992388778E12"/>
        <n v="3.019892658863E12"/>
        <n v="3.013392664777E12"/>
        <n v="3.016393819749E12"/>
        <n v="3.01549418633E12"/>
        <n v="3.012994202158E12"/>
        <n v="3.01589420202E12"/>
        <n v="3.019594293979E12"/>
        <n v="3.019194546016E12"/>
        <n v="3.015594307858E12"/>
        <n v="3.014594409972E12"/>
        <n v="3.013594408683E12"/>
        <n v="3.015694414181E12"/>
        <n v="3.014494511395E12"/>
        <n v="3.01849497028E12"/>
        <n v="3.019495768246E12"/>
        <n v="3.018295755947E12"/>
        <n v="3.015095764429E12"/>
        <n v="3.014195759603E12"/>
        <n v="3.012796578916E12"/>
        <n v="3.011099570656E12"/>
        <n v="3.017799594636E12"/>
        <n v="3.0116996947E12"/>
        <n v="3.0179100436615E13"/>
        <n v="3.0150101390492E13"/>
        <n v="3.0172101405071E13"/>
        <n v="3.0164101452894E13"/>
        <n v="3.0167101464826E13"/>
        <n v="3.0163101484746E13"/>
        <n v="3.0128101568535E13"/>
        <n v="3.0140101741456E13"/>
      </sharedItems>
    </cacheField>
    <cacheField name="Personality Type" numFmtId="0">
      <sharedItems containsBlank="1">
        <m/>
        <s v="INFP-T"/>
        <s v="INFJ-T"/>
        <s v="ISTJ-A"/>
        <s v="INTJ-A"/>
        <s v="ISFJ-T"/>
        <s v="ENTJ"/>
        <s v="ENFP-T"/>
        <s v="ENTP-T"/>
        <s v="ENFJ-A"/>
        <s v="INTP-T"/>
        <s v="ISTJ-T"/>
      </sharedItems>
    </cacheField>
    <cacheField name="Account Escalations" numFmtId="0">
      <sharedItems containsBlank="1">
        <s v="Yes"/>
        <m/>
      </sharedItems>
    </cacheField>
    <cacheField name="Player Report Escalations" numFmtId="0">
      <sharedItems containsBlank="1">
        <s v="Yes"/>
        <m/>
      </sharedItems>
    </cacheField>
    <cacheField name="Abnormal Issue Escalations" numFmtId="0">
      <sharedItems containsBlank="1">
        <s v="Yes"/>
        <m/>
      </sharedItems>
    </cacheField>
    <cacheField name="Compensation Escalations" numFmtId="0">
      <sharedItems containsBlank="1">
        <s v="Yes"/>
        <m/>
      </sharedItems>
    </cacheField>
    <cacheField name="Day 1 Part 1 Form Filled" numFmtId="0">
      <sharedItems containsBlank="1">
        <m/>
        <b v="1"/>
        <b v="0"/>
      </sharedItems>
    </cacheField>
    <cacheField name="Day 1 Part 2 Form Filled" numFmtId="0">
      <sharedItems containsBlank="1">
        <m/>
        <b v="1"/>
        <b v="0"/>
      </sharedItems>
    </cacheField>
    <cacheField name="Day 2 Part 1 Form Filled" numFmtId="0">
      <sharedItems containsBlank="1">
        <m/>
        <b v="1"/>
        <b v="0"/>
      </sharedItems>
    </cacheField>
    <cacheField name="Day 2 Part 2 Form Filled" numFmtId="0">
      <sharedItems containsBlank="1">
        <m/>
        <b v="1"/>
        <b v="0"/>
      </sharedItems>
    </cacheField>
    <cacheField name="Day 3 Form Filled" numFmtId="0">
      <sharedItems containsBlank="1">
        <m/>
        <b v="0"/>
        <b v="1"/>
      </sharedItems>
    </cacheField>
    <cacheField name="Day 4 Form Filled" numFmtId="0">
      <sharedItems containsBlank="1">
        <m/>
        <b v="1"/>
        <b v="0"/>
      </sharedItems>
    </cacheField>
    <cacheField name="Day 5 Form Filled" numFmtId="0">
      <sharedItems containsBlank="1">
        <m/>
        <b v="1"/>
        <b v="0"/>
      </sharedItems>
    </cacheField>
    <cacheField name="Role" numFmtId="0">
      <sharedItems containsBlank="1">
        <s v="Senior"/>
        <s v="Team Lead"/>
        <s v="Agent"/>
        <s v="VIP Agent"/>
        <s v="Trainer"/>
        <m/>
      </sharedItems>
    </cacheField>
    <cacheField name="Work Days" numFmtId="0">
      <sharedItems containsBlank="1">
        <s v="Mon, Wed, Thu, Sat, Sun"/>
        <s v="Mon, Tue, Wed, Thu, Fri"/>
        <s v="Wed, Thu, Fri, Sat, Sun"/>
        <s v="Sat, Sun"/>
        <s v="Mon, Tue, Wed, Sat, Sun"/>
        <s v="Thu, Fri, Sat, Sun"/>
        <s v="Tue, Thu, Fri, Sat, Sun"/>
        <s v="Mon, Wed, Sat, Sun"/>
        <s v="Mon, Fri, Sat, Sun"/>
        <s v="Mon, Tue, Thu, Sat, Sun"/>
        <s v="Mon, Tue, Wed, Thu, Sat"/>
        <s v="Mon, Thu, Fri, Sat, Sun"/>
        <s v="Sat, Sun, Mon, Tue, Wed"/>
        <s v="Tue, Wed, Thu, Fri, Sat"/>
        <s v="Tue, Wed, Thu, Sat, Sun"/>
        <s v="Mon, Tue, Wed, Thu, Sun"/>
        <s v="Mon, Wed, Thu, Fri, Sat, Sun"/>
        <s v="Mon, Tue, Sat, Sun"/>
        <s v="Mon, Tue, Thu, Fri"/>
        <s v="Mon, Tue, Fri, Sat, Sun"/>
        <s v="Wed"/>
        <s v="Tue, Fri, Sat, Sun"/>
        <s v="Mon, Wed, Fri, Sat, Sun"/>
        <s v="Mon, Tue, Wed"/>
        <s v="Tue, Thu, Fri"/>
        <s v="Sat, Tue, Wed, Thu, Fri"/>
        <m/>
      </sharedItems>
    </cacheField>
    <cacheField name="DM" numFmtId="0">
      <sharedItems containsBlank="1">
        <m/>
        <s v="FL"/>
        <s v="ZR"/>
        <s v="RA+VM"/>
        <s v="JM"/>
        <s v="GM"/>
        <s v="GM+FL "/>
        <s v="NM"/>
        <s v="GM+FL"/>
        <s v="AS+YS"/>
        <s v="AM"/>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rocesses" cacheId="0" dataCaption="" compact="0" compactData="0">
  <location ref="O5:Q13" firstHeaderRow="0" firstDataRow="2" firstDataCol="0" rowPageCount="2" colPageCount="1"/>
  <pivotFields>
    <pivotField name="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name="Mogi/Dingtalk Emai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t="default"/>
      </items>
    </pivotField>
    <pivotField name="Gmai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t="default"/>
      </items>
    </pivotField>
    <pivotField name="Project" compact="0" outline="0" multipleItemSelectionAllowed="1" showAll="0">
      <items>
        <item x="0"/>
        <item x="1"/>
        <item t="default"/>
      </items>
    </pivotField>
    <pivotField name="Language" compact="0" outline="0" multipleItemSelectionAllowed="1" showAll="0">
      <items>
        <item x="0"/>
        <item x="1"/>
        <item x="2"/>
        <item x="3"/>
        <item x="4"/>
        <item x="5"/>
        <item x="6"/>
        <item x="7"/>
        <item x="8"/>
        <item x="9"/>
        <item x="10"/>
        <item x="11"/>
        <item x="12"/>
        <item x="13"/>
        <item x="14"/>
        <item x="15"/>
        <item x="16"/>
        <item t="default"/>
      </items>
    </pivotField>
    <pivotField name="WD/WE" compact="0" outline="0" multipleItemSelectionAllowed="1" showAll="0">
      <items>
        <item x="0"/>
        <item x="1"/>
        <item x="2"/>
        <item x="3"/>
        <item x="4"/>
        <item x="5"/>
        <item t="default"/>
      </items>
    </pivotField>
    <pivotField name="Shift" axis="axisRow" dataField="1" compact="0" outline="0" multipleItemSelectionAllowed="1" showAll="0" sortType="ascending">
      <items>
        <item x="11"/>
        <item x="1"/>
        <item x="9"/>
        <item x="7"/>
        <item x="2"/>
        <item x="3"/>
        <item x="8"/>
        <item x="6"/>
        <item x="0"/>
        <item x="10"/>
        <item x="5"/>
        <item x="4"/>
        <item t="default"/>
      </items>
    </pivotField>
    <pivotField name="Start Date (d/m/y)"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t="default"/>
      </items>
    </pivotField>
    <pivotField name="Days Worked Until April" compact="0" numFmtId="1"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Days Worked After Apri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t="default"/>
      </items>
    </pivotField>
    <pivotField name="Total Days Work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t="default"/>
      </items>
    </pivotField>
    <pivotField name="Status" axis="axisPage" compact="0" outline="0" multipleItemSelectionAllowed="1" showAll="0">
      <items>
        <item x="0"/>
        <item h="1" x="1"/>
        <item h="1" x="2"/>
        <item t="default"/>
      </items>
    </pivotField>
    <pivotField name="Target Rank" compact="0" numFmtId="1" outline="0" multipleItemSelectionAllowed="1" showAll="0">
      <items>
        <item x="0"/>
        <item x="1"/>
        <item x="2"/>
        <item x="3"/>
        <item x="4"/>
        <item x="5"/>
        <item x="6"/>
        <item x="7"/>
        <item x="8"/>
        <item x="9"/>
        <item x="10"/>
        <item x="11"/>
        <item t="default"/>
      </items>
    </pivotField>
    <pivotField name="Daily Assigned Tickets Target" compact="0" numFmtId="4" outline="0" multipleItemSelectionAllowed="1" showAll="0">
      <items>
        <item x="0"/>
        <item x="1"/>
        <item x="2"/>
        <item x="3"/>
        <item x="4"/>
        <item x="5"/>
        <item x="6"/>
        <item x="7"/>
        <item x="8"/>
        <item x="9"/>
        <item t="default"/>
      </items>
    </pivotField>
    <pivotField name="L1 Fatal Errors Target (%)" compact="0" outline="0" multipleItemSelectionAllowed="1" showAll="0">
      <items>
        <item x="0"/>
        <item x="1"/>
        <item x="2"/>
        <item x="3"/>
        <item x="4"/>
        <item x="5"/>
        <item x="6"/>
        <item x="7"/>
        <item t="default"/>
      </items>
    </pivotField>
    <pivotField name="L2 Non-Fatal Errors (%)" compact="0" outline="0" multipleItemSelectionAllowed="1" showAll="0">
      <items>
        <item x="0"/>
        <item x="1"/>
        <item x="2"/>
        <item x="3"/>
        <item x="4"/>
        <item x="5"/>
        <item t="default"/>
      </items>
    </pivotField>
    <pivotField name="L1 Non-Fatal Errors (%)" compact="0" outline="0" multipleItemSelectionAllowed="1" showAll="0">
      <items>
        <item x="0"/>
        <item x="1"/>
        <item x="2"/>
        <item x="3"/>
        <item x="4"/>
        <item x="5"/>
        <item x="6"/>
        <item x="7"/>
        <item x="8"/>
        <item t="default"/>
      </items>
    </pivotField>
    <pivotField name="DingTalk Connected?" compact="0" outline="0" multipleItemSelectionAllowed="1" showAll="0">
      <items>
        <item x="0"/>
        <item x="1"/>
        <item t="default"/>
      </items>
    </pivotField>
    <pivotField name="Helpshift" compact="0" outline="0" multipleItemSelectionAllowed="1" showAll="0">
      <items>
        <item x="0"/>
        <item x="1"/>
        <item x="2"/>
        <item x="3"/>
        <item x="4"/>
        <item x="5"/>
        <item t="default"/>
      </items>
    </pivotField>
    <pivotField name="HS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t="default"/>
      </items>
    </pivotField>
    <pivotField name="HS Nick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t="default"/>
      </items>
    </pivotField>
    <pivotField name="Asana?" compact="0" outline="0" multipleItemSelectionAllowed="1" showAll="0">
      <items>
        <item x="0"/>
        <item x="1"/>
        <item x="2"/>
        <item x="3"/>
        <item x="4"/>
        <item x="5"/>
        <item t="default"/>
      </items>
    </pivotField>
    <pivotField name="Remote Desktop (TPT)" compact="0" outline="0" multipleItemSelectionAllowed="1" showAll="0">
      <items>
        <item x="0"/>
        <item x="1"/>
        <item x="2"/>
        <item x="3"/>
        <item x="4"/>
        <item x="5"/>
        <item x="6"/>
        <item x="7"/>
        <item x="8"/>
        <item t="default"/>
      </items>
    </pivotField>
    <pivotField name="GM Tool?" compact="0" outline="0" multipleItemSelectionAllowed="1" showAll="0">
      <items>
        <item x="0"/>
        <item x="1"/>
        <item x="2"/>
        <item x="3"/>
        <item x="4"/>
        <item t="default"/>
      </items>
    </pivotField>
    <pivotField name="GM Tool Username/Passwor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t="default"/>
      </items>
    </pivotField>
    <pivotField name="IG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t="default"/>
      </items>
    </pivotField>
    <pivotField name="IG 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t="default"/>
      </items>
    </pivotField>
    <pivotField name="FP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t="default"/>
      </items>
    </pivotField>
    <pivotField name="Personality Type" compact="0" outline="0" multipleItemSelectionAllowed="1" showAll="0">
      <items>
        <item x="0"/>
        <item x="1"/>
        <item x="2"/>
        <item x="3"/>
        <item x="4"/>
        <item x="5"/>
        <item x="6"/>
        <item x="7"/>
        <item x="8"/>
        <item x="9"/>
        <item x="10"/>
        <item x="11"/>
        <item t="default"/>
      </items>
    </pivotField>
    <pivotField name="Account Escalations" compact="0" outline="0" multipleItemSelectionAllowed="1" showAll="0">
      <items>
        <item x="0"/>
        <item x="1"/>
        <item t="default"/>
      </items>
    </pivotField>
    <pivotField name="Player Report Escalations" compact="0" outline="0" multipleItemSelectionAllowed="1" showAll="0">
      <items>
        <item x="0"/>
        <item x="1"/>
        <item t="default"/>
      </items>
    </pivotField>
    <pivotField name="Abnormal Issue Escalations" compact="0" outline="0" multipleItemSelectionAllowed="1" showAll="0">
      <items>
        <item x="0"/>
        <item x="1"/>
        <item t="default"/>
      </items>
    </pivotField>
    <pivotField name="Compensation Escalations" compact="0" outline="0" multipleItemSelectionAllowed="1" showAll="0">
      <items>
        <item x="0"/>
        <item x="1"/>
        <item t="default"/>
      </items>
    </pivotField>
    <pivotField name="Day 1 Part 1 Form Filled" compact="0" outline="0" multipleItemSelectionAllowed="1" showAll="0">
      <items>
        <item x="0"/>
        <item x="1"/>
        <item x="2"/>
        <item t="default"/>
      </items>
    </pivotField>
    <pivotField name="Day 1 Part 2 Form Filled" compact="0" outline="0" multipleItemSelectionAllowed="1" showAll="0">
      <items>
        <item x="0"/>
        <item x="1"/>
        <item x="2"/>
        <item t="default"/>
      </items>
    </pivotField>
    <pivotField name="Day 2 Part 1 Form Filled" compact="0" outline="0" multipleItemSelectionAllowed="1" showAll="0">
      <items>
        <item x="0"/>
        <item x="1"/>
        <item x="2"/>
        <item t="default"/>
      </items>
    </pivotField>
    <pivotField name="Day 2 Part 2 Form Filled" compact="0" outline="0" multipleItemSelectionAllowed="1" showAll="0">
      <items>
        <item x="0"/>
        <item x="1"/>
        <item x="2"/>
        <item t="default"/>
      </items>
    </pivotField>
    <pivotField name="Day 3 Form Filled" compact="0" outline="0" multipleItemSelectionAllowed="1" showAll="0">
      <items>
        <item x="0"/>
        <item x="1"/>
        <item x="2"/>
        <item t="default"/>
      </items>
    </pivotField>
    <pivotField name="Day 4 Form Filled" compact="0" outline="0" multipleItemSelectionAllowed="1" showAll="0">
      <items>
        <item x="0"/>
        <item x="1"/>
        <item x="2"/>
        <item t="default"/>
      </items>
    </pivotField>
    <pivotField name="Day 5 Form Filled" compact="0" outline="0" multipleItemSelectionAllowed="1" showAll="0">
      <items>
        <item x="0"/>
        <item x="1"/>
        <item x="2"/>
        <item t="default"/>
      </items>
    </pivotField>
    <pivotField name="Role" axis="axisPage" compact="0" outline="0" multipleItemSelectionAllowed="1" showAll="0">
      <items>
        <item h="1" x="0"/>
        <item h="1" x="1"/>
        <item x="2"/>
        <item x="3"/>
        <item h="1" x="4"/>
        <item h="1" x="5"/>
        <item t="default"/>
      </items>
    </pivotField>
    <pivotField name="Work Day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DM" dataField="1" compact="0" outline="0" multipleItemSelectionAllowed="1" showAll="0">
      <items>
        <item x="0"/>
        <item x="1"/>
        <item x="2"/>
        <item x="3"/>
        <item x="4"/>
        <item x="5"/>
        <item x="6"/>
        <item x="7"/>
        <item x="8"/>
        <item x="9"/>
        <item x="10"/>
        <item t="default"/>
      </items>
    </pivotField>
  </pivotFields>
  <rowFields>
    <field x="6"/>
  </rowFields>
  <colFields>
    <field x="-2"/>
  </colFields>
  <pageFields>
    <pageField fld="11"/>
    <pageField fld="40"/>
  </pageFields>
  <dataFields>
    <dataField name="COUNTA of Shift" fld="6" subtotal="count" baseField="0"/>
    <dataField name="COUNTA of DM" fld="42" subtotal="count" baseField="0"/>
  </dataFields>
</pivotTableDefinition>
</file>

<file path=xl/pivotTables/pivotTable2.xml><?xml version="1.0" encoding="utf-8"?>
<pivotTableDefinition xmlns="http://schemas.openxmlformats.org/spreadsheetml/2006/main" name="Processes 2" cacheId="0" dataCaption="" compact="0" compactData="0">
  <location ref="W5:Y37" firstHeaderRow="0" firstDataRow="2" firstDataCol="0" rowPageCount="2" colPageCount="1"/>
  <pivotFields>
    <pivotField name="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name="Mogi/Dingtalk Emai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t="default"/>
      </items>
    </pivotField>
    <pivotField name="Gmai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t="default"/>
      </items>
    </pivotField>
    <pivotField name="Project" compact="0" outline="0" multipleItemSelectionAllowed="1" showAll="0">
      <items>
        <item x="0"/>
        <item x="1"/>
        <item t="default"/>
      </items>
    </pivotField>
    <pivotField name="Language" compact="0" outline="0" multipleItemSelectionAllowed="1" showAll="0">
      <items>
        <item x="0"/>
        <item x="1"/>
        <item x="2"/>
        <item x="3"/>
        <item x="4"/>
        <item x="5"/>
        <item x="6"/>
        <item x="7"/>
        <item x="8"/>
        <item x="9"/>
        <item x="10"/>
        <item x="11"/>
        <item x="12"/>
        <item x="13"/>
        <item x="14"/>
        <item x="15"/>
        <item x="16"/>
        <item t="default"/>
      </items>
    </pivotField>
    <pivotField name="WD/WE" compact="0" outline="0" multipleItemSelectionAllowed="1" showAll="0">
      <items>
        <item x="0"/>
        <item x="1"/>
        <item x="2"/>
        <item x="3"/>
        <item x="4"/>
        <item x="5"/>
        <item t="default"/>
      </items>
    </pivotField>
    <pivotField name="Shift" compact="0" outline="0" multipleItemSelectionAllowed="1" showAll="0">
      <items>
        <item x="0"/>
        <item x="1"/>
        <item x="2"/>
        <item x="3"/>
        <item x="4"/>
        <item x="5"/>
        <item x="6"/>
        <item x="7"/>
        <item x="8"/>
        <item x="9"/>
        <item x="10"/>
        <item x="11"/>
        <item t="default"/>
      </items>
    </pivotField>
    <pivotField name="Start Date (d/m/y)"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t="default"/>
      </items>
    </pivotField>
    <pivotField name="Days Worked Until April" compact="0" numFmtId="1"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Days Worked After Apri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t="default"/>
      </items>
    </pivotField>
    <pivotField name="Total Days Work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t="default"/>
      </items>
    </pivotField>
    <pivotField name="Status" axis="axisPage" compact="0" outline="0" multipleItemSelectionAllowed="1" showAll="0">
      <items>
        <item x="0"/>
        <item h="1" x="1"/>
        <item h="1" x="2"/>
        <item t="default"/>
      </items>
    </pivotField>
    <pivotField name="Target Rank" axis="axisRow" dataField="1" compact="0" numFmtId="1" outline="0" multipleItemSelectionAllowed="1" showAll="0" sortType="ascending">
      <items>
        <item x="11"/>
        <item x="4"/>
        <item x="8"/>
        <item x="10"/>
        <item x="6"/>
        <item x="9"/>
        <item x="7"/>
        <item x="2"/>
        <item x="5"/>
        <item x="1"/>
        <item x="3"/>
        <item x="0"/>
        <item t="default"/>
      </items>
    </pivotField>
    <pivotField name="Daily Assigned Tickets Target" compact="0" numFmtId="4" outline="0" multipleItemSelectionAllowed="1" showAll="0">
      <items>
        <item x="0"/>
        <item x="1"/>
        <item x="2"/>
        <item x="3"/>
        <item x="4"/>
        <item x="5"/>
        <item x="6"/>
        <item x="7"/>
        <item x="8"/>
        <item x="9"/>
        <item t="default"/>
      </items>
    </pivotField>
    <pivotField name="L1 Fatal Errors Target (%)" compact="0" outline="0" multipleItemSelectionAllowed="1" showAll="0">
      <items>
        <item x="0"/>
        <item x="1"/>
        <item x="2"/>
        <item x="3"/>
        <item x="4"/>
        <item x="5"/>
        <item x="6"/>
        <item x="7"/>
        <item t="default"/>
      </items>
    </pivotField>
    <pivotField name="L2 Non-Fatal Errors (%)" compact="0" outline="0" multipleItemSelectionAllowed="1" showAll="0">
      <items>
        <item x="0"/>
        <item x="1"/>
        <item x="2"/>
        <item x="3"/>
        <item x="4"/>
        <item x="5"/>
        <item t="default"/>
      </items>
    </pivotField>
    <pivotField name="L1 Non-Fatal Errors (%)" compact="0" outline="0" multipleItemSelectionAllowed="1" showAll="0">
      <items>
        <item x="0"/>
        <item x="1"/>
        <item x="2"/>
        <item x="3"/>
        <item x="4"/>
        <item x="5"/>
        <item x="6"/>
        <item x="7"/>
        <item x="8"/>
        <item t="default"/>
      </items>
    </pivotField>
    <pivotField name="DingTalk Connected?" compact="0" outline="0" multipleItemSelectionAllowed="1" showAll="0">
      <items>
        <item x="0"/>
        <item x="1"/>
        <item t="default"/>
      </items>
    </pivotField>
    <pivotField name="Helpshift" compact="0" outline="0" multipleItemSelectionAllowed="1" showAll="0">
      <items>
        <item x="0"/>
        <item x="1"/>
        <item x="2"/>
        <item x="3"/>
        <item x="4"/>
        <item x="5"/>
        <item t="default"/>
      </items>
    </pivotField>
    <pivotField name="HS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t="default"/>
      </items>
    </pivotField>
    <pivotField name="HS Nick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t="default"/>
      </items>
    </pivotField>
    <pivotField name="Asana?" compact="0" outline="0" multipleItemSelectionAllowed="1" showAll="0">
      <items>
        <item x="0"/>
        <item x="1"/>
        <item x="2"/>
        <item x="3"/>
        <item x="4"/>
        <item x="5"/>
        <item t="default"/>
      </items>
    </pivotField>
    <pivotField name="Remote Desktop (TPT)" compact="0" outline="0" multipleItemSelectionAllowed="1" showAll="0">
      <items>
        <item x="0"/>
        <item x="1"/>
        <item x="2"/>
        <item x="3"/>
        <item x="4"/>
        <item x="5"/>
        <item x="6"/>
        <item x="7"/>
        <item x="8"/>
        <item t="default"/>
      </items>
    </pivotField>
    <pivotField name="GM Tool?" compact="0" outline="0" multipleItemSelectionAllowed="1" showAll="0">
      <items>
        <item x="0"/>
        <item x="1"/>
        <item x="2"/>
        <item x="3"/>
        <item x="4"/>
        <item t="default"/>
      </items>
    </pivotField>
    <pivotField name="GM Tool Username/Passwor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t="default"/>
      </items>
    </pivotField>
    <pivotField name="IG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t="default"/>
      </items>
    </pivotField>
    <pivotField name="IG 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t="default"/>
      </items>
    </pivotField>
    <pivotField name="FP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t="default"/>
      </items>
    </pivotField>
    <pivotField name="Personality Type" compact="0" outline="0" multipleItemSelectionAllowed="1" showAll="0">
      <items>
        <item x="0"/>
        <item x="1"/>
        <item x="2"/>
        <item x="3"/>
        <item x="4"/>
        <item x="5"/>
        <item x="6"/>
        <item x="7"/>
        <item x="8"/>
        <item x="9"/>
        <item x="10"/>
        <item x="11"/>
        <item t="default"/>
      </items>
    </pivotField>
    <pivotField name="Account Escalations" compact="0" outline="0" multipleItemSelectionAllowed="1" showAll="0">
      <items>
        <item x="0"/>
        <item x="1"/>
        <item t="default"/>
      </items>
    </pivotField>
    <pivotField name="Player Report Escalations" compact="0" outline="0" multipleItemSelectionAllowed="1" showAll="0">
      <items>
        <item x="0"/>
        <item x="1"/>
        <item t="default"/>
      </items>
    </pivotField>
    <pivotField name="Abnormal Issue Escalations" compact="0" outline="0" multipleItemSelectionAllowed="1" showAll="0">
      <items>
        <item x="0"/>
        <item x="1"/>
        <item t="default"/>
      </items>
    </pivotField>
    <pivotField name="Compensation Escalations" compact="0" outline="0" multipleItemSelectionAllowed="1" showAll="0">
      <items>
        <item x="0"/>
        <item x="1"/>
        <item t="default"/>
      </items>
    </pivotField>
    <pivotField name="Day 1 Part 1 Form Filled" compact="0" outline="0" multipleItemSelectionAllowed="1" showAll="0">
      <items>
        <item x="0"/>
        <item x="1"/>
        <item x="2"/>
        <item t="default"/>
      </items>
    </pivotField>
    <pivotField name="Day 1 Part 2 Form Filled" compact="0" outline="0" multipleItemSelectionAllowed="1" showAll="0">
      <items>
        <item x="0"/>
        <item x="1"/>
        <item x="2"/>
        <item t="default"/>
      </items>
    </pivotField>
    <pivotField name="Day 2 Part 1 Form Filled" compact="0" outline="0" multipleItemSelectionAllowed="1" showAll="0">
      <items>
        <item x="0"/>
        <item x="1"/>
        <item x="2"/>
        <item t="default"/>
      </items>
    </pivotField>
    <pivotField name="Day 2 Part 2 Form Filled" compact="0" outline="0" multipleItemSelectionAllowed="1" showAll="0">
      <items>
        <item x="0"/>
        <item x="1"/>
        <item x="2"/>
        <item t="default"/>
      </items>
    </pivotField>
    <pivotField name="Day 3 Form Filled" compact="0" outline="0" multipleItemSelectionAllowed="1" showAll="0">
      <items>
        <item x="0"/>
        <item x="1"/>
        <item x="2"/>
        <item t="default"/>
      </items>
    </pivotField>
    <pivotField name="Day 4 Form Filled" compact="0" outline="0" multipleItemSelectionAllowed="1" showAll="0">
      <items>
        <item x="0"/>
        <item x="1"/>
        <item x="2"/>
        <item t="default"/>
      </items>
    </pivotField>
    <pivotField name="Day 5 Form Filled" compact="0" outline="0" multipleItemSelectionAllowed="1" showAll="0">
      <items>
        <item x="0"/>
        <item x="1"/>
        <item x="2"/>
        <item t="default"/>
      </items>
    </pivotField>
    <pivotField name="Role" axis="axisPage" compact="0" outline="0" multipleItemSelectionAllowed="1" showAll="0">
      <items>
        <item h="1" x="0"/>
        <item h="1" x="1"/>
        <item x="2"/>
        <item x="3"/>
        <item h="1" x="4"/>
        <item h="1" x="5"/>
        <item t="default"/>
      </items>
    </pivotField>
    <pivotField name="Work Day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DM" axis="axisRow" compact="0" outline="0" multipleItemSelectionAllowed="1" showAll="0" sortType="ascending">
      <items>
        <item x="0"/>
        <item x="10"/>
        <item x="9"/>
        <item x="1"/>
        <item x="5"/>
        <item x="8"/>
        <item x="6"/>
        <item x="4"/>
        <item x="7"/>
        <item x="3"/>
        <item x="2"/>
        <item t="default"/>
      </items>
    </pivotField>
  </pivotFields>
  <rowFields>
    <field x="42"/>
    <field x="12"/>
  </rowFields>
  <pageFields>
    <pageField fld="11"/>
    <pageField fld="40"/>
  </pageFields>
  <dataFields>
    <dataField name="COUNTA of Target Rank" fld="12" subtotal="count" baseField="0"/>
  </dataFields>
</pivotTableDefinition>
</file>

<file path=xl/pivotTables/pivotTable3.xml><?xml version="1.0" encoding="utf-8"?>
<pivotTableDefinition xmlns="http://schemas.openxmlformats.org/spreadsheetml/2006/main" name="Processes 3" cacheId="0" dataCaption="" compact="0" compactData="0">
  <location ref="AD5:AI12" firstHeaderRow="0" firstDataRow="1" firstDataCol="1" rowPageCount="2" colPageCount="1"/>
  <pivotFields>
    <pivotField name="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name="Mogi/Dingtalk Emai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t="default"/>
      </items>
    </pivotField>
    <pivotField name="Gmai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t="default"/>
      </items>
    </pivotField>
    <pivotField name="Project" compact="0" outline="0" multipleItemSelectionAllowed="1" showAll="0">
      <items>
        <item x="0"/>
        <item x="1"/>
        <item t="default"/>
      </items>
    </pivotField>
    <pivotField name="Language" compact="0" outline="0" multipleItemSelectionAllowed="1" showAll="0">
      <items>
        <item x="0"/>
        <item x="1"/>
        <item x="2"/>
        <item x="3"/>
        <item x="4"/>
        <item x="5"/>
        <item x="6"/>
        <item x="7"/>
        <item x="8"/>
        <item x="9"/>
        <item x="10"/>
        <item x="11"/>
        <item x="12"/>
        <item x="13"/>
        <item x="14"/>
        <item x="15"/>
        <item x="16"/>
        <item t="default"/>
      </items>
    </pivotField>
    <pivotField name="WD/WE" axis="axisCol" dataField="1" compact="0" outline="0" multipleItemSelectionAllowed="1" showAll="0" sortType="ascending">
      <items>
        <item x="5"/>
        <item x="0"/>
        <item x="3"/>
        <item x="4"/>
        <item x="1"/>
        <item x="2"/>
        <item t="default"/>
      </items>
    </pivotField>
    <pivotField name="Shift" compact="0" outline="0" multipleItemSelectionAllowed="1" showAll="0">
      <items>
        <item x="0"/>
        <item x="1"/>
        <item x="2"/>
        <item x="3"/>
        <item x="4"/>
        <item x="5"/>
        <item x="6"/>
        <item x="7"/>
        <item x="8"/>
        <item x="9"/>
        <item x="10"/>
        <item x="11"/>
        <item t="default"/>
      </items>
    </pivotField>
    <pivotField name="Start Date (d/m/y)"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t="default"/>
      </items>
    </pivotField>
    <pivotField name="Days Worked Until April" compact="0" numFmtId="1"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Days Worked After Apri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t="default"/>
      </items>
    </pivotField>
    <pivotField name="Total Days Work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t="default"/>
      </items>
    </pivotField>
    <pivotField name="Status" axis="axisPage" compact="0" outline="0" multipleItemSelectionAllowed="1" showAll="0">
      <items>
        <item x="0"/>
        <item h="1" x="1"/>
        <item h="1" x="2"/>
        <item t="default"/>
      </items>
    </pivotField>
    <pivotField name="Target Rank" compact="0" numFmtId="1" outline="0" multipleItemSelectionAllowed="1" showAll="0">
      <items>
        <item x="0"/>
        <item x="1"/>
        <item x="2"/>
        <item x="3"/>
        <item x="4"/>
        <item x="5"/>
        <item x="6"/>
        <item x="7"/>
        <item x="8"/>
        <item x="9"/>
        <item x="10"/>
        <item x="11"/>
        <item t="default"/>
      </items>
    </pivotField>
    <pivotField name="Daily Assigned Tickets Target" compact="0" numFmtId="4" outline="0" multipleItemSelectionAllowed="1" showAll="0">
      <items>
        <item x="0"/>
        <item x="1"/>
        <item x="2"/>
        <item x="3"/>
        <item x="4"/>
        <item x="5"/>
        <item x="6"/>
        <item x="7"/>
        <item x="8"/>
        <item x="9"/>
        <item t="default"/>
      </items>
    </pivotField>
    <pivotField name="L1 Fatal Errors Target (%)" compact="0" outline="0" multipleItemSelectionAllowed="1" showAll="0">
      <items>
        <item x="0"/>
        <item x="1"/>
        <item x="2"/>
        <item x="3"/>
        <item x="4"/>
        <item x="5"/>
        <item x="6"/>
        <item x="7"/>
        <item t="default"/>
      </items>
    </pivotField>
    <pivotField name="L2 Non-Fatal Errors (%)" compact="0" outline="0" multipleItemSelectionAllowed="1" showAll="0">
      <items>
        <item x="0"/>
        <item x="1"/>
        <item x="2"/>
        <item x="3"/>
        <item x="4"/>
        <item x="5"/>
        <item t="default"/>
      </items>
    </pivotField>
    <pivotField name="L1 Non-Fatal Errors (%)" compact="0" outline="0" multipleItemSelectionAllowed="1" showAll="0">
      <items>
        <item x="0"/>
        <item x="1"/>
        <item x="2"/>
        <item x="3"/>
        <item x="4"/>
        <item x="5"/>
        <item x="6"/>
        <item x="7"/>
        <item x="8"/>
        <item t="default"/>
      </items>
    </pivotField>
    <pivotField name="DingTalk Connected?" compact="0" outline="0" multipleItemSelectionAllowed="1" showAll="0">
      <items>
        <item x="0"/>
        <item x="1"/>
        <item t="default"/>
      </items>
    </pivotField>
    <pivotField name="Helpshift" compact="0" outline="0" multipleItemSelectionAllowed="1" showAll="0">
      <items>
        <item x="0"/>
        <item x="1"/>
        <item x="2"/>
        <item x="3"/>
        <item x="4"/>
        <item x="5"/>
        <item t="default"/>
      </items>
    </pivotField>
    <pivotField name="HS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t="default"/>
      </items>
    </pivotField>
    <pivotField name="HS Nick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t="default"/>
      </items>
    </pivotField>
    <pivotField name="Asana?" compact="0" outline="0" multipleItemSelectionAllowed="1" showAll="0">
      <items>
        <item x="0"/>
        <item x="1"/>
        <item x="2"/>
        <item x="3"/>
        <item x="4"/>
        <item x="5"/>
        <item t="default"/>
      </items>
    </pivotField>
    <pivotField name="Remote Desktop (TPT)" compact="0" outline="0" multipleItemSelectionAllowed="1" showAll="0">
      <items>
        <item x="0"/>
        <item x="1"/>
        <item x="2"/>
        <item x="3"/>
        <item x="4"/>
        <item x="5"/>
        <item x="6"/>
        <item x="7"/>
        <item x="8"/>
        <item t="default"/>
      </items>
    </pivotField>
    <pivotField name="GM Tool?" compact="0" outline="0" multipleItemSelectionAllowed="1" showAll="0">
      <items>
        <item x="0"/>
        <item x="1"/>
        <item x="2"/>
        <item x="3"/>
        <item x="4"/>
        <item t="default"/>
      </items>
    </pivotField>
    <pivotField name="GM Tool Username/Passwor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t="default"/>
      </items>
    </pivotField>
    <pivotField name="IG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t="default"/>
      </items>
    </pivotField>
    <pivotField name="IG 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t="default"/>
      </items>
    </pivotField>
    <pivotField name="FP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t="default"/>
      </items>
    </pivotField>
    <pivotField name="Personality Type" compact="0" outline="0" multipleItemSelectionAllowed="1" showAll="0">
      <items>
        <item x="0"/>
        <item x="1"/>
        <item x="2"/>
        <item x="3"/>
        <item x="4"/>
        <item x="5"/>
        <item x="6"/>
        <item x="7"/>
        <item x="8"/>
        <item x="9"/>
        <item x="10"/>
        <item x="11"/>
        <item t="default"/>
      </items>
    </pivotField>
    <pivotField name="Account Escalations" compact="0" outline="0" multipleItemSelectionAllowed="1" showAll="0">
      <items>
        <item x="0"/>
        <item x="1"/>
        <item t="default"/>
      </items>
    </pivotField>
    <pivotField name="Player Report Escalations" compact="0" outline="0" multipleItemSelectionAllowed="1" showAll="0">
      <items>
        <item x="0"/>
        <item x="1"/>
        <item t="default"/>
      </items>
    </pivotField>
    <pivotField name="Abnormal Issue Escalations" compact="0" outline="0" multipleItemSelectionAllowed="1" showAll="0">
      <items>
        <item x="0"/>
        <item x="1"/>
        <item t="default"/>
      </items>
    </pivotField>
    <pivotField name="Compensation Escalations" compact="0" outline="0" multipleItemSelectionAllowed="1" showAll="0">
      <items>
        <item x="0"/>
        <item x="1"/>
        <item t="default"/>
      </items>
    </pivotField>
    <pivotField name="Day 1 Part 1 Form Filled" compact="0" outline="0" multipleItemSelectionAllowed="1" showAll="0">
      <items>
        <item x="0"/>
        <item x="1"/>
        <item x="2"/>
        <item t="default"/>
      </items>
    </pivotField>
    <pivotField name="Day 1 Part 2 Form Filled" compact="0" outline="0" multipleItemSelectionAllowed="1" showAll="0">
      <items>
        <item x="0"/>
        <item x="1"/>
        <item x="2"/>
        <item t="default"/>
      </items>
    </pivotField>
    <pivotField name="Day 2 Part 1 Form Filled" compact="0" outline="0" multipleItemSelectionAllowed="1" showAll="0">
      <items>
        <item x="0"/>
        <item x="1"/>
        <item x="2"/>
        <item t="default"/>
      </items>
    </pivotField>
    <pivotField name="Day 2 Part 2 Form Filled" compact="0" outline="0" multipleItemSelectionAllowed="1" showAll="0">
      <items>
        <item x="0"/>
        <item x="1"/>
        <item x="2"/>
        <item t="default"/>
      </items>
    </pivotField>
    <pivotField name="Day 3 Form Filled" compact="0" outline="0" multipleItemSelectionAllowed="1" showAll="0">
      <items>
        <item x="0"/>
        <item x="1"/>
        <item x="2"/>
        <item t="default"/>
      </items>
    </pivotField>
    <pivotField name="Day 4 Form Filled" compact="0" outline="0" multipleItemSelectionAllowed="1" showAll="0">
      <items>
        <item x="0"/>
        <item x="1"/>
        <item x="2"/>
        <item t="default"/>
      </items>
    </pivotField>
    <pivotField name="Day 5 Form Filled" compact="0" outline="0" multipleItemSelectionAllowed="1" showAll="0">
      <items>
        <item x="0"/>
        <item x="1"/>
        <item x="2"/>
        <item t="default"/>
      </items>
    </pivotField>
    <pivotField name="Role" axis="axisPage" compact="0" outline="0" multipleItemSelectionAllowed="1" showAll="0">
      <items>
        <item h="1" x="0"/>
        <item h="1" x="1"/>
        <item x="2"/>
        <item x="3"/>
        <item h="1" x="4"/>
        <item h="1" x="5"/>
        <item t="default"/>
      </items>
    </pivotField>
    <pivotField name="Work Day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DM" axis="axisRow" compact="0" outline="0" multipleItemSelectionAllowed="1" showAll="0" sortType="ascending">
      <items>
        <item x="0"/>
        <item x="10"/>
        <item x="9"/>
        <item x="1"/>
        <item x="5"/>
        <item sd="0" x="8"/>
        <item x="6"/>
        <item x="4"/>
        <item x="7"/>
        <item x="3"/>
        <item x="2"/>
        <item t="default"/>
      </items>
    </pivotField>
  </pivotFields>
  <rowFields>
    <field x="42"/>
  </rowFields>
  <colFields>
    <field x="5"/>
  </colFields>
  <pageFields>
    <pageField fld="11"/>
    <pageField fld="40"/>
  </pageFields>
  <dataFields>
    <dataField name="COUNTA of WD/WE" fld="5" subtotal="count" baseField="0"/>
  </dataFields>
</pivotTableDefinition>
</file>

<file path=xl/tables/table1.xml><?xml version="1.0" encoding="utf-8"?>
<table xmlns="http://schemas.openxmlformats.org/spreadsheetml/2006/main" headerRowCount="0" ref="A1:F166" displayName="Table_1" id="1">
  <tableColumns count="6">
    <tableColumn name="Column1" id="1"/>
    <tableColumn name="Column2" id="2"/>
    <tableColumn name="Column3" id="3"/>
    <tableColumn name="Column4" id="4"/>
    <tableColumn name="Column5" id="5"/>
    <tableColumn name="Column6" id="6"/>
  </tableColumns>
  <tableStyleInfo name="Shiftplan So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2:E147" displayName="Table_2" id="2">
  <tableColumns count="5">
    <tableColumn name="Column1" id="1"/>
    <tableColumn name="Column2" id="2"/>
    <tableColumn name="Column3" id="3"/>
    <tableColumn name="Column4" id="4"/>
    <tableColumn name="Column5" id="5"/>
  </tableColumns>
  <tableStyleInfo name="Active SoS email list-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cs.google.com/spreadsheets/d/1A_iSXg332d8wEQtc-7eAPOT9Na_RG-XD5ry6JcnU3dc/edit" TargetMode="External"/><Relationship Id="rId3" Type="http://schemas.openxmlformats.org/officeDocument/2006/relationships/hyperlink" Target="https://docs.google.com/spreadsheets/d/1FxjAJq5j6zFOdBrJzEGMH3V6vSCdththo5IEMmK2aaM/edit" TargetMode="External"/><Relationship Id="rId4" Type="http://schemas.openxmlformats.org/officeDocument/2006/relationships/drawing" Target="../drawings/drawing1.xml"/><Relationship Id="rId5"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0" Type="http://schemas.openxmlformats.org/officeDocument/2006/relationships/hyperlink" Target="https://www.state-of-survival.net/events/survival-of-the-fittest/" TargetMode="External"/><Relationship Id="rId22" Type="http://schemas.openxmlformats.org/officeDocument/2006/relationships/hyperlink" Target="https://www.youtube.com/watch?v=eEQmiKYVtHk" TargetMode="External"/><Relationship Id="rId21" Type="http://schemas.openxmlformats.org/officeDocument/2006/relationships/hyperlink" Target="https://www.state-of-survival.net/events/reservoir-raid/" TargetMode="External"/><Relationship Id="rId24" Type="http://schemas.openxmlformats.org/officeDocument/2006/relationships/hyperlink" Target="https://www.youtube.com/watch?v=zYELn7xnS1s" TargetMode="External"/><Relationship Id="rId23" Type="http://schemas.openxmlformats.org/officeDocument/2006/relationships/hyperlink" Target="https://www.youtube.com/watch?v=W47FMgHxyUA" TargetMode="External"/><Relationship Id="rId1" Type="http://schemas.openxmlformats.org/officeDocument/2006/relationships/comments" Target="../comments2.xml"/><Relationship Id="rId2" Type="http://schemas.openxmlformats.org/officeDocument/2006/relationships/hyperlink" Target="https://accounts.google.com/signup/v2/webcreateaccount?hl=en&amp;flowName=GlifWebSignIn&amp;flowEntry=SignUp" TargetMode="External"/><Relationship Id="rId3" Type="http://schemas.openxmlformats.org/officeDocument/2006/relationships/hyperlink" Target="https://youtu.be/moLOK9VEjaI" TargetMode="External"/><Relationship Id="rId4" Type="http://schemas.openxmlformats.org/officeDocument/2006/relationships/hyperlink" Target="https://docs.google.com/document/d/1RFNaXvMZ1Pl1pFptYyPx-OqGPfsa9w2Dm74krABxdi8/edit?usp=sharing" TargetMode="External"/><Relationship Id="rId9" Type="http://schemas.openxmlformats.org/officeDocument/2006/relationships/hyperlink" Target="https://www.youtube.com/watch?v=f6VLJ35iUnE" TargetMode="External"/><Relationship Id="rId26" Type="http://schemas.openxmlformats.org/officeDocument/2006/relationships/hyperlink" Target="https://zegaming.club/2020/07/20/state-of-survival-troops/" TargetMode="External"/><Relationship Id="rId25" Type="http://schemas.openxmlformats.org/officeDocument/2006/relationships/hyperlink" Target="https://www.youtube.com/watch?v=W3VSEwybRjc" TargetMode="External"/><Relationship Id="rId28" Type="http://schemas.openxmlformats.org/officeDocument/2006/relationships/hyperlink" Target="https://docs.google.com/document/d/1OzIemKEfcUtCmpr_-PcvX_VQXvxC7HO7Ct0Faqm9uOQ/edit?usp=sharing" TargetMode="External"/><Relationship Id="rId27" Type="http://schemas.openxmlformats.org/officeDocument/2006/relationships/hyperlink" Target="https://mogi.sharepoint.com/sites/funplus-project/Shared%20Documents/Forms/AllItems.aspx?id=%2Fsites%2Ffunplus%2Dproject%2FShared%20Documents%2FTraining" TargetMode="External"/><Relationship Id="rId5" Type="http://schemas.openxmlformats.org/officeDocument/2006/relationships/hyperlink" Target="https://www.youtube.com/watch?v=6I3jaEeJA94" TargetMode="External"/><Relationship Id="rId6" Type="http://schemas.openxmlformats.org/officeDocument/2006/relationships/hyperlink" Target="https://www.bluestacks.com/blog/game-overview/state-of-survival/sos-best-guides-tips-compilation-en.html" TargetMode="External"/><Relationship Id="rId29" Type="http://schemas.openxmlformats.org/officeDocument/2006/relationships/hyperlink" Target="https://www.youtube.com/watch?v=81oqCk3Mxf0" TargetMode="External"/><Relationship Id="rId7" Type="http://schemas.openxmlformats.org/officeDocument/2006/relationships/hyperlink" Target="https://www.youtube.com/watch?v=i00ekUrmPEo" TargetMode="External"/><Relationship Id="rId8" Type="http://schemas.openxmlformats.org/officeDocument/2006/relationships/hyperlink" Target="https://www.youtube.com/watch?v=rHvA7buFMv8&amp;list=PLV8WA2T4X_BN6MQZ3mjYTRfeA4ebNs98s" TargetMode="External"/><Relationship Id="rId31" Type="http://schemas.openxmlformats.org/officeDocument/2006/relationships/hyperlink" Target="https://docs.google.com/document/d/13mIm-2xL8fynSfPicy8xBxNPtYFkXQdanSyoqHYJ8qM/edit?usp=sharing" TargetMode="External"/><Relationship Id="rId30" Type="http://schemas.openxmlformats.org/officeDocument/2006/relationships/hyperlink" Target="https://www.state-of-survival.net/guides/faqs-december-2020/" TargetMode="External"/><Relationship Id="rId11" Type="http://schemas.openxmlformats.org/officeDocument/2006/relationships/hyperlink" Target="https://www.youtube.com/watch?v=yJur77Z7bog" TargetMode="External"/><Relationship Id="rId33" Type="http://schemas.openxmlformats.org/officeDocument/2006/relationships/hyperlink" Target="https://www.youtube.com/watch?v=E9SurMwJ6jg" TargetMode="External"/><Relationship Id="rId10" Type="http://schemas.openxmlformats.org/officeDocument/2006/relationships/hyperlink" Target="https://www.youtube.com/watch?v=iLa4EI8DoZ0" TargetMode="External"/><Relationship Id="rId32" Type="http://schemas.openxmlformats.org/officeDocument/2006/relationships/hyperlink" Target="https://docs.google.com/document/d/14pYUL2QlzUC0H10bLhK6l6EmcjdPqXztVt_6iLx5ULo/edit?usp=sharing" TargetMode="External"/><Relationship Id="rId13" Type="http://schemas.openxmlformats.org/officeDocument/2006/relationships/hyperlink" Target="https://youtu.be/my2wckZC7A8?list=PLZ6nefpGX3AQ-NE6xEkFMvJmCHzxFb8vV" TargetMode="External"/><Relationship Id="rId35" Type="http://schemas.openxmlformats.org/officeDocument/2006/relationships/drawing" Target="../drawings/drawing2.xml"/><Relationship Id="rId12" Type="http://schemas.openxmlformats.org/officeDocument/2006/relationships/hyperlink" Target="https://youtu.be/9leOWdiAaIU?list=PLZ6nefpGX3AQ-NE6xEkFMvJmCHzxFb8vV" TargetMode="External"/><Relationship Id="rId34" Type="http://schemas.openxmlformats.org/officeDocument/2006/relationships/hyperlink" Target="https://www.reddit.com/r/TheSoSGame/" TargetMode="External"/><Relationship Id="rId15" Type="http://schemas.openxmlformats.org/officeDocument/2006/relationships/hyperlink" Target="https://youtu.be/td1q1rkGMVg?list=PLV8WA2T4X_BN6MQZ3mjYTRfeA4ebNs98s" TargetMode="External"/><Relationship Id="rId14" Type="http://schemas.openxmlformats.org/officeDocument/2006/relationships/hyperlink" Target="https://youtu.be/YbY6lOyKKUs?list=PLZ6nefpGX3AQ-NE6xEkFMvJmCHzxFb8vV" TargetMode="External"/><Relationship Id="rId36" Type="http://schemas.openxmlformats.org/officeDocument/2006/relationships/vmlDrawing" Target="../drawings/vmlDrawing2.vml"/><Relationship Id="rId17" Type="http://schemas.openxmlformats.org/officeDocument/2006/relationships/hyperlink" Target="https://youtu.be/DK6C-xw_qkc?list=PLV8WA2T4X_BN6MQZ3mjYTRfeA4ebNs98s" TargetMode="External"/><Relationship Id="rId16" Type="http://schemas.openxmlformats.org/officeDocument/2006/relationships/hyperlink" Target="https://youtu.be/J_E_C_M1H34?list=PLV8WA2T4X_BN6MQZ3mjYTRfeA4ebNs98s" TargetMode="External"/><Relationship Id="rId19" Type="http://schemas.openxmlformats.org/officeDocument/2006/relationships/hyperlink" Target="https://youtu.be/CX38y79Ugh8?list=PLWHd_1d0GxB10WG9cL91yVOqzXYjg98Hy" TargetMode="External"/><Relationship Id="rId18" Type="http://schemas.openxmlformats.org/officeDocument/2006/relationships/hyperlink" Target="https://www.youtube.com/watch?v=0qc8GskX2V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hyperlink" Target="https://docs.google.com/spreadsheets/d/1A_iSXg332d8wEQtc-7eAPOT9Na_RG-XD5ry6JcnU3dc/edit" TargetMode="External"/><Relationship Id="rId9" Type="http://schemas.openxmlformats.org/officeDocument/2006/relationships/hyperlink" Target="https://docs.google.com/spreadsheets/d/1A_iSXg332d8wEQtc-7eAPOT9Na_RG-XD5ry6JcnU3dc/edit" TargetMode="External"/><Relationship Id="rId5" Type="http://schemas.openxmlformats.org/officeDocument/2006/relationships/hyperlink" Target="https://app.asana.com/0/1190920533458250/list" TargetMode="External"/><Relationship Id="rId6" Type="http://schemas.openxmlformats.org/officeDocument/2006/relationships/hyperlink" Target="https://cdn.discordapp.com/attachments/815863920660971520/818819324508372992/unknown.png" TargetMode="External"/><Relationship Id="rId7" Type="http://schemas.openxmlformats.org/officeDocument/2006/relationships/hyperlink" Target="https://docs.google.com/document/d/1AoMx591j4NRzUqW4NWFy9sjzWsPLTIrEWeK6d5Y_5DQ/edit" TargetMode="External"/><Relationship Id="rId8" Type="http://schemas.openxmlformats.org/officeDocument/2006/relationships/hyperlink" Target="https://cdn.discordapp.com/attachments/815863920660971520/818819445178761266/unknown.png" TargetMode="External"/><Relationship Id="rId11" Type="http://schemas.openxmlformats.org/officeDocument/2006/relationships/drawing" Target="../drawings/drawing4.xml"/><Relationship Id="rId10" Type="http://schemas.openxmlformats.org/officeDocument/2006/relationships/hyperlink" Target="https://docs.google.com/spreadsheets/d/1A_iSXg332d8wEQtc-7eAPOT9Na_RG-XD5ry6JcnU3dc/edi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 Id="rId5"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7.xml"/><Relationship Id="rId3"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8.xml"/><Relationship Id="rId3"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9.xml"/><Relationship Id="rId3"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0" Type="http://schemas.openxmlformats.org/officeDocument/2006/relationships/hyperlink" Target="https://docs.google.com/document/d/1ex4j-3do02xdRW51LNmT8jpL0VUR9X7rg_uzUB3jvOU/edit?usp=sharing" TargetMode="External"/><Relationship Id="rId22" Type="http://schemas.openxmlformats.org/officeDocument/2006/relationships/hyperlink" Target="https://docs.google.com/spreadsheets/d/1ZTm34Vw8KN6cyADAqi9Bc4e8EQM0GbvTMECZrDCHeJc/edit?usp=sharing" TargetMode="External"/><Relationship Id="rId21" Type="http://schemas.openxmlformats.org/officeDocument/2006/relationships/hyperlink" Target="https://docs.google.com/spreadsheets/d/1oSs8rrYl0wQsMPz4R1Tgj0vMJYJ8rvhkG3eM0PHu7U0/edit" TargetMode="External"/><Relationship Id="rId24" Type="http://schemas.openxmlformats.org/officeDocument/2006/relationships/hyperlink" Target="https://docs.google.com/document/d/1QdKMEEG1vndhfG9O4oMbfyBgh75fwfl6n87AuI5evEE/edit" TargetMode="External"/><Relationship Id="rId23" Type="http://schemas.openxmlformats.org/officeDocument/2006/relationships/hyperlink" Target="https://docs.google.com/document/d/1Bk966b4-8mk6wNUaaDiNlpCLA32AKfHGeKmYzhFkrVQ/edit" TargetMode="External"/><Relationship Id="rId1" Type="http://schemas.openxmlformats.org/officeDocument/2006/relationships/comments" Target="../comments8.xml"/><Relationship Id="rId2" Type="http://schemas.openxmlformats.org/officeDocument/2006/relationships/hyperlink" Target="https://docs.google.com/document/d/13mIm-2xL8fynSfPicy8xBxNPtYFkXQdanSyoqHYJ8qM/edit" TargetMode="External"/><Relationship Id="rId3" Type="http://schemas.openxmlformats.org/officeDocument/2006/relationships/hyperlink" Target="https://docs.google.com/document/d/13mIm-2xL8fynSfPicy8xBxNPtYFkXQdanSyoqHYJ8qM/edit" TargetMode="External"/><Relationship Id="rId4" Type="http://schemas.openxmlformats.org/officeDocument/2006/relationships/hyperlink" Target="https://docs.google.com/document/d/1buamM9HxRhUpttzoOwWlMUFq3UCyNaoEz3_foTrqJao/edit" TargetMode="External"/><Relationship Id="rId9" Type="http://schemas.openxmlformats.org/officeDocument/2006/relationships/hyperlink" Target="https://docs.google.com/document/d/13OtX6TCK2u3P4-q2zlq1DGD4DETx7B3989oVq0u-cw8/edit" TargetMode="External"/><Relationship Id="rId26" Type="http://schemas.openxmlformats.org/officeDocument/2006/relationships/hyperlink" Target="https://docs.google.com/spreadsheets/d/14e2uI_fQYFRliGMp8lwG5fUmhTc7asEd3c32m_bHI9w/edit" TargetMode="External"/><Relationship Id="rId25" Type="http://schemas.openxmlformats.org/officeDocument/2006/relationships/hyperlink" Target="https://docs.google.com/document/d/1OzIemKEfcUtCmpr_-PcvX_VQXvxC7HO7Ct0Faqm9uOQ/edit?usp=sharing" TargetMode="External"/><Relationship Id="rId28" Type="http://schemas.openxmlformats.org/officeDocument/2006/relationships/vmlDrawing" Target="../drawings/vmlDrawing8.vml"/><Relationship Id="rId27" Type="http://schemas.openxmlformats.org/officeDocument/2006/relationships/drawing" Target="../drawings/drawing12.xml"/><Relationship Id="rId5" Type="http://schemas.openxmlformats.org/officeDocument/2006/relationships/hyperlink" Target="https://docs.google.com/document/d/14pYUL2QlzUC0H10bLhK6l6EmcjdPqXztVt_6iLx5ULo/edit?usp=sharing" TargetMode="External"/><Relationship Id="rId6" Type="http://schemas.openxmlformats.org/officeDocument/2006/relationships/hyperlink" Target="https://docs.google.com/spreadsheets/d/1PrvQFNeWOxR6L7xnVxqkDC1wf1-9ng842P1jVp70neI/edit?usp=sharing" TargetMode="External"/><Relationship Id="rId7" Type="http://schemas.openxmlformats.org/officeDocument/2006/relationships/hyperlink" Target="https://docs.google.com/spreadsheets/d/1BlB4G31hHk0TBUuGfUZAX78smU6cng6XNSSqDaIgUG0/edit" TargetMode="External"/><Relationship Id="rId8" Type="http://schemas.openxmlformats.org/officeDocument/2006/relationships/hyperlink" Target="https://docs.google.com/spreadsheets/d/1BlB4G31hHk0TBUuGfUZAX78smU6cng6XNSSqDaIgUG0/edit?usp=sharing" TargetMode="External"/><Relationship Id="rId11" Type="http://schemas.openxmlformats.org/officeDocument/2006/relationships/hyperlink" Target="https://docs.google.com/document/d/1BxFjBFFmUrZ20b9r9ZvAWeszRcRs4ez9tFplZ8KS77w/edit" TargetMode="External"/><Relationship Id="rId10" Type="http://schemas.openxmlformats.org/officeDocument/2006/relationships/hyperlink" Target="https://docs.google.com/document/d/1AoMx591j4NRzUqW4NWFy9sjzWsPLTIrEWeK6d5Y_5DQ/edit?usp=sharing" TargetMode="External"/><Relationship Id="rId13" Type="http://schemas.openxmlformats.org/officeDocument/2006/relationships/hyperlink" Target="https://drive.google.com/file/d/1OQ4oOSmMQKDbac8ai53oOjFTMNH1Yr3u/view?usp=sharing" TargetMode="External"/><Relationship Id="rId12" Type="http://schemas.openxmlformats.org/officeDocument/2006/relationships/hyperlink" Target="https://docs.google.com/document/d/18dJdpJYt7-evyYFQ_NRlDrAVoBP3KL8z9y5MqDBo-fc/edit" TargetMode="External"/><Relationship Id="rId15" Type="http://schemas.openxmlformats.org/officeDocument/2006/relationships/hyperlink" Target="https://docs.google.com/document/d/17vX1wjEuujCMrDQuHsNucTL99iLA6CnYocMgEQ47KjE/edit?usp=sharing" TargetMode="External"/><Relationship Id="rId14" Type="http://schemas.openxmlformats.org/officeDocument/2006/relationships/hyperlink" Target="https://docs.google.com/document/d/1svVSj6_RQ2UGVGdmKXDSKxsTn7kJK5u1SO4ds1ZqhZ0/edit" TargetMode="External"/><Relationship Id="rId17" Type="http://schemas.openxmlformats.org/officeDocument/2006/relationships/hyperlink" Target="https://docs.google.com/spreadsheets/d/1zYetGVGwderVIBAcOqbvrzL9iUQwAe_1hbNJjpsP5Jg/edit?usp=sharing" TargetMode="External"/><Relationship Id="rId16" Type="http://schemas.openxmlformats.org/officeDocument/2006/relationships/hyperlink" Target="https://docs.google.com/spreadsheets/d/1kkTealGtjhIzchbRNgGnaRukMDpzd85e6fBvxb7jT6E/edit" TargetMode="External"/><Relationship Id="rId19" Type="http://schemas.openxmlformats.org/officeDocument/2006/relationships/hyperlink" Target="https://docs.google.com/document/d/1WjaXroxZsMsMUU92YoX4h88YvhajIDz_JjWeZpbq4xk/edit" TargetMode="External"/><Relationship Id="rId18" Type="http://schemas.openxmlformats.org/officeDocument/2006/relationships/hyperlink" Target="https://docs.google.com/document/d/1FeIJ6WJQopGQq34iZ3g30Ddmuidj6yqymU0TUK2Y_fQ/edit"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s-global-gm.kingsgroupgames.com:555/" TargetMode="External"/><Relationship Id="rId2"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8.xml"/><Relationship Id="rId3" Type="http://schemas.openxmlformats.org/officeDocument/2006/relationships/vmlDrawing" Target="../drawings/vmlDrawing9.vml"/></Relationships>
</file>

<file path=xl/worksheets/_rels/sheet19.xml.rels><?xml version="1.0" encoding="UTF-8" standalone="yes"?><Relationships xmlns="http://schemas.openxmlformats.org/package/2006/relationships"><Relationship Id="rId1" Type="http://schemas.openxmlformats.org/officeDocument/2006/relationships/hyperlink" Target="https://drive.google.com/file/d/1VWZGl3pKPXxQD0R-iwR7-fzTRtBI01aB/view?usp=sharing" TargetMode="External"/><Relationship Id="rId2" Type="http://schemas.openxmlformats.org/officeDocument/2006/relationships/hyperlink" Target="https://drive.google.com/file/d/1VwPM18v9h1O29bjYFTbyvC79r6L5eIMI/view?usp=sharing" TargetMode="External"/><Relationship Id="rId3" Type="http://schemas.openxmlformats.org/officeDocument/2006/relationships/hyperlink" Target="https://drive.google.com/file/d/1VwPM18v9h1O29bjYFTbyvC79r6L5eIMI/view?usp=sharing" TargetMode="External"/><Relationship Id="rId4" Type="http://schemas.openxmlformats.org/officeDocument/2006/relationships/hyperlink" Target="https://drive.google.com/file/d/1VHULaph8LIX5xtYU2GReYd7e6Z5aPil-/view" TargetMode="External"/><Relationship Id="rId5" Type="http://schemas.openxmlformats.org/officeDocument/2006/relationships/hyperlink" Target="https://drive.google.com/file/d/1VGK74tvTMsWYTaeGcy6JlRNYjo35zymn/view?usp=sharing" TargetMode="External"/><Relationship Id="rId6"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2.57"/>
    <col customWidth="1" min="2" max="2" width="28.57"/>
  </cols>
  <sheetData>
    <row r="1">
      <c r="A1" s="1"/>
      <c r="B1" s="1" t="s">
        <v>0</v>
      </c>
      <c r="E1" s="2"/>
    </row>
    <row r="2">
      <c r="A2" s="1" t="s">
        <v>1</v>
      </c>
      <c r="B2" s="3" t="s">
        <v>2</v>
      </c>
      <c r="C2" s="4" t="str">
        <f t="shared" ref="C2:C6" si="1">HYPERLINK(B2,"LINK")</f>
        <v>LINK</v>
      </c>
    </row>
    <row r="3">
      <c r="A3" s="1" t="s">
        <v>3</v>
      </c>
      <c r="B3" s="3" t="s">
        <v>4</v>
      </c>
      <c r="C3" s="4" t="str">
        <f t="shared" si="1"/>
        <v>LINK</v>
      </c>
    </row>
    <row r="4">
      <c r="A4" s="1" t="s">
        <v>5</v>
      </c>
      <c r="B4" s="3" t="s">
        <v>6</v>
      </c>
      <c r="C4" s="4" t="str">
        <f t="shared" si="1"/>
        <v>LINK</v>
      </c>
    </row>
    <row r="5">
      <c r="A5" s="1" t="s">
        <v>7</v>
      </c>
      <c r="B5" s="3" t="s">
        <v>8</v>
      </c>
      <c r="C5" s="4" t="str">
        <f t="shared" si="1"/>
        <v>LINK</v>
      </c>
    </row>
    <row r="6">
      <c r="A6" s="1" t="s">
        <v>9</v>
      </c>
      <c r="B6" s="3" t="s">
        <v>10</v>
      </c>
      <c r="C6" s="4" t="str">
        <f t="shared" si="1"/>
        <v>LINK</v>
      </c>
    </row>
    <row r="7">
      <c r="A7" s="1" t="s">
        <v>11</v>
      </c>
      <c r="B7" s="3" t="s">
        <v>12</v>
      </c>
      <c r="C7" s="4" t="str">
        <f>hyperlink(B7,"LINK")</f>
        <v>LINK</v>
      </c>
    </row>
    <row r="8">
      <c r="A8" s="1" t="s">
        <v>13</v>
      </c>
      <c r="B8" s="3" t="s">
        <v>14</v>
      </c>
      <c r="C8" s="4" t="str">
        <f t="shared" ref="C8:C10" si="2">HYPERLINK(B8,"LINK")</f>
        <v>LINK</v>
      </c>
    </row>
    <row r="9">
      <c r="A9" s="1" t="s">
        <v>15</v>
      </c>
      <c r="B9" s="3" t="s">
        <v>16</v>
      </c>
      <c r="C9" s="4" t="str">
        <f t="shared" si="2"/>
        <v>LINK</v>
      </c>
    </row>
    <row r="10">
      <c r="A10" s="1" t="s">
        <v>17</v>
      </c>
      <c r="B10" s="5" t="s">
        <v>16</v>
      </c>
      <c r="C10" s="4" t="str">
        <f t="shared" si="2"/>
        <v>LINK</v>
      </c>
    </row>
  </sheetData>
  <hyperlinks>
    <hyperlink display="https://docs.google.com/spreadsheets/d/1FxjAJq5j6zFOdBrJzEGMH3V6vSCdththo5IEMmK2aaM/edit#gid=1608119291" location="Shiftplan SoS!A1" ref="B2"/>
    <hyperlink display="https://docs.google.com/spreadsheets/d/1FxjAJq5j6zFOdBrJzEGMH3V6vSCdththo5IEMmK2aaM/edit#gid=305838313" location="Shiftplan KoA!A1" ref="B3"/>
    <hyperlink display="https://docs.google.com/spreadsheets/d/1FxjAJq5j6zFOdBrJzEGMH3V6vSCdththo5IEMmK2aaM/edit#gid=712268517" location="null!A1" ref="B4"/>
    <hyperlink display="https://docs.google.com/spreadsheets/d/1FxjAJq5j6zFOdBrJzEGMH3V6vSCdththo5IEMmK2aaM/edit#gid=1495864282" location="Resources!A1" ref="B5"/>
    <hyperlink display="https://docs.google.com/spreadsheets/d/1FxjAJq5j6zFOdBrJzEGMH3V6vSCdththo5IEMmK2aaM/edit#gid=2094387098" location="Ticket Examples!A1" ref="B6"/>
    <hyperlink display="https://docs.google.com/spreadsheets/d/1FxjAJq5j6zFOdBrJzEGMH3V6vSCdththo5IEMmK2aaM/edit#gid=665940994" location="Translation files!A1" ref="B7"/>
    <hyperlink r:id="rId2" location="gid=1041844825" ref="B8"/>
    <hyperlink display="https://docs.google.com/spreadsheets/d/1FxjAJq5j6zFOdBrJzEGMH3V6vSCdththo5IEMmK2aaM/edit#gid=1336687647" location="Processes!A1" ref="B9"/>
    <hyperlink r:id="rId3" location="gid=1336687647" ref="B10"/>
  </hyperlinks>
  <drawing r:id="rId4"/>
  <legacy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CCCC"/>
    <outlinePr summaryBelow="0" summaryRight="0"/>
  </sheetPr>
  <sheetViews>
    <sheetView workbookViewId="0"/>
  </sheetViews>
  <sheetFormatPr customHeight="1" defaultColWidth="14.43" defaultRowHeight="15.75"/>
  <cols>
    <col customWidth="1" min="1" max="1" width="62.14"/>
    <col customWidth="1" min="2" max="2" width="215.43"/>
  </cols>
  <sheetData>
    <row r="1">
      <c r="A1" s="6" t="s">
        <v>18</v>
      </c>
      <c r="B1" s="6" t="s">
        <v>19</v>
      </c>
    </row>
    <row r="2">
      <c r="A2" s="7" t="s">
        <v>20</v>
      </c>
      <c r="B2" s="8" t="s">
        <v>21</v>
      </c>
    </row>
    <row r="3">
      <c r="A3" s="7" t="s">
        <v>22</v>
      </c>
      <c r="B3" s="8" t="s">
        <v>23</v>
      </c>
    </row>
    <row r="4">
      <c r="A4" s="7" t="s">
        <v>24</v>
      </c>
      <c r="B4" s="8" t="s">
        <v>25</v>
      </c>
    </row>
    <row r="5">
      <c r="A5" s="7" t="s">
        <v>26</v>
      </c>
      <c r="B5" s="8" t="s">
        <v>27</v>
      </c>
    </row>
    <row r="6">
      <c r="A6" s="7" t="s">
        <v>28</v>
      </c>
      <c r="B6" s="8" t="s">
        <v>29</v>
      </c>
    </row>
    <row r="7">
      <c r="A7" s="9" t="s">
        <v>30</v>
      </c>
      <c r="B7" s="8" t="s">
        <v>31</v>
      </c>
    </row>
    <row r="8">
      <c r="A8" s="7" t="s">
        <v>32</v>
      </c>
      <c r="B8" s="10" t="s">
        <v>33</v>
      </c>
    </row>
    <row r="9">
      <c r="A9" s="7" t="s">
        <v>34</v>
      </c>
      <c r="B9" s="11" t="s">
        <v>35</v>
      </c>
    </row>
    <row r="10">
      <c r="A10" s="7" t="s">
        <v>36</v>
      </c>
      <c r="B10" s="10" t="s">
        <v>37</v>
      </c>
    </row>
    <row r="11">
      <c r="A11" s="7" t="s">
        <v>38</v>
      </c>
      <c r="B11" s="10" t="s">
        <v>39</v>
      </c>
    </row>
    <row r="12">
      <c r="A12" s="7" t="s">
        <v>40</v>
      </c>
      <c r="B12" s="10" t="s">
        <v>41</v>
      </c>
    </row>
    <row r="13">
      <c r="A13" s="7" t="s">
        <v>42</v>
      </c>
      <c r="B13" s="10" t="s">
        <v>43</v>
      </c>
    </row>
    <row r="14">
      <c r="A14" s="7" t="s">
        <v>44</v>
      </c>
      <c r="B14" s="8" t="s">
        <v>45</v>
      </c>
    </row>
    <row r="15">
      <c r="A15" s="7" t="s">
        <v>46</v>
      </c>
      <c r="B15" s="10" t="s">
        <v>47</v>
      </c>
    </row>
    <row r="16">
      <c r="A16" s="7" t="s">
        <v>48</v>
      </c>
      <c r="B16" s="10" t="s">
        <v>49</v>
      </c>
    </row>
    <row r="17">
      <c r="A17" s="7" t="s">
        <v>50</v>
      </c>
      <c r="B17" s="10" t="s">
        <v>51</v>
      </c>
    </row>
    <row r="18">
      <c r="A18" s="7" t="s">
        <v>52</v>
      </c>
      <c r="B18" s="8" t="s">
        <v>53</v>
      </c>
    </row>
    <row r="19">
      <c r="A19" s="7" t="s">
        <v>54</v>
      </c>
      <c r="B19" s="8" t="s">
        <v>55</v>
      </c>
    </row>
    <row r="20">
      <c r="A20" s="7" t="s">
        <v>56</v>
      </c>
      <c r="B20" s="8" t="s">
        <v>57</v>
      </c>
    </row>
    <row r="21">
      <c r="A21" s="9" t="s">
        <v>58</v>
      </c>
      <c r="B21" s="8" t="s">
        <v>59</v>
      </c>
    </row>
    <row r="22">
      <c r="A22" s="9" t="s">
        <v>60</v>
      </c>
      <c r="B22" s="8" t="s">
        <v>61</v>
      </c>
    </row>
    <row r="23">
      <c r="A23" s="9" t="s">
        <v>62</v>
      </c>
      <c r="B23" s="8" t="s">
        <v>63</v>
      </c>
    </row>
    <row r="24">
      <c r="A24" s="7" t="s">
        <v>64</v>
      </c>
      <c r="B24" s="8" t="s">
        <v>65</v>
      </c>
    </row>
    <row r="25">
      <c r="A25" s="9" t="s">
        <v>66</v>
      </c>
      <c r="B25" s="8" t="s">
        <v>67</v>
      </c>
    </row>
    <row r="26">
      <c r="A26" s="1" t="s">
        <v>68</v>
      </c>
      <c r="B26" s="3" t="s">
        <v>69</v>
      </c>
    </row>
    <row r="27">
      <c r="A27" s="7" t="s">
        <v>70</v>
      </c>
      <c r="B27" s="12" t="s">
        <v>71</v>
      </c>
    </row>
    <row r="28">
      <c r="A28" s="7" t="s">
        <v>72</v>
      </c>
      <c r="B28" s="12" t="s">
        <v>73</v>
      </c>
    </row>
    <row r="29">
      <c r="A29" s="7" t="s">
        <v>74</v>
      </c>
      <c r="B29" s="12" t="s">
        <v>75</v>
      </c>
    </row>
    <row r="30">
      <c r="A30" s="7" t="s">
        <v>76</v>
      </c>
      <c r="B30" s="12" t="s">
        <v>77</v>
      </c>
    </row>
    <row r="31">
      <c r="A31" s="7" t="s">
        <v>78</v>
      </c>
      <c r="B31" s="12" t="s">
        <v>79</v>
      </c>
    </row>
    <row r="32">
      <c r="A32" s="7" t="s">
        <v>80</v>
      </c>
      <c r="B32" s="12" t="s">
        <v>81</v>
      </c>
    </row>
    <row r="33">
      <c r="A33" s="7" t="s">
        <v>82</v>
      </c>
      <c r="B33" s="12" t="s">
        <v>83</v>
      </c>
    </row>
    <row r="34">
      <c r="A34" s="7" t="s">
        <v>84</v>
      </c>
      <c r="B34" s="12" t="s">
        <v>85</v>
      </c>
    </row>
    <row r="35">
      <c r="A35" s="9"/>
      <c r="B35" s="9"/>
    </row>
    <row r="36">
      <c r="A36" s="9"/>
      <c r="B36" s="9"/>
    </row>
    <row r="37">
      <c r="A37" s="9"/>
      <c r="B37" s="9"/>
    </row>
    <row r="38">
      <c r="A38" s="9"/>
      <c r="B38" s="9"/>
    </row>
    <row r="39">
      <c r="A39" s="9"/>
      <c r="B39" s="9"/>
    </row>
    <row r="40">
      <c r="A40" s="9"/>
      <c r="B40" s="9"/>
    </row>
    <row r="41">
      <c r="A41" s="9"/>
      <c r="B41" s="9"/>
    </row>
    <row r="42">
      <c r="A42" s="9"/>
      <c r="B42" s="9"/>
    </row>
    <row r="43">
      <c r="A43" s="9"/>
      <c r="B43" s="9"/>
    </row>
    <row r="44">
      <c r="A44" s="9"/>
      <c r="B44" s="9"/>
    </row>
    <row r="45">
      <c r="A45" s="9"/>
      <c r="B45" s="9"/>
    </row>
    <row r="46">
      <c r="A46" s="9"/>
      <c r="B46" s="9"/>
    </row>
    <row r="47">
      <c r="A47" s="9"/>
      <c r="B47" s="9"/>
    </row>
    <row r="48">
      <c r="A48" s="9"/>
      <c r="B48" s="9"/>
    </row>
    <row r="49">
      <c r="A49" s="9"/>
      <c r="B49" s="9"/>
    </row>
    <row r="50">
      <c r="A50" s="9"/>
      <c r="B50" s="9"/>
    </row>
    <row r="51">
      <c r="A51" s="9"/>
      <c r="B51" s="9"/>
    </row>
    <row r="52">
      <c r="A52" s="9"/>
      <c r="B52" s="9"/>
    </row>
    <row r="53">
      <c r="A53" s="9"/>
      <c r="B53" s="9"/>
    </row>
    <row r="54">
      <c r="A54" s="9"/>
      <c r="B54" s="9"/>
    </row>
    <row r="55">
      <c r="A55" s="9"/>
      <c r="B55" s="9"/>
    </row>
    <row r="56">
      <c r="A56" s="9"/>
      <c r="B56" s="9"/>
    </row>
    <row r="57">
      <c r="A57" s="9"/>
      <c r="B57" s="9"/>
    </row>
    <row r="58">
      <c r="A58" s="9"/>
      <c r="B58" s="9"/>
    </row>
    <row r="59">
      <c r="A59" s="9"/>
      <c r="B59" s="9"/>
    </row>
    <row r="60">
      <c r="A60" s="9"/>
      <c r="B60" s="9"/>
    </row>
    <row r="61">
      <c r="A61" s="9"/>
      <c r="B61" s="9"/>
    </row>
    <row r="62">
      <c r="A62" s="9"/>
      <c r="B62" s="9"/>
    </row>
    <row r="63">
      <c r="A63" s="9"/>
      <c r="B63" s="9"/>
    </row>
    <row r="64">
      <c r="A64" s="9"/>
      <c r="B64" s="9"/>
    </row>
    <row r="65">
      <c r="A65" s="9"/>
      <c r="B65" s="9"/>
    </row>
    <row r="66">
      <c r="A66" s="9"/>
      <c r="B66" s="9"/>
    </row>
    <row r="67">
      <c r="A67" s="9"/>
      <c r="B67" s="9"/>
    </row>
    <row r="68">
      <c r="A68" s="9"/>
      <c r="B68" s="9"/>
    </row>
    <row r="69">
      <c r="A69" s="9"/>
      <c r="B69" s="9"/>
    </row>
    <row r="70">
      <c r="A70" s="9"/>
      <c r="B70" s="9"/>
    </row>
    <row r="71">
      <c r="A71" s="9"/>
      <c r="B71" s="9"/>
    </row>
    <row r="72">
      <c r="A72" s="9"/>
      <c r="B72" s="9"/>
    </row>
    <row r="73">
      <c r="A73" s="9"/>
      <c r="B73" s="9"/>
    </row>
    <row r="74">
      <c r="A74" s="9"/>
      <c r="B74" s="9"/>
    </row>
    <row r="75">
      <c r="A75" s="9"/>
      <c r="B75" s="9"/>
    </row>
    <row r="76">
      <c r="A76" s="9"/>
      <c r="B76" s="9"/>
    </row>
    <row r="77">
      <c r="A77" s="9"/>
      <c r="B77" s="9"/>
    </row>
    <row r="78">
      <c r="A78" s="9"/>
      <c r="B78" s="9"/>
    </row>
    <row r="79">
      <c r="A79" s="9"/>
      <c r="B79" s="9"/>
    </row>
    <row r="80">
      <c r="A80" s="9"/>
      <c r="B80" s="9"/>
    </row>
    <row r="81">
      <c r="A81" s="9"/>
      <c r="B81" s="9"/>
    </row>
    <row r="82">
      <c r="A82" s="9"/>
      <c r="B82" s="9"/>
    </row>
    <row r="83">
      <c r="A83" s="9"/>
      <c r="B83" s="9"/>
    </row>
    <row r="84">
      <c r="A84" s="9"/>
      <c r="B84" s="9"/>
    </row>
    <row r="85">
      <c r="A85" s="9"/>
      <c r="B85" s="9"/>
    </row>
    <row r="86">
      <c r="A86" s="9"/>
      <c r="B86" s="9"/>
    </row>
    <row r="87">
      <c r="A87" s="9"/>
      <c r="B87" s="9"/>
    </row>
    <row r="88">
      <c r="A88" s="9"/>
      <c r="B88" s="9"/>
    </row>
    <row r="89">
      <c r="A89" s="9"/>
      <c r="B89" s="9"/>
    </row>
    <row r="90">
      <c r="A90" s="9"/>
      <c r="B90" s="9"/>
    </row>
    <row r="91">
      <c r="A91" s="9"/>
      <c r="B91" s="9"/>
    </row>
    <row r="92">
      <c r="A92" s="9"/>
      <c r="B92" s="9"/>
    </row>
    <row r="93">
      <c r="A93" s="9"/>
      <c r="B93" s="9"/>
    </row>
    <row r="94">
      <c r="A94" s="9"/>
      <c r="B94" s="9"/>
    </row>
    <row r="95">
      <c r="A95" s="9"/>
      <c r="B95" s="9"/>
    </row>
    <row r="96">
      <c r="A96" s="9"/>
      <c r="B96" s="9"/>
    </row>
    <row r="97">
      <c r="A97" s="9"/>
      <c r="B97" s="9"/>
    </row>
    <row r="98">
      <c r="A98" s="9"/>
      <c r="B98" s="9"/>
    </row>
    <row r="99">
      <c r="A99" s="9"/>
      <c r="B99" s="9"/>
    </row>
    <row r="100">
      <c r="A100" s="9"/>
      <c r="B100" s="9"/>
    </row>
    <row r="101">
      <c r="A101" s="9"/>
      <c r="B101" s="9"/>
    </row>
    <row r="102">
      <c r="A102" s="9"/>
      <c r="B102" s="9"/>
    </row>
    <row r="103">
      <c r="A103" s="9"/>
      <c r="B103" s="9"/>
    </row>
    <row r="104">
      <c r="A104" s="9"/>
      <c r="B104" s="9"/>
    </row>
    <row r="105">
      <c r="A105" s="9"/>
      <c r="B105" s="9"/>
    </row>
    <row r="106">
      <c r="A106" s="9"/>
      <c r="B106" s="9"/>
    </row>
    <row r="107">
      <c r="A107" s="9"/>
      <c r="B107" s="9"/>
    </row>
    <row r="108">
      <c r="A108" s="9"/>
      <c r="B108" s="9"/>
    </row>
    <row r="109">
      <c r="A109" s="9"/>
      <c r="B109" s="9"/>
    </row>
    <row r="110">
      <c r="A110" s="9"/>
      <c r="B110" s="9"/>
    </row>
    <row r="111">
      <c r="A111" s="9"/>
      <c r="B111" s="9"/>
    </row>
    <row r="112">
      <c r="A112" s="9"/>
      <c r="B112" s="9"/>
    </row>
    <row r="113">
      <c r="A113" s="9"/>
      <c r="B113" s="9"/>
    </row>
    <row r="114">
      <c r="A114" s="9"/>
      <c r="B114" s="9"/>
    </row>
    <row r="115">
      <c r="A115" s="9"/>
      <c r="B115" s="9"/>
    </row>
    <row r="116">
      <c r="A116" s="9"/>
      <c r="B116" s="9"/>
    </row>
    <row r="117">
      <c r="A117" s="9"/>
      <c r="B117" s="9"/>
    </row>
    <row r="118">
      <c r="A118" s="9"/>
      <c r="B118" s="9"/>
    </row>
    <row r="119">
      <c r="A119" s="9"/>
      <c r="B119" s="9"/>
    </row>
    <row r="120">
      <c r="A120" s="9"/>
      <c r="B120" s="9"/>
    </row>
    <row r="121">
      <c r="A121" s="9"/>
      <c r="B121" s="9"/>
    </row>
    <row r="122">
      <c r="A122" s="9"/>
      <c r="B122" s="9"/>
    </row>
    <row r="123">
      <c r="A123" s="9"/>
      <c r="B123" s="9"/>
    </row>
    <row r="124">
      <c r="A124" s="9"/>
      <c r="B124" s="9"/>
    </row>
    <row r="125">
      <c r="A125" s="9"/>
      <c r="B125" s="9"/>
    </row>
    <row r="126">
      <c r="A126" s="9"/>
      <c r="B126" s="9"/>
    </row>
    <row r="127">
      <c r="A127" s="9"/>
      <c r="B127" s="9"/>
    </row>
    <row r="128">
      <c r="A128" s="9"/>
      <c r="B128" s="9"/>
    </row>
    <row r="129">
      <c r="A129" s="9"/>
      <c r="B129" s="9"/>
    </row>
    <row r="130">
      <c r="A130" s="9"/>
      <c r="B130" s="9"/>
    </row>
    <row r="131">
      <c r="A131" s="9"/>
      <c r="B131" s="9"/>
    </row>
    <row r="132">
      <c r="A132" s="9"/>
      <c r="B132" s="9"/>
    </row>
    <row r="133">
      <c r="A133" s="9"/>
      <c r="B133" s="9"/>
    </row>
    <row r="134">
      <c r="A134" s="9"/>
      <c r="B134" s="9"/>
    </row>
    <row r="135">
      <c r="A135" s="9"/>
      <c r="B135" s="9"/>
    </row>
    <row r="136">
      <c r="A136" s="9"/>
      <c r="B136" s="9"/>
    </row>
    <row r="137">
      <c r="A137" s="9"/>
      <c r="B137" s="9"/>
    </row>
    <row r="138">
      <c r="A138" s="9"/>
      <c r="B138" s="9"/>
    </row>
    <row r="139">
      <c r="A139" s="9"/>
      <c r="B139" s="9"/>
    </row>
    <row r="140">
      <c r="A140" s="9"/>
      <c r="B140" s="9"/>
    </row>
    <row r="141">
      <c r="A141" s="9"/>
      <c r="B141" s="9"/>
    </row>
    <row r="142">
      <c r="A142" s="9"/>
      <c r="B142" s="9"/>
    </row>
    <row r="143">
      <c r="A143" s="9"/>
      <c r="B143" s="9"/>
    </row>
    <row r="144">
      <c r="A144" s="9"/>
      <c r="B144" s="9"/>
    </row>
    <row r="145">
      <c r="A145" s="9"/>
      <c r="B145" s="9"/>
    </row>
    <row r="146">
      <c r="A146" s="9"/>
      <c r="B146" s="9"/>
    </row>
    <row r="147">
      <c r="A147" s="9"/>
      <c r="B147" s="9"/>
    </row>
    <row r="148">
      <c r="A148" s="9"/>
      <c r="B148" s="9"/>
    </row>
    <row r="149">
      <c r="A149" s="9"/>
      <c r="B149" s="9"/>
    </row>
    <row r="150">
      <c r="A150" s="9"/>
      <c r="B150" s="9"/>
    </row>
    <row r="151">
      <c r="A151" s="9"/>
      <c r="B151" s="9"/>
    </row>
    <row r="152">
      <c r="A152" s="9"/>
      <c r="B152" s="9"/>
    </row>
    <row r="153">
      <c r="A153" s="9"/>
      <c r="B153" s="9"/>
    </row>
    <row r="154">
      <c r="A154" s="9"/>
      <c r="B154" s="9"/>
    </row>
    <row r="155">
      <c r="A155" s="9"/>
      <c r="B155" s="9"/>
    </row>
    <row r="156">
      <c r="A156" s="9"/>
      <c r="B156" s="9"/>
    </row>
    <row r="157">
      <c r="A157" s="9"/>
      <c r="B157" s="9"/>
    </row>
    <row r="158">
      <c r="A158" s="9"/>
      <c r="B158" s="9"/>
    </row>
    <row r="159">
      <c r="A159" s="9"/>
      <c r="B159" s="9"/>
    </row>
    <row r="160">
      <c r="A160" s="9"/>
      <c r="B160" s="9"/>
    </row>
    <row r="161">
      <c r="A161" s="9"/>
      <c r="B161" s="9"/>
    </row>
    <row r="162">
      <c r="A162" s="9"/>
      <c r="B162" s="9"/>
    </row>
    <row r="163">
      <c r="A163" s="9"/>
      <c r="B163" s="9"/>
    </row>
    <row r="164">
      <c r="A164" s="9"/>
      <c r="B164" s="9"/>
    </row>
    <row r="165">
      <c r="A165" s="9"/>
      <c r="B165" s="9"/>
    </row>
    <row r="166">
      <c r="A166" s="9"/>
      <c r="B166" s="9"/>
    </row>
    <row r="167">
      <c r="A167" s="9"/>
      <c r="B167" s="9"/>
    </row>
    <row r="168">
      <c r="A168" s="9"/>
      <c r="B168" s="9"/>
    </row>
    <row r="169">
      <c r="A169" s="9"/>
      <c r="B169" s="9"/>
    </row>
    <row r="170">
      <c r="A170" s="9"/>
      <c r="B170" s="9"/>
    </row>
    <row r="171">
      <c r="A171" s="9"/>
      <c r="B171" s="9"/>
    </row>
    <row r="172">
      <c r="A172" s="9"/>
      <c r="B172" s="9"/>
    </row>
    <row r="173">
      <c r="A173" s="9"/>
      <c r="B173" s="9"/>
    </row>
    <row r="174">
      <c r="A174" s="9"/>
      <c r="B174" s="9"/>
    </row>
    <row r="175">
      <c r="A175" s="9"/>
      <c r="B175" s="9"/>
    </row>
    <row r="176">
      <c r="A176" s="9"/>
      <c r="B176" s="9"/>
    </row>
    <row r="177">
      <c r="A177" s="9"/>
      <c r="B177" s="9"/>
    </row>
    <row r="178">
      <c r="A178" s="9"/>
      <c r="B178" s="9"/>
    </row>
    <row r="179">
      <c r="A179" s="9"/>
      <c r="B179" s="9"/>
    </row>
    <row r="180">
      <c r="A180" s="9"/>
      <c r="B180" s="9"/>
    </row>
    <row r="181">
      <c r="A181" s="9"/>
      <c r="B181" s="9"/>
    </row>
    <row r="182">
      <c r="A182" s="9"/>
      <c r="B182" s="9"/>
    </row>
    <row r="183">
      <c r="A183" s="9"/>
      <c r="B183" s="9"/>
    </row>
    <row r="184">
      <c r="A184" s="9"/>
      <c r="B184" s="9"/>
    </row>
    <row r="185">
      <c r="A185" s="9"/>
      <c r="B185" s="9"/>
    </row>
    <row r="186">
      <c r="A186" s="9"/>
      <c r="B186" s="9"/>
    </row>
    <row r="187">
      <c r="A187" s="9"/>
      <c r="B187" s="9"/>
    </row>
    <row r="188">
      <c r="A188" s="9"/>
      <c r="B188" s="9"/>
    </row>
    <row r="189">
      <c r="A189" s="9"/>
      <c r="B189" s="9"/>
    </row>
    <row r="190">
      <c r="A190" s="9"/>
      <c r="B190" s="9"/>
    </row>
    <row r="191">
      <c r="A191" s="9"/>
      <c r="B191" s="9"/>
    </row>
    <row r="192">
      <c r="A192" s="9"/>
      <c r="B192" s="9"/>
    </row>
    <row r="193">
      <c r="A193" s="9"/>
      <c r="B193" s="9"/>
    </row>
    <row r="194">
      <c r="A194" s="9"/>
      <c r="B194" s="9"/>
    </row>
    <row r="195">
      <c r="A195" s="9"/>
      <c r="B195" s="9"/>
    </row>
    <row r="196">
      <c r="A196" s="9"/>
      <c r="B196" s="9"/>
    </row>
    <row r="197">
      <c r="A197" s="9"/>
      <c r="B197" s="9"/>
    </row>
    <row r="198">
      <c r="A198" s="9"/>
      <c r="B198" s="9"/>
    </row>
    <row r="199">
      <c r="A199" s="9"/>
      <c r="B199" s="9"/>
    </row>
    <row r="200">
      <c r="A200" s="9"/>
      <c r="B200" s="9"/>
    </row>
    <row r="201">
      <c r="A201" s="9"/>
      <c r="B201" s="9"/>
    </row>
    <row r="202">
      <c r="A202" s="9"/>
      <c r="B202" s="9"/>
    </row>
    <row r="203">
      <c r="A203" s="9"/>
      <c r="B203" s="9"/>
    </row>
    <row r="204">
      <c r="A204" s="9"/>
      <c r="B204" s="9"/>
    </row>
    <row r="205">
      <c r="A205" s="9"/>
      <c r="B205" s="9"/>
    </row>
    <row r="206">
      <c r="A206" s="9"/>
      <c r="B206" s="9"/>
    </row>
    <row r="207">
      <c r="A207" s="9"/>
      <c r="B207" s="9"/>
    </row>
    <row r="208">
      <c r="A208" s="9"/>
      <c r="B208" s="9"/>
    </row>
    <row r="209">
      <c r="A209" s="9"/>
      <c r="B209" s="9"/>
    </row>
    <row r="210">
      <c r="A210" s="9"/>
      <c r="B210" s="9"/>
    </row>
    <row r="211">
      <c r="A211" s="9"/>
      <c r="B211" s="9"/>
    </row>
    <row r="212">
      <c r="A212" s="9"/>
      <c r="B212" s="9"/>
    </row>
    <row r="213">
      <c r="A213" s="9"/>
      <c r="B213" s="9"/>
    </row>
    <row r="214">
      <c r="A214" s="9"/>
      <c r="B214" s="9"/>
    </row>
    <row r="215">
      <c r="A215" s="9"/>
      <c r="B215" s="9"/>
    </row>
    <row r="216">
      <c r="A216" s="9"/>
      <c r="B216" s="9"/>
    </row>
    <row r="217">
      <c r="A217" s="9"/>
      <c r="B217" s="9"/>
    </row>
    <row r="218">
      <c r="A218" s="9"/>
      <c r="B218" s="9"/>
    </row>
    <row r="219">
      <c r="A219" s="9"/>
      <c r="B219" s="9"/>
    </row>
    <row r="220">
      <c r="A220" s="9"/>
      <c r="B220" s="9"/>
    </row>
    <row r="221">
      <c r="A221" s="9"/>
      <c r="B221" s="9"/>
    </row>
    <row r="222">
      <c r="A222" s="9"/>
      <c r="B222" s="9"/>
    </row>
    <row r="223">
      <c r="A223" s="9"/>
      <c r="B223" s="9"/>
    </row>
    <row r="224">
      <c r="A224" s="9"/>
      <c r="B224" s="9"/>
    </row>
    <row r="225">
      <c r="A225" s="9"/>
      <c r="B225" s="9"/>
    </row>
    <row r="226">
      <c r="A226" s="9"/>
      <c r="B226" s="9"/>
    </row>
    <row r="227">
      <c r="A227" s="9"/>
      <c r="B227" s="9"/>
    </row>
    <row r="228">
      <c r="A228" s="9"/>
      <c r="B228" s="9"/>
    </row>
    <row r="229">
      <c r="A229" s="9"/>
      <c r="B229" s="9"/>
    </row>
    <row r="230">
      <c r="A230" s="9"/>
      <c r="B230" s="9"/>
    </row>
    <row r="231">
      <c r="A231" s="9"/>
      <c r="B231" s="9"/>
    </row>
    <row r="232">
      <c r="A232" s="9"/>
      <c r="B232" s="9"/>
    </row>
    <row r="233">
      <c r="A233" s="9"/>
      <c r="B233" s="9"/>
    </row>
    <row r="234">
      <c r="A234" s="9"/>
      <c r="B234" s="9"/>
    </row>
    <row r="235">
      <c r="A235" s="9"/>
      <c r="B235" s="9"/>
    </row>
    <row r="236">
      <c r="A236" s="9"/>
      <c r="B236" s="9"/>
    </row>
    <row r="237">
      <c r="A237" s="9"/>
      <c r="B237" s="9"/>
    </row>
    <row r="238">
      <c r="A238" s="9"/>
      <c r="B238" s="9"/>
    </row>
    <row r="239">
      <c r="A239" s="9"/>
      <c r="B239" s="9"/>
    </row>
    <row r="240">
      <c r="A240" s="9"/>
      <c r="B240" s="9"/>
    </row>
    <row r="241">
      <c r="A241" s="9"/>
      <c r="B241" s="9"/>
    </row>
    <row r="242">
      <c r="A242" s="9"/>
      <c r="B242" s="9"/>
    </row>
    <row r="243">
      <c r="A243" s="9"/>
      <c r="B243" s="9"/>
    </row>
    <row r="244">
      <c r="A244" s="9"/>
      <c r="B244" s="9"/>
    </row>
    <row r="245">
      <c r="A245" s="9"/>
      <c r="B245" s="9"/>
    </row>
    <row r="246">
      <c r="A246" s="9"/>
      <c r="B246" s="9"/>
    </row>
    <row r="247">
      <c r="A247" s="9"/>
      <c r="B247" s="9"/>
    </row>
    <row r="248">
      <c r="A248" s="9"/>
      <c r="B248" s="9"/>
    </row>
    <row r="249">
      <c r="A249" s="9"/>
      <c r="B249" s="9"/>
    </row>
    <row r="250">
      <c r="A250" s="9"/>
      <c r="B250" s="9"/>
    </row>
    <row r="251">
      <c r="A251" s="9"/>
      <c r="B251" s="9"/>
    </row>
    <row r="252">
      <c r="A252" s="9"/>
      <c r="B252" s="9"/>
    </row>
    <row r="253">
      <c r="A253" s="9"/>
      <c r="B253" s="9"/>
    </row>
    <row r="254">
      <c r="A254" s="9"/>
      <c r="B254" s="9"/>
    </row>
    <row r="255">
      <c r="A255" s="9"/>
      <c r="B255" s="9"/>
    </row>
    <row r="256">
      <c r="A256" s="9"/>
      <c r="B256" s="9"/>
    </row>
    <row r="257">
      <c r="A257" s="9"/>
      <c r="B257" s="9"/>
    </row>
    <row r="258">
      <c r="A258" s="9"/>
      <c r="B258" s="9"/>
    </row>
    <row r="259">
      <c r="A259" s="9"/>
      <c r="B259" s="9"/>
    </row>
    <row r="260">
      <c r="A260" s="9"/>
      <c r="B260" s="9"/>
    </row>
    <row r="261">
      <c r="A261" s="9"/>
      <c r="B261" s="9"/>
    </row>
    <row r="262">
      <c r="A262" s="9"/>
      <c r="B262" s="9"/>
    </row>
    <row r="263">
      <c r="A263" s="9"/>
      <c r="B263" s="9"/>
    </row>
    <row r="264">
      <c r="A264" s="9"/>
      <c r="B264" s="9"/>
    </row>
    <row r="265">
      <c r="A265" s="9"/>
      <c r="B265" s="9"/>
    </row>
    <row r="266">
      <c r="A266" s="9"/>
      <c r="B266" s="9"/>
    </row>
    <row r="267">
      <c r="A267" s="9"/>
      <c r="B267" s="9"/>
    </row>
    <row r="268">
      <c r="A268" s="9"/>
      <c r="B268" s="9"/>
    </row>
    <row r="269">
      <c r="A269" s="9"/>
      <c r="B269" s="9"/>
    </row>
    <row r="270">
      <c r="A270" s="9"/>
      <c r="B270" s="9"/>
    </row>
    <row r="271">
      <c r="A271" s="9"/>
      <c r="B271" s="9"/>
    </row>
    <row r="272">
      <c r="A272" s="9"/>
      <c r="B272" s="9"/>
    </row>
    <row r="273">
      <c r="A273" s="9"/>
      <c r="B273" s="9"/>
    </row>
    <row r="274">
      <c r="A274" s="9"/>
      <c r="B274" s="9"/>
    </row>
    <row r="275">
      <c r="A275" s="9"/>
      <c r="B275" s="9"/>
    </row>
    <row r="276">
      <c r="A276" s="9"/>
      <c r="B276" s="9"/>
    </row>
    <row r="277">
      <c r="A277" s="9"/>
      <c r="B277" s="9"/>
    </row>
    <row r="278">
      <c r="A278" s="9"/>
      <c r="B278" s="9"/>
    </row>
    <row r="279">
      <c r="A279" s="9"/>
      <c r="B279" s="9"/>
    </row>
    <row r="280">
      <c r="A280" s="9"/>
      <c r="B280" s="9"/>
    </row>
    <row r="281">
      <c r="A281" s="9"/>
      <c r="B281" s="9"/>
    </row>
    <row r="282">
      <c r="A282" s="9"/>
      <c r="B282" s="9"/>
    </row>
    <row r="283">
      <c r="A283" s="9"/>
      <c r="B283" s="9"/>
    </row>
    <row r="284">
      <c r="A284" s="9"/>
      <c r="B284" s="9"/>
    </row>
    <row r="285">
      <c r="A285" s="9"/>
      <c r="B285" s="9"/>
    </row>
    <row r="286">
      <c r="A286" s="9"/>
      <c r="B286" s="9"/>
    </row>
    <row r="287">
      <c r="A287" s="9"/>
      <c r="B287" s="9"/>
    </row>
    <row r="288">
      <c r="A288" s="9"/>
      <c r="B288" s="9"/>
    </row>
    <row r="289">
      <c r="A289" s="9"/>
      <c r="B289" s="9"/>
    </row>
    <row r="290">
      <c r="A290" s="9"/>
      <c r="B290" s="9"/>
    </row>
    <row r="291">
      <c r="A291" s="9"/>
      <c r="B291" s="9"/>
    </row>
    <row r="292">
      <c r="A292" s="9"/>
      <c r="B292" s="9"/>
    </row>
    <row r="293">
      <c r="A293" s="9"/>
      <c r="B293" s="9"/>
    </row>
    <row r="294">
      <c r="A294" s="9"/>
      <c r="B294" s="9"/>
    </row>
    <row r="295">
      <c r="A295" s="9"/>
      <c r="B295" s="9"/>
    </row>
    <row r="296">
      <c r="A296" s="9"/>
      <c r="B296" s="9"/>
    </row>
    <row r="297">
      <c r="A297" s="9"/>
      <c r="B297" s="9"/>
    </row>
    <row r="298">
      <c r="A298" s="9"/>
      <c r="B298" s="9"/>
    </row>
    <row r="299">
      <c r="A299" s="9"/>
      <c r="B299" s="9"/>
    </row>
    <row r="300">
      <c r="A300" s="9"/>
      <c r="B300" s="9"/>
    </row>
    <row r="301">
      <c r="A301" s="9"/>
      <c r="B301" s="9"/>
    </row>
    <row r="302">
      <c r="A302" s="9"/>
      <c r="B302" s="9"/>
    </row>
    <row r="303">
      <c r="A303" s="9"/>
      <c r="B303" s="9"/>
    </row>
    <row r="304">
      <c r="A304" s="9"/>
      <c r="B304" s="9"/>
    </row>
    <row r="305">
      <c r="A305" s="9"/>
      <c r="B305" s="9"/>
    </row>
    <row r="306">
      <c r="A306" s="9"/>
      <c r="B306" s="9"/>
    </row>
    <row r="307">
      <c r="A307" s="9"/>
      <c r="B307" s="9"/>
    </row>
    <row r="308">
      <c r="A308" s="9"/>
      <c r="B308" s="9"/>
    </row>
    <row r="309">
      <c r="A309" s="9"/>
      <c r="B309" s="9"/>
    </row>
    <row r="310">
      <c r="A310" s="9"/>
      <c r="B310" s="9"/>
    </row>
    <row r="311">
      <c r="A311" s="9"/>
      <c r="B311" s="9"/>
    </row>
    <row r="312">
      <c r="A312" s="9"/>
      <c r="B312" s="9"/>
    </row>
    <row r="313">
      <c r="A313" s="9"/>
      <c r="B313" s="9"/>
    </row>
    <row r="314">
      <c r="A314" s="9"/>
      <c r="B314" s="9"/>
    </row>
    <row r="315">
      <c r="A315" s="9"/>
      <c r="B315" s="9"/>
    </row>
    <row r="316">
      <c r="A316" s="9"/>
      <c r="B316" s="9"/>
    </row>
    <row r="317">
      <c r="A317" s="9"/>
      <c r="B317" s="9"/>
    </row>
    <row r="318">
      <c r="A318" s="9"/>
      <c r="B318" s="9"/>
    </row>
    <row r="319">
      <c r="A319" s="9"/>
      <c r="B319" s="9"/>
    </row>
    <row r="320">
      <c r="A320" s="9"/>
      <c r="B320" s="9"/>
    </row>
    <row r="321">
      <c r="A321" s="9"/>
      <c r="B321" s="9"/>
    </row>
    <row r="322">
      <c r="A322" s="9"/>
      <c r="B322" s="9"/>
    </row>
    <row r="323">
      <c r="A323" s="9"/>
      <c r="B323" s="9"/>
    </row>
    <row r="324">
      <c r="A324" s="9"/>
      <c r="B324" s="9"/>
    </row>
    <row r="325">
      <c r="A325" s="9"/>
      <c r="B325" s="9"/>
    </row>
    <row r="326">
      <c r="A326" s="9"/>
      <c r="B326" s="9"/>
    </row>
    <row r="327">
      <c r="A327" s="9"/>
      <c r="B327" s="9"/>
    </row>
    <row r="328">
      <c r="A328" s="9"/>
      <c r="B328" s="9"/>
    </row>
    <row r="329">
      <c r="A329" s="9"/>
      <c r="B329" s="9"/>
    </row>
    <row r="330">
      <c r="A330" s="9"/>
      <c r="B330" s="9"/>
    </row>
    <row r="331">
      <c r="A331" s="9"/>
      <c r="B331" s="9"/>
    </row>
    <row r="332">
      <c r="A332" s="9"/>
      <c r="B332" s="9"/>
    </row>
    <row r="333">
      <c r="A333" s="9"/>
      <c r="B333" s="9"/>
    </row>
    <row r="334">
      <c r="A334" s="9"/>
      <c r="B334" s="9"/>
    </row>
    <row r="335">
      <c r="A335" s="9"/>
      <c r="B335" s="9"/>
    </row>
    <row r="336">
      <c r="A336" s="9"/>
      <c r="B336" s="9"/>
    </row>
    <row r="337">
      <c r="A337" s="9"/>
      <c r="B337" s="9"/>
    </row>
    <row r="338">
      <c r="A338" s="9"/>
      <c r="B338" s="9"/>
    </row>
    <row r="339">
      <c r="A339" s="9"/>
      <c r="B339" s="9"/>
    </row>
    <row r="340">
      <c r="A340" s="9"/>
      <c r="B340" s="9"/>
    </row>
    <row r="341">
      <c r="A341" s="9"/>
      <c r="B341" s="9"/>
    </row>
    <row r="342">
      <c r="A342" s="9"/>
      <c r="B342" s="9"/>
    </row>
    <row r="343">
      <c r="A343" s="9"/>
      <c r="B343" s="9"/>
    </row>
    <row r="344">
      <c r="A344" s="9"/>
      <c r="B344" s="9"/>
    </row>
    <row r="345">
      <c r="A345" s="9"/>
      <c r="B345" s="9"/>
    </row>
    <row r="346">
      <c r="A346" s="9"/>
      <c r="B346" s="9"/>
    </row>
    <row r="347">
      <c r="A347" s="9"/>
      <c r="B347" s="9"/>
    </row>
    <row r="348">
      <c r="A348" s="9"/>
      <c r="B348" s="9"/>
    </row>
    <row r="349">
      <c r="A349" s="9"/>
      <c r="B349" s="9"/>
    </row>
    <row r="350">
      <c r="A350" s="9"/>
      <c r="B350" s="9"/>
    </row>
    <row r="351">
      <c r="A351" s="9"/>
      <c r="B351" s="9"/>
    </row>
    <row r="352">
      <c r="A352" s="9"/>
      <c r="B352" s="9"/>
    </row>
    <row r="353">
      <c r="A353" s="9"/>
      <c r="B353" s="9"/>
    </row>
    <row r="354">
      <c r="A354" s="9"/>
      <c r="B354" s="9"/>
    </row>
    <row r="355">
      <c r="A355" s="9"/>
      <c r="B355" s="9"/>
    </row>
    <row r="356">
      <c r="A356" s="9"/>
      <c r="B356" s="9"/>
    </row>
    <row r="357">
      <c r="A357" s="9"/>
      <c r="B357" s="9"/>
    </row>
    <row r="358">
      <c r="A358" s="9"/>
      <c r="B358" s="9"/>
    </row>
    <row r="359">
      <c r="A359" s="9"/>
      <c r="B359" s="9"/>
    </row>
    <row r="360">
      <c r="A360" s="9"/>
      <c r="B360" s="9"/>
    </row>
    <row r="361">
      <c r="A361" s="9"/>
      <c r="B361" s="9"/>
    </row>
    <row r="362">
      <c r="A362" s="9"/>
      <c r="B362" s="9"/>
    </row>
    <row r="363">
      <c r="A363" s="9"/>
      <c r="B363" s="9"/>
    </row>
    <row r="364">
      <c r="A364" s="9"/>
      <c r="B364" s="9"/>
    </row>
    <row r="365">
      <c r="A365" s="9"/>
      <c r="B365" s="9"/>
    </row>
    <row r="366">
      <c r="A366" s="9"/>
      <c r="B366" s="9"/>
    </row>
    <row r="367">
      <c r="A367" s="9"/>
      <c r="B367" s="9"/>
    </row>
    <row r="368">
      <c r="A368" s="9"/>
      <c r="B368" s="9"/>
    </row>
    <row r="369">
      <c r="A369" s="9"/>
      <c r="B369" s="9"/>
    </row>
    <row r="370">
      <c r="A370" s="9"/>
      <c r="B370" s="9"/>
    </row>
    <row r="371">
      <c r="A371" s="9"/>
      <c r="B371" s="9"/>
    </row>
    <row r="372">
      <c r="A372" s="9"/>
      <c r="B372" s="9"/>
    </row>
    <row r="373">
      <c r="A373" s="9"/>
      <c r="B373" s="9"/>
    </row>
    <row r="374">
      <c r="A374" s="9"/>
      <c r="B374" s="9"/>
    </row>
    <row r="375">
      <c r="A375" s="9"/>
      <c r="B375" s="9"/>
    </row>
    <row r="376">
      <c r="A376" s="9"/>
      <c r="B376" s="9"/>
    </row>
    <row r="377">
      <c r="A377" s="9"/>
      <c r="B377" s="9"/>
    </row>
    <row r="378">
      <c r="A378" s="9"/>
      <c r="B378" s="9"/>
    </row>
    <row r="379">
      <c r="A379" s="9"/>
      <c r="B379" s="9"/>
    </row>
    <row r="380">
      <c r="A380" s="9"/>
      <c r="B380" s="9"/>
    </row>
    <row r="381">
      <c r="A381" s="9"/>
      <c r="B381" s="9"/>
    </row>
    <row r="382">
      <c r="A382" s="9"/>
      <c r="B382" s="9"/>
    </row>
    <row r="383">
      <c r="A383" s="9"/>
      <c r="B383" s="9"/>
    </row>
    <row r="384">
      <c r="A384" s="9"/>
      <c r="B384" s="9"/>
    </row>
    <row r="385">
      <c r="A385" s="9"/>
      <c r="B385" s="9"/>
    </row>
    <row r="386">
      <c r="A386" s="9"/>
      <c r="B386" s="9"/>
    </row>
    <row r="387">
      <c r="A387" s="9"/>
      <c r="B387" s="9"/>
    </row>
    <row r="388">
      <c r="A388" s="9"/>
      <c r="B388" s="9"/>
    </row>
    <row r="389">
      <c r="A389" s="9"/>
      <c r="B389" s="9"/>
    </row>
    <row r="390">
      <c r="A390" s="9"/>
      <c r="B390" s="9"/>
    </row>
    <row r="391">
      <c r="A391" s="9"/>
      <c r="B391" s="9"/>
    </row>
    <row r="392">
      <c r="A392" s="9"/>
      <c r="B392" s="9"/>
    </row>
    <row r="393">
      <c r="A393" s="9"/>
      <c r="B393" s="9"/>
    </row>
    <row r="394">
      <c r="A394" s="9"/>
      <c r="B394" s="9"/>
    </row>
    <row r="395">
      <c r="A395" s="9"/>
      <c r="B395" s="9"/>
    </row>
    <row r="396">
      <c r="A396" s="9"/>
      <c r="B396" s="9"/>
    </row>
    <row r="397">
      <c r="A397" s="9"/>
      <c r="B397" s="9"/>
    </row>
    <row r="398">
      <c r="A398" s="9"/>
      <c r="B398" s="9"/>
    </row>
    <row r="399">
      <c r="A399" s="9"/>
      <c r="B399" s="9"/>
    </row>
    <row r="400">
      <c r="A400" s="9"/>
      <c r="B400" s="9"/>
    </row>
    <row r="401">
      <c r="A401" s="9"/>
      <c r="B401" s="9"/>
    </row>
    <row r="402">
      <c r="A402" s="9"/>
      <c r="B402" s="9"/>
    </row>
    <row r="403">
      <c r="A403" s="9"/>
      <c r="B403" s="9"/>
    </row>
    <row r="404">
      <c r="A404" s="9"/>
      <c r="B404" s="9"/>
    </row>
    <row r="405">
      <c r="A405" s="9"/>
      <c r="B405" s="9"/>
    </row>
    <row r="406">
      <c r="A406" s="9"/>
      <c r="B406" s="9"/>
    </row>
    <row r="407">
      <c r="A407" s="9"/>
      <c r="B407" s="9"/>
    </row>
    <row r="408">
      <c r="A408" s="9"/>
      <c r="B408" s="9"/>
    </row>
    <row r="409">
      <c r="A409" s="9"/>
      <c r="B409" s="9"/>
    </row>
    <row r="410">
      <c r="A410" s="9"/>
      <c r="B410" s="9"/>
    </row>
    <row r="411">
      <c r="A411" s="9"/>
      <c r="B411" s="9"/>
    </row>
    <row r="412">
      <c r="A412" s="9"/>
      <c r="B412" s="9"/>
    </row>
    <row r="413">
      <c r="A413" s="9"/>
      <c r="B413" s="9"/>
    </row>
    <row r="414">
      <c r="A414" s="9"/>
      <c r="B414" s="9"/>
    </row>
    <row r="415">
      <c r="A415" s="9"/>
      <c r="B415" s="9"/>
    </row>
    <row r="416">
      <c r="A416" s="9"/>
      <c r="B416" s="9"/>
    </row>
    <row r="417">
      <c r="A417" s="9"/>
      <c r="B417" s="9"/>
    </row>
    <row r="418">
      <c r="A418" s="9"/>
      <c r="B418" s="9"/>
    </row>
    <row r="419">
      <c r="A419" s="9"/>
      <c r="B419" s="9"/>
    </row>
    <row r="420">
      <c r="A420" s="9"/>
      <c r="B420" s="9"/>
    </row>
    <row r="421">
      <c r="A421" s="9"/>
      <c r="B421" s="9"/>
    </row>
    <row r="422">
      <c r="A422" s="9"/>
      <c r="B422" s="9"/>
    </row>
    <row r="423">
      <c r="A423" s="9"/>
      <c r="B423" s="9"/>
    </row>
    <row r="424">
      <c r="A424" s="9"/>
      <c r="B424" s="9"/>
    </row>
    <row r="425">
      <c r="A425" s="9"/>
      <c r="B425" s="9"/>
    </row>
    <row r="426">
      <c r="A426" s="9"/>
      <c r="B426" s="9"/>
    </row>
    <row r="427">
      <c r="A427" s="9"/>
      <c r="B427" s="9"/>
    </row>
    <row r="428">
      <c r="A428" s="9"/>
      <c r="B428" s="9"/>
    </row>
    <row r="429">
      <c r="A429" s="9"/>
      <c r="B429" s="9"/>
    </row>
    <row r="430">
      <c r="A430" s="9"/>
      <c r="B430" s="9"/>
    </row>
    <row r="431">
      <c r="A431" s="9"/>
      <c r="B431" s="9"/>
    </row>
    <row r="432">
      <c r="A432" s="9"/>
      <c r="B432" s="9"/>
    </row>
    <row r="433">
      <c r="A433" s="9"/>
      <c r="B433" s="9"/>
    </row>
    <row r="434">
      <c r="A434" s="9"/>
      <c r="B434" s="9"/>
    </row>
    <row r="435">
      <c r="A435" s="9"/>
      <c r="B435" s="9"/>
    </row>
    <row r="436">
      <c r="A436" s="9"/>
      <c r="B436" s="9"/>
    </row>
    <row r="437">
      <c r="A437" s="9"/>
      <c r="B437" s="9"/>
    </row>
    <row r="438">
      <c r="A438" s="9"/>
      <c r="B438" s="9"/>
    </row>
    <row r="439">
      <c r="A439" s="9"/>
      <c r="B439" s="9"/>
    </row>
    <row r="440">
      <c r="A440" s="9"/>
      <c r="B440" s="9"/>
    </row>
    <row r="441">
      <c r="A441" s="9"/>
      <c r="B441" s="9"/>
    </row>
    <row r="442">
      <c r="A442" s="9"/>
      <c r="B442" s="9"/>
    </row>
    <row r="443">
      <c r="A443" s="9"/>
      <c r="B443" s="9"/>
    </row>
    <row r="444">
      <c r="A444" s="9"/>
      <c r="B444" s="9"/>
    </row>
    <row r="445">
      <c r="A445" s="9"/>
      <c r="B445" s="9"/>
    </row>
    <row r="446">
      <c r="A446" s="9"/>
      <c r="B446" s="9"/>
    </row>
    <row r="447">
      <c r="A447" s="9"/>
      <c r="B447" s="9"/>
    </row>
    <row r="448">
      <c r="A448" s="9"/>
      <c r="B448" s="9"/>
    </row>
    <row r="449">
      <c r="A449" s="9"/>
      <c r="B449" s="9"/>
    </row>
    <row r="450">
      <c r="A450" s="9"/>
      <c r="B450" s="9"/>
    </row>
    <row r="451">
      <c r="A451" s="9"/>
      <c r="B451" s="9"/>
    </row>
    <row r="452">
      <c r="A452" s="9"/>
      <c r="B452" s="9"/>
    </row>
    <row r="453">
      <c r="A453" s="9"/>
      <c r="B453" s="9"/>
    </row>
    <row r="454">
      <c r="A454" s="9"/>
      <c r="B454" s="9"/>
    </row>
    <row r="455">
      <c r="A455" s="9"/>
      <c r="B455" s="9"/>
    </row>
    <row r="456">
      <c r="A456" s="9"/>
      <c r="B456" s="9"/>
    </row>
    <row r="457">
      <c r="A457" s="9"/>
      <c r="B457" s="9"/>
    </row>
    <row r="458">
      <c r="A458" s="9"/>
      <c r="B458" s="9"/>
    </row>
    <row r="459">
      <c r="A459" s="9"/>
      <c r="B459" s="9"/>
    </row>
    <row r="460">
      <c r="A460" s="9"/>
      <c r="B460" s="9"/>
    </row>
    <row r="461">
      <c r="A461" s="9"/>
      <c r="B461" s="9"/>
    </row>
    <row r="462">
      <c r="A462" s="9"/>
      <c r="B462" s="9"/>
    </row>
    <row r="463">
      <c r="A463" s="9"/>
      <c r="B463" s="9"/>
    </row>
    <row r="464">
      <c r="A464" s="9"/>
      <c r="B464" s="9"/>
    </row>
    <row r="465">
      <c r="A465" s="9"/>
      <c r="B465" s="9"/>
    </row>
    <row r="466">
      <c r="A466" s="9"/>
      <c r="B466" s="9"/>
    </row>
    <row r="467">
      <c r="A467" s="9"/>
      <c r="B467" s="9"/>
    </row>
    <row r="468">
      <c r="A468" s="9"/>
      <c r="B468" s="9"/>
    </row>
    <row r="469">
      <c r="A469" s="9"/>
      <c r="B469" s="9"/>
    </row>
    <row r="470">
      <c r="A470" s="9"/>
      <c r="B470" s="9"/>
    </row>
    <row r="471">
      <c r="A471" s="9"/>
      <c r="B471" s="9"/>
    </row>
    <row r="472">
      <c r="A472" s="9"/>
      <c r="B472" s="9"/>
    </row>
    <row r="473">
      <c r="A473" s="9"/>
      <c r="B473" s="9"/>
    </row>
    <row r="474">
      <c r="A474" s="9"/>
      <c r="B474" s="9"/>
    </row>
    <row r="475">
      <c r="A475" s="9"/>
      <c r="B475" s="9"/>
    </row>
    <row r="476">
      <c r="A476" s="9"/>
      <c r="B476" s="9"/>
    </row>
    <row r="477">
      <c r="A477" s="9"/>
      <c r="B477" s="9"/>
    </row>
    <row r="478">
      <c r="A478" s="9"/>
      <c r="B478" s="9"/>
    </row>
    <row r="479">
      <c r="A479" s="9"/>
      <c r="B479" s="9"/>
    </row>
    <row r="480">
      <c r="A480" s="9"/>
      <c r="B480" s="9"/>
    </row>
    <row r="481">
      <c r="A481" s="9"/>
      <c r="B481" s="9"/>
    </row>
    <row r="482">
      <c r="A482" s="9"/>
      <c r="B482" s="9"/>
    </row>
    <row r="483">
      <c r="A483" s="9"/>
      <c r="B483" s="9"/>
    </row>
    <row r="484">
      <c r="A484" s="9"/>
      <c r="B484" s="9"/>
    </row>
    <row r="485">
      <c r="A485" s="9"/>
      <c r="B485" s="9"/>
    </row>
    <row r="486">
      <c r="A486" s="9"/>
      <c r="B486" s="9"/>
    </row>
    <row r="487">
      <c r="A487" s="9"/>
      <c r="B487" s="9"/>
    </row>
    <row r="488">
      <c r="A488" s="9"/>
      <c r="B488" s="9"/>
    </row>
    <row r="489">
      <c r="A489" s="9"/>
      <c r="B489" s="9"/>
    </row>
    <row r="490">
      <c r="A490" s="9"/>
      <c r="B490" s="9"/>
    </row>
    <row r="491">
      <c r="A491" s="9"/>
      <c r="B491" s="9"/>
    </row>
    <row r="492">
      <c r="A492" s="9"/>
      <c r="B492" s="9"/>
    </row>
    <row r="493">
      <c r="A493" s="9"/>
      <c r="B493" s="9"/>
    </row>
    <row r="494">
      <c r="A494" s="9"/>
      <c r="B494" s="9"/>
    </row>
    <row r="495">
      <c r="A495" s="9"/>
      <c r="B495" s="9"/>
    </row>
    <row r="496">
      <c r="A496" s="9"/>
      <c r="B496" s="9"/>
    </row>
    <row r="497">
      <c r="A497" s="9"/>
      <c r="B497" s="9"/>
    </row>
    <row r="498">
      <c r="A498" s="9"/>
      <c r="B498" s="9"/>
    </row>
    <row r="499">
      <c r="A499" s="9"/>
      <c r="B499" s="9"/>
    </row>
    <row r="500">
      <c r="A500" s="9"/>
      <c r="B500" s="9"/>
    </row>
    <row r="501">
      <c r="A501" s="9"/>
      <c r="B501" s="9"/>
    </row>
    <row r="502">
      <c r="A502" s="9"/>
      <c r="B502" s="9"/>
    </row>
    <row r="503">
      <c r="A503" s="9"/>
      <c r="B503" s="9"/>
    </row>
    <row r="504">
      <c r="A504" s="9"/>
      <c r="B504" s="9"/>
    </row>
    <row r="505">
      <c r="A505" s="9"/>
      <c r="B505" s="9"/>
    </row>
    <row r="506">
      <c r="A506" s="9"/>
      <c r="B506" s="9"/>
    </row>
    <row r="507">
      <c r="A507" s="9"/>
      <c r="B507" s="9"/>
    </row>
    <row r="508">
      <c r="A508" s="9"/>
      <c r="B508" s="9"/>
    </row>
    <row r="509">
      <c r="A509" s="9"/>
      <c r="B509" s="9"/>
    </row>
    <row r="510">
      <c r="A510" s="9"/>
      <c r="B510" s="9"/>
    </row>
    <row r="511">
      <c r="A511" s="9"/>
      <c r="B511" s="9"/>
    </row>
    <row r="512">
      <c r="A512" s="9"/>
      <c r="B512" s="9"/>
    </row>
    <row r="513">
      <c r="A513" s="9"/>
      <c r="B513" s="9"/>
    </row>
    <row r="514">
      <c r="A514" s="9"/>
      <c r="B514" s="9"/>
    </row>
    <row r="515">
      <c r="A515" s="9"/>
      <c r="B515" s="9"/>
    </row>
    <row r="516">
      <c r="A516" s="9"/>
      <c r="B516" s="9"/>
    </row>
    <row r="517">
      <c r="A517" s="9"/>
      <c r="B517" s="9"/>
    </row>
    <row r="518">
      <c r="A518" s="9"/>
      <c r="B518" s="9"/>
    </row>
    <row r="519">
      <c r="A519" s="9"/>
      <c r="B519" s="9"/>
    </row>
    <row r="520">
      <c r="A520" s="9"/>
      <c r="B520" s="9"/>
    </row>
    <row r="521">
      <c r="A521" s="9"/>
      <c r="B521" s="9"/>
    </row>
    <row r="522">
      <c r="A522" s="9"/>
      <c r="B522" s="9"/>
    </row>
    <row r="523">
      <c r="A523" s="9"/>
      <c r="B523" s="9"/>
    </row>
    <row r="524">
      <c r="A524" s="9"/>
      <c r="B524" s="9"/>
    </row>
    <row r="525">
      <c r="A525" s="9"/>
      <c r="B525" s="9"/>
    </row>
    <row r="526">
      <c r="A526" s="9"/>
      <c r="B526" s="9"/>
    </row>
    <row r="527">
      <c r="A527" s="9"/>
      <c r="B527" s="9"/>
    </row>
    <row r="528">
      <c r="A528" s="9"/>
      <c r="B528" s="9"/>
    </row>
    <row r="529">
      <c r="A529" s="9"/>
      <c r="B529" s="9"/>
    </row>
    <row r="530">
      <c r="A530" s="9"/>
      <c r="B530" s="9"/>
    </row>
    <row r="531">
      <c r="A531" s="9"/>
      <c r="B531" s="9"/>
    </row>
    <row r="532">
      <c r="A532" s="9"/>
      <c r="B532" s="9"/>
    </row>
    <row r="533">
      <c r="A533" s="9"/>
      <c r="B533" s="9"/>
    </row>
    <row r="534">
      <c r="A534" s="9"/>
      <c r="B534" s="9"/>
    </row>
    <row r="535">
      <c r="A535" s="9"/>
      <c r="B535" s="9"/>
    </row>
    <row r="536">
      <c r="A536" s="9"/>
      <c r="B536" s="9"/>
    </row>
    <row r="537">
      <c r="A537" s="9"/>
      <c r="B537" s="9"/>
    </row>
    <row r="538">
      <c r="A538" s="9"/>
      <c r="B538" s="9"/>
    </row>
    <row r="539">
      <c r="A539" s="9"/>
      <c r="B539" s="9"/>
    </row>
    <row r="540">
      <c r="A540" s="9"/>
      <c r="B540" s="9"/>
    </row>
    <row r="541">
      <c r="A541" s="9"/>
      <c r="B541" s="9"/>
    </row>
    <row r="542">
      <c r="A542" s="9"/>
      <c r="B542" s="9"/>
    </row>
    <row r="543">
      <c r="A543" s="9"/>
      <c r="B543" s="9"/>
    </row>
    <row r="544">
      <c r="A544" s="9"/>
      <c r="B544" s="9"/>
    </row>
    <row r="545">
      <c r="A545" s="9"/>
      <c r="B545" s="9"/>
    </row>
    <row r="546">
      <c r="A546" s="9"/>
      <c r="B546" s="9"/>
    </row>
    <row r="547">
      <c r="A547" s="9"/>
      <c r="B547" s="9"/>
    </row>
    <row r="548">
      <c r="A548" s="9"/>
      <c r="B548" s="9"/>
    </row>
    <row r="549">
      <c r="A549" s="9"/>
      <c r="B549" s="9"/>
    </row>
    <row r="550">
      <c r="A550" s="9"/>
      <c r="B550" s="9"/>
    </row>
    <row r="551">
      <c r="A551" s="9"/>
      <c r="B551" s="9"/>
    </row>
    <row r="552">
      <c r="A552" s="9"/>
      <c r="B552" s="9"/>
    </row>
    <row r="553">
      <c r="A553" s="9"/>
      <c r="B553" s="9"/>
    </row>
    <row r="554">
      <c r="A554" s="9"/>
      <c r="B554" s="9"/>
    </row>
    <row r="555">
      <c r="A555" s="9"/>
      <c r="B555" s="9"/>
    </row>
    <row r="556">
      <c r="A556" s="9"/>
      <c r="B556" s="9"/>
    </row>
    <row r="557">
      <c r="A557" s="9"/>
      <c r="B557" s="9"/>
    </row>
    <row r="558">
      <c r="A558" s="9"/>
      <c r="B558" s="9"/>
    </row>
    <row r="559">
      <c r="A559" s="9"/>
      <c r="B559" s="9"/>
    </row>
    <row r="560">
      <c r="A560" s="9"/>
      <c r="B560" s="9"/>
    </row>
    <row r="561">
      <c r="A561" s="9"/>
      <c r="B561" s="9"/>
    </row>
    <row r="562">
      <c r="A562" s="9"/>
      <c r="B562" s="9"/>
    </row>
    <row r="563">
      <c r="A563" s="9"/>
      <c r="B563" s="9"/>
    </row>
    <row r="564">
      <c r="A564" s="9"/>
      <c r="B564" s="9"/>
    </row>
    <row r="565">
      <c r="A565" s="9"/>
      <c r="B565" s="9"/>
    </row>
    <row r="566">
      <c r="A566" s="9"/>
      <c r="B566" s="9"/>
    </row>
    <row r="567">
      <c r="A567" s="9"/>
      <c r="B567" s="9"/>
    </row>
    <row r="568">
      <c r="A568" s="9"/>
      <c r="B568" s="9"/>
    </row>
    <row r="569">
      <c r="A569" s="9"/>
      <c r="B569" s="9"/>
    </row>
    <row r="570">
      <c r="A570" s="9"/>
      <c r="B570" s="9"/>
    </row>
    <row r="571">
      <c r="A571" s="9"/>
      <c r="B571" s="9"/>
    </row>
    <row r="572">
      <c r="A572" s="9"/>
      <c r="B572" s="9"/>
    </row>
    <row r="573">
      <c r="A573" s="9"/>
      <c r="B573" s="9"/>
    </row>
    <row r="574">
      <c r="A574" s="9"/>
      <c r="B574" s="9"/>
    </row>
    <row r="575">
      <c r="A575" s="9"/>
      <c r="B575" s="9"/>
    </row>
    <row r="576">
      <c r="A576" s="9"/>
      <c r="B576" s="9"/>
    </row>
    <row r="577">
      <c r="A577" s="9"/>
      <c r="B577" s="9"/>
    </row>
    <row r="578">
      <c r="A578" s="9"/>
      <c r="B578" s="9"/>
    </row>
    <row r="579">
      <c r="A579" s="9"/>
      <c r="B579" s="9"/>
    </row>
    <row r="580">
      <c r="A580" s="9"/>
      <c r="B580" s="9"/>
    </row>
    <row r="581">
      <c r="A581" s="9"/>
      <c r="B581" s="9"/>
    </row>
    <row r="582">
      <c r="A582" s="9"/>
      <c r="B582" s="9"/>
    </row>
    <row r="583">
      <c r="A583" s="9"/>
      <c r="B583" s="9"/>
    </row>
    <row r="584">
      <c r="A584" s="9"/>
      <c r="B584" s="9"/>
    </row>
    <row r="585">
      <c r="A585" s="9"/>
      <c r="B585" s="9"/>
    </row>
    <row r="586">
      <c r="A586" s="9"/>
      <c r="B586" s="9"/>
    </row>
    <row r="587">
      <c r="A587" s="9"/>
      <c r="B587" s="9"/>
    </row>
    <row r="588">
      <c r="A588" s="9"/>
      <c r="B588" s="9"/>
    </row>
    <row r="589">
      <c r="A589" s="9"/>
      <c r="B589" s="9"/>
    </row>
    <row r="590">
      <c r="A590" s="9"/>
      <c r="B590" s="9"/>
    </row>
    <row r="591">
      <c r="A591" s="9"/>
      <c r="B591" s="9"/>
    </row>
    <row r="592">
      <c r="A592" s="9"/>
      <c r="B592" s="9"/>
    </row>
    <row r="593">
      <c r="A593" s="9"/>
      <c r="B593" s="9"/>
    </row>
    <row r="594">
      <c r="A594" s="9"/>
      <c r="B594" s="9"/>
    </row>
    <row r="595">
      <c r="A595" s="9"/>
      <c r="B595" s="9"/>
    </row>
    <row r="596">
      <c r="A596" s="9"/>
      <c r="B596" s="9"/>
    </row>
    <row r="597">
      <c r="A597" s="9"/>
      <c r="B597" s="9"/>
    </row>
    <row r="598">
      <c r="A598" s="9"/>
      <c r="B598" s="9"/>
    </row>
    <row r="599">
      <c r="A599" s="9"/>
      <c r="B599" s="9"/>
    </row>
    <row r="600">
      <c r="A600" s="9"/>
      <c r="B600" s="9"/>
    </row>
    <row r="601">
      <c r="A601" s="9"/>
      <c r="B601" s="9"/>
    </row>
    <row r="602">
      <c r="A602" s="9"/>
      <c r="B602" s="9"/>
    </row>
    <row r="603">
      <c r="A603" s="9"/>
      <c r="B603" s="9"/>
    </row>
    <row r="604">
      <c r="A604" s="9"/>
      <c r="B604" s="9"/>
    </row>
    <row r="605">
      <c r="A605" s="9"/>
      <c r="B605" s="9"/>
    </row>
    <row r="606">
      <c r="A606" s="9"/>
      <c r="B606" s="9"/>
    </row>
    <row r="607">
      <c r="A607" s="9"/>
      <c r="B607" s="9"/>
    </row>
    <row r="608">
      <c r="A608" s="9"/>
      <c r="B608" s="9"/>
    </row>
    <row r="609">
      <c r="A609" s="9"/>
      <c r="B609" s="9"/>
    </row>
    <row r="610">
      <c r="A610" s="9"/>
      <c r="B610" s="9"/>
    </row>
    <row r="611">
      <c r="A611" s="9"/>
      <c r="B611" s="9"/>
    </row>
    <row r="612">
      <c r="A612" s="9"/>
      <c r="B612" s="9"/>
    </row>
    <row r="613">
      <c r="A613" s="9"/>
      <c r="B613" s="9"/>
    </row>
    <row r="614">
      <c r="A614" s="9"/>
      <c r="B614" s="9"/>
    </row>
    <row r="615">
      <c r="A615" s="9"/>
      <c r="B615" s="9"/>
    </row>
    <row r="616">
      <c r="A616" s="9"/>
      <c r="B616" s="9"/>
    </row>
    <row r="617">
      <c r="A617" s="9"/>
      <c r="B617" s="9"/>
    </row>
    <row r="618">
      <c r="A618" s="9"/>
      <c r="B618" s="9"/>
    </row>
    <row r="619">
      <c r="A619" s="9"/>
      <c r="B619" s="9"/>
    </row>
    <row r="620">
      <c r="A620" s="9"/>
      <c r="B620" s="9"/>
    </row>
    <row r="621">
      <c r="A621" s="9"/>
      <c r="B621" s="9"/>
    </row>
    <row r="622">
      <c r="A622" s="9"/>
      <c r="B622" s="9"/>
    </row>
    <row r="623">
      <c r="A623" s="9"/>
      <c r="B623" s="9"/>
    </row>
    <row r="624">
      <c r="A624" s="9"/>
      <c r="B624" s="9"/>
    </row>
    <row r="625">
      <c r="A625" s="9"/>
      <c r="B625" s="9"/>
    </row>
    <row r="626">
      <c r="A626" s="9"/>
      <c r="B626" s="9"/>
    </row>
    <row r="627">
      <c r="A627" s="9"/>
      <c r="B627" s="9"/>
    </row>
    <row r="628">
      <c r="A628" s="9"/>
      <c r="B628" s="9"/>
    </row>
    <row r="629">
      <c r="A629" s="9"/>
      <c r="B629" s="9"/>
    </row>
    <row r="630">
      <c r="A630" s="9"/>
      <c r="B630" s="9"/>
    </row>
    <row r="631">
      <c r="A631" s="9"/>
      <c r="B631" s="9"/>
    </row>
    <row r="632">
      <c r="A632" s="9"/>
      <c r="B632" s="9"/>
    </row>
    <row r="633">
      <c r="A633" s="9"/>
      <c r="B633" s="9"/>
    </row>
    <row r="634">
      <c r="A634" s="9"/>
      <c r="B634" s="9"/>
    </row>
    <row r="635">
      <c r="A635" s="9"/>
      <c r="B635" s="9"/>
    </row>
    <row r="636">
      <c r="A636" s="9"/>
      <c r="B636" s="9"/>
    </row>
    <row r="637">
      <c r="A637" s="9"/>
      <c r="B637" s="9"/>
    </row>
    <row r="638">
      <c r="A638" s="9"/>
      <c r="B638" s="9"/>
    </row>
    <row r="639">
      <c r="A639" s="9"/>
      <c r="B639" s="9"/>
    </row>
    <row r="640">
      <c r="A640" s="9"/>
      <c r="B640" s="9"/>
    </row>
    <row r="641">
      <c r="A641" s="9"/>
      <c r="B641" s="9"/>
    </row>
    <row r="642">
      <c r="A642" s="9"/>
      <c r="B642" s="9"/>
    </row>
    <row r="643">
      <c r="A643" s="9"/>
      <c r="B643" s="9"/>
    </row>
    <row r="644">
      <c r="A644" s="9"/>
      <c r="B644" s="9"/>
    </row>
    <row r="645">
      <c r="A645" s="9"/>
      <c r="B645" s="9"/>
    </row>
    <row r="646">
      <c r="A646" s="9"/>
      <c r="B646" s="9"/>
    </row>
    <row r="647">
      <c r="A647" s="9"/>
      <c r="B647" s="9"/>
    </row>
    <row r="648">
      <c r="A648" s="9"/>
      <c r="B648" s="9"/>
    </row>
    <row r="649">
      <c r="A649" s="9"/>
      <c r="B649" s="9"/>
    </row>
    <row r="650">
      <c r="A650" s="9"/>
      <c r="B650" s="9"/>
    </row>
    <row r="651">
      <c r="A651" s="9"/>
      <c r="B651" s="9"/>
    </row>
    <row r="652">
      <c r="A652" s="9"/>
      <c r="B652" s="9"/>
    </row>
    <row r="653">
      <c r="A653" s="9"/>
      <c r="B653" s="9"/>
    </row>
    <row r="654">
      <c r="A654" s="9"/>
      <c r="B654" s="9"/>
    </row>
    <row r="655">
      <c r="A655" s="9"/>
      <c r="B655" s="9"/>
    </row>
    <row r="656">
      <c r="A656" s="9"/>
      <c r="B656" s="9"/>
    </row>
    <row r="657">
      <c r="A657" s="9"/>
      <c r="B657" s="9"/>
    </row>
    <row r="658">
      <c r="A658" s="9"/>
      <c r="B658" s="9"/>
    </row>
    <row r="659">
      <c r="A659" s="9"/>
      <c r="B659" s="9"/>
    </row>
    <row r="660">
      <c r="A660" s="9"/>
      <c r="B660" s="9"/>
    </row>
    <row r="661">
      <c r="A661" s="9"/>
      <c r="B661" s="9"/>
    </row>
    <row r="662">
      <c r="A662" s="9"/>
      <c r="B662" s="9"/>
    </row>
    <row r="663">
      <c r="A663" s="9"/>
      <c r="B663" s="9"/>
    </row>
    <row r="664">
      <c r="A664" s="9"/>
      <c r="B664" s="9"/>
    </row>
    <row r="665">
      <c r="A665" s="9"/>
      <c r="B665" s="9"/>
    </row>
    <row r="666">
      <c r="A666" s="9"/>
      <c r="B666" s="9"/>
    </row>
    <row r="667">
      <c r="A667" s="9"/>
      <c r="B667" s="9"/>
    </row>
    <row r="668">
      <c r="A668" s="9"/>
      <c r="B668" s="9"/>
    </row>
    <row r="669">
      <c r="A669" s="9"/>
      <c r="B669" s="9"/>
    </row>
    <row r="670">
      <c r="A670" s="9"/>
      <c r="B670" s="9"/>
    </row>
    <row r="671">
      <c r="A671" s="9"/>
      <c r="B671" s="9"/>
    </row>
    <row r="672">
      <c r="A672" s="9"/>
      <c r="B672" s="9"/>
    </row>
    <row r="673">
      <c r="A673" s="9"/>
      <c r="B673" s="9"/>
    </row>
    <row r="674">
      <c r="A674" s="9"/>
      <c r="B674" s="9"/>
    </row>
    <row r="675">
      <c r="A675" s="9"/>
      <c r="B675" s="9"/>
    </row>
    <row r="676">
      <c r="A676" s="9"/>
      <c r="B676" s="9"/>
    </row>
    <row r="677">
      <c r="A677" s="9"/>
      <c r="B677" s="9"/>
    </row>
    <row r="678">
      <c r="A678" s="9"/>
      <c r="B678" s="9"/>
    </row>
    <row r="679">
      <c r="A679" s="9"/>
      <c r="B679" s="9"/>
    </row>
    <row r="680">
      <c r="A680" s="9"/>
      <c r="B680" s="9"/>
    </row>
    <row r="681">
      <c r="A681" s="9"/>
      <c r="B681" s="9"/>
    </row>
    <row r="682">
      <c r="A682" s="9"/>
      <c r="B682" s="9"/>
    </row>
    <row r="683">
      <c r="A683" s="9"/>
      <c r="B683" s="9"/>
    </row>
    <row r="684">
      <c r="A684" s="9"/>
      <c r="B684" s="9"/>
    </row>
    <row r="685">
      <c r="A685" s="9"/>
      <c r="B685" s="9"/>
    </row>
    <row r="686">
      <c r="A686" s="9"/>
      <c r="B686" s="9"/>
    </row>
    <row r="687">
      <c r="A687" s="9"/>
      <c r="B687" s="9"/>
    </row>
    <row r="688">
      <c r="A688" s="9"/>
      <c r="B688" s="9"/>
    </row>
    <row r="689">
      <c r="A689" s="9"/>
      <c r="B689" s="9"/>
    </row>
    <row r="690">
      <c r="A690" s="9"/>
      <c r="B690" s="9"/>
    </row>
    <row r="691">
      <c r="A691" s="9"/>
      <c r="B691" s="9"/>
    </row>
    <row r="692">
      <c r="A692" s="9"/>
      <c r="B692" s="9"/>
    </row>
    <row r="693">
      <c r="A693" s="9"/>
      <c r="B693" s="9"/>
    </row>
    <row r="694">
      <c r="A694" s="9"/>
      <c r="B694" s="9"/>
    </row>
    <row r="695">
      <c r="A695" s="9"/>
      <c r="B695" s="9"/>
    </row>
    <row r="696">
      <c r="A696" s="9"/>
      <c r="B696" s="9"/>
    </row>
    <row r="697">
      <c r="A697" s="9"/>
      <c r="B697" s="9"/>
    </row>
    <row r="698">
      <c r="A698" s="9"/>
      <c r="B698" s="9"/>
    </row>
    <row r="699">
      <c r="A699" s="9"/>
      <c r="B699" s="9"/>
    </row>
    <row r="700">
      <c r="A700" s="9"/>
      <c r="B700" s="9"/>
    </row>
    <row r="701">
      <c r="A701" s="9"/>
      <c r="B701" s="9"/>
    </row>
    <row r="702">
      <c r="A702" s="9"/>
      <c r="B702" s="9"/>
    </row>
    <row r="703">
      <c r="A703" s="9"/>
      <c r="B703" s="9"/>
    </row>
    <row r="704">
      <c r="A704" s="9"/>
      <c r="B704" s="9"/>
    </row>
    <row r="705">
      <c r="A705" s="9"/>
      <c r="B705" s="9"/>
    </row>
    <row r="706">
      <c r="A706" s="9"/>
      <c r="B706" s="9"/>
    </row>
    <row r="707">
      <c r="A707" s="9"/>
      <c r="B707" s="9"/>
    </row>
    <row r="708">
      <c r="A708" s="9"/>
      <c r="B708" s="9"/>
    </row>
    <row r="709">
      <c r="A709" s="9"/>
      <c r="B709" s="9"/>
    </row>
    <row r="710">
      <c r="A710" s="9"/>
      <c r="B710" s="9"/>
    </row>
    <row r="711">
      <c r="A711" s="9"/>
      <c r="B711" s="9"/>
    </row>
    <row r="712">
      <c r="A712" s="9"/>
      <c r="B712" s="9"/>
    </row>
    <row r="713">
      <c r="A713" s="9"/>
      <c r="B713" s="9"/>
    </row>
    <row r="714">
      <c r="A714" s="9"/>
      <c r="B714" s="9"/>
    </row>
    <row r="715">
      <c r="A715" s="9"/>
      <c r="B715" s="9"/>
    </row>
    <row r="716">
      <c r="A716" s="9"/>
      <c r="B716" s="9"/>
    </row>
    <row r="717">
      <c r="A717" s="9"/>
      <c r="B717" s="9"/>
    </row>
    <row r="718">
      <c r="A718" s="9"/>
      <c r="B718" s="9"/>
    </row>
    <row r="719">
      <c r="A719" s="9"/>
      <c r="B719" s="9"/>
    </row>
    <row r="720">
      <c r="A720" s="9"/>
      <c r="B720" s="9"/>
    </row>
    <row r="721">
      <c r="A721" s="9"/>
      <c r="B721" s="9"/>
    </row>
    <row r="722">
      <c r="A722" s="9"/>
      <c r="B722" s="9"/>
    </row>
    <row r="723">
      <c r="A723" s="9"/>
      <c r="B723" s="9"/>
    </row>
    <row r="724">
      <c r="A724" s="9"/>
      <c r="B724" s="9"/>
    </row>
    <row r="725">
      <c r="A725" s="9"/>
      <c r="B725" s="9"/>
    </row>
    <row r="726">
      <c r="A726" s="9"/>
      <c r="B726" s="9"/>
    </row>
    <row r="727">
      <c r="A727" s="9"/>
      <c r="B727" s="9"/>
    </row>
    <row r="728">
      <c r="A728" s="9"/>
      <c r="B728" s="9"/>
    </row>
    <row r="729">
      <c r="A729" s="9"/>
      <c r="B729" s="9"/>
    </row>
    <row r="730">
      <c r="A730" s="9"/>
      <c r="B730" s="9"/>
    </row>
    <row r="731">
      <c r="A731" s="9"/>
      <c r="B731" s="9"/>
    </row>
    <row r="732">
      <c r="A732" s="9"/>
      <c r="B732" s="9"/>
    </row>
    <row r="733">
      <c r="A733" s="9"/>
      <c r="B733" s="9"/>
    </row>
    <row r="734">
      <c r="A734" s="9"/>
      <c r="B734" s="9"/>
    </row>
    <row r="735">
      <c r="A735" s="9"/>
      <c r="B735" s="9"/>
    </row>
    <row r="736">
      <c r="A736" s="9"/>
      <c r="B736" s="9"/>
    </row>
    <row r="737">
      <c r="A737" s="9"/>
      <c r="B737" s="9"/>
    </row>
    <row r="738">
      <c r="A738" s="9"/>
      <c r="B738" s="9"/>
    </row>
    <row r="739">
      <c r="A739" s="9"/>
      <c r="B739" s="9"/>
    </row>
    <row r="740">
      <c r="A740" s="9"/>
      <c r="B740" s="9"/>
    </row>
    <row r="741">
      <c r="A741" s="9"/>
      <c r="B741" s="9"/>
    </row>
    <row r="742">
      <c r="A742" s="9"/>
      <c r="B742" s="9"/>
    </row>
    <row r="743">
      <c r="A743" s="9"/>
      <c r="B743" s="9"/>
    </row>
    <row r="744">
      <c r="A744" s="9"/>
      <c r="B744" s="9"/>
    </row>
    <row r="745">
      <c r="A745" s="9"/>
      <c r="B745" s="9"/>
    </row>
    <row r="746">
      <c r="A746" s="9"/>
      <c r="B746" s="9"/>
    </row>
    <row r="747">
      <c r="A747" s="9"/>
      <c r="B747" s="9"/>
    </row>
    <row r="748">
      <c r="A748" s="9"/>
      <c r="B748" s="9"/>
    </row>
    <row r="749">
      <c r="A749" s="9"/>
      <c r="B749" s="9"/>
    </row>
    <row r="750">
      <c r="A750" s="9"/>
      <c r="B750" s="9"/>
    </row>
    <row r="751">
      <c r="A751" s="9"/>
      <c r="B751" s="9"/>
    </row>
    <row r="752">
      <c r="A752" s="9"/>
      <c r="B752" s="9"/>
    </row>
    <row r="753">
      <c r="A753" s="9"/>
      <c r="B753" s="9"/>
    </row>
    <row r="754">
      <c r="A754" s="9"/>
      <c r="B754" s="9"/>
    </row>
    <row r="755">
      <c r="A755" s="9"/>
      <c r="B755" s="9"/>
    </row>
    <row r="756">
      <c r="A756" s="9"/>
      <c r="B756" s="9"/>
    </row>
    <row r="757">
      <c r="A757" s="9"/>
      <c r="B757" s="9"/>
    </row>
    <row r="758">
      <c r="A758" s="9"/>
      <c r="B758" s="9"/>
    </row>
    <row r="759">
      <c r="A759" s="9"/>
      <c r="B759" s="9"/>
    </row>
    <row r="760">
      <c r="A760" s="9"/>
      <c r="B760" s="9"/>
    </row>
    <row r="761">
      <c r="A761" s="9"/>
      <c r="B761" s="9"/>
    </row>
    <row r="762">
      <c r="A762" s="9"/>
      <c r="B762" s="9"/>
    </row>
    <row r="763">
      <c r="A763" s="9"/>
      <c r="B763" s="9"/>
    </row>
    <row r="764">
      <c r="A764" s="9"/>
      <c r="B764" s="9"/>
    </row>
    <row r="765">
      <c r="A765" s="9"/>
      <c r="B765" s="9"/>
    </row>
    <row r="766">
      <c r="A766" s="9"/>
      <c r="B766" s="9"/>
    </row>
    <row r="767">
      <c r="A767" s="9"/>
      <c r="B767" s="9"/>
    </row>
    <row r="768">
      <c r="A768" s="9"/>
      <c r="B768" s="9"/>
    </row>
    <row r="769">
      <c r="A769" s="9"/>
      <c r="B769" s="9"/>
    </row>
    <row r="770">
      <c r="A770" s="9"/>
      <c r="B770" s="9"/>
    </row>
    <row r="771">
      <c r="A771" s="9"/>
      <c r="B771" s="9"/>
    </row>
    <row r="772">
      <c r="A772" s="9"/>
      <c r="B772" s="9"/>
    </row>
    <row r="773">
      <c r="A773" s="9"/>
      <c r="B773" s="9"/>
    </row>
    <row r="774">
      <c r="A774" s="9"/>
      <c r="B774" s="9"/>
    </row>
    <row r="775">
      <c r="A775" s="9"/>
      <c r="B775" s="9"/>
    </row>
    <row r="776">
      <c r="A776" s="9"/>
      <c r="B776" s="9"/>
    </row>
    <row r="777">
      <c r="A777" s="9"/>
      <c r="B777" s="9"/>
    </row>
    <row r="778">
      <c r="A778" s="9"/>
      <c r="B778" s="9"/>
    </row>
    <row r="779">
      <c r="A779" s="9"/>
      <c r="B779" s="9"/>
    </row>
    <row r="780">
      <c r="A780" s="9"/>
      <c r="B780" s="9"/>
    </row>
    <row r="781">
      <c r="A781" s="9"/>
      <c r="B781" s="9"/>
    </row>
    <row r="782">
      <c r="A782" s="9"/>
      <c r="B782" s="9"/>
    </row>
    <row r="783">
      <c r="A783" s="9"/>
      <c r="B783" s="9"/>
    </row>
    <row r="784">
      <c r="A784" s="9"/>
      <c r="B784" s="9"/>
    </row>
    <row r="785">
      <c r="A785" s="9"/>
      <c r="B785" s="9"/>
    </row>
    <row r="786">
      <c r="A786" s="9"/>
      <c r="B786" s="9"/>
    </row>
    <row r="787">
      <c r="A787" s="9"/>
      <c r="B787" s="9"/>
    </row>
    <row r="788">
      <c r="A788" s="9"/>
      <c r="B788" s="9"/>
    </row>
    <row r="789">
      <c r="A789" s="9"/>
      <c r="B789" s="9"/>
    </row>
    <row r="790">
      <c r="A790" s="9"/>
      <c r="B790" s="9"/>
    </row>
    <row r="791">
      <c r="A791" s="9"/>
      <c r="B791" s="9"/>
    </row>
    <row r="792">
      <c r="A792" s="9"/>
      <c r="B792" s="9"/>
    </row>
    <row r="793">
      <c r="A793" s="9"/>
      <c r="B793" s="9"/>
    </row>
    <row r="794">
      <c r="A794" s="9"/>
      <c r="B794" s="9"/>
    </row>
    <row r="795">
      <c r="A795" s="9"/>
      <c r="B795" s="9"/>
    </row>
    <row r="796">
      <c r="A796" s="9"/>
      <c r="B796" s="9"/>
    </row>
    <row r="797">
      <c r="A797" s="9"/>
      <c r="B797" s="9"/>
    </row>
    <row r="798">
      <c r="A798" s="9"/>
      <c r="B798" s="9"/>
    </row>
    <row r="799">
      <c r="A799" s="9"/>
      <c r="B799" s="9"/>
    </row>
    <row r="800">
      <c r="A800" s="9"/>
      <c r="B800" s="9"/>
    </row>
    <row r="801">
      <c r="A801" s="9"/>
      <c r="B801" s="9"/>
    </row>
    <row r="802">
      <c r="A802" s="9"/>
      <c r="B802" s="9"/>
    </row>
    <row r="803">
      <c r="A803" s="9"/>
      <c r="B803" s="9"/>
    </row>
    <row r="804">
      <c r="A804" s="9"/>
      <c r="B804" s="9"/>
    </row>
    <row r="805">
      <c r="A805" s="9"/>
      <c r="B805" s="9"/>
    </row>
    <row r="806">
      <c r="A806" s="9"/>
      <c r="B806" s="9"/>
    </row>
    <row r="807">
      <c r="A807" s="9"/>
      <c r="B807" s="9"/>
    </row>
    <row r="808">
      <c r="A808" s="9"/>
      <c r="B808" s="9"/>
    </row>
    <row r="809">
      <c r="A809" s="9"/>
      <c r="B809" s="9"/>
    </row>
    <row r="810">
      <c r="A810" s="9"/>
      <c r="B810" s="9"/>
    </row>
    <row r="811">
      <c r="A811" s="9"/>
      <c r="B811" s="9"/>
    </row>
    <row r="812">
      <c r="A812" s="9"/>
      <c r="B812" s="9"/>
    </row>
    <row r="813">
      <c r="A813" s="9"/>
      <c r="B813" s="9"/>
    </row>
    <row r="814">
      <c r="A814" s="9"/>
      <c r="B814" s="9"/>
    </row>
    <row r="815">
      <c r="A815" s="9"/>
      <c r="B815" s="9"/>
    </row>
    <row r="816">
      <c r="A816" s="9"/>
      <c r="B816" s="9"/>
    </row>
    <row r="817">
      <c r="A817" s="9"/>
      <c r="B817" s="9"/>
    </row>
    <row r="818">
      <c r="A818" s="9"/>
      <c r="B818" s="9"/>
    </row>
    <row r="819">
      <c r="A819" s="9"/>
      <c r="B819" s="9"/>
    </row>
    <row r="820">
      <c r="A820" s="9"/>
      <c r="B820" s="9"/>
    </row>
    <row r="821">
      <c r="A821" s="9"/>
      <c r="B821" s="9"/>
    </row>
    <row r="822">
      <c r="A822" s="9"/>
      <c r="B822" s="9"/>
    </row>
    <row r="823">
      <c r="A823" s="9"/>
      <c r="B823" s="9"/>
    </row>
    <row r="824">
      <c r="A824" s="9"/>
      <c r="B824" s="9"/>
    </row>
    <row r="825">
      <c r="A825" s="9"/>
      <c r="B825" s="9"/>
    </row>
    <row r="826">
      <c r="A826" s="9"/>
      <c r="B826" s="9"/>
    </row>
    <row r="827">
      <c r="A827" s="9"/>
      <c r="B827" s="9"/>
    </row>
    <row r="828">
      <c r="A828" s="9"/>
      <c r="B828" s="9"/>
    </row>
    <row r="829">
      <c r="A829" s="9"/>
      <c r="B829" s="9"/>
    </row>
    <row r="830">
      <c r="A830" s="9"/>
      <c r="B830" s="9"/>
    </row>
    <row r="831">
      <c r="A831" s="9"/>
      <c r="B831" s="9"/>
    </row>
    <row r="832">
      <c r="A832" s="9"/>
      <c r="B832" s="9"/>
    </row>
    <row r="833">
      <c r="A833" s="9"/>
      <c r="B833" s="9"/>
    </row>
    <row r="834">
      <c r="A834" s="9"/>
      <c r="B834" s="9"/>
    </row>
    <row r="835">
      <c r="A835" s="9"/>
      <c r="B835" s="9"/>
    </row>
    <row r="836">
      <c r="A836" s="9"/>
      <c r="B836" s="9"/>
    </row>
    <row r="837">
      <c r="A837" s="9"/>
      <c r="B837" s="9"/>
    </row>
    <row r="838">
      <c r="A838" s="9"/>
      <c r="B838" s="9"/>
    </row>
    <row r="839">
      <c r="A839" s="9"/>
      <c r="B839" s="9"/>
    </row>
    <row r="840">
      <c r="A840" s="9"/>
      <c r="B840" s="9"/>
    </row>
    <row r="841">
      <c r="A841" s="9"/>
      <c r="B841" s="9"/>
    </row>
    <row r="842">
      <c r="A842" s="9"/>
      <c r="B842" s="9"/>
    </row>
    <row r="843">
      <c r="A843" s="9"/>
      <c r="B843" s="9"/>
    </row>
    <row r="844">
      <c r="A844" s="9"/>
      <c r="B844" s="9"/>
    </row>
    <row r="845">
      <c r="A845" s="9"/>
      <c r="B845" s="9"/>
    </row>
    <row r="846">
      <c r="A846" s="9"/>
      <c r="B846" s="9"/>
    </row>
    <row r="847">
      <c r="A847" s="9"/>
      <c r="B847" s="9"/>
    </row>
    <row r="848">
      <c r="A848" s="9"/>
      <c r="B848" s="9"/>
    </row>
    <row r="849">
      <c r="A849" s="9"/>
      <c r="B849" s="9"/>
    </row>
    <row r="850">
      <c r="A850" s="9"/>
      <c r="B850" s="9"/>
    </row>
    <row r="851">
      <c r="A851" s="9"/>
      <c r="B851" s="9"/>
    </row>
    <row r="852">
      <c r="A852" s="9"/>
      <c r="B852" s="9"/>
    </row>
    <row r="853">
      <c r="A853" s="9"/>
      <c r="B853" s="9"/>
    </row>
    <row r="854">
      <c r="A854" s="9"/>
      <c r="B854" s="9"/>
    </row>
    <row r="855">
      <c r="A855" s="9"/>
      <c r="B855" s="9"/>
    </row>
    <row r="856">
      <c r="A856" s="9"/>
      <c r="B856" s="9"/>
    </row>
    <row r="857">
      <c r="A857" s="9"/>
      <c r="B857" s="9"/>
    </row>
    <row r="858">
      <c r="A858" s="9"/>
      <c r="B858" s="9"/>
    </row>
    <row r="859">
      <c r="A859" s="9"/>
      <c r="B859" s="9"/>
    </row>
    <row r="860">
      <c r="A860" s="9"/>
      <c r="B860" s="9"/>
    </row>
    <row r="861">
      <c r="A861" s="9"/>
      <c r="B861" s="9"/>
    </row>
    <row r="862">
      <c r="A862" s="9"/>
      <c r="B862" s="9"/>
    </row>
    <row r="863">
      <c r="A863" s="9"/>
      <c r="B863" s="9"/>
    </row>
    <row r="864">
      <c r="A864" s="9"/>
      <c r="B864" s="9"/>
    </row>
    <row r="865">
      <c r="A865" s="9"/>
      <c r="B865" s="9"/>
    </row>
    <row r="866">
      <c r="A866" s="9"/>
      <c r="B866" s="9"/>
    </row>
    <row r="867">
      <c r="A867" s="9"/>
      <c r="B867" s="9"/>
    </row>
    <row r="868">
      <c r="A868" s="9"/>
      <c r="B868" s="9"/>
    </row>
    <row r="869">
      <c r="A869" s="9"/>
      <c r="B869" s="9"/>
    </row>
    <row r="870">
      <c r="A870" s="9"/>
      <c r="B870" s="9"/>
    </row>
    <row r="871">
      <c r="A871" s="9"/>
      <c r="B871" s="9"/>
    </row>
    <row r="872">
      <c r="A872" s="9"/>
      <c r="B872" s="9"/>
    </row>
    <row r="873">
      <c r="A873" s="9"/>
      <c r="B873" s="9"/>
    </row>
    <row r="874">
      <c r="A874" s="9"/>
      <c r="B874" s="9"/>
    </row>
    <row r="875">
      <c r="A875" s="9"/>
      <c r="B875" s="9"/>
    </row>
    <row r="876">
      <c r="A876" s="9"/>
      <c r="B876" s="9"/>
    </row>
    <row r="877">
      <c r="A877" s="9"/>
      <c r="B877" s="9"/>
    </row>
    <row r="878">
      <c r="A878" s="9"/>
      <c r="B878" s="9"/>
    </row>
    <row r="879">
      <c r="A879" s="9"/>
      <c r="B879" s="9"/>
    </row>
    <row r="880">
      <c r="A880" s="9"/>
      <c r="B880" s="9"/>
    </row>
    <row r="881">
      <c r="A881" s="9"/>
      <c r="B881" s="9"/>
    </row>
    <row r="882">
      <c r="A882" s="9"/>
      <c r="B882" s="9"/>
    </row>
    <row r="883">
      <c r="A883" s="9"/>
      <c r="B883" s="9"/>
    </row>
    <row r="884">
      <c r="A884" s="9"/>
      <c r="B884" s="9"/>
    </row>
    <row r="885">
      <c r="A885" s="9"/>
      <c r="B885" s="9"/>
    </row>
    <row r="886">
      <c r="A886" s="9"/>
      <c r="B886" s="9"/>
    </row>
    <row r="887">
      <c r="A887" s="9"/>
      <c r="B887" s="9"/>
    </row>
    <row r="888">
      <c r="A888" s="9"/>
      <c r="B888" s="9"/>
    </row>
    <row r="889">
      <c r="A889" s="9"/>
      <c r="B889" s="9"/>
    </row>
    <row r="890">
      <c r="A890" s="9"/>
      <c r="B890" s="9"/>
    </row>
    <row r="891">
      <c r="A891" s="9"/>
      <c r="B891" s="9"/>
    </row>
    <row r="892">
      <c r="A892" s="9"/>
      <c r="B892" s="9"/>
    </row>
    <row r="893">
      <c r="A893" s="9"/>
      <c r="B893" s="9"/>
    </row>
    <row r="894">
      <c r="A894" s="9"/>
      <c r="B894" s="9"/>
    </row>
    <row r="895">
      <c r="A895" s="9"/>
      <c r="B895" s="9"/>
    </row>
    <row r="896">
      <c r="A896" s="9"/>
      <c r="B896" s="9"/>
    </row>
    <row r="897">
      <c r="A897" s="9"/>
      <c r="B897" s="9"/>
    </row>
    <row r="898">
      <c r="A898" s="9"/>
      <c r="B898" s="9"/>
    </row>
    <row r="899">
      <c r="A899" s="9"/>
      <c r="B899" s="9"/>
    </row>
    <row r="900">
      <c r="A900" s="9"/>
      <c r="B900" s="9"/>
    </row>
    <row r="901">
      <c r="A901" s="9"/>
      <c r="B901" s="9"/>
    </row>
    <row r="902">
      <c r="A902" s="9"/>
      <c r="B902" s="9"/>
    </row>
    <row r="903">
      <c r="A903" s="9"/>
      <c r="B903" s="9"/>
    </row>
    <row r="904">
      <c r="A904" s="9"/>
      <c r="B904" s="9"/>
    </row>
    <row r="905">
      <c r="A905" s="9"/>
      <c r="B905" s="9"/>
    </row>
    <row r="906">
      <c r="A906" s="9"/>
      <c r="B906" s="9"/>
    </row>
    <row r="907">
      <c r="A907" s="9"/>
      <c r="B907" s="9"/>
    </row>
    <row r="908">
      <c r="A908" s="9"/>
      <c r="B908" s="9"/>
    </row>
    <row r="909">
      <c r="A909" s="9"/>
      <c r="B909" s="9"/>
    </row>
    <row r="910">
      <c r="A910" s="9"/>
      <c r="B910" s="9"/>
    </row>
    <row r="911">
      <c r="A911" s="9"/>
      <c r="B911" s="9"/>
    </row>
    <row r="912">
      <c r="A912" s="9"/>
      <c r="B912" s="9"/>
    </row>
    <row r="913">
      <c r="A913" s="9"/>
      <c r="B913" s="9"/>
    </row>
    <row r="914">
      <c r="A914" s="9"/>
      <c r="B914" s="9"/>
    </row>
    <row r="915">
      <c r="A915" s="9"/>
      <c r="B915" s="9"/>
    </row>
    <row r="916">
      <c r="A916" s="9"/>
      <c r="B916" s="9"/>
    </row>
    <row r="917">
      <c r="A917" s="9"/>
      <c r="B917" s="9"/>
    </row>
    <row r="918">
      <c r="A918" s="9"/>
      <c r="B918" s="9"/>
    </row>
    <row r="919">
      <c r="A919" s="9"/>
      <c r="B919" s="9"/>
    </row>
    <row r="920">
      <c r="A920" s="9"/>
      <c r="B920" s="9"/>
    </row>
    <row r="921">
      <c r="A921" s="9"/>
      <c r="B921" s="9"/>
    </row>
    <row r="922">
      <c r="A922" s="9"/>
      <c r="B922" s="9"/>
    </row>
    <row r="923">
      <c r="A923" s="9"/>
      <c r="B923" s="9"/>
    </row>
    <row r="924">
      <c r="A924" s="9"/>
      <c r="B924" s="9"/>
    </row>
    <row r="925">
      <c r="A925" s="9"/>
      <c r="B925" s="9"/>
    </row>
    <row r="926">
      <c r="A926" s="9"/>
      <c r="B926" s="9"/>
    </row>
    <row r="927">
      <c r="A927" s="9"/>
      <c r="B927" s="9"/>
    </row>
    <row r="928">
      <c r="A928" s="9"/>
      <c r="B928" s="9"/>
    </row>
    <row r="929">
      <c r="A929" s="9"/>
      <c r="B929" s="9"/>
    </row>
    <row r="930">
      <c r="A930" s="9"/>
      <c r="B930" s="9"/>
    </row>
    <row r="931">
      <c r="A931" s="9"/>
      <c r="B931" s="9"/>
    </row>
    <row r="932">
      <c r="A932" s="9"/>
      <c r="B932" s="9"/>
    </row>
    <row r="933">
      <c r="A933" s="9"/>
      <c r="B933" s="9"/>
    </row>
    <row r="934">
      <c r="A934" s="9"/>
      <c r="B934" s="9"/>
    </row>
    <row r="935">
      <c r="A935" s="9"/>
      <c r="B935" s="9"/>
    </row>
    <row r="936">
      <c r="A936" s="9"/>
      <c r="B936" s="9"/>
    </row>
    <row r="937">
      <c r="A937" s="9"/>
      <c r="B937" s="9"/>
    </row>
    <row r="938">
      <c r="A938" s="9"/>
      <c r="B938" s="9"/>
    </row>
    <row r="939">
      <c r="A939" s="9"/>
      <c r="B939" s="9"/>
    </row>
    <row r="940">
      <c r="A940" s="9"/>
      <c r="B940" s="9"/>
    </row>
    <row r="941">
      <c r="A941" s="9"/>
      <c r="B941" s="9"/>
    </row>
    <row r="942">
      <c r="A942" s="9"/>
      <c r="B942" s="9"/>
    </row>
    <row r="943">
      <c r="A943" s="9"/>
      <c r="B943" s="9"/>
    </row>
    <row r="944">
      <c r="A944" s="9"/>
      <c r="B944" s="9"/>
    </row>
    <row r="945">
      <c r="A945" s="9"/>
      <c r="B945" s="9"/>
    </row>
    <row r="946">
      <c r="A946" s="9"/>
      <c r="B946" s="9"/>
    </row>
    <row r="947">
      <c r="A947" s="9"/>
      <c r="B947" s="9"/>
    </row>
    <row r="948">
      <c r="A948" s="9"/>
      <c r="B948" s="9"/>
    </row>
    <row r="949">
      <c r="A949" s="9"/>
      <c r="B949" s="9"/>
    </row>
    <row r="950">
      <c r="A950" s="9"/>
      <c r="B950" s="9"/>
    </row>
    <row r="951">
      <c r="A951" s="9"/>
      <c r="B951" s="9"/>
    </row>
    <row r="952">
      <c r="A952" s="9"/>
      <c r="B952" s="9"/>
    </row>
    <row r="953">
      <c r="A953" s="9"/>
      <c r="B953" s="9"/>
    </row>
    <row r="954">
      <c r="A954" s="9"/>
      <c r="B954" s="9"/>
    </row>
    <row r="955">
      <c r="A955" s="9"/>
      <c r="B955" s="9"/>
    </row>
    <row r="956">
      <c r="A956" s="9"/>
      <c r="B956" s="9"/>
    </row>
    <row r="957">
      <c r="A957" s="9"/>
      <c r="B957" s="9"/>
    </row>
    <row r="958">
      <c r="A958" s="9"/>
      <c r="B958" s="9"/>
    </row>
    <row r="959">
      <c r="A959" s="9"/>
      <c r="B959" s="9"/>
    </row>
    <row r="960">
      <c r="A960" s="9"/>
      <c r="B960" s="9"/>
    </row>
    <row r="961">
      <c r="A961" s="9"/>
      <c r="B961" s="9"/>
    </row>
    <row r="962">
      <c r="A962" s="9"/>
      <c r="B962" s="9"/>
    </row>
    <row r="963">
      <c r="A963" s="9"/>
      <c r="B963" s="9"/>
    </row>
    <row r="964">
      <c r="A964" s="9"/>
      <c r="B964" s="9"/>
    </row>
    <row r="965">
      <c r="A965" s="9"/>
      <c r="B965" s="9"/>
    </row>
    <row r="966">
      <c r="A966" s="9"/>
      <c r="B966" s="9"/>
    </row>
    <row r="967">
      <c r="A967" s="9"/>
      <c r="B967" s="9"/>
    </row>
    <row r="968">
      <c r="A968" s="9"/>
      <c r="B968" s="9"/>
    </row>
    <row r="969">
      <c r="A969" s="9"/>
      <c r="B969" s="9"/>
    </row>
    <row r="970">
      <c r="A970" s="9"/>
      <c r="B970" s="9"/>
    </row>
    <row r="971">
      <c r="A971" s="9"/>
      <c r="B971" s="9"/>
    </row>
    <row r="972">
      <c r="A972" s="9"/>
      <c r="B972" s="9"/>
    </row>
    <row r="973">
      <c r="A973" s="9"/>
      <c r="B973" s="9"/>
    </row>
    <row r="974">
      <c r="A974" s="9"/>
      <c r="B974" s="9"/>
    </row>
    <row r="975">
      <c r="A975" s="9"/>
      <c r="B975" s="9"/>
    </row>
    <row r="976">
      <c r="A976" s="9"/>
      <c r="B976" s="9"/>
    </row>
    <row r="977">
      <c r="A977" s="9"/>
      <c r="B977" s="9"/>
    </row>
    <row r="978">
      <c r="A978" s="9"/>
      <c r="B978" s="9"/>
    </row>
    <row r="979">
      <c r="A979" s="9"/>
      <c r="B979" s="9"/>
    </row>
    <row r="980">
      <c r="A980" s="9"/>
      <c r="B980" s="9"/>
    </row>
    <row r="981">
      <c r="A981" s="9"/>
      <c r="B981" s="9"/>
    </row>
    <row r="982">
      <c r="A982" s="9"/>
      <c r="B982" s="9"/>
    </row>
    <row r="983">
      <c r="A983" s="9"/>
      <c r="B983" s="9"/>
    </row>
    <row r="984">
      <c r="A984" s="9"/>
      <c r="B984" s="9"/>
    </row>
    <row r="985">
      <c r="A985" s="9"/>
      <c r="B985" s="9"/>
    </row>
    <row r="986">
      <c r="A986" s="9"/>
      <c r="B986" s="9"/>
    </row>
    <row r="987">
      <c r="A987" s="9"/>
      <c r="B987" s="9"/>
    </row>
    <row r="988">
      <c r="A988" s="9"/>
      <c r="B988" s="9"/>
    </row>
    <row r="989">
      <c r="A989" s="9"/>
      <c r="B989" s="9"/>
    </row>
    <row r="990">
      <c r="A990" s="9"/>
      <c r="B990" s="9"/>
    </row>
    <row r="991">
      <c r="A991" s="9"/>
      <c r="B991" s="9"/>
    </row>
    <row r="992">
      <c r="A992" s="9"/>
      <c r="B992" s="9"/>
    </row>
    <row r="993">
      <c r="A993" s="9"/>
      <c r="B993" s="9"/>
    </row>
    <row r="994">
      <c r="A994" s="9"/>
      <c r="B994" s="9"/>
    </row>
    <row r="995">
      <c r="A995" s="9"/>
      <c r="B995" s="9"/>
    </row>
    <row r="996">
      <c r="A996" s="9"/>
      <c r="B996" s="9"/>
    </row>
    <row r="997">
      <c r="A997" s="9"/>
      <c r="B997" s="9"/>
    </row>
    <row r="998">
      <c r="A998" s="9"/>
      <c r="B998" s="9"/>
    </row>
    <row r="999">
      <c r="A999" s="9"/>
      <c r="B999" s="9"/>
    </row>
    <row r="1000">
      <c r="A1000" s="9"/>
      <c r="B1000" s="9"/>
    </row>
    <row r="1001">
      <c r="A1001" s="9"/>
      <c r="B1001" s="9"/>
    </row>
    <row r="1002">
      <c r="A1002" s="9"/>
      <c r="B1002" s="9"/>
    </row>
    <row r="1003">
      <c r="A1003" s="9"/>
      <c r="B1003" s="9"/>
    </row>
    <row r="1004">
      <c r="A1004" s="9"/>
      <c r="B1004" s="9"/>
    </row>
    <row r="1005">
      <c r="A1005" s="9"/>
      <c r="B1005" s="9"/>
    </row>
    <row r="1006">
      <c r="A1006" s="9"/>
      <c r="B1006" s="9"/>
    </row>
    <row r="1007">
      <c r="A1007" s="9"/>
      <c r="B1007" s="9"/>
    </row>
    <row r="1008">
      <c r="A1008" s="9"/>
      <c r="B1008" s="9"/>
    </row>
    <row r="1009">
      <c r="A1009" s="9"/>
      <c r="B1009" s="9"/>
    </row>
    <row r="1010">
      <c r="A1010" s="9"/>
      <c r="B1010" s="9"/>
    </row>
    <row r="1011">
      <c r="A1011" s="9"/>
      <c r="B1011" s="9"/>
    </row>
    <row r="1012">
      <c r="A1012" s="9"/>
      <c r="B1012" s="9"/>
    </row>
    <row r="1013">
      <c r="A1013" s="9"/>
      <c r="B1013" s="9"/>
    </row>
    <row r="1014">
      <c r="A1014" s="9"/>
      <c r="B1014" s="9"/>
    </row>
    <row r="1015">
      <c r="A1015" s="9"/>
      <c r="B1015" s="9"/>
    </row>
    <row r="1016">
      <c r="A1016" s="9"/>
      <c r="B1016" s="9"/>
    </row>
    <row r="1017">
      <c r="A1017" s="9"/>
      <c r="B1017" s="9"/>
    </row>
    <row r="1018">
      <c r="A1018" s="9"/>
      <c r="B1018" s="9"/>
    </row>
    <row r="1019">
      <c r="A1019" s="9"/>
      <c r="B1019" s="9"/>
    </row>
  </sheetData>
  <hyperlinks>
    <hyperlink r:id="rId2" ref="B2"/>
    <hyperlink r:id="rId3" ref="B3"/>
    <hyperlink r:id="rId4" ref="B4"/>
    <hyperlink r:id="rId5" ref="B5"/>
    <hyperlink r:id="rId6" location="beginnerguide"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location=":~:text=Attack%20measures%20how%20likely%20you,against%20the%20enemy's%20troops'%20defence.&amp;text=Lethality%3A%20This%20is%20how%20likely,will%20die%20during%20the%20attack." ref="B26"/>
    <hyperlink r:id="rId27" ref="B27"/>
    <hyperlink r:id="rId28" ref="B28"/>
    <hyperlink r:id="rId29" ref="B29"/>
    <hyperlink r:id="rId30" ref="B30"/>
    <hyperlink r:id="rId31" ref="B31"/>
    <hyperlink r:id="rId32" ref="B32"/>
    <hyperlink r:id="rId33" ref="B33"/>
    <hyperlink r:id="rId34" ref="B34"/>
  </hyperlinks>
  <drawing r:id="rId35"/>
  <legacyDrawing r:id="rId3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D9D9"/>
    <outlinePr summaryBelow="0" summaryRight="0"/>
  </sheetPr>
  <sheetViews>
    <sheetView workbookViewId="0">
      <pane xSplit="2.0" ySplit="6.0" topLeftCell="C7" activePane="bottomRight" state="frozen"/>
      <selection activeCell="C1" sqref="C1" pane="topRight"/>
      <selection activeCell="A7" sqref="A7" pane="bottomLeft"/>
      <selection activeCell="C7" sqref="C7" pane="bottomRight"/>
    </sheetView>
  </sheetViews>
  <sheetFormatPr customHeight="1" defaultColWidth="14.43" defaultRowHeight="15.75"/>
  <cols>
    <col customWidth="1" min="2" max="2" width="14.14"/>
    <col customWidth="1" min="5" max="5" width="11.86"/>
    <col customWidth="1" min="13" max="13" width="16.71"/>
    <col customWidth="1" min="18" max="18" width="15.57"/>
  </cols>
  <sheetData>
    <row r="1">
      <c r="A1" s="13" t="s">
        <v>86</v>
      </c>
      <c r="B1" s="14"/>
      <c r="C1" s="15"/>
      <c r="D1" s="15">
        <f t="shared" ref="D1:AP1" si="1">sum(D7:D50)</f>
        <v>256</v>
      </c>
      <c r="E1" s="15">
        <f t="shared" si="1"/>
        <v>258</v>
      </c>
      <c r="F1" s="15">
        <f t="shared" si="1"/>
        <v>238</v>
      </c>
      <c r="G1" s="15">
        <f t="shared" si="1"/>
        <v>224</v>
      </c>
      <c r="H1" s="15">
        <f t="shared" si="1"/>
        <v>256</v>
      </c>
      <c r="I1" s="15">
        <f t="shared" si="1"/>
        <v>211</v>
      </c>
      <c r="J1" s="15">
        <f t="shared" si="1"/>
        <v>243</v>
      </c>
      <c r="K1" s="15">
        <f t="shared" si="1"/>
        <v>64</v>
      </c>
      <c r="L1" s="15">
        <f t="shared" si="1"/>
        <v>88</v>
      </c>
      <c r="M1" s="15">
        <f t="shared" si="1"/>
        <v>114.5</v>
      </c>
      <c r="N1" s="15">
        <f t="shared" si="1"/>
        <v>101.84</v>
      </c>
      <c r="O1" s="15">
        <f t="shared" si="1"/>
        <v>101.5</v>
      </c>
      <c r="P1" s="15">
        <f t="shared" si="1"/>
        <v>99.5</v>
      </c>
      <c r="Q1" s="15">
        <f t="shared" si="1"/>
        <v>48</v>
      </c>
      <c r="R1" s="15">
        <f t="shared" si="1"/>
        <v>16</v>
      </c>
      <c r="S1" s="15">
        <f t="shared" si="1"/>
        <v>216</v>
      </c>
      <c r="T1" s="15">
        <f t="shared" si="1"/>
        <v>64</v>
      </c>
      <c r="U1" s="15">
        <f t="shared" si="1"/>
        <v>104</v>
      </c>
      <c r="V1" s="15">
        <f t="shared" si="1"/>
        <v>104</v>
      </c>
      <c r="W1" s="15">
        <f t="shared" si="1"/>
        <v>0</v>
      </c>
      <c r="X1" s="15">
        <f t="shared" si="1"/>
        <v>96</v>
      </c>
      <c r="Y1" s="15">
        <f t="shared" si="1"/>
        <v>55</v>
      </c>
      <c r="Z1" s="15">
        <f t="shared" si="1"/>
        <v>0</v>
      </c>
      <c r="AA1" s="15">
        <f t="shared" si="1"/>
        <v>0</v>
      </c>
      <c r="AB1" s="15">
        <f t="shared" si="1"/>
        <v>48</v>
      </c>
      <c r="AC1" s="15">
        <f t="shared" si="1"/>
        <v>8</v>
      </c>
      <c r="AD1" s="15">
        <f t="shared" si="1"/>
        <v>48</v>
      </c>
      <c r="AE1" s="15">
        <f t="shared" si="1"/>
        <v>39</v>
      </c>
      <c r="AF1" s="15">
        <f t="shared" si="1"/>
        <v>0</v>
      </c>
      <c r="AG1" s="15">
        <f t="shared" si="1"/>
        <v>0</v>
      </c>
      <c r="AH1" s="15">
        <f t="shared" si="1"/>
        <v>72</v>
      </c>
      <c r="AI1" s="15">
        <f t="shared" si="1"/>
        <v>0</v>
      </c>
      <c r="AJ1" s="15">
        <f t="shared" si="1"/>
        <v>56</v>
      </c>
      <c r="AK1" s="15">
        <f t="shared" si="1"/>
        <v>16</v>
      </c>
      <c r="AL1" s="15">
        <f t="shared" si="1"/>
        <v>16</v>
      </c>
      <c r="AM1" s="15">
        <f t="shared" si="1"/>
        <v>8</v>
      </c>
      <c r="AN1" s="15">
        <f t="shared" si="1"/>
        <v>16</v>
      </c>
      <c r="AO1" s="15">
        <f t="shared" si="1"/>
        <v>56</v>
      </c>
      <c r="AP1" s="15">
        <f t="shared" si="1"/>
        <v>0</v>
      </c>
      <c r="AQ1" s="16">
        <v>0.0</v>
      </c>
      <c r="AR1" s="15">
        <f t="shared" ref="AR1:BF1" si="2">sum(AR7:AR50)</f>
        <v>0</v>
      </c>
      <c r="AS1" s="15">
        <f t="shared" si="2"/>
        <v>16</v>
      </c>
      <c r="AT1" s="15">
        <f t="shared" si="2"/>
        <v>0</v>
      </c>
      <c r="AU1" s="15">
        <f t="shared" si="2"/>
        <v>0</v>
      </c>
      <c r="AV1" s="15">
        <f t="shared" si="2"/>
        <v>16.34</v>
      </c>
      <c r="AW1" s="15">
        <f t="shared" si="2"/>
        <v>0</v>
      </c>
      <c r="AX1" s="15">
        <f t="shared" si="2"/>
        <v>0</v>
      </c>
      <c r="AY1" s="15">
        <f t="shared" si="2"/>
        <v>16</v>
      </c>
      <c r="AZ1" s="17">
        <f t="shared" si="2"/>
        <v>0</v>
      </c>
      <c r="BA1" s="15">
        <f t="shared" si="2"/>
        <v>0</v>
      </c>
      <c r="BB1" s="15">
        <f t="shared" si="2"/>
        <v>0</v>
      </c>
      <c r="BC1" s="15">
        <f t="shared" si="2"/>
        <v>0</v>
      </c>
      <c r="BD1" s="15">
        <f t="shared" si="2"/>
        <v>0</v>
      </c>
      <c r="BE1" s="15">
        <f t="shared" si="2"/>
        <v>8</v>
      </c>
      <c r="BF1" s="15">
        <f t="shared" si="2"/>
        <v>0</v>
      </c>
      <c r="BG1" s="15"/>
      <c r="BH1" s="15"/>
      <c r="BI1" s="15"/>
      <c r="BJ1" s="15"/>
    </row>
    <row r="2">
      <c r="A2" s="18"/>
      <c r="B2" s="19" t="s">
        <v>87</v>
      </c>
      <c r="C2" s="20" t="s">
        <v>88</v>
      </c>
      <c r="D2" s="20" t="s">
        <v>88</v>
      </c>
      <c r="E2" s="20" t="s">
        <v>88</v>
      </c>
      <c r="F2" s="20" t="s">
        <v>88</v>
      </c>
      <c r="G2" s="20" t="s">
        <v>88</v>
      </c>
      <c r="H2" s="20" t="s">
        <v>88</v>
      </c>
      <c r="I2" s="20" t="s">
        <v>88</v>
      </c>
      <c r="J2" s="20" t="s">
        <v>88</v>
      </c>
      <c r="K2" s="20" t="s">
        <v>88</v>
      </c>
      <c r="L2" s="20" t="s">
        <v>88</v>
      </c>
      <c r="M2" s="20" t="s">
        <v>88</v>
      </c>
      <c r="N2" s="20" t="s">
        <v>88</v>
      </c>
      <c r="O2" s="20" t="s">
        <v>88</v>
      </c>
      <c r="P2" s="20" t="s">
        <v>88</v>
      </c>
      <c r="Q2" s="20" t="s">
        <v>88</v>
      </c>
      <c r="R2" s="19" t="s">
        <v>89</v>
      </c>
      <c r="S2" s="19" t="s">
        <v>90</v>
      </c>
      <c r="T2" s="19" t="s">
        <v>91</v>
      </c>
      <c r="U2" s="19" t="s">
        <v>89</v>
      </c>
      <c r="V2" s="19" t="s">
        <v>90</v>
      </c>
      <c r="W2" s="19" t="s">
        <v>91</v>
      </c>
      <c r="X2" s="19" t="s">
        <v>89</v>
      </c>
      <c r="Y2" s="19" t="s">
        <v>88</v>
      </c>
      <c r="Z2" s="19" t="s">
        <v>91</v>
      </c>
      <c r="AA2" s="19" t="s">
        <v>89</v>
      </c>
      <c r="AB2" s="19" t="s">
        <v>89</v>
      </c>
      <c r="AC2" s="19" t="s">
        <v>91</v>
      </c>
      <c r="AD2" s="19" t="s">
        <v>89</v>
      </c>
      <c r="AE2" s="19" t="s">
        <v>90</v>
      </c>
      <c r="AF2" s="19" t="s">
        <v>91</v>
      </c>
      <c r="AG2" s="19" t="s">
        <v>89</v>
      </c>
      <c r="AH2" s="19" t="s">
        <v>90</v>
      </c>
      <c r="AI2" s="19" t="s">
        <v>92</v>
      </c>
      <c r="AJ2" s="21" t="s">
        <v>90</v>
      </c>
      <c r="AK2" s="22" t="s">
        <v>88</v>
      </c>
      <c r="AL2" s="22" t="s">
        <v>88</v>
      </c>
      <c r="AM2" s="22" t="s">
        <v>88</v>
      </c>
      <c r="AN2" s="22" t="s">
        <v>88</v>
      </c>
      <c r="AO2" s="22" t="s">
        <v>88</v>
      </c>
      <c r="AP2" s="21" t="s">
        <v>93</v>
      </c>
      <c r="AQ2" s="21" t="s">
        <v>94</v>
      </c>
      <c r="AR2" s="21" t="s">
        <v>90</v>
      </c>
      <c r="AS2" s="22" t="s">
        <v>88</v>
      </c>
      <c r="AT2" s="22" t="s">
        <v>88</v>
      </c>
      <c r="AU2" s="21" t="s">
        <v>91</v>
      </c>
      <c r="AV2" s="22" t="s">
        <v>88</v>
      </c>
      <c r="AW2" s="22" t="s">
        <v>88</v>
      </c>
      <c r="AX2" s="22" t="s">
        <v>88</v>
      </c>
      <c r="AY2" s="22" t="s">
        <v>88</v>
      </c>
      <c r="AZ2" s="23" t="s">
        <v>88</v>
      </c>
      <c r="BA2" s="22" t="s">
        <v>88</v>
      </c>
      <c r="BB2" s="22" t="s">
        <v>88</v>
      </c>
      <c r="BC2" s="22" t="s">
        <v>88</v>
      </c>
      <c r="BD2" s="22" t="s">
        <v>88</v>
      </c>
      <c r="BE2" s="24" t="s">
        <v>88</v>
      </c>
      <c r="BF2" s="25" t="s">
        <v>95</v>
      </c>
      <c r="BG2" s="21" t="s">
        <v>91</v>
      </c>
      <c r="BH2" s="21" t="s">
        <v>93</v>
      </c>
      <c r="BI2" s="21" t="s">
        <v>91</v>
      </c>
      <c r="BJ2" s="25" t="s">
        <v>89</v>
      </c>
    </row>
    <row r="3">
      <c r="A3" s="26"/>
      <c r="B3" s="27" t="s">
        <v>96</v>
      </c>
      <c r="C3" s="16" t="s">
        <v>97</v>
      </c>
      <c r="D3" s="16" t="s">
        <v>98</v>
      </c>
      <c r="E3" s="16" t="s">
        <v>98</v>
      </c>
      <c r="F3" s="16" t="s">
        <v>98</v>
      </c>
      <c r="G3" s="16" t="s">
        <v>98</v>
      </c>
      <c r="H3" s="16" t="s">
        <v>98</v>
      </c>
      <c r="I3" s="16" t="s">
        <v>98</v>
      </c>
      <c r="J3" s="16" t="s">
        <v>98</v>
      </c>
      <c r="K3" s="27" t="s">
        <v>97</v>
      </c>
      <c r="L3" s="27" t="s">
        <v>97</v>
      </c>
      <c r="M3" s="27" t="s">
        <v>97</v>
      </c>
      <c r="N3" s="27" t="s">
        <v>97</v>
      </c>
      <c r="O3" s="27" t="s">
        <v>97</v>
      </c>
      <c r="P3" s="27" t="s">
        <v>97</v>
      </c>
      <c r="Q3" s="27" t="s">
        <v>97</v>
      </c>
      <c r="R3" s="27" t="s">
        <v>98</v>
      </c>
      <c r="S3" s="27" t="s">
        <v>98</v>
      </c>
      <c r="T3" s="27" t="s">
        <v>98</v>
      </c>
      <c r="U3" s="27" t="s">
        <v>98</v>
      </c>
      <c r="V3" s="27" t="s">
        <v>98</v>
      </c>
      <c r="W3" s="27" t="s">
        <v>98</v>
      </c>
      <c r="X3" s="27" t="s">
        <v>98</v>
      </c>
      <c r="Y3" s="27" t="s">
        <v>98</v>
      </c>
      <c r="Z3" s="27" t="s">
        <v>98</v>
      </c>
      <c r="AA3" s="27" t="s">
        <v>97</v>
      </c>
      <c r="AB3" s="27" t="s">
        <v>97</v>
      </c>
      <c r="AC3" s="27" t="s">
        <v>97</v>
      </c>
      <c r="AD3" s="27" t="s">
        <v>97</v>
      </c>
      <c r="AE3" s="27" t="s">
        <v>97</v>
      </c>
      <c r="AF3" s="27" t="s">
        <v>97</v>
      </c>
      <c r="AG3" s="27" t="s">
        <v>97</v>
      </c>
      <c r="AH3" s="27" t="s">
        <v>97</v>
      </c>
      <c r="AI3" s="27" t="s">
        <v>98</v>
      </c>
      <c r="AJ3" s="28" t="s">
        <v>98</v>
      </c>
      <c r="AK3" s="28" t="s">
        <v>98</v>
      </c>
      <c r="AL3" s="28" t="s">
        <v>98</v>
      </c>
      <c r="AM3" s="28" t="s">
        <v>98</v>
      </c>
      <c r="AN3" s="28" t="s">
        <v>98</v>
      </c>
      <c r="AO3" s="28" t="s">
        <v>98</v>
      </c>
      <c r="AP3" s="25" t="s">
        <v>99</v>
      </c>
      <c r="AQ3" s="25" t="s">
        <v>98</v>
      </c>
      <c r="AR3" s="28" t="s">
        <v>98</v>
      </c>
      <c r="AS3" s="28" t="s">
        <v>98</v>
      </c>
      <c r="AT3" s="28" t="s">
        <v>98</v>
      </c>
      <c r="AU3" s="28" t="s">
        <v>98</v>
      </c>
      <c r="AV3" s="28" t="s">
        <v>98</v>
      </c>
      <c r="AW3" s="25" t="s">
        <v>97</v>
      </c>
      <c r="AX3" s="25" t="s">
        <v>97</v>
      </c>
      <c r="AY3" s="25" t="s">
        <v>97</v>
      </c>
      <c r="AZ3" s="29" t="s">
        <v>97</v>
      </c>
      <c r="BA3" s="25" t="s">
        <v>97</v>
      </c>
      <c r="BB3" s="25" t="s">
        <v>97</v>
      </c>
      <c r="BC3" s="25" t="s">
        <v>97</v>
      </c>
      <c r="BD3" s="25" t="s">
        <v>97</v>
      </c>
      <c r="BE3" s="30" t="s">
        <v>97</v>
      </c>
      <c r="BF3" s="25" t="s">
        <v>98</v>
      </c>
      <c r="BG3" s="28" t="s">
        <v>98</v>
      </c>
      <c r="BH3" s="28" t="s">
        <v>98</v>
      </c>
      <c r="BI3" s="28" t="s">
        <v>98</v>
      </c>
      <c r="BJ3" s="25" t="s">
        <v>98</v>
      </c>
    </row>
    <row r="4">
      <c r="A4" s="26"/>
      <c r="B4" s="27" t="s">
        <v>100</v>
      </c>
      <c r="C4" s="16">
        <v>2.0</v>
      </c>
      <c r="D4" s="15"/>
      <c r="E4" s="27">
        <v>1.0</v>
      </c>
      <c r="F4" s="27">
        <v>2.0</v>
      </c>
      <c r="G4" s="27">
        <v>3.0</v>
      </c>
      <c r="H4" s="27">
        <v>1.0</v>
      </c>
      <c r="I4" s="27">
        <v>2.0</v>
      </c>
      <c r="J4" s="27">
        <v>3.0</v>
      </c>
      <c r="K4" s="27">
        <v>1.0</v>
      </c>
      <c r="L4" s="27">
        <v>2.0</v>
      </c>
      <c r="M4" s="27">
        <v>3.0</v>
      </c>
      <c r="N4" s="27">
        <v>1.0</v>
      </c>
      <c r="O4" s="27">
        <v>2.0</v>
      </c>
      <c r="P4" s="27">
        <v>3.0</v>
      </c>
      <c r="Q4" s="27">
        <v>2.0</v>
      </c>
      <c r="R4" s="27">
        <v>4.0</v>
      </c>
      <c r="S4" s="27">
        <v>4.0</v>
      </c>
      <c r="T4" s="27">
        <v>4.0</v>
      </c>
      <c r="U4" s="27">
        <v>1.0</v>
      </c>
      <c r="V4" s="27">
        <v>1.0</v>
      </c>
      <c r="W4" s="27">
        <v>1.0</v>
      </c>
      <c r="X4" s="27">
        <v>3.0</v>
      </c>
      <c r="Y4" s="27">
        <v>3.0</v>
      </c>
      <c r="Z4" s="27">
        <v>3.0</v>
      </c>
      <c r="AA4" s="27">
        <v>4.0</v>
      </c>
      <c r="AB4" s="27">
        <v>4.0</v>
      </c>
      <c r="AC4" s="27">
        <v>4.0</v>
      </c>
      <c r="AD4" s="27">
        <v>1.0</v>
      </c>
      <c r="AE4" s="27">
        <v>1.0</v>
      </c>
      <c r="AF4" s="27">
        <v>1.0</v>
      </c>
      <c r="AG4" s="27">
        <v>3.0</v>
      </c>
      <c r="AH4" s="27">
        <v>3.0</v>
      </c>
      <c r="AI4" s="27">
        <v>1.0</v>
      </c>
      <c r="AJ4" s="31">
        <v>3.0</v>
      </c>
      <c r="AK4" s="31">
        <v>1.0</v>
      </c>
      <c r="AL4" s="31">
        <v>2.0</v>
      </c>
      <c r="AM4" s="31">
        <v>1.0</v>
      </c>
      <c r="AN4" s="31">
        <v>2.0</v>
      </c>
      <c r="AO4" s="31">
        <v>3.0</v>
      </c>
      <c r="AP4" s="32">
        <v>2.0</v>
      </c>
      <c r="AQ4" s="32">
        <v>3.0</v>
      </c>
      <c r="AR4" s="31">
        <v>2.0</v>
      </c>
      <c r="AS4" s="31">
        <v>3.0</v>
      </c>
      <c r="AT4" s="31">
        <v>1.0</v>
      </c>
      <c r="AU4" s="31">
        <v>2.0</v>
      </c>
      <c r="AV4" s="31">
        <v>3.0</v>
      </c>
      <c r="AW4" s="31">
        <v>1.0</v>
      </c>
      <c r="AX4" s="31">
        <v>2.0</v>
      </c>
      <c r="AY4" s="31">
        <v>3.0</v>
      </c>
      <c r="AZ4" s="33">
        <v>1.0</v>
      </c>
      <c r="BA4" s="31">
        <v>2.0</v>
      </c>
      <c r="BB4" s="31">
        <v>3.0</v>
      </c>
      <c r="BC4" s="31">
        <v>1.0</v>
      </c>
      <c r="BD4" s="31">
        <v>2.0</v>
      </c>
      <c r="BE4" s="34">
        <v>3.0</v>
      </c>
      <c r="BF4" s="32">
        <v>2.0</v>
      </c>
      <c r="BG4" s="31">
        <v>2.0</v>
      </c>
      <c r="BH4" s="31">
        <v>2.0</v>
      </c>
      <c r="BI4" s="31">
        <v>2.0</v>
      </c>
      <c r="BJ4" s="31"/>
    </row>
    <row r="5">
      <c r="A5" s="35"/>
      <c r="B5" s="36" t="s">
        <v>101</v>
      </c>
      <c r="C5" s="37" t="str">
        <f>vlookup(C4,DATA!$A$49:$E$51,5,False)</f>
        <v>08:00-17:00</v>
      </c>
      <c r="D5" s="36" t="s">
        <v>102</v>
      </c>
      <c r="E5" s="37" t="str">
        <f>vlookup(E4,DATA!$A$49:$E$51,5,False)</f>
        <v>00:00-09:00</v>
      </c>
      <c r="F5" s="37" t="str">
        <f>vlookup(F4,DATA!$A$49:$E$51,5,False)</f>
        <v>08:00-17:00</v>
      </c>
      <c r="G5" s="37" t="str">
        <f>vlookup(G4,DATA!$A$49:$E$51,5,False)</f>
        <v>16:00-01:00</v>
      </c>
      <c r="H5" s="37" t="str">
        <f>vlookup(H4,DATA!$A$49:$E$51,5,False)</f>
        <v>00:00-09:00</v>
      </c>
      <c r="I5" s="37" t="str">
        <f>vlookup(I4,DATA!$A$49:$E$51,5,False)</f>
        <v>08:00-17:00</v>
      </c>
      <c r="J5" s="37" t="str">
        <f>vlookup(J4,DATA!$A$49:$E$51,5,False)</f>
        <v>16:00-01:00</v>
      </c>
      <c r="K5" s="37" t="str">
        <f>vlookup(K4,DATA!$A$49:$E$51,5,False)</f>
        <v>00:00-09:00</v>
      </c>
      <c r="L5" s="37" t="str">
        <f>vlookup(L4,DATA!$A$49:$E$51,5,False)</f>
        <v>08:00-17:00</v>
      </c>
      <c r="M5" s="37" t="str">
        <f>vlookup(M4,DATA!$A$49:$E$51,5,False)</f>
        <v>16:00-01:00</v>
      </c>
      <c r="N5" s="37" t="str">
        <f>vlookup(N4,DATA!$A$49:$E$51,5,False)</f>
        <v>00:00-09:00</v>
      </c>
      <c r="O5" s="37" t="str">
        <f>vlookup(O4,DATA!$A$49:$E$51,5,False)</f>
        <v>08:00-17:00</v>
      </c>
      <c r="P5" s="37" t="str">
        <f>vlookup(P4,DATA!$A$49:$E$51,5,False)</f>
        <v>16:00-01:00</v>
      </c>
      <c r="Q5" s="37" t="str">
        <f>vlookup(Q4,DATA!$A$49:$E$51,5,False)</f>
        <v>08:00-17:00</v>
      </c>
      <c r="R5" s="37" t="str">
        <f>vlookup(R4,DATA!$A$49:$E$58,5,False)</f>
        <v>09:00-18:00</v>
      </c>
      <c r="S5" s="37" t="str">
        <f>vlookup(S4,DATA!$A$49:$E$58,5,False)</f>
        <v>09:00-18:00</v>
      </c>
      <c r="T5" s="37" t="str">
        <f>vlookup(T4,DATA!$A$49:$E$58,5,False)</f>
        <v>09:00-18:00</v>
      </c>
      <c r="U5" s="37" t="str">
        <f>vlookup(U4,DATA!$A$49:$E$58,5,False)</f>
        <v>00:00-09:00</v>
      </c>
      <c r="V5" s="37" t="str">
        <f>vlookup(V4,DATA!$A$49:$E$58,5,False)</f>
        <v>00:00-09:00</v>
      </c>
      <c r="W5" s="37" t="s">
        <v>103</v>
      </c>
      <c r="X5" s="37" t="str">
        <f>vlookup(X4,DATA!$A$49:$E$58,5,False)</f>
        <v>16:00-01:00</v>
      </c>
      <c r="Y5" s="37" t="str">
        <f>vlookup(Y4,DATA!$A$49:$E$58,5,False)</f>
        <v>16:00-01:00</v>
      </c>
      <c r="Z5" s="37" t="str">
        <f>vlookup(Z4,DATA!$A$49:$E$58,5,False)</f>
        <v>16:00-01:00</v>
      </c>
      <c r="AA5" s="37" t="str">
        <f>vlookup(AA4,DATA!$A$49:$E$58,5,False)</f>
        <v>09:00-18:00</v>
      </c>
      <c r="AB5" s="37" t="str">
        <f>vlookup(AB4,DATA!$A$49:$E$58,5,False)</f>
        <v>09:00-18:00</v>
      </c>
      <c r="AC5" s="37" t="str">
        <f>vlookup(AC4,DATA!$A$49:$E$58,5,False)</f>
        <v>09:00-18:00</v>
      </c>
      <c r="AD5" s="37" t="str">
        <f>vlookup(AD4,DATA!$A$49:$E$58,5,False)</f>
        <v>00:00-09:00</v>
      </c>
      <c r="AE5" s="37" t="str">
        <f>vlookup(AE4,DATA!$A$49:$E$58,5,False)</f>
        <v>00:00-09:00</v>
      </c>
      <c r="AF5" s="37" t="str">
        <f>vlookup(AF4,DATA!$A$49:$E$58,5,False)</f>
        <v>00:00-09:00</v>
      </c>
      <c r="AG5" s="37" t="str">
        <f>vlookup(AG4,DATA!$A$49:$E$58,5,False)</f>
        <v>16:00-01:00</v>
      </c>
      <c r="AH5" s="37" t="str">
        <f>vlookup(AH4,DATA!$A$49:$E$58,5,False)</f>
        <v>16:00-01:00</v>
      </c>
      <c r="AI5" s="37" t="str">
        <f>vlookup(AI4,DATA!$A$49:$E$58,5,False)</f>
        <v>00:00-09:00</v>
      </c>
      <c r="AJ5" s="36" t="s">
        <v>104</v>
      </c>
      <c r="AK5" s="37" t="str">
        <f>vlookup(AK4,DATA!$A$49:$E$58,5,False)</f>
        <v>00:00-09:00</v>
      </c>
      <c r="AL5" s="37" t="str">
        <f>vlookup(AL4,DATA!$A$49:$E$58,5,False)</f>
        <v>08:00-17:00</v>
      </c>
      <c r="AM5" s="37" t="str">
        <f>vlookup(AM4,DATA!$A$49:$E$58,5,False)</f>
        <v>00:00-09:00</v>
      </c>
      <c r="AN5" s="37" t="str">
        <f>vlookup(AN4,DATA!$A$49:$E$58,5,False)</f>
        <v>08:00-17:00</v>
      </c>
      <c r="AO5" s="37" t="str">
        <f>vlookup(AO4,DATA!$A$49:$E$58,5,False)</f>
        <v>16:00-01:00</v>
      </c>
      <c r="AP5" s="37" t="str">
        <f>vlookup(AP4,DATA!$A$49:$E$58,5,False)</f>
        <v>08:00-17:00</v>
      </c>
      <c r="AQ5" s="36" t="s">
        <v>105</v>
      </c>
      <c r="AR5" s="37" t="str">
        <f>vlookup(AR4,DATA!$A$49:$E$58,5,False)</f>
        <v>08:00-17:00</v>
      </c>
      <c r="AS5" s="37" t="str">
        <f>vlookup(AS4,DATA!$A$49:$E$58,5,False)</f>
        <v>16:00-01:00</v>
      </c>
      <c r="AT5" s="37" t="str">
        <f>vlookup(AT4,DATA!$A$49:$E$58,5,False)</f>
        <v>00:00-09:00</v>
      </c>
      <c r="AU5" s="37" t="str">
        <f>vlookup(AU4,DATA!$A$49:$E$58,5,False)</f>
        <v>08:00-17:00</v>
      </c>
      <c r="AV5" s="37" t="str">
        <f>vlookup(AV4,DATA!$A$49:$E$58,5,False)</f>
        <v>16:00-01:00</v>
      </c>
      <c r="AW5" s="37" t="str">
        <f>vlookup(AW4,DATA!$A$49:$E$58,5,False)</f>
        <v>00:00-09:00</v>
      </c>
      <c r="AX5" s="37" t="str">
        <f>vlookup(AX4,DATA!$A$49:$E$58,5,False)</f>
        <v>08:00-17:00</v>
      </c>
      <c r="AY5" s="37" t="str">
        <f>vlookup(AY4,DATA!$A$49:$E$58,5,False)</f>
        <v>16:00-01:00</v>
      </c>
      <c r="AZ5" s="38" t="str">
        <f>vlookup(AZ4,DATA!$A$49:$E$58,5,False)</f>
        <v>00:00-09:00</v>
      </c>
      <c r="BA5" s="37" t="str">
        <f>vlookup(BA4,DATA!$A$49:$E$58,5,False)</f>
        <v>08:00-17:00</v>
      </c>
      <c r="BB5" s="37" t="str">
        <f>vlookup(BB4,DATA!$A$49:$E$58,5,False)</f>
        <v>16:00-01:00</v>
      </c>
      <c r="BC5" s="37" t="str">
        <f>vlookup(BC4,DATA!$A$49:$E$58,5,False)</f>
        <v>00:00-09:00</v>
      </c>
      <c r="BD5" s="37" t="str">
        <f>vlookup(BD4,DATA!$A$49:$E$58,5,False)</f>
        <v>08:00-17:00</v>
      </c>
      <c r="BE5" s="39" t="str">
        <f>vlookup(BE4,DATA!$A$49:$E$58,5,False)</f>
        <v>16:00-01:00</v>
      </c>
      <c r="BF5" s="39" t="str">
        <f>vlookup(BF4,DATA!$A$49:$E$58,5,False)</f>
        <v>08:00-17:00</v>
      </c>
      <c r="BG5" s="37" t="str">
        <f>vlookup(BG4,DATA!$A$49:$E$58,5,False)</f>
        <v>08:00-17:00</v>
      </c>
      <c r="BH5" s="37" t="str">
        <f>vlookup(BH4,DATA!$A$49:$E$58,5,False)</f>
        <v>08:00-17:00</v>
      </c>
      <c r="BI5" s="37" t="str">
        <f>vlookup(BI4,DATA!$A$49:$E$58,5,False)</f>
        <v>08:00-17:00</v>
      </c>
      <c r="BJ5" s="27" t="s">
        <v>106</v>
      </c>
    </row>
    <row r="6">
      <c r="A6" s="40" t="str">
        <f>IFERROR(__xludf.DUMMYFUNCTION("TRANSPOSE(query(DATA!A1:AF12,""Select * where A contains '""&amp;A1&amp;""'"",0))"),"March")</f>
        <v>March</v>
      </c>
      <c r="B6" s="41" t="s">
        <v>107</v>
      </c>
      <c r="C6" s="42" t="s">
        <v>108</v>
      </c>
      <c r="D6" s="41" t="s">
        <v>109</v>
      </c>
      <c r="E6" s="41" t="s">
        <v>110</v>
      </c>
      <c r="F6" s="41" t="s">
        <v>111</v>
      </c>
      <c r="G6" s="41" t="s">
        <v>112</v>
      </c>
      <c r="H6" s="43" t="s">
        <v>113</v>
      </c>
      <c r="I6" s="42" t="s">
        <v>114</v>
      </c>
      <c r="J6" s="42" t="s">
        <v>115</v>
      </c>
      <c r="K6" s="43"/>
      <c r="L6" s="41" t="s">
        <v>116</v>
      </c>
      <c r="M6" s="41" t="s">
        <v>117</v>
      </c>
      <c r="N6" s="41" t="s">
        <v>118</v>
      </c>
      <c r="O6" s="41" t="s">
        <v>119</v>
      </c>
      <c r="P6" s="41" t="s">
        <v>120</v>
      </c>
      <c r="Q6" s="42" t="s">
        <v>121</v>
      </c>
      <c r="R6" s="44" t="s">
        <v>122</v>
      </c>
      <c r="S6" s="42" t="s">
        <v>123</v>
      </c>
      <c r="T6" s="42" t="s">
        <v>124</v>
      </c>
      <c r="U6" s="42" t="s">
        <v>125</v>
      </c>
      <c r="V6" s="42" t="s">
        <v>126</v>
      </c>
      <c r="W6" s="42" t="s">
        <v>127</v>
      </c>
      <c r="X6" s="42" t="s">
        <v>128</v>
      </c>
      <c r="Y6" s="42" t="s">
        <v>129</v>
      </c>
      <c r="Z6" s="42" t="s">
        <v>130</v>
      </c>
      <c r="AA6" s="42" t="s">
        <v>130</v>
      </c>
      <c r="AB6" s="42" t="s">
        <v>131</v>
      </c>
      <c r="AC6" s="42" t="s">
        <v>132</v>
      </c>
      <c r="AD6" s="42" t="s">
        <v>133</v>
      </c>
      <c r="AE6" s="42" t="s">
        <v>134</v>
      </c>
      <c r="AF6" s="41" t="s">
        <v>130</v>
      </c>
      <c r="AG6" s="41" t="s">
        <v>130</v>
      </c>
      <c r="AH6" s="42" t="s">
        <v>135</v>
      </c>
      <c r="AI6" s="42" t="s">
        <v>136</v>
      </c>
      <c r="AJ6" s="42" t="s">
        <v>137</v>
      </c>
      <c r="AK6" s="42" t="s">
        <v>138</v>
      </c>
      <c r="AL6" s="42" t="s">
        <v>139</v>
      </c>
      <c r="AM6" s="42" t="s">
        <v>140</v>
      </c>
      <c r="AN6" s="42" t="s">
        <v>141</v>
      </c>
      <c r="AO6" s="42" t="s">
        <v>142</v>
      </c>
      <c r="AP6" s="42" t="s">
        <v>143</v>
      </c>
      <c r="AQ6" s="42" t="s">
        <v>144</v>
      </c>
      <c r="AR6" s="42" t="s">
        <v>145</v>
      </c>
      <c r="AS6" s="42" t="s">
        <v>146</v>
      </c>
      <c r="AT6" s="42" t="s">
        <v>147</v>
      </c>
      <c r="AU6" s="42" t="s">
        <v>148</v>
      </c>
      <c r="AV6" s="42" t="s">
        <v>149</v>
      </c>
      <c r="AW6" s="42" t="s">
        <v>150</v>
      </c>
      <c r="AX6" s="42" t="s">
        <v>151</v>
      </c>
      <c r="AY6" s="42" t="s">
        <v>152</v>
      </c>
      <c r="AZ6" s="45" t="s">
        <v>153</v>
      </c>
      <c r="BA6" s="42" t="s">
        <v>154</v>
      </c>
      <c r="BB6" s="42" t="s">
        <v>155</v>
      </c>
      <c r="BC6" s="42" t="s">
        <v>156</v>
      </c>
      <c r="BD6" s="42" t="s">
        <v>157</v>
      </c>
      <c r="BE6" s="42" t="s">
        <v>158</v>
      </c>
      <c r="BF6" s="42" t="s">
        <v>159</v>
      </c>
      <c r="BG6" s="42" t="s">
        <v>160</v>
      </c>
      <c r="BH6" s="42" t="s">
        <v>161</v>
      </c>
      <c r="BI6" s="42" t="s">
        <v>162</v>
      </c>
      <c r="BJ6" s="42" t="s">
        <v>163</v>
      </c>
    </row>
    <row r="7">
      <c r="A7" s="46">
        <f>IFERROR(__xludf.DUMMYFUNCTION("""COMPUTED_VALUE"""),44256.0)</f>
        <v>44256</v>
      </c>
      <c r="B7" s="47" t="str">
        <f>if(A7="","",Vlookup(weekday(A7,2),DATA!$O$14:$P$20,2))</f>
        <v>Monday</v>
      </c>
      <c r="C7" s="16"/>
      <c r="D7" s="16">
        <v>8.0</v>
      </c>
      <c r="E7" s="16">
        <v>8.0</v>
      </c>
      <c r="F7" s="16">
        <v>8.0</v>
      </c>
      <c r="G7" s="16">
        <v>8.0</v>
      </c>
      <c r="H7" s="16">
        <v>8.0</v>
      </c>
      <c r="I7" s="16">
        <v>8.0</v>
      </c>
      <c r="J7" s="16">
        <v>8.0</v>
      </c>
      <c r="K7" s="48"/>
      <c r="L7" s="16">
        <v>5.0</v>
      </c>
      <c r="M7" s="16">
        <v>8.0</v>
      </c>
      <c r="N7" s="16">
        <v>8.0</v>
      </c>
      <c r="O7" s="16">
        <v>8.0</v>
      </c>
      <c r="P7" s="16">
        <v>8.0</v>
      </c>
      <c r="Q7" s="48"/>
      <c r="R7" s="48"/>
      <c r="S7" s="48"/>
      <c r="T7" s="48"/>
      <c r="U7" s="48"/>
      <c r="V7" s="48"/>
      <c r="W7" s="48"/>
      <c r="X7" s="48"/>
      <c r="Y7" s="48"/>
      <c r="Z7" s="48"/>
      <c r="AA7" s="49"/>
      <c r="AB7" s="49"/>
      <c r="AC7" s="48"/>
      <c r="AD7" s="48"/>
      <c r="AE7" s="48"/>
      <c r="AF7" s="48"/>
      <c r="AG7" s="48"/>
      <c r="AH7" s="49"/>
      <c r="AI7" s="48"/>
      <c r="AJ7" s="48"/>
      <c r="AK7" s="48"/>
      <c r="AL7" s="48"/>
      <c r="AM7" s="48"/>
      <c r="AN7" s="48"/>
      <c r="AO7" s="48"/>
      <c r="AP7" s="48"/>
      <c r="AQ7" s="48"/>
      <c r="AR7" s="48"/>
      <c r="AS7" s="48"/>
      <c r="AT7" s="48"/>
      <c r="AU7" s="48"/>
      <c r="AV7" s="48"/>
      <c r="AW7" s="48"/>
      <c r="AX7" s="48"/>
      <c r="AY7" s="48"/>
      <c r="AZ7" s="50"/>
      <c r="BA7" s="48"/>
      <c r="BB7" s="48"/>
      <c r="BC7" s="48"/>
      <c r="BD7" s="48"/>
      <c r="BE7" s="48"/>
      <c r="BF7" s="48"/>
      <c r="BG7" s="48"/>
      <c r="BH7" s="48"/>
      <c r="BI7" s="48"/>
      <c r="BJ7" s="48"/>
    </row>
    <row r="8">
      <c r="A8" s="46">
        <f>IFERROR(__xludf.DUMMYFUNCTION("""COMPUTED_VALUE"""),44257.0)</f>
        <v>44257</v>
      </c>
      <c r="B8" s="47" t="str">
        <f>if(A8="","",Vlookup(weekday(A8,2),DATA!$O$14:$P$20,2))</f>
        <v>Tuesday</v>
      </c>
      <c r="C8" s="16"/>
      <c r="D8" s="16">
        <v>8.0</v>
      </c>
      <c r="E8" s="16">
        <v>8.0</v>
      </c>
      <c r="F8" s="16">
        <v>5.0</v>
      </c>
      <c r="G8" s="16">
        <v>8.0</v>
      </c>
      <c r="H8" s="16">
        <v>8.0</v>
      </c>
      <c r="I8" s="16">
        <v>3.0</v>
      </c>
      <c r="J8" s="16">
        <v>3.0</v>
      </c>
      <c r="K8" s="48"/>
      <c r="L8" s="16">
        <v>0.0</v>
      </c>
      <c r="M8" s="16">
        <v>6.0</v>
      </c>
      <c r="N8" s="16">
        <v>8.0</v>
      </c>
      <c r="O8" s="16">
        <v>8.0</v>
      </c>
      <c r="P8" s="16">
        <v>6.0</v>
      </c>
      <c r="Q8" s="48"/>
      <c r="R8" s="48"/>
      <c r="S8" s="48"/>
      <c r="T8" s="48"/>
      <c r="U8" s="48"/>
      <c r="V8" s="48"/>
      <c r="W8" s="48"/>
      <c r="X8" s="48"/>
      <c r="Y8" s="48"/>
      <c r="Z8" s="48"/>
      <c r="AA8" s="49"/>
      <c r="AB8" s="49"/>
      <c r="AC8" s="48"/>
      <c r="AD8" s="48"/>
      <c r="AE8" s="48"/>
      <c r="AF8" s="48"/>
      <c r="AG8" s="48"/>
      <c r="AH8" s="49"/>
      <c r="AI8" s="48"/>
      <c r="AJ8" s="48"/>
      <c r="AK8" s="48"/>
      <c r="AL8" s="48"/>
      <c r="AM8" s="48"/>
      <c r="AN8" s="48"/>
      <c r="AO8" s="48"/>
      <c r="AP8" s="48"/>
      <c r="AQ8" s="48"/>
      <c r="AR8" s="48"/>
      <c r="AS8" s="48"/>
      <c r="AT8" s="48"/>
      <c r="AU8" s="48"/>
      <c r="AV8" s="48"/>
      <c r="AW8" s="48"/>
      <c r="AX8" s="48"/>
      <c r="AY8" s="48"/>
      <c r="AZ8" s="50"/>
      <c r="BA8" s="48"/>
      <c r="BB8" s="48"/>
      <c r="BC8" s="48"/>
      <c r="BD8" s="48"/>
      <c r="BE8" s="48"/>
      <c r="BF8" s="48"/>
      <c r="BG8" s="48"/>
      <c r="BH8" s="48"/>
      <c r="BI8" s="48"/>
      <c r="BJ8" s="48"/>
    </row>
    <row r="9">
      <c r="A9" s="46">
        <f>IFERROR(__xludf.DUMMYFUNCTION("""COMPUTED_VALUE"""),44258.0)</f>
        <v>44258</v>
      </c>
      <c r="B9" s="47" t="str">
        <f>if(A9="","",Vlookup(weekday(A9,2),DATA!$O$14:$P$20,2))</f>
        <v>Wednesday</v>
      </c>
      <c r="C9" s="16"/>
      <c r="D9" s="16">
        <v>8.0</v>
      </c>
      <c r="E9" s="16">
        <v>8.0</v>
      </c>
      <c r="F9" s="16">
        <v>8.0</v>
      </c>
      <c r="G9" s="16">
        <v>8.0</v>
      </c>
      <c r="H9" s="16">
        <v>8.0</v>
      </c>
      <c r="I9" s="16">
        <v>8.0</v>
      </c>
      <c r="J9" s="16">
        <v>8.0</v>
      </c>
      <c r="K9" s="48"/>
      <c r="L9" s="16">
        <v>3.0</v>
      </c>
      <c r="M9" s="16">
        <v>1.0</v>
      </c>
      <c r="N9" s="15"/>
      <c r="O9" s="16">
        <v>1.0</v>
      </c>
      <c r="P9" s="16">
        <v>1.0</v>
      </c>
      <c r="Q9" s="48"/>
      <c r="R9" s="48"/>
      <c r="S9" s="48"/>
      <c r="T9" s="48"/>
      <c r="U9" s="48"/>
      <c r="V9" s="48"/>
      <c r="W9" s="48"/>
      <c r="X9" s="48"/>
      <c r="Y9" s="48"/>
      <c r="Z9" s="48"/>
      <c r="AA9" s="49"/>
      <c r="AB9" s="49"/>
      <c r="AC9" s="48"/>
      <c r="AD9" s="48"/>
      <c r="AE9" s="48"/>
      <c r="AF9" s="48"/>
      <c r="AG9" s="48"/>
      <c r="AH9" s="49"/>
      <c r="AI9" s="48"/>
      <c r="AJ9" s="48"/>
      <c r="AK9" s="48"/>
      <c r="AL9" s="48"/>
      <c r="AM9" s="48"/>
      <c r="AN9" s="48"/>
      <c r="AO9" s="48"/>
      <c r="AP9" s="48"/>
      <c r="AQ9" s="48"/>
      <c r="AR9" s="48"/>
      <c r="AS9" s="48"/>
      <c r="AT9" s="48"/>
      <c r="AU9" s="48"/>
      <c r="AV9" s="48"/>
      <c r="AW9" s="48"/>
      <c r="AX9" s="48"/>
      <c r="AY9" s="48"/>
      <c r="AZ9" s="50"/>
      <c r="BA9" s="48"/>
      <c r="BB9" s="48"/>
      <c r="BC9" s="48"/>
      <c r="BD9" s="48"/>
      <c r="BE9" s="48"/>
      <c r="BF9" s="48"/>
      <c r="BG9" s="48"/>
      <c r="BH9" s="48"/>
      <c r="BI9" s="48"/>
      <c r="BJ9" s="48"/>
    </row>
    <row r="10">
      <c r="A10" s="46">
        <f>IFERROR(__xludf.DUMMYFUNCTION("""COMPUTED_VALUE"""),44259.0)</f>
        <v>44259</v>
      </c>
      <c r="B10" s="47" t="str">
        <f>if(A10="","",Vlookup(weekday(A10,2),DATA!$O$14:$P$20,2))</f>
        <v>Thursday</v>
      </c>
      <c r="C10" s="16"/>
      <c r="D10" s="16">
        <v>8.0</v>
      </c>
      <c r="E10" s="16">
        <v>8.0</v>
      </c>
      <c r="F10" s="16">
        <v>8.0</v>
      </c>
      <c r="G10" s="16">
        <v>8.0</v>
      </c>
      <c r="H10" s="16">
        <v>8.0</v>
      </c>
      <c r="I10" s="16">
        <v>8.0</v>
      </c>
      <c r="J10" s="16">
        <v>8.0</v>
      </c>
      <c r="K10" s="48"/>
      <c r="L10" s="48"/>
      <c r="M10" s="16">
        <v>4.5</v>
      </c>
      <c r="N10" s="16">
        <v>4.5</v>
      </c>
      <c r="O10" s="16">
        <v>4.5</v>
      </c>
      <c r="P10" s="16">
        <v>4.5</v>
      </c>
      <c r="Q10" s="48"/>
      <c r="R10" s="48"/>
      <c r="S10" s="48"/>
      <c r="T10" s="48"/>
      <c r="U10" s="48"/>
      <c r="V10" s="48"/>
      <c r="W10" s="48"/>
      <c r="X10" s="48"/>
      <c r="Y10" s="48"/>
      <c r="Z10" s="48"/>
      <c r="AA10" s="49"/>
      <c r="AB10" s="49"/>
      <c r="AC10" s="48"/>
      <c r="AD10" s="48"/>
      <c r="AE10" s="48"/>
      <c r="AF10" s="48"/>
      <c r="AG10" s="48"/>
      <c r="AH10" s="49"/>
      <c r="AI10" s="48"/>
      <c r="AJ10" s="48"/>
      <c r="AK10" s="48"/>
      <c r="AL10" s="48"/>
      <c r="AM10" s="48"/>
      <c r="AN10" s="48"/>
      <c r="AO10" s="48"/>
      <c r="AP10" s="48"/>
      <c r="AQ10" s="48"/>
      <c r="AR10" s="48"/>
      <c r="AS10" s="48"/>
      <c r="AT10" s="48"/>
      <c r="AU10" s="48"/>
      <c r="AV10" s="48"/>
      <c r="AW10" s="48"/>
      <c r="AX10" s="48"/>
      <c r="AY10" s="48"/>
      <c r="AZ10" s="50"/>
      <c r="BA10" s="48"/>
      <c r="BB10" s="48"/>
      <c r="BC10" s="48"/>
      <c r="BD10" s="48"/>
      <c r="BE10" s="48"/>
      <c r="BF10" s="48"/>
      <c r="BG10" s="48"/>
      <c r="BH10" s="48"/>
      <c r="BI10" s="48"/>
      <c r="BJ10" s="48"/>
    </row>
    <row r="11">
      <c r="A11" s="46">
        <f>IFERROR(__xludf.DUMMYFUNCTION("""COMPUTED_VALUE"""),44260.0)</f>
        <v>44260</v>
      </c>
      <c r="B11" s="47" t="str">
        <f>if(A11="","",Vlookup(weekday(A11,2),DATA!$O$14:$P$20,2))</f>
        <v>Friday</v>
      </c>
      <c r="C11" s="16"/>
      <c r="D11" s="16">
        <v>8.0</v>
      </c>
      <c r="E11" s="16">
        <v>8.0</v>
      </c>
      <c r="F11" s="16">
        <v>8.0</v>
      </c>
      <c r="G11" s="16">
        <v>8.0</v>
      </c>
      <c r="H11" s="16">
        <v>8.0</v>
      </c>
      <c r="I11" s="16">
        <v>8.0</v>
      </c>
      <c r="J11" s="16">
        <v>8.0</v>
      </c>
      <c r="K11" s="48"/>
      <c r="L11" s="48"/>
      <c r="M11" s="48"/>
      <c r="N11" s="48"/>
      <c r="O11" s="48"/>
      <c r="P11" s="48"/>
      <c r="Q11" s="48"/>
      <c r="R11" s="48"/>
      <c r="S11" s="48"/>
      <c r="T11" s="48"/>
      <c r="U11" s="48"/>
      <c r="V11" s="48"/>
      <c r="W11" s="48"/>
      <c r="X11" s="48"/>
      <c r="Y11" s="48"/>
      <c r="Z11" s="48"/>
      <c r="AA11" s="49"/>
      <c r="AB11" s="49"/>
      <c r="AC11" s="48"/>
      <c r="AD11" s="48"/>
      <c r="AE11" s="48"/>
      <c r="AF11" s="48"/>
      <c r="AG11" s="48"/>
      <c r="AH11" s="49"/>
      <c r="AI11" s="48"/>
      <c r="AJ11" s="48"/>
      <c r="AK11" s="48"/>
      <c r="AL11" s="48"/>
      <c r="AM11" s="48"/>
      <c r="AN11" s="48"/>
      <c r="AO11" s="48"/>
      <c r="AP11" s="48"/>
      <c r="AQ11" s="48"/>
      <c r="AR11" s="48"/>
      <c r="AS11" s="48"/>
      <c r="AT11" s="48"/>
      <c r="AU11" s="48"/>
      <c r="AV11" s="48"/>
      <c r="AW11" s="48"/>
      <c r="AX11" s="48"/>
      <c r="AY11" s="48"/>
      <c r="AZ11" s="50"/>
      <c r="BA11" s="48"/>
      <c r="BB11" s="48"/>
      <c r="BC11" s="48"/>
      <c r="BD11" s="48"/>
      <c r="BE11" s="48"/>
      <c r="BF11" s="48"/>
      <c r="BG11" s="48"/>
      <c r="BH11" s="48"/>
      <c r="BI11" s="48"/>
      <c r="BJ11" s="48"/>
    </row>
    <row r="12">
      <c r="A12" s="46">
        <f>IFERROR(__xludf.DUMMYFUNCTION("""COMPUTED_VALUE"""),44261.0)</f>
        <v>44261</v>
      </c>
      <c r="B12" s="47" t="str">
        <f>if(A12="","",Vlookup(weekday(A12,2),DATA!$O$14:$P$20,2))</f>
        <v>Saturday</v>
      </c>
      <c r="C12" s="48"/>
      <c r="D12" s="48"/>
      <c r="E12" s="48"/>
      <c r="F12" s="48"/>
      <c r="G12" s="48"/>
      <c r="H12" s="48"/>
      <c r="I12" s="48"/>
      <c r="J12" s="48"/>
      <c r="K12" s="48"/>
      <c r="L12" s="48"/>
      <c r="M12" s="48"/>
      <c r="N12" s="48"/>
      <c r="O12" s="48"/>
      <c r="P12" s="48"/>
      <c r="Q12" s="48"/>
      <c r="R12" s="48"/>
      <c r="S12" s="48"/>
      <c r="T12" s="48"/>
      <c r="U12" s="48"/>
      <c r="V12" s="48"/>
      <c r="W12" s="48"/>
      <c r="X12" s="48"/>
      <c r="Y12" s="48"/>
      <c r="Z12" s="48"/>
      <c r="AA12" s="48"/>
      <c r="AB12" s="48"/>
      <c r="AC12" s="48"/>
      <c r="AD12" s="48"/>
      <c r="AE12" s="48"/>
      <c r="AF12" s="48"/>
      <c r="AG12" s="48"/>
      <c r="AH12" s="48"/>
      <c r="AI12" s="48"/>
      <c r="AJ12" s="48"/>
      <c r="AK12" s="48"/>
      <c r="AL12" s="48"/>
      <c r="AM12" s="48"/>
      <c r="AN12" s="48"/>
      <c r="AO12" s="48"/>
      <c r="AP12" s="48"/>
      <c r="AQ12" s="48"/>
      <c r="AR12" s="48"/>
      <c r="AS12" s="48"/>
      <c r="AT12" s="48"/>
      <c r="AU12" s="48"/>
      <c r="AV12" s="48"/>
      <c r="AW12" s="48"/>
      <c r="AX12" s="48"/>
      <c r="AY12" s="48"/>
      <c r="AZ12" s="50"/>
      <c r="BA12" s="48"/>
      <c r="BB12" s="48"/>
      <c r="BC12" s="48"/>
      <c r="BD12" s="48"/>
      <c r="BE12" s="48"/>
      <c r="BF12" s="48"/>
      <c r="BG12" s="48"/>
      <c r="BH12" s="48"/>
      <c r="BI12" s="48"/>
      <c r="BJ12" s="48"/>
    </row>
    <row r="13">
      <c r="A13" s="46">
        <f>IFERROR(__xludf.DUMMYFUNCTION("""COMPUTED_VALUE"""),44262.0)</f>
        <v>44262</v>
      </c>
      <c r="B13" s="47" t="str">
        <f>if(A13="","",Vlookup(weekday(A13,2),DATA!$O$14:$P$20,2))</f>
        <v>Sunday</v>
      </c>
      <c r="C13" s="48"/>
      <c r="D13" s="48"/>
      <c r="E13" s="48"/>
      <c r="F13" s="48"/>
      <c r="G13" s="48"/>
      <c r="H13" s="48"/>
      <c r="I13" s="48"/>
      <c r="J13" s="48"/>
      <c r="K13" s="48"/>
      <c r="L13" s="48"/>
      <c r="M13" s="48"/>
      <c r="N13" s="48"/>
      <c r="O13" s="48"/>
      <c r="P13" s="48"/>
      <c r="Q13" s="48"/>
      <c r="R13" s="48"/>
      <c r="S13" s="48"/>
      <c r="T13" s="48"/>
      <c r="U13" s="48"/>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8"/>
      <c r="AY13" s="48"/>
      <c r="AZ13" s="50"/>
      <c r="BA13" s="48"/>
      <c r="BB13" s="48"/>
      <c r="BC13" s="48"/>
      <c r="BD13" s="48"/>
      <c r="BE13" s="48"/>
      <c r="BF13" s="48"/>
      <c r="BG13" s="48"/>
      <c r="BH13" s="48"/>
      <c r="BI13" s="48"/>
      <c r="BJ13" s="48"/>
    </row>
    <row r="14">
      <c r="A14" s="46">
        <f>IFERROR(__xludf.DUMMYFUNCTION("""COMPUTED_VALUE"""),44263.0)</f>
        <v>44263</v>
      </c>
      <c r="B14" s="47" t="str">
        <f>if(A14="","",Vlookup(weekday(A14,2),DATA!$O$14:$P$20,2))</f>
        <v>Monday</v>
      </c>
      <c r="C14" s="16"/>
      <c r="D14" s="16">
        <v>8.0</v>
      </c>
      <c r="E14" s="16">
        <v>8.0</v>
      </c>
      <c r="F14" s="16">
        <v>8.0</v>
      </c>
      <c r="G14" s="16">
        <v>8.0</v>
      </c>
      <c r="H14" s="16">
        <v>8.0</v>
      </c>
      <c r="I14" s="16">
        <v>8.0</v>
      </c>
      <c r="J14" s="16">
        <v>8.0</v>
      </c>
      <c r="K14" s="16">
        <v>8.0</v>
      </c>
      <c r="L14" s="48"/>
      <c r="M14" s="16">
        <v>8.0</v>
      </c>
      <c r="N14" s="48"/>
      <c r="O14" s="48"/>
      <c r="P14" s="48"/>
      <c r="Q14" s="48"/>
      <c r="R14" s="48"/>
      <c r="S14" s="16">
        <v>8.0</v>
      </c>
      <c r="T14" s="48"/>
      <c r="U14" s="48"/>
      <c r="V14" s="48"/>
      <c r="W14" s="48"/>
      <c r="X14" s="48"/>
      <c r="Y14" s="48"/>
      <c r="Z14" s="48"/>
      <c r="AA14" s="49"/>
      <c r="AB14" s="49"/>
      <c r="AC14" s="48"/>
      <c r="AD14" s="48"/>
      <c r="AE14" s="48"/>
      <c r="AF14" s="48"/>
      <c r="AG14" s="48"/>
      <c r="AH14" s="49"/>
      <c r="AI14" s="48"/>
      <c r="AJ14" s="48"/>
      <c r="AK14" s="48"/>
      <c r="AL14" s="48"/>
      <c r="AM14" s="48"/>
      <c r="AN14" s="48"/>
      <c r="AO14" s="48"/>
      <c r="AP14" s="48"/>
      <c r="AQ14" s="48"/>
      <c r="AR14" s="48"/>
      <c r="AS14" s="48"/>
      <c r="AT14" s="48"/>
      <c r="AU14" s="48"/>
      <c r="AV14" s="48"/>
      <c r="AW14" s="48"/>
      <c r="AX14" s="48"/>
      <c r="AY14" s="48"/>
      <c r="AZ14" s="50"/>
      <c r="BA14" s="48"/>
      <c r="BB14" s="48"/>
      <c r="BC14" s="48"/>
      <c r="BD14" s="48"/>
      <c r="BE14" s="48"/>
      <c r="BF14" s="48"/>
      <c r="BG14" s="48"/>
      <c r="BH14" s="48"/>
      <c r="BI14" s="48"/>
      <c r="BJ14" s="48"/>
    </row>
    <row r="15">
      <c r="A15" s="46">
        <f>IFERROR(__xludf.DUMMYFUNCTION("""COMPUTED_VALUE"""),44264.0)</f>
        <v>44264</v>
      </c>
      <c r="B15" s="47" t="str">
        <f>if(A15="","",Vlookup(weekday(A15,2),DATA!$O$14:$P$20,2))</f>
        <v>Tuesday</v>
      </c>
      <c r="C15" s="16"/>
      <c r="D15" s="16">
        <v>8.0</v>
      </c>
      <c r="E15" s="16">
        <v>5.0</v>
      </c>
      <c r="F15" s="16">
        <v>8.0</v>
      </c>
      <c r="G15" s="16">
        <v>8.0</v>
      </c>
      <c r="H15" s="16">
        <v>5.0</v>
      </c>
      <c r="I15" s="16">
        <v>8.0</v>
      </c>
      <c r="J15" s="16">
        <v>8.0</v>
      </c>
      <c r="K15" s="16">
        <v>8.0</v>
      </c>
      <c r="L15" s="48"/>
      <c r="M15" s="16">
        <v>7.0</v>
      </c>
      <c r="N15" s="48"/>
      <c r="O15" s="48"/>
      <c r="P15" s="48"/>
      <c r="Q15" s="48"/>
      <c r="R15" s="48"/>
      <c r="S15" s="16">
        <v>8.0</v>
      </c>
      <c r="T15" s="48"/>
      <c r="U15" s="48"/>
      <c r="V15" s="48"/>
      <c r="W15" s="48"/>
      <c r="X15" s="48"/>
      <c r="Y15" s="48"/>
      <c r="Z15" s="48"/>
      <c r="AA15" s="49"/>
      <c r="AB15" s="49"/>
      <c r="AC15" s="48"/>
      <c r="AD15" s="48"/>
      <c r="AE15" s="48"/>
      <c r="AF15" s="48"/>
      <c r="AG15" s="48"/>
      <c r="AH15" s="49"/>
      <c r="AI15" s="48"/>
      <c r="AJ15" s="48"/>
      <c r="AK15" s="48"/>
      <c r="AL15" s="48"/>
      <c r="AM15" s="48"/>
      <c r="AN15" s="48"/>
      <c r="AO15" s="48"/>
      <c r="AP15" s="48"/>
      <c r="AQ15" s="48"/>
      <c r="AR15" s="48"/>
      <c r="AS15" s="48"/>
      <c r="AT15" s="48"/>
      <c r="AU15" s="48"/>
      <c r="AV15" s="48"/>
      <c r="AW15" s="48"/>
      <c r="AX15" s="48"/>
      <c r="AY15" s="48"/>
      <c r="AZ15" s="50"/>
      <c r="BA15" s="48"/>
      <c r="BB15" s="48"/>
      <c r="BC15" s="48"/>
      <c r="BD15" s="48"/>
      <c r="BE15" s="48"/>
      <c r="BF15" s="48"/>
      <c r="BG15" s="48"/>
      <c r="BH15" s="48"/>
      <c r="BI15" s="48"/>
      <c r="BJ15" s="48"/>
    </row>
    <row r="16">
      <c r="A16" s="46">
        <f>IFERROR(__xludf.DUMMYFUNCTION("""COMPUTED_VALUE"""),44265.0)</f>
        <v>44265</v>
      </c>
      <c r="B16" s="47" t="str">
        <f>if(A16="","",Vlookup(weekday(A16,2),DATA!$O$14:$P$20,2))</f>
        <v>Wednesday</v>
      </c>
      <c r="C16" s="16"/>
      <c r="D16" s="16">
        <v>8.0</v>
      </c>
      <c r="E16" s="16">
        <v>8.0</v>
      </c>
      <c r="F16" s="16">
        <v>8.0</v>
      </c>
      <c r="G16" s="16">
        <v>8.0</v>
      </c>
      <c r="H16" s="16">
        <v>8.0</v>
      </c>
      <c r="I16" s="16">
        <v>8.0</v>
      </c>
      <c r="J16" s="16">
        <v>8.0</v>
      </c>
      <c r="K16" s="48"/>
      <c r="L16" s="48"/>
      <c r="M16" s="48"/>
      <c r="N16" s="48"/>
      <c r="O16" s="48"/>
      <c r="P16" s="48"/>
      <c r="Q16" s="48"/>
      <c r="R16" s="48"/>
      <c r="S16" s="16">
        <v>8.0</v>
      </c>
      <c r="T16" s="48"/>
      <c r="U16" s="48"/>
      <c r="V16" s="48"/>
      <c r="W16" s="48"/>
      <c r="X16" s="48"/>
      <c r="Y16" s="48"/>
      <c r="Z16" s="48"/>
      <c r="AA16" s="49"/>
      <c r="AB16" s="49"/>
      <c r="AC16" s="48"/>
      <c r="AD16" s="48"/>
      <c r="AE16" s="48"/>
      <c r="AF16" s="48"/>
      <c r="AG16" s="48"/>
      <c r="AH16" s="49"/>
      <c r="AI16" s="48"/>
      <c r="AJ16" s="48"/>
      <c r="AK16" s="48"/>
      <c r="AL16" s="48"/>
      <c r="AM16" s="48"/>
      <c r="AN16" s="48"/>
      <c r="AO16" s="48"/>
      <c r="AP16" s="48"/>
      <c r="AQ16" s="48"/>
      <c r="AR16" s="48"/>
      <c r="AS16" s="48"/>
      <c r="AT16" s="48"/>
      <c r="AU16" s="48"/>
      <c r="AV16" s="48"/>
      <c r="AW16" s="48"/>
      <c r="AX16" s="48"/>
      <c r="AY16" s="48"/>
      <c r="AZ16" s="50"/>
      <c r="BA16" s="48"/>
      <c r="BB16" s="48"/>
      <c r="BC16" s="48"/>
      <c r="BD16" s="48"/>
      <c r="BE16" s="48"/>
      <c r="BF16" s="48"/>
      <c r="BG16" s="48"/>
      <c r="BH16" s="48"/>
      <c r="BI16" s="48"/>
      <c r="BJ16" s="48"/>
    </row>
    <row r="17">
      <c r="A17" s="46">
        <f>IFERROR(__xludf.DUMMYFUNCTION("""COMPUTED_VALUE"""),44266.0)</f>
        <v>44266</v>
      </c>
      <c r="B17" s="47" t="str">
        <f>if(A17="","",Vlookup(weekday(A17,2),DATA!$O$14:$P$20,2))</f>
        <v>Thursday</v>
      </c>
      <c r="C17" s="16"/>
      <c r="D17" s="16">
        <v>8.0</v>
      </c>
      <c r="E17" s="16">
        <v>8.0</v>
      </c>
      <c r="F17" s="16"/>
      <c r="G17" s="16">
        <v>8.0</v>
      </c>
      <c r="H17" s="16">
        <v>8.5</v>
      </c>
      <c r="I17" s="16">
        <v>8.0</v>
      </c>
      <c r="J17" s="16">
        <v>8.0</v>
      </c>
      <c r="K17" s="48"/>
      <c r="L17" s="48"/>
      <c r="M17" s="48"/>
      <c r="N17" s="48"/>
      <c r="O17" s="48"/>
      <c r="P17" s="48"/>
      <c r="Q17" s="48"/>
      <c r="R17" s="48"/>
      <c r="S17" s="16">
        <v>8.0</v>
      </c>
      <c r="T17" s="48"/>
      <c r="U17" s="48"/>
      <c r="V17" s="48"/>
      <c r="W17" s="48"/>
      <c r="X17" s="48"/>
      <c r="Y17" s="48"/>
      <c r="Z17" s="48"/>
      <c r="AA17" s="49"/>
      <c r="AB17" s="49"/>
      <c r="AC17" s="48"/>
      <c r="AD17" s="48"/>
      <c r="AE17" s="48"/>
      <c r="AF17" s="48"/>
      <c r="AG17" s="48"/>
      <c r="AH17" s="49"/>
      <c r="AI17" s="48"/>
      <c r="AJ17" s="48"/>
      <c r="AK17" s="48"/>
      <c r="AL17" s="48"/>
      <c r="AM17" s="48"/>
      <c r="AN17" s="48"/>
      <c r="AO17" s="48"/>
      <c r="AP17" s="48"/>
      <c r="AQ17" s="48"/>
      <c r="AR17" s="48"/>
      <c r="AS17" s="48"/>
      <c r="AT17" s="48"/>
      <c r="AU17" s="48"/>
      <c r="AV17" s="48"/>
      <c r="AW17" s="48"/>
      <c r="AX17" s="48"/>
      <c r="AY17" s="48"/>
      <c r="AZ17" s="50"/>
      <c r="BA17" s="48"/>
      <c r="BB17" s="48"/>
      <c r="BC17" s="48"/>
      <c r="BD17" s="48"/>
      <c r="BE17" s="48"/>
      <c r="BF17" s="48"/>
      <c r="BG17" s="48"/>
      <c r="BH17" s="48"/>
      <c r="BI17" s="48"/>
      <c r="BJ17" s="48"/>
    </row>
    <row r="18">
      <c r="A18" s="46">
        <f>IFERROR(__xludf.DUMMYFUNCTION("""COMPUTED_VALUE"""),44267.0)</f>
        <v>44267</v>
      </c>
      <c r="B18" s="47" t="str">
        <f>if(A18="","",Vlookup(weekday(A18,2),DATA!$O$14:$P$20,2))</f>
        <v>Friday</v>
      </c>
      <c r="C18" s="16"/>
      <c r="D18" s="16">
        <v>8.0</v>
      </c>
      <c r="E18" s="16">
        <v>9.0</v>
      </c>
      <c r="F18" s="16">
        <v>8.0</v>
      </c>
      <c r="G18" s="16">
        <v>8.0</v>
      </c>
      <c r="H18" s="16">
        <v>9.0</v>
      </c>
      <c r="I18" s="16">
        <v>8.0</v>
      </c>
      <c r="J18" s="16">
        <v>8.0</v>
      </c>
      <c r="K18" s="48"/>
      <c r="L18" s="48"/>
      <c r="M18" s="48"/>
      <c r="N18" s="48"/>
      <c r="O18" s="48"/>
      <c r="P18" s="48"/>
      <c r="Q18" s="48"/>
      <c r="R18" s="48"/>
      <c r="S18" s="16">
        <v>8.0</v>
      </c>
      <c r="T18" s="48"/>
      <c r="U18" s="48"/>
      <c r="V18" s="48"/>
      <c r="W18" s="48"/>
      <c r="X18" s="48"/>
      <c r="Y18" s="48"/>
      <c r="Z18" s="48"/>
      <c r="AA18" s="49"/>
      <c r="AB18" s="49"/>
      <c r="AC18" s="48"/>
      <c r="AD18" s="48"/>
      <c r="AE18" s="48"/>
      <c r="AF18" s="48"/>
      <c r="AG18" s="48"/>
      <c r="AH18" s="49"/>
      <c r="AI18" s="48"/>
      <c r="AJ18" s="48"/>
      <c r="AK18" s="48"/>
      <c r="AL18" s="48"/>
      <c r="AM18" s="48"/>
      <c r="AN18" s="48"/>
      <c r="AO18" s="48"/>
      <c r="AP18" s="48"/>
      <c r="AQ18" s="48"/>
      <c r="AR18" s="48"/>
      <c r="AS18" s="48"/>
      <c r="AT18" s="48"/>
      <c r="AU18" s="48"/>
      <c r="AV18" s="48"/>
      <c r="AW18" s="48"/>
      <c r="AX18" s="48"/>
      <c r="AY18" s="48"/>
      <c r="AZ18" s="50"/>
      <c r="BA18" s="48"/>
      <c r="BB18" s="48"/>
      <c r="BC18" s="48"/>
      <c r="BD18" s="48"/>
      <c r="BE18" s="48"/>
      <c r="BF18" s="48"/>
      <c r="BG18" s="48"/>
      <c r="BH18" s="48"/>
      <c r="BI18" s="48"/>
      <c r="BJ18" s="48"/>
    </row>
    <row r="19">
      <c r="A19" s="46">
        <f>IFERROR(__xludf.DUMMYFUNCTION("""COMPUTED_VALUE"""),44268.0)</f>
        <v>44268</v>
      </c>
      <c r="B19" s="47" t="str">
        <f>if(A19="","",Vlookup(weekday(A19,2),DATA!$O$14:$P$20,2))</f>
        <v>Saturday</v>
      </c>
      <c r="C19" s="48"/>
      <c r="D19" s="48"/>
      <c r="E19" s="48"/>
      <c r="F19" s="48"/>
      <c r="G19" s="48"/>
      <c r="H19" s="48"/>
      <c r="I19" s="48"/>
      <c r="J19" s="48"/>
      <c r="K19" s="16">
        <v>8.0</v>
      </c>
      <c r="L19" s="15">
        <v>8.0</v>
      </c>
      <c r="M19" s="16">
        <v>8.0</v>
      </c>
      <c r="N19" s="15">
        <v>1.34</v>
      </c>
      <c r="O19" s="15">
        <v>8.0</v>
      </c>
      <c r="P19" s="15">
        <v>1.34</v>
      </c>
      <c r="Q19" s="15">
        <v>8.0</v>
      </c>
      <c r="R19" s="48"/>
      <c r="S19" s="48"/>
      <c r="T19" s="48"/>
      <c r="U19" s="48"/>
      <c r="V19" s="48"/>
      <c r="W19" s="48"/>
      <c r="X19" s="48"/>
      <c r="Y19" s="48"/>
      <c r="Z19" s="48"/>
      <c r="AA19" s="49"/>
      <c r="AB19" s="49"/>
      <c r="AC19" s="48"/>
      <c r="AD19" s="48"/>
      <c r="AE19" s="48"/>
      <c r="AF19" s="48"/>
      <c r="AG19" s="48"/>
      <c r="AH19" s="49"/>
      <c r="AI19" s="48"/>
      <c r="AJ19" s="48"/>
      <c r="AK19" s="48"/>
      <c r="AL19" s="48"/>
      <c r="AM19" s="48"/>
      <c r="AN19" s="48"/>
      <c r="AO19" s="48"/>
      <c r="AP19" s="48"/>
      <c r="AQ19" s="48"/>
      <c r="AR19" s="48"/>
      <c r="AS19" s="48"/>
      <c r="AT19" s="48"/>
      <c r="AU19" s="48"/>
      <c r="AV19" s="48"/>
      <c r="AW19" s="48"/>
      <c r="AX19" s="48"/>
      <c r="AY19" s="48"/>
      <c r="AZ19" s="50"/>
      <c r="BA19" s="48"/>
      <c r="BB19" s="48"/>
      <c r="BC19" s="48"/>
      <c r="BD19" s="48"/>
      <c r="BE19" s="48"/>
      <c r="BF19" s="48"/>
      <c r="BG19" s="48"/>
      <c r="BH19" s="48"/>
      <c r="BI19" s="48"/>
      <c r="BJ19" s="48"/>
    </row>
    <row r="20">
      <c r="A20" s="46">
        <f>IFERROR(__xludf.DUMMYFUNCTION("""COMPUTED_VALUE"""),44269.0)</f>
        <v>44269</v>
      </c>
      <c r="B20" s="47" t="str">
        <f>if(A20="","",Vlookup(weekday(A20,2),DATA!$O$14:$P$20,2))</f>
        <v>Sunday</v>
      </c>
      <c r="C20" s="48"/>
      <c r="D20" s="48"/>
      <c r="E20" s="48"/>
      <c r="F20" s="48"/>
      <c r="G20" s="48"/>
      <c r="H20" s="48"/>
      <c r="I20" s="48"/>
      <c r="J20" s="48"/>
      <c r="K20" s="16">
        <v>8.0</v>
      </c>
      <c r="L20" s="15">
        <v>8.0</v>
      </c>
      <c r="M20" s="16">
        <v>8.0</v>
      </c>
      <c r="N20" s="48"/>
      <c r="O20" s="48"/>
      <c r="P20" s="48"/>
      <c r="Q20" s="15">
        <v>8.0</v>
      </c>
      <c r="R20" s="48"/>
      <c r="S20" s="48"/>
      <c r="T20" s="48"/>
      <c r="U20" s="48"/>
      <c r="V20" s="48"/>
      <c r="W20" s="48"/>
      <c r="X20" s="48"/>
      <c r="Y20" s="48"/>
      <c r="Z20" s="48"/>
      <c r="AA20" s="49"/>
      <c r="AB20" s="49"/>
      <c r="AC20" s="48"/>
      <c r="AD20" s="48"/>
      <c r="AE20" s="48"/>
      <c r="AF20" s="48"/>
      <c r="AG20" s="48"/>
      <c r="AH20" s="49"/>
      <c r="AI20" s="48"/>
      <c r="AJ20" s="48"/>
      <c r="AK20" s="48"/>
      <c r="AL20" s="48"/>
      <c r="AM20" s="48"/>
      <c r="AN20" s="48"/>
      <c r="AO20" s="48"/>
      <c r="AP20" s="48"/>
      <c r="AQ20" s="48"/>
      <c r="AR20" s="48"/>
      <c r="AS20" s="48"/>
      <c r="AT20" s="48"/>
      <c r="AU20" s="48"/>
      <c r="AV20" s="48"/>
      <c r="AW20" s="48"/>
      <c r="AX20" s="48"/>
      <c r="AY20" s="48"/>
      <c r="AZ20" s="50"/>
      <c r="BA20" s="48"/>
      <c r="BB20" s="48"/>
      <c r="BC20" s="48"/>
      <c r="BD20" s="48"/>
      <c r="BE20" s="48"/>
      <c r="BF20" s="48"/>
      <c r="BG20" s="48"/>
      <c r="BH20" s="48"/>
      <c r="BI20" s="48"/>
      <c r="BJ20" s="48"/>
    </row>
    <row r="21">
      <c r="A21" s="46">
        <f>IFERROR(__xludf.DUMMYFUNCTION("""COMPUTED_VALUE"""),44270.0)</f>
        <v>44270</v>
      </c>
      <c r="B21" s="47" t="str">
        <f>if(A21="","",Vlookup(weekday(A21,2),DATA!$O$14:$P$20,2))</f>
        <v>Monday</v>
      </c>
      <c r="C21" s="16"/>
      <c r="D21" s="16">
        <v>8.0</v>
      </c>
      <c r="E21" s="16">
        <v>8.0</v>
      </c>
      <c r="F21" s="16">
        <v>8.0</v>
      </c>
      <c r="G21" s="16">
        <v>8.0</v>
      </c>
      <c r="H21" s="16">
        <v>8.5</v>
      </c>
      <c r="I21" s="16">
        <v>8.0</v>
      </c>
      <c r="J21" s="16">
        <v>8.0</v>
      </c>
      <c r="K21" s="48"/>
      <c r="L21" s="48"/>
      <c r="M21" s="48"/>
      <c r="N21" s="48"/>
      <c r="O21" s="48"/>
      <c r="P21" s="48"/>
      <c r="Q21" s="48"/>
      <c r="R21" s="48"/>
      <c r="S21" s="16">
        <v>8.0</v>
      </c>
      <c r="T21" s="48"/>
      <c r="U21" s="48"/>
      <c r="V21" s="48"/>
      <c r="W21" s="48"/>
      <c r="X21" s="48"/>
      <c r="Y21" s="48"/>
      <c r="Z21" s="48"/>
      <c r="AA21" s="49"/>
      <c r="AB21" s="49"/>
      <c r="AC21" s="48"/>
      <c r="AD21" s="48"/>
      <c r="AE21" s="48"/>
      <c r="AF21" s="48"/>
      <c r="AG21" s="48"/>
      <c r="AH21" s="49"/>
      <c r="AI21" s="48"/>
      <c r="AJ21" s="48"/>
      <c r="AK21" s="48"/>
      <c r="AL21" s="48"/>
      <c r="AM21" s="48"/>
      <c r="AN21" s="48"/>
      <c r="AO21" s="48"/>
      <c r="AP21" s="48"/>
      <c r="AQ21" s="48"/>
      <c r="AR21" s="48"/>
      <c r="AS21" s="48"/>
      <c r="AT21" s="48"/>
      <c r="AU21" s="48"/>
      <c r="AV21" s="48"/>
      <c r="AW21" s="48"/>
      <c r="AX21" s="48"/>
      <c r="AY21" s="48"/>
      <c r="AZ21" s="50"/>
      <c r="BA21" s="48"/>
      <c r="BB21" s="48"/>
      <c r="BC21" s="48"/>
      <c r="BD21" s="48"/>
      <c r="BE21" s="48"/>
      <c r="BF21" s="48"/>
      <c r="BG21" s="48"/>
      <c r="BH21" s="48"/>
      <c r="BI21" s="48"/>
      <c r="BJ21" s="48"/>
    </row>
    <row r="22">
      <c r="A22" s="46">
        <f>IFERROR(__xludf.DUMMYFUNCTION("""COMPUTED_VALUE"""),44271.0)</f>
        <v>44271</v>
      </c>
      <c r="B22" s="47" t="str">
        <f>if(A22="","",Vlookup(weekday(A22,2),DATA!$O$14:$P$20,2))</f>
        <v>Tuesday</v>
      </c>
      <c r="C22" s="16"/>
      <c r="D22" s="16">
        <v>8.0</v>
      </c>
      <c r="E22" s="16">
        <v>9.0</v>
      </c>
      <c r="F22" s="16">
        <v>8.0</v>
      </c>
      <c r="G22" s="16">
        <v>8.0</v>
      </c>
      <c r="H22" s="16">
        <v>8.5</v>
      </c>
      <c r="I22" s="16">
        <v>8.0</v>
      </c>
      <c r="J22" s="16">
        <v>8.0</v>
      </c>
      <c r="K22" s="48"/>
      <c r="L22" s="48"/>
      <c r="M22" s="48"/>
      <c r="N22" s="16">
        <v>8.0</v>
      </c>
      <c r="O22" s="16">
        <v>8.0</v>
      </c>
      <c r="P22" s="16">
        <v>6.66</v>
      </c>
      <c r="Q22" s="48"/>
      <c r="R22" s="48"/>
      <c r="S22" s="16">
        <v>8.0</v>
      </c>
      <c r="T22" s="48"/>
      <c r="U22" s="48"/>
      <c r="V22" s="48"/>
      <c r="W22" s="48"/>
      <c r="X22" s="48"/>
      <c r="Y22" s="48"/>
      <c r="Z22" s="48"/>
      <c r="AA22" s="49"/>
      <c r="AB22" s="49"/>
      <c r="AC22" s="48"/>
      <c r="AD22" s="48"/>
      <c r="AE22" s="48"/>
      <c r="AF22" s="48"/>
      <c r="AG22" s="48"/>
      <c r="AH22" s="49"/>
      <c r="AI22" s="48"/>
      <c r="AJ22" s="48"/>
      <c r="AK22" s="48"/>
      <c r="AL22" s="48"/>
      <c r="AM22" s="48"/>
      <c r="AN22" s="48"/>
      <c r="AO22" s="48"/>
      <c r="AP22" s="48"/>
      <c r="AQ22" s="48"/>
      <c r="AR22" s="48"/>
      <c r="AS22" s="48"/>
      <c r="AT22" s="48"/>
      <c r="AU22" s="48"/>
      <c r="AV22" s="48"/>
      <c r="AW22" s="48"/>
      <c r="AX22" s="48"/>
      <c r="AY22" s="48"/>
      <c r="AZ22" s="50"/>
      <c r="BA22" s="48"/>
      <c r="BB22" s="48"/>
      <c r="BC22" s="48"/>
      <c r="BD22" s="48"/>
      <c r="BE22" s="48"/>
      <c r="BF22" s="48"/>
      <c r="BG22" s="48"/>
      <c r="BH22" s="48"/>
      <c r="BI22" s="48"/>
      <c r="BJ22" s="48"/>
    </row>
    <row r="23">
      <c r="A23" s="46">
        <f>IFERROR(__xludf.DUMMYFUNCTION("""COMPUTED_VALUE"""),44272.0)</f>
        <v>44272</v>
      </c>
      <c r="B23" s="47" t="str">
        <f>if(A23="","",Vlookup(weekday(A23,2),DATA!$O$14:$P$20,2))</f>
        <v>Wednesday</v>
      </c>
      <c r="C23" s="16"/>
      <c r="D23" s="16">
        <v>8.0</v>
      </c>
      <c r="E23" s="16">
        <v>8.5</v>
      </c>
      <c r="F23" s="16">
        <v>8.0</v>
      </c>
      <c r="G23" s="16">
        <v>8.0</v>
      </c>
      <c r="H23" s="16">
        <v>8.5</v>
      </c>
      <c r="I23" s="16">
        <v>8.0</v>
      </c>
      <c r="J23" s="16">
        <v>8.0</v>
      </c>
      <c r="K23" s="48"/>
      <c r="L23" s="48"/>
      <c r="M23" s="48"/>
      <c r="N23" s="16">
        <v>8.0</v>
      </c>
      <c r="O23" s="15"/>
      <c r="P23" s="16">
        <v>8.0</v>
      </c>
      <c r="Q23" s="48"/>
      <c r="R23" s="48"/>
      <c r="S23" s="16">
        <v>8.0</v>
      </c>
      <c r="T23" s="48"/>
      <c r="U23" s="48"/>
      <c r="V23" s="48"/>
      <c r="W23" s="48"/>
      <c r="X23" s="48"/>
      <c r="Y23" s="48"/>
      <c r="Z23" s="48"/>
      <c r="AA23" s="49"/>
      <c r="AB23" s="49"/>
      <c r="AC23" s="48"/>
      <c r="AD23" s="48"/>
      <c r="AE23" s="48"/>
      <c r="AF23" s="48"/>
      <c r="AG23" s="48"/>
      <c r="AH23" s="49"/>
      <c r="AI23" s="48"/>
      <c r="AJ23" s="48"/>
      <c r="AK23" s="48"/>
      <c r="AL23" s="48"/>
      <c r="AM23" s="48"/>
      <c r="AN23" s="48"/>
      <c r="AO23" s="48"/>
      <c r="AP23" s="48"/>
      <c r="AQ23" s="48"/>
      <c r="AR23" s="48"/>
      <c r="AS23" s="48"/>
      <c r="AT23" s="48"/>
      <c r="AU23" s="48"/>
      <c r="AV23" s="48"/>
      <c r="AW23" s="48"/>
      <c r="AX23" s="48"/>
      <c r="AY23" s="48"/>
      <c r="AZ23" s="50"/>
      <c r="BA23" s="48"/>
      <c r="BB23" s="48"/>
      <c r="BC23" s="48"/>
      <c r="BD23" s="48"/>
      <c r="BE23" s="48"/>
      <c r="BF23" s="48"/>
      <c r="BG23" s="48"/>
      <c r="BH23" s="48"/>
      <c r="BI23" s="48"/>
      <c r="BJ23" s="48"/>
    </row>
    <row r="24">
      <c r="A24" s="46">
        <f>IFERROR(__xludf.DUMMYFUNCTION("""COMPUTED_VALUE"""),44273.0)</f>
        <v>44273</v>
      </c>
      <c r="B24" s="47" t="str">
        <f>if(A24="","",Vlookup(weekday(A24,2),DATA!$O$14:$P$20,2))</f>
        <v>Thursday</v>
      </c>
      <c r="C24" s="16"/>
      <c r="D24" s="16">
        <v>6.0</v>
      </c>
      <c r="E24" s="16">
        <v>8.0</v>
      </c>
      <c r="F24" s="16">
        <v>8.0</v>
      </c>
      <c r="G24" s="16">
        <v>8.0</v>
      </c>
      <c r="H24" s="16">
        <v>8.0</v>
      </c>
      <c r="I24" s="16">
        <v>8.0</v>
      </c>
      <c r="J24" s="16">
        <v>8.0</v>
      </c>
      <c r="K24" s="48"/>
      <c r="L24" s="48"/>
      <c r="M24" s="48"/>
      <c r="N24" s="48"/>
      <c r="O24" s="48"/>
      <c r="P24" s="48"/>
      <c r="Q24" s="48"/>
      <c r="R24" s="48"/>
      <c r="S24" s="16">
        <v>8.0</v>
      </c>
      <c r="T24" s="48"/>
      <c r="U24" s="48"/>
      <c r="V24" s="48"/>
      <c r="W24" s="48"/>
      <c r="X24" s="16">
        <v>8.0</v>
      </c>
      <c r="Y24" s="48"/>
      <c r="Z24" s="48"/>
      <c r="AA24" s="49"/>
      <c r="AB24" s="49"/>
      <c r="AC24" s="48"/>
      <c r="AD24" s="48"/>
      <c r="AE24" s="48"/>
      <c r="AF24" s="48"/>
      <c r="AG24" s="48"/>
      <c r="AH24" s="49"/>
      <c r="AI24" s="48"/>
      <c r="AJ24" s="48"/>
      <c r="AK24" s="48"/>
      <c r="AL24" s="48"/>
      <c r="AM24" s="48"/>
      <c r="AN24" s="48"/>
      <c r="AO24" s="48"/>
      <c r="AP24" s="48"/>
      <c r="AQ24" s="48"/>
      <c r="AR24" s="48"/>
      <c r="AS24" s="48"/>
      <c r="AT24" s="48"/>
      <c r="AU24" s="48"/>
      <c r="AV24" s="48"/>
      <c r="AW24" s="48"/>
      <c r="AX24" s="48"/>
      <c r="AY24" s="48"/>
      <c r="AZ24" s="50"/>
      <c r="BA24" s="48"/>
      <c r="BB24" s="48"/>
      <c r="BC24" s="48"/>
      <c r="BD24" s="48"/>
      <c r="BE24" s="48"/>
      <c r="BF24" s="48"/>
      <c r="BG24" s="48"/>
      <c r="BH24" s="48"/>
      <c r="BI24" s="48"/>
      <c r="BJ24" s="48"/>
    </row>
    <row r="25">
      <c r="A25" s="46">
        <f>IFERROR(__xludf.DUMMYFUNCTION("""COMPUTED_VALUE"""),44274.0)</f>
        <v>44274</v>
      </c>
      <c r="B25" s="47" t="str">
        <f>if(A25="","",Vlookup(weekday(A25,2),DATA!$O$14:$P$20,2))</f>
        <v>Friday</v>
      </c>
      <c r="C25" s="51"/>
      <c r="D25" s="51">
        <v>10.0</v>
      </c>
      <c r="E25" s="16">
        <v>8.5</v>
      </c>
      <c r="F25" s="52">
        <v>8.0</v>
      </c>
      <c r="G25" s="52">
        <v>8.0</v>
      </c>
      <c r="H25" s="52">
        <v>8.0</v>
      </c>
      <c r="I25" s="48"/>
      <c r="J25" s="52">
        <v>8.0</v>
      </c>
      <c r="K25" s="48"/>
      <c r="L25" s="48"/>
      <c r="M25" s="48"/>
      <c r="N25" s="48"/>
      <c r="O25" s="48"/>
      <c r="P25" s="48"/>
      <c r="Q25" s="48"/>
      <c r="R25" s="48"/>
      <c r="S25" s="16">
        <v>8.0</v>
      </c>
      <c r="T25" s="48"/>
      <c r="U25" s="48"/>
      <c r="V25" s="48"/>
      <c r="W25" s="48"/>
      <c r="X25" s="16">
        <v>8.0</v>
      </c>
      <c r="Y25" s="48"/>
      <c r="Z25" s="48"/>
      <c r="AA25" s="49"/>
      <c r="AB25" s="49"/>
      <c r="AC25" s="48"/>
      <c r="AD25" s="48"/>
      <c r="AE25" s="48"/>
      <c r="AF25" s="48"/>
      <c r="AG25" s="48"/>
      <c r="AH25" s="49"/>
      <c r="AI25" s="48"/>
      <c r="AJ25" s="48"/>
      <c r="AK25" s="48"/>
      <c r="AL25" s="48"/>
      <c r="AM25" s="48"/>
      <c r="AN25" s="48"/>
      <c r="AO25" s="48"/>
      <c r="AP25" s="48"/>
      <c r="AQ25" s="48"/>
      <c r="AR25" s="48"/>
      <c r="AS25" s="48"/>
      <c r="AT25" s="48"/>
      <c r="AU25" s="48"/>
      <c r="AV25" s="48"/>
      <c r="AW25" s="48"/>
      <c r="AX25" s="48"/>
      <c r="AY25" s="48"/>
      <c r="AZ25" s="50"/>
      <c r="BA25" s="48"/>
      <c r="BB25" s="48"/>
      <c r="BC25" s="48"/>
      <c r="BD25" s="48"/>
      <c r="BE25" s="48"/>
      <c r="BF25" s="48"/>
      <c r="BG25" s="48"/>
      <c r="BH25" s="48"/>
      <c r="BI25" s="48"/>
      <c r="BJ25" s="48"/>
    </row>
    <row r="26">
      <c r="A26" s="46">
        <f>IFERROR(__xludf.DUMMYFUNCTION("""COMPUTED_VALUE"""),44275.0)</f>
        <v>44275</v>
      </c>
      <c r="B26" s="47" t="str">
        <f>if(A26="","",Vlookup(weekday(A26,2),DATA!$O$14:$P$20,2))</f>
        <v>Saturday</v>
      </c>
      <c r="C26" s="48"/>
      <c r="D26" s="48"/>
      <c r="E26" s="48"/>
      <c r="F26" s="48"/>
      <c r="G26" s="48"/>
      <c r="H26" s="48"/>
      <c r="I26" s="48"/>
      <c r="J26" s="48"/>
      <c r="K26" s="52">
        <v>8.0</v>
      </c>
      <c r="L26" s="52">
        <v>8.0</v>
      </c>
      <c r="M26" s="52">
        <v>8.0</v>
      </c>
      <c r="N26" s="52">
        <v>8.0</v>
      </c>
      <c r="O26" s="52">
        <v>8.0</v>
      </c>
      <c r="P26" s="52">
        <v>8.0</v>
      </c>
      <c r="Q26" s="52">
        <v>8.0</v>
      </c>
      <c r="R26" s="48"/>
      <c r="S26" s="48"/>
      <c r="T26" s="48"/>
      <c r="U26" s="48"/>
      <c r="V26" s="48"/>
      <c r="W26" s="48"/>
      <c r="X26" s="48"/>
      <c r="Y26" s="48"/>
      <c r="Z26" s="48"/>
      <c r="AA26" s="49"/>
      <c r="AB26" s="49"/>
      <c r="AC26" s="48"/>
      <c r="AD26" s="48"/>
      <c r="AE26" s="48"/>
      <c r="AF26" s="48"/>
      <c r="AG26" s="48"/>
      <c r="AH26" s="49"/>
      <c r="AI26" s="48"/>
      <c r="AJ26" s="48"/>
      <c r="AK26" s="48"/>
      <c r="AL26" s="48"/>
      <c r="AM26" s="48"/>
      <c r="AN26" s="48"/>
      <c r="AO26" s="48"/>
      <c r="AP26" s="48"/>
      <c r="AQ26" s="48"/>
      <c r="AR26" s="48"/>
      <c r="AS26" s="48"/>
      <c r="AT26" s="48"/>
      <c r="AU26" s="48"/>
      <c r="AV26" s="48"/>
      <c r="AW26" s="48"/>
      <c r="AX26" s="48"/>
      <c r="AY26" s="48"/>
      <c r="AZ26" s="50"/>
      <c r="BA26" s="48"/>
      <c r="BB26" s="48"/>
      <c r="BC26" s="48"/>
      <c r="BD26" s="48"/>
      <c r="BE26" s="48"/>
      <c r="BF26" s="48"/>
      <c r="BG26" s="48"/>
      <c r="BH26" s="48"/>
      <c r="BI26" s="48"/>
      <c r="BJ26" s="48"/>
    </row>
    <row r="27">
      <c r="A27" s="46">
        <f>IFERROR(__xludf.DUMMYFUNCTION("""COMPUTED_VALUE"""),44276.0)</f>
        <v>44276</v>
      </c>
      <c r="B27" s="47" t="str">
        <f>if(A27="","",Vlookup(weekday(A27,2),DATA!$O$14:$P$20,2))</f>
        <v>Sunday</v>
      </c>
      <c r="C27" s="48"/>
      <c r="D27" s="48"/>
      <c r="E27" s="48"/>
      <c r="F27" s="48"/>
      <c r="G27" s="48"/>
      <c r="H27" s="48"/>
      <c r="I27" s="52">
        <v>8.0</v>
      </c>
      <c r="J27" s="48"/>
      <c r="K27" s="52">
        <v>8.0</v>
      </c>
      <c r="L27" s="52">
        <v>8.0</v>
      </c>
      <c r="M27" s="52">
        <v>8.0</v>
      </c>
      <c r="N27" s="52">
        <v>8.0</v>
      </c>
      <c r="O27" s="52">
        <v>8.0</v>
      </c>
      <c r="P27" s="52">
        <v>8.0</v>
      </c>
      <c r="Q27" s="52">
        <v>8.0</v>
      </c>
      <c r="R27" s="48"/>
      <c r="S27" s="48"/>
      <c r="T27" s="48"/>
      <c r="U27" s="48"/>
      <c r="V27" s="48"/>
      <c r="W27" s="48"/>
      <c r="X27" s="48"/>
      <c r="Y27" s="48"/>
      <c r="Z27" s="48"/>
      <c r="AA27" s="49"/>
      <c r="AB27" s="49"/>
      <c r="AC27" s="48"/>
      <c r="AD27" s="48"/>
      <c r="AE27" s="48"/>
      <c r="AF27" s="48"/>
      <c r="AG27" s="48"/>
      <c r="AH27" s="49"/>
      <c r="AI27" s="48"/>
      <c r="AJ27" s="48"/>
      <c r="AK27" s="48"/>
      <c r="AL27" s="48"/>
      <c r="AM27" s="48"/>
      <c r="AN27" s="48"/>
      <c r="AO27" s="48"/>
      <c r="AP27" s="48"/>
      <c r="AQ27" s="48"/>
      <c r="AR27" s="48"/>
      <c r="AS27" s="48"/>
      <c r="AT27" s="48"/>
      <c r="AU27" s="48"/>
      <c r="AV27" s="48"/>
      <c r="AW27" s="48"/>
      <c r="AX27" s="48"/>
      <c r="AY27" s="48"/>
      <c r="AZ27" s="50"/>
      <c r="BA27" s="48"/>
      <c r="BB27" s="48"/>
      <c r="BC27" s="48"/>
      <c r="BD27" s="48"/>
      <c r="BE27" s="48"/>
      <c r="BF27" s="48"/>
      <c r="BG27" s="48"/>
      <c r="BH27" s="48"/>
      <c r="BI27" s="48"/>
      <c r="BJ27" s="48"/>
    </row>
    <row r="28">
      <c r="A28" s="46">
        <f>IFERROR(__xludf.DUMMYFUNCTION("""COMPUTED_VALUE"""),44277.0)</f>
        <v>44277</v>
      </c>
      <c r="B28" s="47" t="str">
        <f>if(A28="","",Vlookup(weekday(A28,2),DATA!$O$14:$P$20,2))</f>
        <v>Monday</v>
      </c>
      <c r="C28" s="52"/>
      <c r="D28" s="52">
        <v>8.0</v>
      </c>
      <c r="E28" s="52">
        <v>8.0</v>
      </c>
      <c r="F28" s="52">
        <v>8.0</v>
      </c>
      <c r="G28" s="52">
        <v>8.0</v>
      </c>
      <c r="H28" s="52">
        <v>8.0</v>
      </c>
      <c r="I28" s="52">
        <v>8.0</v>
      </c>
      <c r="J28" s="52">
        <v>8.0</v>
      </c>
      <c r="K28" s="48"/>
      <c r="L28" s="48"/>
      <c r="M28" s="48"/>
      <c r="N28" s="48"/>
      <c r="O28" s="48"/>
      <c r="P28" s="48"/>
      <c r="Q28" s="48"/>
      <c r="R28" s="48"/>
      <c r="S28" s="16">
        <v>8.0</v>
      </c>
      <c r="T28" s="48"/>
      <c r="U28" s="48"/>
      <c r="V28" s="48"/>
      <c r="W28" s="48"/>
      <c r="X28" s="16">
        <v>8.0</v>
      </c>
      <c r="Y28" s="48"/>
      <c r="Z28" s="48"/>
      <c r="AA28" s="49"/>
      <c r="AB28" s="49"/>
      <c r="AC28" s="48"/>
      <c r="AD28" s="48"/>
      <c r="AE28" s="48"/>
      <c r="AF28" s="48"/>
      <c r="AG28" s="48"/>
      <c r="AH28" s="49"/>
      <c r="AI28" s="48"/>
      <c r="AJ28" s="48"/>
      <c r="AK28" s="48"/>
      <c r="AL28" s="48"/>
      <c r="AM28" s="48"/>
      <c r="AN28" s="48"/>
      <c r="AO28" s="48"/>
      <c r="AP28" s="48"/>
      <c r="AQ28" s="48"/>
      <c r="AR28" s="48"/>
      <c r="AS28" s="48"/>
      <c r="AT28" s="48"/>
      <c r="AU28" s="48"/>
      <c r="AV28" s="48"/>
      <c r="AW28" s="48"/>
      <c r="AX28" s="48"/>
      <c r="AY28" s="48"/>
      <c r="AZ28" s="50"/>
      <c r="BA28" s="48"/>
      <c r="BB28" s="48"/>
      <c r="BC28" s="48"/>
      <c r="BD28" s="48"/>
      <c r="BE28" s="48"/>
      <c r="BF28" s="48"/>
      <c r="BG28" s="48"/>
      <c r="BH28" s="48"/>
      <c r="BI28" s="48"/>
      <c r="BJ28" s="48"/>
    </row>
    <row r="29">
      <c r="A29" s="46">
        <f>IFERROR(__xludf.DUMMYFUNCTION("""COMPUTED_VALUE"""),44278.0)</f>
        <v>44278</v>
      </c>
      <c r="B29" s="47" t="str">
        <f>if(A29="","",Vlookup(weekday(A29,2),DATA!$O$14:$P$20,2))</f>
        <v>Tuesday</v>
      </c>
      <c r="C29" s="52"/>
      <c r="D29" s="52">
        <v>8.0</v>
      </c>
      <c r="E29" s="52">
        <v>8.0</v>
      </c>
      <c r="F29" s="52">
        <v>8.0</v>
      </c>
      <c r="G29" s="52">
        <v>8.0</v>
      </c>
      <c r="H29" s="52">
        <v>8.0</v>
      </c>
      <c r="I29" s="48"/>
      <c r="J29" s="52">
        <v>8.0</v>
      </c>
      <c r="K29" s="48"/>
      <c r="L29" s="48"/>
      <c r="M29" s="48"/>
      <c r="N29" s="48"/>
      <c r="O29" s="48"/>
      <c r="P29" s="48"/>
      <c r="Q29" s="48"/>
      <c r="R29" s="48"/>
      <c r="S29" s="16">
        <v>8.0</v>
      </c>
      <c r="T29" s="48"/>
      <c r="U29" s="48"/>
      <c r="V29" s="48"/>
      <c r="W29" s="48"/>
      <c r="X29" s="16">
        <v>8.0</v>
      </c>
      <c r="Y29" s="48"/>
      <c r="Z29" s="48"/>
      <c r="AA29" s="49"/>
      <c r="AB29" s="49"/>
      <c r="AC29" s="48"/>
      <c r="AD29" s="48"/>
      <c r="AE29" s="48"/>
      <c r="AF29" s="48"/>
      <c r="AG29" s="48"/>
      <c r="AH29" s="49"/>
      <c r="AI29" s="48"/>
      <c r="AJ29" s="48"/>
      <c r="AK29" s="48"/>
      <c r="AL29" s="48"/>
      <c r="AM29" s="48"/>
      <c r="AN29" s="48"/>
      <c r="AO29" s="48"/>
      <c r="AP29" s="48"/>
      <c r="AQ29" s="48"/>
      <c r="AR29" s="48"/>
      <c r="AS29" s="48"/>
      <c r="AT29" s="48"/>
      <c r="AU29" s="48"/>
      <c r="AV29" s="48"/>
      <c r="AW29" s="48"/>
      <c r="AX29" s="48"/>
      <c r="AY29" s="48"/>
      <c r="AZ29" s="50"/>
      <c r="BA29" s="48"/>
      <c r="BB29" s="48"/>
      <c r="BC29" s="48"/>
      <c r="BD29" s="48"/>
      <c r="BE29" s="48"/>
      <c r="BF29" s="48"/>
      <c r="BG29" s="48"/>
      <c r="BH29" s="48"/>
      <c r="BI29" s="48"/>
      <c r="BJ29" s="48"/>
    </row>
    <row r="30">
      <c r="A30" s="46">
        <f>IFERROR(__xludf.DUMMYFUNCTION("""COMPUTED_VALUE"""),44279.0)</f>
        <v>44279</v>
      </c>
      <c r="B30" s="47" t="str">
        <f>if(A30="","",Vlookup(weekday(A30,2),DATA!$O$14:$P$20,2))</f>
        <v>Wednesday</v>
      </c>
      <c r="C30" s="52"/>
      <c r="D30" s="52">
        <v>8.0</v>
      </c>
      <c r="E30" s="52">
        <v>9.0</v>
      </c>
      <c r="F30" s="52">
        <v>8.0</v>
      </c>
      <c r="G30" s="52">
        <v>8.0</v>
      </c>
      <c r="H30" s="52">
        <v>8.0</v>
      </c>
      <c r="I30" s="52">
        <v>8.0</v>
      </c>
      <c r="J30" s="52">
        <v>8.0</v>
      </c>
      <c r="K30" s="48"/>
      <c r="L30" s="48"/>
      <c r="M30" s="48"/>
      <c r="N30" s="48"/>
      <c r="O30" s="48"/>
      <c r="P30" s="48"/>
      <c r="Q30" s="48"/>
      <c r="R30" s="48"/>
      <c r="S30" s="16">
        <v>8.0</v>
      </c>
      <c r="T30" s="48"/>
      <c r="U30" s="16">
        <v>8.0</v>
      </c>
      <c r="V30" s="16">
        <v>8.0</v>
      </c>
      <c r="W30" s="48"/>
      <c r="X30" s="16">
        <v>8.0</v>
      </c>
      <c r="Y30" s="48"/>
      <c r="Z30" s="48"/>
      <c r="AA30" s="48"/>
      <c r="AB30" s="48"/>
      <c r="AC30" s="48"/>
      <c r="AD30" s="48"/>
      <c r="AE30" s="48"/>
      <c r="AF30" s="48"/>
      <c r="AG30" s="48"/>
      <c r="AH30" s="16">
        <v>8.0</v>
      </c>
      <c r="AI30" s="48"/>
      <c r="AJ30" s="48"/>
      <c r="AK30" s="48"/>
      <c r="AL30" s="48"/>
      <c r="AM30" s="48"/>
      <c r="AN30" s="48"/>
      <c r="AO30" s="48"/>
      <c r="AP30" s="48"/>
      <c r="AQ30" s="48"/>
      <c r="AR30" s="48"/>
      <c r="AS30" s="48"/>
      <c r="AT30" s="48"/>
      <c r="AU30" s="48"/>
      <c r="AV30" s="48"/>
      <c r="AW30" s="48"/>
      <c r="AX30" s="48"/>
      <c r="AY30" s="48"/>
      <c r="AZ30" s="50"/>
      <c r="BA30" s="48"/>
      <c r="BB30" s="48"/>
      <c r="BC30" s="48"/>
      <c r="BD30" s="48"/>
      <c r="BE30" s="48"/>
      <c r="BF30" s="48"/>
      <c r="BG30" s="48"/>
      <c r="BH30" s="48"/>
      <c r="BI30" s="48"/>
      <c r="BJ30" s="48"/>
    </row>
    <row r="31">
      <c r="A31" s="46">
        <f>IFERROR(__xludf.DUMMYFUNCTION("""COMPUTED_VALUE"""),44280.0)</f>
        <v>44280</v>
      </c>
      <c r="B31" s="47" t="str">
        <f>if(A31="","",Vlookup(weekday(A31,2),DATA!$O$14:$P$20,2))</f>
        <v>Thursday</v>
      </c>
      <c r="C31" s="52"/>
      <c r="D31" s="52">
        <v>8.0</v>
      </c>
      <c r="E31" s="52">
        <v>8.0</v>
      </c>
      <c r="F31" s="52">
        <v>8.0</v>
      </c>
      <c r="G31" s="52">
        <v>8.0</v>
      </c>
      <c r="H31" s="52">
        <v>8.0</v>
      </c>
      <c r="I31" s="52">
        <v>8.0</v>
      </c>
      <c r="J31" s="52">
        <v>8.0</v>
      </c>
      <c r="K31" s="48"/>
      <c r="L31" s="48"/>
      <c r="M31" s="48"/>
      <c r="N31" s="48"/>
      <c r="O31" s="48"/>
      <c r="P31" s="48"/>
      <c r="Q31" s="48"/>
      <c r="R31" s="48"/>
      <c r="S31" s="16">
        <v>8.0</v>
      </c>
      <c r="T31" s="48"/>
      <c r="U31" s="16">
        <v>8.0</v>
      </c>
      <c r="V31" s="16">
        <v>8.0</v>
      </c>
      <c r="W31" s="48"/>
      <c r="X31" s="16">
        <v>8.0</v>
      </c>
      <c r="Y31" s="48"/>
      <c r="Z31" s="48"/>
      <c r="AA31" s="48"/>
      <c r="AB31" s="48"/>
      <c r="AC31" s="48"/>
      <c r="AD31" s="48"/>
      <c r="AE31" s="48"/>
      <c r="AF31" s="48"/>
      <c r="AG31" s="48"/>
      <c r="AH31" s="16">
        <v>8.0</v>
      </c>
      <c r="AI31" s="48"/>
      <c r="AJ31" s="48"/>
      <c r="AK31" s="48"/>
      <c r="AL31" s="48"/>
      <c r="AM31" s="48"/>
      <c r="AN31" s="48"/>
      <c r="AO31" s="48"/>
      <c r="AP31" s="48"/>
      <c r="AQ31" s="48"/>
      <c r="AR31" s="48"/>
      <c r="AS31" s="48"/>
      <c r="AT31" s="48"/>
      <c r="AU31" s="48"/>
      <c r="AV31" s="48"/>
      <c r="AW31" s="48"/>
      <c r="AX31" s="48"/>
      <c r="AY31" s="48"/>
      <c r="AZ31" s="50"/>
      <c r="BA31" s="48"/>
      <c r="BB31" s="48"/>
      <c r="BC31" s="48"/>
      <c r="BD31" s="48"/>
      <c r="BE31" s="48"/>
      <c r="BF31" s="48"/>
      <c r="BG31" s="48"/>
      <c r="BH31" s="48"/>
      <c r="BI31" s="48"/>
      <c r="BJ31" s="48"/>
    </row>
    <row r="32">
      <c r="A32" s="46">
        <f>IFERROR(__xludf.DUMMYFUNCTION("""COMPUTED_VALUE"""),44281.0)</f>
        <v>44281</v>
      </c>
      <c r="B32" s="47" t="str">
        <f>if(A32="","",Vlookup(weekday(A32,2),DATA!$O$14:$P$20,2))</f>
        <v>Friday</v>
      </c>
      <c r="C32" s="52"/>
      <c r="D32" s="52">
        <v>8.0</v>
      </c>
      <c r="E32" s="52">
        <v>8.0</v>
      </c>
      <c r="F32" s="52">
        <v>8.0</v>
      </c>
      <c r="G32" s="52">
        <v>8.0</v>
      </c>
      <c r="H32" s="52">
        <v>8.0</v>
      </c>
      <c r="I32" s="48"/>
      <c r="J32" s="52">
        <v>8.0</v>
      </c>
      <c r="K32" s="48"/>
      <c r="L32" s="48"/>
      <c r="M32" s="48"/>
      <c r="N32" s="48"/>
      <c r="O32" s="48"/>
      <c r="P32" s="48"/>
      <c r="Q32" s="48"/>
      <c r="R32" s="48"/>
      <c r="S32" s="16">
        <v>8.0</v>
      </c>
      <c r="T32" s="48"/>
      <c r="U32" s="16">
        <v>8.0</v>
      </c>
      <c r="V32" s="16">
        <v>8.0</v>
      </c>
      <c r="W32" s="48"/>
      <c r="X32" s="16">
        <v>8.0</v>
      </c>
      <c r="Y32" s="48"/>
      <c r="Z32" s="48"/>
      <c r="AA32" s="48"/>
      <c r="AB32" s="48"/>
      <c r="AC32" s="48"/>
      <c r="AD32" s="48"/>
      <c r="AE32" s="48"/>
      <c r="AF32" s="48"/>
      <c r="AG32" s="48"/>
      <c r="AH32" s="16">
        <v>8.0</v>
      </c>
      <c r="AI32" s="48"/>
      <c r="AJ32" s="48"/>
      <c r="AK32" s="48"/>
      <c r="AL32" s="48"/>
      <c r="AM32" s="48"/>
      <c r="AN32" s="48"/>
      <c r="AO32" s="48"/>
      <c r="AP32" s="48"/>
      <c r="AQ32" s="48"/>
      <c r="AR32" s="48"/>
      <c r="AS32" s="48"/>
      <c r="AT32" s="48"/>
      <c r="AU32" s="48"/>
      <c r="AV32" s="48"/>
      <c r="AW32" s="48"/>
      <c r="AX32" s="48"/>
      <c r="AY32" s="48"/>
      <c r="AZ32" s="50"/>
      <c r="BA32" s="48"/>
      <c r="BB32" s="48"/>
      <c r="BC32" s="48"/>
      <c r="BD32" s="48"/>
      <c r="BE32" s="48"/>
      <c r="BF32" s="48"/>
      <c r="BG32" s="48"/>
      <c r="BH32" s="48"/>
      <c r="BI32" s="48"/>
      <c r="BJ32" s="48"/>
    </row>
    <row r="33">
      <c r="A33" s="46">
        <f>IFERROR(__xludf.DUMMYFUNCTION("""COMPUTED_VALUE"""),44282.0)</f>
        <v>44282</v>
      </c>
      <c r="B33" s="47" t="str">
        <f>if(A33="","",Vlookup(weekday(A33,2),DATA!$O$14:$P$20,2))</f>
        <v>Saturday</v>
      </c>
      <c r="C33" s="48"/>
      <c r="D33" s="48"/>
      <c r="E33" s="48"/>
      <c r="F33" s="48"/>
      <c r="G33" s="48"/>
      <c r="H33" s="48"/>
      <c r="I33" s="52">
        <v>8.0</v>
      </c>
      <c r="J33" s="48"/>
      <c r="K33" s="52">
        <v>8.0</v>
      </c>
      <c r="L33" s="52">
        <v>8.0</v>
      </c>
      <c r="M33" s="52">
        <v>8.0</v>
      </c>
      <c r="N33" s="52">
        <v>8.0</v>
      </c>
      <c r="O33" s="52">
        <v>8.0</v>
      </c>
      <c r="P33" s="52">
        <v>8.0</v>
      </c>
      <c r="Q33" s="52">
        <v>8.0</v>
      </c>
      <c r="R33" s="48"/>
      <c r="S33" s="48"/>
      <c r="T33" s="48"/>
      <c r="U33" s="48"/>
      <c r="V33" s="48"/>
      <c r="W33" s="48"/>
      <c r="X33" s="48"/>
      <c r="Y33" s="48"/>
      <c r="Z33" s="48"/>
      <c r="AA33" s="48"/>
      <c r="AB33" s="48"/>
      <c r="AC33" s="48"/>
      <c r="AD33" s="48"/>
      <c r="AE33" s="48"/>
      <c r="AF33" s="48"/>
      <c r="AG33" s="48"/>
      <c r="AH33" s="15"/>
      <c r="AI33" s="48"/>
      <c r="AJ33" s="48"/>
      <c r="AK33" s="48"/>
      <c r="AL33" s="48"/>
      <c r="AM33" s="48"/>
      <c r="AN33" s="48"/>
      <c r="AO33" s="48"/>
      <c r="AP33" s="48"/>
      <c r="AQ33" s="48"/>
      <c r="AR33" s="48"/>
      <c r="AS33" s="48"/>
      <c r="AT33" s="48"/>
      <c r="AU33" s="48"/>
      <c r="AV33" s="48"/>
      <c r="AW33" s="48"/>
      <c r="AX33" s="48"/>
      <c r="AY33" s="48"/>
      <c r="AZ33" s="50"/>
      <c r="BA33" s="48"/>
      <c r="BB33" s="48"/>
      <c r="BC33" s="48"/>
      <c r="BD33" s="48"/>
      <c r="BE33" s="48"/>
      <c r="BF33" s="48"/>
      <c r="BG33" s="48"/>
      <c r="BH33" s="48"/>
      <c r="BI33" s="48"/>
      <c r="BJ33" s="48"/>
    </row>
    <row r="34">
      <c r="A34" s="46">
        <f>IFERROR(__xludf.DUMMYFUNCTION("""COMPUTED_VALUE"""),44283.0)</f>
        <v>44283</v>
      </c>
      <c r="B34" s="47" t="str">
        <f>if(A34="","",Vlookup(weekday(A34,2),DATA!$O$14:$P$20,2))</f>
        <v>Sunday</v>
      </c>
      <c r="C34" s="48"/>
      <c r="D34" s="48"/>
      <c r="E34" s="48"/>
      <c r="F34" s="48"/>
      <c r="G34" s="48"/>
      <c r="H34" s="48"/>
      <c r="I34" s="52">
        <v>8.0</v>
      </c>
      <c r="J34" s="48"/>
      <c r="K34" s="52">
        <v>8.0</v>
      </c>
      <c r="L34" s="52">
        <v>8.0</v>
      </c>
      <c r="M34" s="52">
        <v>8.0</v>
      </c>
      <c r="N34" s="52">
        <v>8.0</v>
      </c>
      <c r="O34" s="52">
        <v>8.0</v>
      </c>
      <c r="P34" s="52">
        <v>8.0</v>
      </c>
      <c r="Q34" s="52">
        <v>8.0</v>
      </c>
      <c r="R34" s="48"/>
      <c r="S34" s="48"/>
      <c r="T34" s="48"/>
      <c r="U34" s="48"/>
      <c r="V34" s="48"/>
      <c r="W34" s="48"/>
      <c r="X34" s="48"/>
      <c r="Y34" s="48"/>
      <c r="Z34" s="48"/>
      <c r="AA34" s="48"/>
      <c r="AB34" s="48"/>
      <c r="AC34" s="48"/>
      <c r="AD34" s="48"/>
      <c r="AE34" s="48"/>
      <c r="AF34" s="48"/>
      <c r="AG34" s="48"/>
      <c r="AH34" s="16">
        <v>8.0</v>
      </c>
      <c r="AI34" s="48"/>
      <c r="AJ34" s="48"/>
      <c r="AK34" s="48"/>
      <c r="AL34" s="48"/>
      <c r="AM34" s="48"/>
      <c r="AN34" s="48"/>
      <c r="AO34" s="48"/>
      <c r="AP34" s="48"/>
      <c r="AQ34" s="48"/>
      <c r="AR34" s="48"/>
      <c r="AS34" s="48"/>
      <c r="AT34" s="48"/>
      <c r="AU34" s="48"/>
      <c r="AV34" s="48"/>
      <c r="AW34" s="48"/>
      <c r="AX34" s="48"/>
      <c r="AY34" s="48"/>
      <c r="AZ34" s="50"/>
      <c r="BA34" s="48"/>
      <c r="BB34" s="48"/>
      <c r="BC34" s="48"/>
      <c r="BD34" s="48"/>
      <c r="BE34" s="48"/>
      <c r="BF34" s="48"/>
      <c r="BG34" s="48"/>
      <c r="BH34" s="48"/>
      <c r="BI34" s="48"/>
      <c r="BJ34" s="48"/>
    </row>
    <row r="35">
      <c r="A35" s="46">
        <f>IFERROR(__xludf.DUMMYFUNCTION("""COMPUTED_VALUE"""),44284.0)</f>
        <v>44284</v>
      </c>
      <c r="B35" s="47" t="str">
        <f>if(A35="","",Vlookup(weekday(A35,2),DATA!$O$14:$P$20,2))</f>
        <v>Monday</v>
      </c>
      <c r="C35" s="52"/>
      <c r="D35" s="52">
        <v>8.0</v>
      </c>
      <c r="E35" s="52">
        <v>8.0</v>
      </c>
      <c r="F35" s="52">
        <v>8.0</v>
      </c>
      <c r="G35" s="48"/>
      <c r="H35" s="52">
        <v>8.0</v>
      </c>
      <c r="I35" s="48"/>
      <c r="J35" s="52">
        <v>8.0</v>
      </c>
      <c r="K35" s="48"/>
      <c r="L35" s="48"/>
      <c r="M35" s="48"/>
      <c r="N35" s="48"/>
      <c r="O35" s="48"/>
      <c r="P35" s="48"/>
      <c r="Q35" s="48"/>
      <c r="R35" s="16"/>
      <c r="S35" s="16">
        <v>8.0</v>
      </c>
      <c r="T35" s="48"/>
      <c r="U35" s="16">
        <v>8.0</v>
      </c>
      <c r="V35" s="16">
        <v>8.0</v>
      </c>
      <c r="W35" s="48"/>
      <c r="X35" s="16" t="s">
        <v>164</v>
      </c>
      <c r="Y35" s="48"/>
      <c r="Z35" s="48"/>
      <c r="AA35" s="48"/>
      <c r="AB35" s="48"/>
      <c r="AC35" s="48"/>
      <c r="AD35" s="48"/>
      <c r="AE35" s="48"/>
      <c r="AF35" s="48"/>
      <c r="AG35" s="48"/>
      <c r="AH35" s="48"/>
      <c r="AI35" s="48"/>
      <c r="AJ35" s="48"/>
      <c r="AK35" s="48"/>
      <c r="AL35" s="48"/>
      <c r="AM35" s="48"/>
      <c r="AN35" s="48"/>
      <c r="AO35" s="48"/>
      <c r="AP35" s="48"/>
      <c r="AQ35" s="48"/>
      <c r="AR35" s="48"/>
      <c r="AS35" s="48"/>
      <c r="AT35" s="48"/>
      <c r="AU35" s="48"/>
      <c r="AV35" s="48"/>
      <c r="AW35" s="48"/>
      <c r="AX35" s="48"/>
      <c r="AY35" s="48"/>
      <c r="AZ35" s="50"/>
      <c r="BA35" s="48"/>
      <c r="BB35" s="48"/>
      <c r="BC35" s="48"/>
      <c r="BD35" s="48"/>
      <c r="BE35" s="48"/>
      <c r="BF35" s="48"/>
      <c r="BG35" s="48"/>
      <c r="BH35" s="48"/>
      <c r="BI35" s="48"/>
      <c r="BJ35" s="48"/>
    </row>
    <row r="36">
      <c r="A36" s="46">
        <f>IFERROR(__xludf.DUMMYFUNCTION("""COMPUTED_VALUE"""),44285.0)</f>
        <v>44285</v>
      </c>
      <c r="B36" s="47" t="str">
        <f>if(A36="","",Vlookup(weekday(A36,2),DATA!$O$14:$P$20,2))</f>
        <v>Tuesday</v>
      </c>
      <c r="C36" s="52"/>
      <c r="D36" s="52">
        <v>8.0</v>
      </c>
      <c r="E36" s="52">
        <v>8.0</v>
      </c>
      <c r="F36" s="52">
        <v>8.0</v>
      </c>
      <c r="G36" s="48"/>
      <c r="H36" s="52">
        <v>8.0</v>
      </c>
      <c r="I36" s="48"/>
      <c r="J36" s="52">
        <v>8.0</v>
      </c>
      <c r="K36" s="48"/>
      <c r="L36" s="48"/>
      <c r="M36" s="48"/>
      <c r="N36" s="48"/>
      <c r="O36" s="48"/>
      <c r="P36" s="48"/>
      <c r="Q36" s="48"/>
      <c r="R36" s="53"/>
      <c r="S36" s="16">
        <v>8.0</v>
      </c>
      <c r="T36" s="48"/>
      <c r="U36" s="16">
        <v>8.0</v>
      </c>
      <c r="V36" s="16">
        <v>8.0</v>
      </c>
      <c r="W36" s="48"/>
      <c r="X36" s="16" t="s">
        <v>164</v>
      </c>
      <c r="Y36" s="48"/>
      <c r="Z36" s="48"/>
      <c r="AA36" s="48"/>
      <c r="AB36" s="48"/>
      <c r="AC36" s="48"/>
      <c r="AD36" s="48"/>
      <c r="AE36" s="48"/>
      <c r="AF36" s="48"/>
      <c r="AG36" s="48"/>
      <c r="AH36" s="48"/>
      <c r="AI36" s="48"/>
      <c r="AJ36" s="48"/>
      <c r="AK36" s="48"/>
      <c r="AL36" s="48"/>
      <c r="AM36" s="48"/>
      <c r="AN36" s="48"/>
      <c r="AO36" s="48"/>
      <c r="AP36" s="48"/>
      <c r="AQ36" s="48"/>
      <c r="AR36" s="48"/>
      <c r="AS36" s="48"/>
      <c r="AT36" s="48"/>
      <c r="AU36" s="48"/>
      <c r="AV36" s="48"/>
      <c r="AW36" s="48"/>
      <c r="AX36" s="48"/>
      <c r="AY36" s="48"/>
      <c r="AZ36" s="50"/>
      <c r="BA36" s="48"/>
      <c r="BB36" s="48"/>
      <c r="BC36" s="48"/>
      <c r="BD36" s="48"/>
      <c r="BE36" s="48"/>
      <c r="BF36" s="48"/>
      <c r="BG36" s="48"/>
      <c r="BH36" s="48"/>
      <c r="BI36" s="48"/>
      <c r="BJ36" s="48"/>
    </row>
    <row r="37">
      <c r="A37" s="46">
        <f>IFERROR(__xludf.DUMMYFUNCTION("""COMPUTED_VALUE"""),44286.0)</f>
        <v>44286</v>
      </c>
      <c r="B37" s="47" t="str">
        <f>if(A37="","",Vlookup(weekday(A37,2),DATA!$O$14:$P$20,2))</f>
        <v>Wednesday</v>
      </c>
      <c r="C37" s="54"/>
      <c r="D37" s="54">
        <v>8.0</v>
      </c>
      <c r="E37" s="52">
        <v>8.0</v>
      </c>
      <c r="F37" s="52">
        <v>8.0</v>
      </c>
      <c r="G37" s="48"/>
      <c r="H37" s="52">
        <v>8.0</v>
      </c>
      <c r="I37" s="48"/>
      <c r="J37" s="52">
        <v>8.0</v>
      </c>
      <c r="K37" s="48"/>
      <c r="L37" s="48"/>
      <c r="M37" s="48"/>
      <c r="N37" s="48"/>
      <c r="O37" s="48"/>
      <c r="P37" s="48"/>
      <c r="Q37" s="48"/>
      <c r="R37" s="53"/>
      <c r="S37" s="16">
        <v>8.0</v>
      </c>
      <c r="T37" s="48"/>
      <c r="U37" s="16">
        <v>8.0</v>
      </c>
      <c r="V37" s="16">
        <v>8.0</v>
      </c>
      <c r="W37" s="48"/>
      <c r="X37" s="16">
        <v>8.0</v>
      </c>
      <c r="Y37" s="48"/>
      <c r="Z37" s="48"/>
      <c r="AA37" s="48"/>
      <c r="AB37" s="48"/>
      <c r="AC37" s="48"/>
      <c r="AD37" s="48"/>
      <c r="AE37" s="48"/>
      <c r="AF37" s="48"/>
      <c r="AG37" s="48"/>
      <c r="AH37" s="48"/>
      <c r="AI37" s="48"/>
      <c r="AJ37" s="48"/>
      <c r="AK37" s="48"/>
      <c r="AL37" s="48"/>
      <c r="AM37" s="48"/>
      <c r="AN37" s="48"/>
      <c r="AO37" s="48"/>
      <c r="AP37" s="48"/>
      <c r="AQ37" s="48"/>
      <c r="AR37" s="48"/>
      <c r="AS37" s="48"/>
      <c r="AT37" s="48"/>
      <c r="AU37" s="48"/>
      <c r="AV37" s="48"/>
      <c r="AW37" s="48"/>
      <c r="AX37" s="48"/>
      <c r="AY37" s="48"/>
      <c r="AZ37" s="50"/>
      <c r="BA37" s="48"/>
      <c r="BB37" s="48"/>
      <c r="BC37" s="48"/>
      <c r="BD37" s="48"/>
      <c r="BE37" s="48"/>
      <c r="BF37" s="48"/>
      <c r="BG37" s="48"/>
      <c r="BH37" s="48"/>
      <c r="BI37" s="48"/>
      <c r="BJ37" s="48"/>
    </row>
    <row r="38">
      <c r="A38" s="46">
        <f t="shared" ref="A38:A67" si="3">A37+1</f>
        <v>44287</v>
      </c>
      <c r="B38" s="15" t="str">
        <f>if(A38="","",Vlookup(weekday(A38,2),DATA!$O$14:$P$20,2))</f>
        <v>Thursday</v>
      </c>
      <c r="C38" s="55"/>
      <c r="D38" s="55">
        <v>8.0</v>
      </c>
      <c r="E38" s="55">
        <v>8.0</v>
      </c>
      <c r="F38" s="55">
        <v>8.0</v>
      </c>
      <c r="G38" s="55">
        <v>8.0</v>
      </c>
      <c r="H38" s="55">
        <v>8.0</v>
      </c>
      <c r="I38" s="55">
        <v>8.0</v>
      </c>
      <c r="J38" s="55">
        <v>8.0</v>
      </c>
      <c r="K38" s="55" t="s">
        <v>165</v>
      </c>
      <c r="L38" s="55" t="s">
        <v>165</v>
      </c>
      <c r="M38" s="55" t="s">
        <v>165</v>
      </c>
      <c r="N38" s="55" t="s">
        <v>165</v>
      </c>
      <c r="O38" s="55" t="s">
        <v>165</v>
      </c>
      <c r="P38" s="55" t="s">
        <v>165</v>
      </c>
      <c r="Q38" s="55" t="s">
        <v>165</v>
      </c>
      <c r="R38" s="56"/>
      <c r="S38" s="55">
        <v>8.0</v>
      </c>
      <c r="T38" s="55">
        <v>8.0</v>
      </c>
      <c r="U38" s="55">
        <v>8.0</v>
      </c>
      <c r="V38" s="55">
        <v>8.0</v>
      </c>
      <c r="W38" s="55"/>
      <c r="X38" s="55">
        <v>8.0</v>
      </c>
      <c r="Y38" s="55" t="s">
        <v>165</v>
      </c>
      <c r="Z38" s="55" t="s">
        <v>165</v>
      </c>
      <c r="AA38" s="55" t="s">
        <v>165</v>
      </c>
      <c r="AB38" s="55">
        <v>8.0</v>
      </c>
      <c r="AC38" s="55"/>
      <c r="AD38" s="55"/>
      <c r="AE38" s="55">
        <v>8.0</v>
      </c>
      <c r="AF38" s="55"/>
      <c r="AG38" s="55"/>
      <c r="AH38" s="55"/>
      <c r="AI38" s="55"/>
      <c r="AJ38" s="57" t="s">
        <v>166</v>
      </c>
      <c r="AK38" s="55"/>
      <c r="AL38" s="55"/>
      <c r="AM38" s="55"/>
      <c r="AN38" s="57"/>
      <c r="AO38" s="55"/>
      <c r="AP38" s="55"/>
      <c r="AQ38" s="55"/>
      <c r="AR38" s="55"/>
      <c r="AS38" s="55"/>
      <c r="AT38" s="55"/>
      <c r="AU38" s="55"/>
      <c r="AV38" s="55"/>
      <c r="AW38" s="55"/>
      <c r="AX38" s="55"/>
      <c r="AY38" s="55"/>
      <c r="AZ38" s="55"/>
      <c r="BA38" s="55"/>
      <c r="BB38" s="55"/>
      <c r="BC38" s="55"/>
      <c r="BD38" s="55"/>
      <c r="BE38" s="55"/>
      <c r="BF38" s="55"/>
      <c r="BG38" s="55"/>
      <c r="BH38" s="55"/>
      <c r="BI38" s="55"/>
      <c r="BJ38" s="55"/>
    </row>
    <row r="39">
      <c r="A39" s="46">
        <f t="shared" si="3"/>
        <v>44288</v>
      </c>
      <c r="B39" s="15" t="str">
        <f>if(A39="","",Vlookup(weekday(A39,2),DATA!$O$14:$P$20,2))</f>
        <v>Friday</v>
      </c>
      <c r="C39" s="55"/>
      <c r="D39" s="55">
        <v>8.0</v>
      </c>
      <c r="E39" s="55">
        <v>8.0</v>
      </c>
      <c r="F39" s="55" t="s">
        <v>165</v>
      </c>
      <c r="G39" s="55" t="s">
        <v>165</v>
      </c>
      <c r="H39" s="55">
        <v>8.0</v>
      </c>
      <c r="I39" s="55" t="s">
        <v>165</v>
      </c>
      <c r="J39" s="55" t="s">
        <v>165</v>
      </c>
      <c r="K39" s="55" t="s">
        <v>165</v>
      </c>
      <c r="L39" s="55" t="s">
        <v>165</v>
      </c>
      <c r="M39" s="55" t="s">
        <v>165</v>
      </c>
      <c r="N39" s="55" t="s">
        <v>165</v>
      </c>
      <c r="O39" s="55" t="s">
        <v>165</v>
      </c>
      <c r="P39" s="55" t="s">
        <v>165</v>
      </c>
      <c r="Q39" s="55" t="s">
        <v>165</v>
      </c>
      <c r="R39" s="55"/>
      <c r="S39" s="55">
        <v>8.0</v>
      </c>
      <c r="T39" s="55">
        <v>8.0</v>
      </c>
      <c r="U39" s="55" t="s">
        <v>165</v>
      </c>
      <c r="V39" s="55">
        <v>8.0</v>
      </c>
      <c r="W39" s="55"/>
      <c r="X39" s="57" t="s">
        <v>165</v>
      </c>
      <c r="Y39" s="55" t="s">
        <v>165</v>
      </c>
      <c r="Z39" s="55" t="s">
        <v>165</v>
      </c>
      <c r="AA39" s="55" t="s">
        <v>165</v>
      </c>
      <c r="AB39" s="55" t="s">
        <v>165</v>
      </c>
      <c r="AC39" s="55"/>
      <c r="AD39" s="55">
        <v>8.0</v>
      </c>
      <c r="AE39" s="55" t="s">
        <v>165</v>
      </c>
      <c r="AF39" s="55"/>
      <c r="AG39" s="55"/>
      <c r="AH39" s="55"/>
      <c r="AI39" s="55"/>
      <c r="AJ39" s="57" t="s">
        <v>166</v>
      </c>
      <c r="AK39" s="55"/>
      <c r="AL39" s="55"/>
      <c r="AM39" s="55"/>
      <c r="AN39" s="57"/>
      <c r="AO39" s="55"/>
      <c r="AP39" s="55"/>
      <c r="AQ39" s="55"/>
      <c r="AR39" s="55"/>
      <c r="AS39" s="55"/>
      <c r="AT39" s="55"/>
      <c r="AU39" s="55"/>
      <c r="AV39" s="55"/>
      <c r="AW39" s="55"/>
      <c r="AX39" s="55"/>
      <c r="AY39" s="55"/>
      <c r="AZ39" s="55"/>
      <c r="BA39" s="55"/>
      <c r="BB39" s="55"/>
      <c r="BC39" s="55"/>
      <c r="BD39" s="55"/>
      <c r="BE39" s="55"/>
      <c r="BF39" s="55"/>
      <c r="BG39" s="55"/>
      <c r="BH39" s="55"/>
      <c r="BI39" s="55"/>
      <c r="BJ39" s="55"/>
    </row>
    <row r="40">
      <c r="A40" s="46">
        <f t="shared" si="3"/>
        <v>44289</v>
      </c>
      <c r="B40" s="15" t="str">
        <f>if(A40="","",Vlookup(weekday(A40,2),DATA!$O$14:$P$20,2))</f>
        <v>Saturday</v>
      </c>
      <c r="C40" s="55"/>
      <c r="D40" s="55" t="s">
        <v>165</v>
      </c>
      <c r="E40" s="55" t="s">
        <v>165</v>
      </c>
      <c r="F40" s="55" t="s">
        <v>165</v>
      </c>
      <c r="G40" s="55" t="s">
        <v>165</v>
      </c>
      <c r="H40" s="55" t="s">
        <v>165</v>
      </c>
      <c r="I40" s="55" t="s">
        <v>165</v>
      </c>
      <c r="J40" s="55" t="s">
        <v>165</v>
      </c>
      <c r="K40" s="55"/>
      <c r="L40" s="55">
        <v>8.0</v>
      </c>
      <c r="M40" s="55">
        <v>8.0</v>
      </c>
      <c r="N40" s="55">
        <v>8.0</v>
      </c>
      <c r="O40" s="55">
        <v>8.0</v>
      </c>
      <c r="P40" s="55">
        <v>8.0</v>
      </c>
      <c r="Q40" s="55"/>
      <c r="R40" s="55"/>
      <c r="S40" s="55" t="s">
        <v>165</v>
      </c>
      <c r="T40" s="55" t="s">
        <v>165</v>
      </c>
      <c r="U40" s="55" t="s">
        <v>165</v>
      </c>
      <c r="V40" s="55" t="s">
        <v>165</v>
      </c>
      <c r="W40" s="55" t="s">
        <v>165</v>
      </c>
      <c r="X40" s="55" t="s">
        <v>165</v>
      </c>
      <c r="Y40" s="55" t="s">
        <v>165</v>
      </c>
      <c r="Z40" s="55" t="s">
        <v>165</v>
      </c>
      <c r="AA40" s="55" t="s">
        <v>165</v>
      </c>
      <c r="AB40" s="55" t="s">
        <v>165</v>
      </c>
      <c r="AC40" s="55"/>
      <c r="AD40" s="55" t="s">
        <v>165</v>
      </c>
      <c r="AE40" s="55" t="s">
        <v>165</v>
      </c>
      <c r="AF40" s="55" t="s">
        <v>165</v>
      </c>
      <c r="AG40" s="55"/>
      <c r="AH40" s="55">
        <v>8.0</v>
      </c>
      <c r="AI40" s="55"/>
      <c r="AJ40" s="57" t="s">
        <v>166</v>
      </c>
      <c r="AK40" s="55"/>
      <c r="AL40" s="55"/>
      <c r="AM40" s="55"/>
      <c r="AN40" s="57"/>
      <c r="AO40" s="55"/>
      <c r="AP40" s="55"/>
      <c r="AQ40" s="55"/>
      <c r="AR40" s="55"/>
      <c r="AS40" s="55"/>
      <c r="AT40" s="55"/>
      <c r="AU40" s="55"/>
      <c r="AV40" s="55"/>
      <c r="AW40" s="55"/>
      <c r="AX40" s="55"/>
      <c r="AY40" s="55"/>
      <c r="AZ40" s="55"/>
      <c r="BA40" s="55"/>
      <c r="BB40" s="55"/>
      <c r="BC40" s="55"/>
      <c r="BD40" s="55"/>
      <c r="BE40" s="55"/>
      <c r="BF40" s="55"/>
      <c r="BG40" s="55"/>
      <c r="BH40" s="55"/>
      <c r="BI40" s="55"/>
      <c r="BJ40" s="55"/>
    </row>
    <row r="41">
      <c r="A41" s="46">
        <f t="shared" si="3"/>
        <v>44290</v>
      </c>
      <c r="B41" s="15" t="str">
        <f>if(A41="","",Vlookup(weekday(A41,2),DATA!$O$14:$P$20,2))</f>
        <v>Sunday</v>
      </c>
      <c r="C41" s="55"/>
      <c r="D41" s="55" t="s">
        <v>165</v>
      </c>
      <c r="E41" s="55" t="s">
        <v>165</v>
      </c>
      <c r="F41" s="55" t="s">
        <v>165</v>
      </c>
      <c r="G41" s="55" t="s">
        <v>165</v>
      </c>
      <c r="H41" s="55" t="s">
        <v>165</v>
      </c>
      <c r="I41" s="55" t="s">
        <v>165</v>
      </c>
      <c r="J41" s="55" t="s">
        <v>165</v>
      </c>
      <c r="K41" s="55"/>
      <c r="L41" s="55">
        <v>8.0</v>
      </c>
      <c r="M41" s="55">
        <v>8.0</v>
      </c>
      <c r="N41" s="55">
        <v>8.0</v>
      </c>
      <c r="O41" s="55">
        <v>8.0</v>
      </c>
      <c r="P41" s="55">
        <v>8.0</v>
      </c>
      <c r="Q41" s="55"/>
      <c r="R41" s="55"/>
      <c r="S41" s="55" t="s">
        <v>165</v>
      </c>
      <c r="T41" s="55" t="s">
        <v>165</v>
      </c>
      <c r="U41" s="55" t="s">
        <v>165</v>
      </c>
      <c r="V41" s="55" t="s">
        <v>165</v>
      </c>
      <c r="W41" s="55" t="s">
        <v>165</v>
      </c>
      <c r="X41" s="55" t="s">
        <v>165</v>
      </c>
      <c r="Y41" s="55" t="s">
        <v>165</v>
      </c>
      <c r="Z41" s="55" t="s">
        <v>165</v>
      </c>
      <c r="AA41" s="55" t="s">
        <v>165</v>
      </c>
      <c r="AB41" s="55" t="s">
        <v>165</v>
      </c>
      <c r="AC41" s="55"/>
      <c r="AD41" s="55" t="s">
        <v>165</v>
      </c>
      <c r="AE41" s="55" t="s">
        <v>165</v>
      </c>
      <c r="AF41" s="55" t="s">
        <v>165</v>
      </c>
      <c r="AG41" s="55"/>
      <c r="AH41" s="55">
        <v>8.0</v>
      </c>
      <c r="AI41" s="55"/>
      <c r="AJ41" s="57" t="s">
        <v>166</v>
      </c>
      <c r="AK41" s="55"/>
      <c r="AL41" s="55"/>
      <c r="AM41" s="55"/>
      <c r="AN41" s="57"/>
      <c r="AO41" s="55"/>
      <c r="AP41" s="55"/>
      <c r="AQ41" s="55"/>
      <c r="AR41" s="55"/>
      <c r="AS41" s="55"/>
      <c r="AT41" s="55"/>
      <c r="AU41" s="55"/>
      <c r="AV41" s="55"/>
      <c r="AW41" s="55"/>
      <c r="AX41" s="55"/>
      <c r="AY41" s="55"/>
      <c r="AZ41" s="55"/>
      <c r="BA41" s="55"/>
      <c r="BB41" s="55"/>
      <c r="BC41" s="55"/>
      <c r="BD41" s="55"/>
      <c r="BE41" s="55"/>
      <c r="BF41" s="55"/>
      <c r="BG41" s="55"/>
      <c r="BH41" s="55"/>
      <c r="BI41" s="55"/>
      <c r="BJ41" s="55"/>
    </row>
    <row r="42">
      <c r="A42" s="46">
        <f t="shared" si="3"/>
        <v>44291</v>
      </c>
      <c r="B42" s="15" t="str">
        <f>if(A42="","",Vlookup(weekday(A42,2),DATA!$O$14:$P$20,2))</f>
        <v>Monday</v>
      </c>
      <c r="C42" s="55"/>
      <c r="D42" s="55">
        <v>8.0</v>
      </c>
      <c r="E42" s="55">
        <v>8.0</v>
      </c>
      <c r="F42" s="55">
        <v>8.0</v>
      </c>
      <c r="G42" s="55">
        <v>8.0</v>
      </c>
      <c r="H42" s="55">
        <v>8.0</v>
      </c>
      <c r="I42" s="55">
        <v>8.0</v>
      </c>
      <c r="J42" s="55">
        <v>8.0</v>
      </c>
      <c r="K42" s="55" t="s">
        <v>165</v>
      </c>
      <c r="L42" s="55" t="s">
        <v>165</v>
      </c>
      <c r="M42" s="55" t="s">
        <v>165</v>
      </c>
      <c r="N42" s="55" t="s">
        <v>165</v>
      </c>
      <c r="O42" s="55" t="s">
        <v>165</v>
      </c>
      <c r="P42" s="55" t="s">
        <v>165</v>
      </c>
      <c r="Q42" s="55" t="s">
        <v>165</v>
      </c>
      <c r="R42" s="55"/>
      <c r="S42" s="55">
        <v>8.0</v>
      </c>
      <c r="T42" s="55">
        <v>8.0</v>
      </c>
      <c r="U42" s="55" t="s">
        <v>165</v>
      </c>
      <c r="V42" s="55">
        <v>8.0</v>
      </c>
      <c r="W42" s="57"/>
      <c r="X42" s="57" t="s">
        <v>165</v>
      </c>
      <c r="Y42" s="55">
        <v>7.0</v>
      </c>
      <c r="Z42" s="55" t="s">
        <v>165</v>
      </c>
      <c r="AA42" s="55" t="s">
        <v>165</v>
      </c>
      <c r="AB42" s="55" t="s">
        <v>165</v>
      </c>
      <c r="AC42" s="55"/>
      <c r="AD42" s="55">
        <v>8.0</v>
      </c>
      <c r="AE42" s="55">
        <v>8.0</v>
      </c>
      <c r="AF42" s="55"/>
      <c r="AG42" s="55"/>
      <c r="AH42" s="55" t="s">
        <v>165</v>
      </c>
      <c r="AI42" s="55"/>
      <c r="AJ42" s="55">
        <v>8.0</v>
      </c>
      <c r="AK42" s="55"/>
      <c r="AL42" s="55"/>
      <c r="AM42" s="55"/>
      <c r="AN42" s="57"/>
      <c r="AO42" s="55">
        <v>8.0</v>
      </c>
      <c r="AP42" s="55"/>
      <c r="AQ42" s="55"/>
      <c r="AR42" s="55"/>
      <c r="AS42" s="55"/>
      <c r="AT42" s="55"/>
      <c r="AU42" s="55"/>
      <c r="AV42" s="55"/>
      <c r="AW42" s="55"/>
      <c r="AX42" s="55"/>
      <c r="AY42" s="55"/>
      <c r="AZ42" s="55"/>
      <c r="BA42" s="55"/>
      <c r="BB42" s="55"/>
      <c r="BC42" s="55"/>
      <c r="BD42" s="55"/>
      <c r="BE42" s="55"/>
      <c r="BF42" s="55"/>
      <c r="BG42" s="55"/>
      <c r="BH42" s="55"/>
      <c r="BI42" s="55"/>
      <c r="BJ42" s="55"/>
    </row>
    <row r="43">
      <c r="A43" s="46">
        <f t="shared" si="3"/>
        <v>44292</v>
      </c>
      <c r="B43" s="15" t="str">
        <f>if(A43="","",Vlookup(weekday(A43,2),DATA!$O$14:$P$20,2))</f>
        <v>Tuesday</v>
      </c>
      <c r="C43" s="55"/>
      <c r="D43" s="55">
        <v>8.0</v>
      </c>
      <c r="E43" s="55">
        <v>8.0</v>
      </c>
      <c r="F43" s="55">
        <v>8.0</v>
      </c>
      <c r="G43" s="55">
        <v>8.0</v>
      </c>
      <c r="H43" s="55">
        <v>8.0</v>
      </c>
      <c r="I43" s="55">
        <v>8.0</v>
      </c>
      <c r="J43" s="55">
        <v>8.0</v>
      </c>
      <c r="K43" s="55" t="s">
        <v>165</v>
      </c>
      <c r="L43" s="55" t="s">
        <v>165</v>
      </c>
      <c r="M43" s="55" t="s">
        <v>165</v>
      </c>
      <c r="N43" s="55" t="s">
        <v>165</v>
      </c>
      <c r="O43" s="55" t="s">
        <v>165</v>
      </c>
      <c r="P43" s="55" t="s">
        <v>165</v>
      </c>
      <c r="Q43" s="55" t="s">
        <v>165</v>
      </c>
      <c r="R43" s="55"/>
      <c r="S43" s="55">
        <v>8.0</v>
      </c>
      <c r="T43" s="55">
        <v>8.0</v>
      </c>
      <c r="U43" s="55">
        <v>8.0</v>
      </c>
      <c r="V43" s="55">
        <v>8.0</v>
      </c>
      <c r="W43" s="55"/>
      <c r="X43" s="57" t="s">
        <v>165</v>
      </c>
      <c r="Y43" s="55">
        <v>8.0</v>
      </c>
      <c r="Z43" s="55" t="s">
        <v>165</v>
      </c>
      <c r="AA43" s="55" t="s">
        <v>165</v>
      </c>
      <c r="AB43" s="55">
        <v>8.0</v>
      </c>
      <c r="AC43" s="55"/>
      <c r="AD43" s="55">
        <v>8.0</v>
      </c>
      <c r="AE43" s="55">
        <v>8.0</v>
      </c>
      <c r="AF43" s="55"/>
      <c r="AG43" s="55"/>
      <c r="AH43" s="55" t="s">
        <v>165</v>
      </c>
      <c r="AI43" s="55"/>
      <c r="AJ43" s="55">
        <v>8.0</v>
      </c>
      <c r="AK43" s="55"/>
      <c r="AL43" s="55"/>
      <c r="AM43" s="55"/>
      <c r="AN43" s="57"/>
      <c r="AO43" s="55">
        <v>8.0</v>
      </c>
      <c r="AP43" s="55"/>
      <c r="AQ43" s="55"/>
      <c r="AR43" s="55"/>
      <c r="AS43" s="55"/>
      <c r="AT43" s="55"/>
      <c r="AU43" s="55"/>
      <c r="AV43" s="55"/>
      <c r="AW43" s="55"/>
      <c r="AX43" s="55"/>
      <c r="AY43" s="55"/>
      <c r="AZ43" s="55"/>
      <c r="BA43" s="55"/>
      <c r="BB43" s="55"/>
      <c r="BC43" s="55"/>
      <c r="BD43" s="55"/>
      <c r="BE43" s="55"/>
      <c r="BF43" s="55"/>
      <c r="BG43" s="55"/>
      <c r="BH43" s="55"/>
      <c r="BI43" s="55"/>
      <c r="BJ43" s="55"/>
    </row>
    <row r="44">
      <c r="A44" s="46">
        <f t="shared" si="3"/>
        <v>44293</v>
      </c>
      <c r="B44" s="15" t="str">
        <f>if(A44="","",Vlookup(weekday(A44,2),DATA!$O$14:$P$20,2))</f>
        <v>Wednesday</v>
      </c>
      <c r="C44" s="57"/>
      <c r="D44" s="57">
        <v>11.0</v>
      </c>
      <c r="E44" s="55">
        <v>8.0</v>
      </c>
      <c r="F44" s="55">
        <v>8.0</v>
      </c>
      <c r="G44" s="55">
        <v>8.0</v>
      </c>
      <c r="H44" s="55">
        <v>8.0</v>
      </c>
      <c r="I44" s="55">
        <v>8.0</v>
      </c>
      <c r="J44" s="55">
        <v>8.0</v>
      </c>
      <c r="K44" s="55" t="s">
        <v>165</v>
      </c>
      <c r="L44" s="55" t="s">
        <v>165</v>
      </c>
      <c r="M44" s="55" t="s">
        <v>165</v>
      </c>
      <c r="N44" s="55" t="s">
        <v>165</v>
      </c>
      <c r="O44" s="55" t="s">
        <v>165</v>
      </c>
      <c r="P44" s="55" t="s">
        <v>165</v>
      </c>
      <c r="Q44" s="55" t="s">
        <v>165</v>
      </c>
      <c r="R44" s="55"/>
      <c r="S44" s="55">
        <v>8.0</v>
      </c>
      <c r="T44" s="55">
        <v>8.0</v>
      </c>
      <c r="U44" s="55">
        <v>8.0</v>
      </c>
      <c r="V44" s="55">
        <v>8.0</v>
      </c>
      <c r="W44" s="55"/>
      <c r="X44" s="57" t="s">
        <v>167</v>
      </c>
      <c r="Y44" s="55">
        <v>8.0</v>
      </c>
      <c r="Z44" s="55" t="s">
        <v>165</v>
      </c>
      <c r="AA44" s="55" t="s">
        <v>165</v>
      </c>
      <c r="AB44" s="55">
        <v>8.0</v>
      </c>
      <c r="AC44" s="55"/>
      <c r="AD44" s="55">
        <v>8.0</v>
      </c>
      <c r="AE44" s="58" t="s">
        <v>165</v>
      </c>
      <c r="AF44" s="55"/>
      <c r="AG44" s="55"/>
      <c r="AH44" s="55" t="s">
        <v>165</v>
      </c>
      <c r="AI44" s="55"/>
      <c r="AJ44" s="55">
        <v>8.0</v>
      </c>
      <c r="AK44" s="55"/>
      <c r="AL44" s="55"/>
      <c r="AM44" s="55"/>
      <c r="AN44" s="57"/>
      <c r="AO44" s="55">
        <v>8.0</v>
      </c>
      <c r="AP44" s="55"/>
      <c r="AQ44" s="55"/>
      <c r="AR44" s="55"/>
      <c r="AS44" s="55"/>
      <c r="AT44" s="55"/>
      <c r="AU44" s="55"/>
      <c r="AV44" s="55"/>
      <c r="AW44" s="55"/>
      <c r="AX44" s="55"/>
      <c r="AY44" s="55"/>
      <c r="AZ44" s="55"/>
      <c r="BA44" s="55"/>
      <c r="BB44" s="55"/>
      <c r="BC44" s="55"/>
      <c r="BD44" s="55"/>
      <c r="BE44" s="55"/>
      <c r="BF44" s="55"/>
      <c r="BG44" s="55"/>
      <c r="BH44" s="55"/>
      <c r="BI44" s="55"/>
      <c r="BJ44" s="55"/>
    </row>
    <row r="45">
      <c r="A45" s="46">
        <f t="shared" si="3"/>
        <v>44294</v>
      </c>
      <c r="B45" s="15" t="str">
        <f>if(A45="","",Vlookup(weekday(A45,2),DATA!$O$14:$P$20,2))</f>
        <v>Thursday</v>
      </c>
      <c r="C45" s="57"/>
      <c r="D45" s="55" t="s">
        <v>168</v>
      </c>
      <c r="E45" s="57" t="s">
        <v>168</v>
      </c>
      <c r="F45" s="55">
        <v>8.0</v>
      </c>
      <c r="G45" s="55">
        <v>8.0</v>
      </c>
      <c r="H45" s="55">
        <v>8.0</v>
      </c>
      <c r="I45" s="55">
        <v>8.0</v>
      </c>
      <c r="J45" s="55">
        <v>8.0</v>
      </c>
      <c r="K45" s="55" t="s">
        <v>165</v>
      </c>
      <c r="L45" s="55" t="s">
        <v>165</v>
      </c>
      <c r="M45" s="55" t="s">
        <v>165</v>
      </c>
      <c r="N45" s="55" t="s">
        <v>165</v>
      </c>
      <c r="O45" s="55" t="s">
        <v>165</v>
      </c>
      <c r="P45" s="55" t="s">
        <v>165</v>
      </c>
      <c r="Q45" s="55" t="s">
        <v>165</v>
      </c>
      <c r="R45" s="55"/>
      <c r="S45" s="55">
        <v>8.0</v>
      </c>
      <c r="T45" s="55">
        <v>8.0</v>
      </c>
      <c r="U45" s="55">
        <v>8.0</v>
      </c>
      <c r="V45" s="55">
        <v>8.0</v>
      </c>
      <c r="W45" s="55"/>
      <c r="X45" s="57">
        <v>8.0</v>
      </c>
      <c r="Y45" s="55">
        <v>8.0</v>
      </c>
      <c r="Z45" s="55" t="s">
        <v>165</v>
      </c>
      <c r="AA45" s="55" t="s">
        <v>165</v>
      </c>
      <c r="AB45" s="55">
        <v>8.0</v>
      </c>
      <c r="AC45" s="55"/>
      <c r="AD45" s="57">
        <v>8.0</v>
      </c>
      <c r="AE45" s="55" t="s">
        <v>165</v>
      </c>
      <c r="AF45" s="55" t="s">
        <v>165</v>
      </c>
      <c r="AG45" s="55" t="s">
        <v>165</v>
      </c>
      <c r="AH45" s="55" t="s">
        <v>165</v>
      </c>
      <c r="AI45" s="55"/>
      <c r="AJ45" s="55">
        <v>8.0</v>
      </c>
      <c r="AK45" s="55"/>
      <c r="AL45" s="55"/>
      <c r="AM45" s="55"/>
      <c r="AN45" s="57"/>
      <c r="AO45" s="55">
        <v>8.0</v>
      </c>
      <c r="AP45" s="55"/>
      <c r="AQ45" s="55"/>
      <c r="AR45" s="55"/>
      <c r="AS45" s="55"/>
      <c r="AT45" s="55"/>
      <c r="AU45" s="55"/>
      <c r="AV45" s="55"/>
      <c r="AW45" s="55"/>
      <c r="AX45" s="55"/>
      <c r="AY45" s="55"/>
      <c r="AZ45" s="55"/>
      <c r="BA45" s="55"/>
      <c r="BB45" s="55"/>
      <c r="BC45" s="55"/>
      <c r="BD45" s="55"/>
      <c r="BE45" s="55"/>
      <c r="BF45" s="55"/>
      <c r="BG45" s="55"/>
      <c r="BH45" s="55"/>
      <c r="BI45" s="55"/>
      <c r="BJ45" s="55"/>
    </row>
    <row r="46">
      <c r="A46" s="46">
        <f t="shared" si="3"/>
        <v>44295</v>
      </c>
      <c r="B46" s="15" t="str">
        <f>if(A46="","",Vlookup(weekday(A46,2),DATA!$O$14:$P$20,2))</f>
        <v>Friday</v>
      </c>
      <c r="C46" s="57"/>
      <c r="D46" s="55">
        <v>8.0</v>
      </c>
      <c r="E46" s="55">
        <v>8.0</v>
      </c>
      <c r="F46" s="55">
        <v>8.0</v>
      </c>
      <c r="G46" s="55">
        <v>8.0</v>
      </c>
      <c r="H46" s="55">
        <v>8.0</v>
      </c>
      <c r="I46" s="55">
        <v>8.0</v>
      </c>
      <c r="J46" s="55">
        <v>8.0</v>
      </c>
      <c r="K46" s="55" t="s">
        <v>165</v>
      </c>
      <c r="L46" s="55" t="s">
        <v>165</v>
      </c>
      <c r="M46" s="55" t="s">
        <v>165</v>
      </c>
      <c r="N46" s="55" t="s">
        <v>165</v>
      </c>
      <c r="O46" s="55" t="s">
        <v>165</v>
      </c>
      <c r="P46" s="55" t="s">
        <v>165</v>
      </c>
      <c r="Q46" s="55" t="s">
        <v>165</v>
      </c>
      <c r="R46" s="55"/>
      <c r="S46" s="55">
        <v>8.0</v>
      </c>
      <c r="T46" s="55">
        <v>8.0</v>
      </c>
      <c r="U46" s="55">
        <v>8.0</v>
      </c>
      <c r="V46" s="55">
        <v>8.0</v>
      </c>
      <c r="W46" s="55"/>
      <c r="X46" s="57">
        <v>8.0</v>
      </c>
      <c r="Y46" s="55">
        <v>8.0</v>
      </c>
      <c r="Z46" s="55" t="s">
        <v>165</v>
      </c>
      <c r="AA46" s="55" t="s">
        <v>165</v>
      </c>
      <c r="AB46" s="55">
        <v>8.0</v>
      </c>
      <c r="AC46" s="55"/>
      <c r="AD46" s="57">
        <v>8.0</v>
      </c>
      <c r="AE46" s="55" t="s">
        <v>165</v>
      </c>
      <c r="AF46" s="55" t="s">
        <v>165</v>
      </c>
      <c r="AG46" s="55" t="s">
        <v>165</v>
      </c>
      <c r="AH46" s="55" t="s">
        <v>165</v>
      </c>
      <c r="AI46" s="55"/>
      <c r="AJ46" s="55">
        <v>8.0</v>
      </c>
      <c r="AK46" s="55"/>
      <c r="AL46" s="55"/>
      <c r="AM46" s="55"/>
      <c r="AN46" s="57"/>
      <c r="AO46" s="55">
        <v>8.0</v>
      </c>
      <c r="AP46" s="55"/>
      <c r="AQ46" s="55"/>
      <c r="AR46" s="55"/>
      <c r="AS46" s="55"/>
      <c r="AT46" s="55"/>
      <c r="AU46" s="55"/>
      <c r="AV46" s="55"/>
      <c r="AW46" s="55"/>
      <c r="AX46" s="55"/>
      <c r="AY46" s="55"/>
      <c r="AZ46" s="55"/>
      <c r="BA46" s="55"/>
      <c r="BB46" s="55"/>
      <c r="BC46" s="55"/>
      <c r="BD46" s="55"/>
      <c r="BE46" s="55"/>
      <c r="BF46" s="55"/>
      <c r="BG46" s="55"/>
      <c r="BH46" s="55"/>
      <c r="BI46" s="55"/>
      <c r="BJ46" s="55"/>
    </row>
    <row r="47">
      <c r="A47" s="46">
        <f t="shared" si="3"/>
        <v>44296</v>
      </c>
      <c r="B47" s="15" t="str">
        <f>if(A47="","",Vlookup(weekday(A47,2),DATA!$O$14:$P$20,2))</f>
        <v>Saturday</v>
      </c>
      <c r="C47" s="55"/>
      <c r="D47" s="57">
        <v>5.0</v>
      </c>
      <c r="E47" s="57">
        <v>8.0</v>
      </c>
      <c r="F47" s="55" t="s">
        <v>165</v>
      </c>
      <c r="G47" s="55" t="s">
        <v>165</v>
      </c>
      <c r="H47" s="55" t="s">
        <v>165</v>
      </c>
      <c r="I47" s="55" t="s">
        <v>165</v>
      </c>
      <c r="J47" s="55" t="s">
        <v>165</v>
      </c>
      <c r="K47" s="55" t="s">
        <v>165</v>
      </c>
      <c r="L47" s="55">
        <v>8.0</v>
      </c>
      <c r="M47" s="55">
        <v>8.0</v>
      </c>
      <c r="N47" s="55" t="s">
        <v>165</v>
      </c>
      <c r="O47" s="55">
        <v>8.0</v>
      </c>
      <c r="P47" s="55">
        <v>8.0</v>
      </c>
      <c r="Q47" s="55"/>
      <c r="R47" s="55"/>
      <c r="S47" s="55" t="s">
        <v>165</v>
      </c>
      <c r="T47" s="55" t="s">
        <v>165</v>
      </c>
      <c r="U47" s="55" t="s">
        <v>165</v>
      </c>
      <c r="V47" s="55" t="s">
        <v>165</v>
      </c>
      <c r="W47" s="55"/>
      <c r="X47" s="55" t="s">
        <v>165</v>
      </c>
      <c r="Y47" s="55" t="s">
        <v>165</v>
      </c>
      <c r="Z47" s="55" t="s">
        <v>165</v>
      </c>
      <c r="AA47" s="55"/>
      <c r="AB47" s="55" t="s">
        <v>165</v>
      </c>
      <c r="AC47" s="55"/>
      <c r="AD47" s="57" t="s">
        <v>165</v>
      </c>
      <c r="AE47" s="57">
        <v>7.0</v>
      </c>
      <c r="AF47" s="55" t="s">
        <v>165</v>
      </c>
      <c r="AG47" s="55" t="s">
        <v>165</v>
      </c>
      <c r="AH47" s="55">
        <v>8.0</v>
      </c>
      <c r="AI47" s="55"/>
      <c r="AJ47" s="57" t="s">
        <v>165</v>
      </c>
      <c r="AK47" s="55"/>
      <c r="AL47" s="55"/>
      <c r="AM47" s="55"/>
      <c r="AN47" s="57"/>
      <c r="AO47" s="57" t="s">
        <v>165</v>
      </c>
      <c r="AP47" s="55"/>
      <c r="AQ47" s="55"/>
      <c r="AR47" s="55"/>
      <c r="AS47" s="55"/>
      <c r="AT47" s="55"/>
      <c r="AU47" s="55"/>
      <c r="AV47" s="55"/>
      <c r="AW47" s="55"/>
      <c r="AX47" s="55"/>
      <c r="AY47" s="55"/>
      <c r="AZ47" s="55"/>
      <c r="BA47" s="55"/>
      <c r="BB47" s="55"/>
      <c r="BC47" s="55"/>
      <c r="BD47" s="55"/>
      <c r="BE47" s="55"/>
      <c r="BF47" s="55"/>
      <c r="BG47" s="55"/>
      <c r="BH47" s="55"/>
      <c r="BI47" s="55"/>
      <c r="BJ47" s="55"/>
    </row>
    <row r="48">
      <c r="A48" s="46">
        <f t="shared" si="3"/>
        <v>44297</v>
      </c>
      <c r="B48" s="15" t="str">
        <f>if(A48="","",Vlookup(weekday(A48,2),DATA!$O$14:$P$20,2))</f>
        <v>Sunday</v>
      </c>
      <c r="C48" s="55"/>
      <c r="D48" s="55" t="s">
        <v>165</v>
      </c>
      <c r="E48" s="55" t="s">
        <v>165</v>
      </c>
      <c r="F48" s="55" t="s">
        <v>165</v>
      </c>
      <c r="G48" s="55" t="s">
        <v>165</v>
      </c>
      <c r="H48" s="55" t="s">
        <v>165</v>
      </c>
      <c r="I48" s="55" t="s">
        <v>165</v>
      </c>
      <c r="J48" s="55" t="s">
        <v>165</v>
      </c>
      <c r="K48" s="55" t="s">
        <v>165</v>
      </c>
      <c r="L48" s="55">
        <v>8.0</v>
      </c>
      <c r="M48" s="55">
        <v>8.0</v>
      </c>
      <c r="N48" s="55" t="s">
        <v>165</v>
      </c>
      <c r="O48" s="55">
        <v>8.0</v>
      </c>
      <c r="P48" s="55">
        <v>8.0</v>
      </c>
      <c r="Q48" s="55"/>
      <c r="R48" s="55"/>
      <c r="S48" s="55" t="s">
        <v>165</v>
      </c>
      <c r="T48" s="55" t="s">
        <v>165</v>
      </c>
      <c r="U48" s="55" t="s">
        <v>165</v>
      </c>
      <c r="V48" s="55" t="s">
        <v>165</v>
      </c>
      <c r="W48" s="55"/>
      <c r="X48" s="55" t="s">
        <v>165</v>
      </c>
      <c r="Y48" s="55" t="s">
        <v>165</v>
      </c>
      <c r="Z48" s="55" t="s">
        <v>165</v>
      </c>
      <c r="AA48" s="55"/>
      <c r="AB48" s="55" t="s">
        <v>165</v>
      </c>
      <c r="AC48" s="55"/>
      <c r="AD48" s="57" t="s">
        <v>165</v>
      </c>
      <c r="AE48" s="57">
        <v>8.0</v>
      </c>
      <c r="AF48" s="55" t="s">
        <v>165</v>
      </c>
      <c r="AG48" s="55" t="s">
        <v>165</v>
      </c>
      <c r="AH48" s="55">
        <v>8.0</v>
      </c>
      <c r="AI48" s="55"/>
      <c r="AJ48" s="57" t="s">
        <v>165</v>
      </c>
      <c r="AK48" s="55"/>
      <c r="AL48" s="57"/>
      <c r="AM48" s="55"/>
      <c r="AN48" s="57"/>
      <c r="AO48" s="57" t="s">
        <v>165</v>
      </c>
      <c r="AP48" s="55"/>
      <c r="AQ48" s="55"/>
      <c r="AR48" s="55"/>
      <c r="AS48" s="55"/>
      <c r="AT48" s="55"/>
      <c r="AU48" s="55"/>
      <c r="AV48" s="55"/>
      <c r="AW48" s="55"/>
      <c r="AX48" s="55"/>
      <c r="AY48" s="55"/>
      <c r="AZ48" s="55"/>
      <c r="BA48" s="55"/>
      <c r="BB48" s="55"/>
      <c r="BC48" s="55"/>
      <c r="BD48" s="55"/>
      <c r="BE48" s="55"/>
      <c r="BF48" s="55"/>
      <c r="BG48" s="55"/>
      <c r="BH48" s="55"/>
      <c r="BI48" s="55"/>
      <c r="BJ48" s="55"/>
    </row>
    <row r="49">
      <c r="A49" s="46">
        <f t="shared" si="3"/>
        <v>44298</v>
      </c>
      <c r="B49" s="15" t="str">
        <f>if(A49="","",Vlookup(weekday(A49,2),DATA!$O$14:$P$20,2))</f>
        <v>Monday</v>
      </c>
      <c r="C49" s="55"/>
      <c r="D49" s="57">
        <v>8.0</v>
      </c>
      <c r="E49" s="55">
        <v>8.0</v>
      </c>
      <c r="F49" s="55">
        <v>8.0</v>
      </c>
      <c r="G49" s="55">
        <v>8.0</v>
      </c>
      <c r="H49" s="55">
        <v>8.0</v>
      </c>
      <c r="I49" s="55">
        <v>8.0</v>
      </c>
      <c r="J49" s="55">
        <v>8.0</v>
      </c>
      <c r="K49" s="57" t="s">
        <v>165</v>
      </c>
      <c r="L49" s="55" t="s">
        <v>165</v>
      </c>
      <c r="M49" s="55" t="s">
        <v>165</v>
      </c>
      <c r="N49" s="55">
        <v>8.0</v>
      </c>
      <c r="O49" s="55" t="s">
        <v>165</v>
      </c>
      <c r="P49" s="55" t="s">
        <v>165</v>
      </c>
      <c r="Q49" s="55" t="s">
        <v>165</v>
      </c>
      <c r="R49" s="55">
        <v>8.0</v>
      </c>
      <c r="S49" s="55">
        <v>8.0</v>
      </c>
      <c r="T49" s="57" t="s">
        <v>165</v>
      </c>
      <c r="U49" s="55">
        <v>8.0</v>
      </c>
      <c r="V49" s="55"/>
      <c r="W49" s="55"/>
      <c r="X49" s="57" t="s">
        <v>167</v>
      </c>
      <c r="Y49" s="55">
        <v>8.0</v>
      </c>
      <c r="Z49" s="55" t="s">
        <v>165</v>
      </c>
      <c r="AA49" s="55" t="s">
        <v>165</v>
      </c>
      <c r="AB49" s="55">
        <v>8.0</v>
      </c>
      <c r="AC49" s="55"/>
      <c r="AD49" s="55" t="s">
        <v>165</v>
      </c>
      <c r="AE49" s="55" t="s">
        <v>165</v>
      </c>
      <c r="AF49" s="55" t="s">
        <v>165</v>
      </c>
      <c r="AG49" s="55" t="s">
        <v>165</v>
      </c>
      <c r="AH49" s="55">
        <v>8.0</v>
      </c>
      <c r="AI49" s="55"/>
      <c r="AJ49" s="55">
        <v>8.0</v>
      </c>
      <c r="AK49" s="57">
        <v>8.0</v>
      </c>
      <c r="AL49" s="57">
        <v>8.0</v>
      </c>
      <c r="AM49" s="55"/>
      <c r="AN49" s="57">
        <v>8.0</v>
      </c>
      <c r="AO49" s="55">
        <v>8.0</v>
      </c>
      <c r="AP49" s="55"/>
      <c r="AQ49" s="55"/>
      <c r="AR49" s="55"/>
      <c r="AS49" s="57">
        <v>8.0</v>
      </c>
      <c r="AT49" s="55"/>
      <c r="AU49" s="55"/>
      <c r="AV49" s="57">
        <v>8.0</v>
      </c>
      <c r="AW49" s="55"/>
      <c r="AX49" s="55"/>
      <c r="AY49" s="57">
        <v>8.0</v>
      </c>
      <c r="AZ49" s="55"/>
      <c r="BA49" s="55"/>
      <c r="BB49" s="55"/>
      <c r="BC49" s="55"/>
      <c r="BD49" s="55"/>
      <c r="BE49" s="55"/>
      <c r="BF49" s="55"/>
      <c r="BG49" s="55"/>
      <c r="BH49" s="55"/>
      <c r="BI49" s="55"/>
      <c r="BJ49" s="55"/>
    </row>
    <row r="50">
      <c r="A50" s="46">
        <f t="shared" si="3"/>
        <v>44299</v>
      </c>
      <c r="B50" s="15" t="str">
        <f>if(A50="","",Vlookup(weekday(A50,2),DATA!$O$14:$P$20,2))</f>
        <v>Tuesday</v>
      </c>
      <c r="C50" s="55"/>
      <c r="D50" s="55">
        <v>8.0</v>
      </c>
      <c r="E50" s="57">
        <v>9.0</v>
      </c>
      <c r="F50" s="57">
        <v>9.0</v>
      </c>
      <c r="G50" s="55">
        <v>8.0</v>
      </c>
      <c r="H50" s="55">
        <v>8.0</v>
      </c>
      <c r="I50" s="57" t="s">
        <v>168</v>
      </c>
      <c r="J50" s="55">
        <v>8.0</v>
      </c>
      <c r="K50" s="57" t="s">
        <v>165</v>
      </c>
      <c r="L50" s="55" t="s">
        <v>165</v>
      </c>
      <c r="M50" s="55" t="s">
        <v>165</v>
      </c>
      <c r="N50" s="55">
        <v>8.0</v>
      </c>
      <c r="O50" s="55" t="s">
        <v>165</v>
      </c>
      <c r="P50" s="55" t="s">
        <v>165</v>
      </c>
      <c r="Q50" s="55" t="s">
        <v>165</v>
      </c>
      <c r="R50" s="55">
        <v>8.0</v>
      </c>
      <c r="S50" s="55">
        <v>8.0</v>
      </c>
      <c r="T50" s="55">
        <v>8.0</v>
      </c>
      <c r="U50" s="55">
        <v>8.0</v>
      </c>
      <c r="V50" s="55"/>
      <c r="W50" s="55"/>
      <c r="X50" s="55">
        <v>8.0</v>
      </c>
      <c r="Y50" s="55">
        <v>8.0</v>
      </c>
      <c r="Z50" s="55" t="s">
        <v>165</v>
      </c>
      <c r="AA50" s="55" t="s">
        <v>165</v>
      </c>
      <c r="AB50" s="57" t="s">
        <v>165</v>
      </c>
      <c r="AC50" s="57">
        <v>8.0</v>
      </c>
      <c r="AD50" s="55" t="s">
        <v>165</v>
      </c>
      <c r="AE50" s="57" t="s">
        <v>165</v>
      </c>
      <c r="AF50" s="55" t="s">
        <v>165</v>
      </c>
      <c r="AG50" s="55" t="s">
        <v>165</v>
      </c>
      <c r="AH50" s="55" t="s">
        <v>165</v>
      </c>
      <c r="AI50" s="55"/>
      <c r="AJ50" s="55">
        <v>8.0</v>
      </c>
      <c r="AK50" s="57">
        <v>8.0</v>
      </c>
      <c r="AL50" s="57">
        <v>8.0</v>
      </c>
      <c r="AM50" s="57">
        <v>8.0</v>
      </c>
      <c r="AN50" s="57">
        <v>8.0</v>
      </c>
      <c r="AO50" s="55">
        <v>8.0</v>
      </c>
      <c r="AP50" s="55"/>
      <c r="AQ50" s="55"/>
      <c r="AR50" s="55"/>
      <c r="AS50" s="57">
        <v>8.0</v>
      </c>
      <c r="AT50" s="55"/>
      <c r="AU50" s="55"/>
      <c r="AV50" s="57">
        <v>8.34</v>
      </c>
      <c r="AW50" s="55"/>
      <c r="AX50" s="55"/>
      <c r="AY50" s="57">
        <v>8.0</v>
      </c>
      <c r="AZ50" s="55"/>
      <c r="BA50" s="55"/>
      <c r="BB50" s="55"/>
      <c r="BC50" s="55"/>
      <c r="BD50" s="55"/>
      <c r="BE50" s="57">
        <v>8.0</v>
      </c>
      <c r="BF50" s="57"/>
      <c r="BG50" s="57"/>
      <c r="BH50" s="57"/>
      <c r="BI50" s="57"/>
      <c r="BJ50" s="57"/>
    </row>
    <row r="51">
      <c r="A51" s="46">
        <f t="shared" si="3"/>
        <v>44300</v>
      </c>
      <c r="B51" s="15" t="str">
        <f>if(A51="","",Vlookup(weekday(A51,2),DATA!$O$14:$P$20,2))</f>
        <v>Wednesday</v>
      </c>
      <c r="C51" s="57"/>
      <c r="D51" s="55">
        <v>8.0</v>
      </c>
      <c r="E51" s="57">
        <v>9.0</v>
      </c>
      <c r="F51" s="55">
        <v>8.0</v>
      </c>
      <c r="G51" s="55">
        <v>8.0</v>
      </c>
      <c r="H51" s="55">
        <v>8.0</v>
      </c>
      <c r="I51" s="55">
        <v>8.0</v>
      </c>
      <c r="J51" s="55">
        <v>8.0</v>
      </c>
      <c r="K51" s="55" t="s">
        <v>165</v>
      </c>
      <c r="L51" s="55" t="s">
        <v>165</v>
      </c>
      <c r="M51" s="55" t="s">
        <v>165</v>
      </c>
      <c r="N51" s="55" t="s">
        <v>165</v>
      </c>
      <c r="O51" s="55" t="s">
        <v>165</v>
      </c>
      <c r="P51" s="55" t="s">
        <v>165</v>
      </c>
      <c r="Q51" s="55"/>
      <c r="R51" s="57">
        <v>8.0</v>
      </c>
      <c r="S51" s="55">
        <v>8.0</v>
      </c>
      <c r="T51" s="55">
        <v>8.0</v>
      </c>
      <c r="U51" s="55">
        <v>8.0</v>
      </c>
      <c r="V51" s="55"/>
      <c r="W51" s="55"/>
      <c r="X51" s="55">
        <v>8.0</v>
      </c>
      <c r="Y51" s="55">
        <v>8.0</v>
      </c>
      <c r="Z51" s="55"/>
      <c r="AA51" s="55"/>
      <c r="AB51" s="57" t="s">
        <v>165</v>
      </c>
      <c r="AC51" s="57">
        <v>8.0</v>
      </c>
      <c r="AD51" s="55" t="s">
        <v>165</v>
      </c>
      <c r="AE51" s="55" t="s">
        <v>165</v>
      </c>
      <c r="AF51" s="55"/>
      <c r="AG51" s="55"/>
      <c r="AH51" s="55" t="s">
        <v>165</v>
      </c>
      <c r="AI51" s="55"/>
      <c r="AJ51" s="55">
        <v>8.0</v>
      </c>
      <c r="AK51" s="57">
        <v>8.0</v>
      </c>
      <c r="AL51" s="57">
        <v>6.0</v>
      </c>
      <c r="AM51" s="57">
        <v>8.0</v>
      </c>
      <c r="AN51" s="57">
        <v>8.0</v>
      </c>
      <c r="AO51" s="55">
        <v>8.0</v>
      </c>
      <c r="AP51" s="55"/>
      <c r="AQ51" s="55"/>
      <c r="AR51" s="55"/>
      <c r="AS51" s="57">
        <v>8.0</v>
      </c>
      <c r="AT51" s="55"/>
      <c r="AU51" s="55"/>
      <c r="AV51" s="57">
        <v>8.0</v>
      </c>
      <c r="AW51" s="55"/>
      <c r="AX51" s="55"/>
      <c r="AY51" s="57">
        <v>8.0</v>
      </c>
      <c r="AZ51" s="55"/>
      <c r="BA51" s="55"/>
      <c r="BB51" s="55"/>
      <c r="BC51" s="55"/>
      <c r="BD51" s="55"/>
      <c r="BE51" s="57">
        <v>8.0</v>
      </c>
      <c r="BF51" s="57"/>
      <c r="BG51" s="57"/>
      <c r="BH51" s="57"/>
      <c r="BI51" s="57"/>
      <c r="BJ51" s="57"/>
    </row>
    <row r="52">
      <c r="A52" s="46">
        <f t="shared" si="3"/>
        <v>44301</v>
      </c>
      <c r="B52" s="15" t="str">
        <f>if(A52="","",Vlookup(weekday(A52,2),DATA!$O$14:$P$20,2))</f>
        <v>Thursday</v>
      </c>
      <c r="C52" s="57"/>
      <c r="D52" s="55">
        <v>8.0</v>
      </c>
      <c r="E52" s="55">
        <v>8.0</v>
      </c>
      <c r="F52" s="55">
        <v>8.0</v>
      </c>
      <c r="G52" s="55">
        <v>8.0</v>
      </c>
      <c r="H52" s="55">
        <v>8.0</v>
      </c>
      <c r="I52" s="55">
        <v>8.0</v>
      </c>
      <c r="J52" s="55">
        <v>8.0</v>
      </c>
      <c r="K52" s="55" t="s">
        <v>165</v>
      </c>
      <c r="L52" s="55" t="s">
        <v>165</v>
      </c>
      <c r="M52" s="55" t="s">
        <v>165</v>
      </c>
      <c r="N52" s="55" t="s">
        <v>165</v>
      </c>
      <c r="O52" s="55" t="s">
        <v>165</v>
      </c>
      <c r="P52" s="55" t="s">
        <v>165</v>
      </c>
      <c r="Q52" s="57"/>
      <c r="R52" s="57">
        <v>8.0</v>
      </c>
      <c r="S52" s="55">
        <v>8.0</v>
      </c>
      <c r="T52" s="55">
        <v>8.0</v>
      </c>
      <c r="U52" s="55">
        <v>8.0</v>
      </c>
      <c r="V52" s="55"/>
      <c r="W52" s="55"/>
      <c r="X52" s="57" t="s">
        <v>169</v>
      </c>
      <c r="Y52" s="55">
        <v>8.0</v>
      </c>
      <c r="Z52" s="55"/>
      <c r="AA52" s="55"/>
      <c r="AB52" s="57" t="s">
        <v>165</v>
      </c>
      <c r="AC52" s="57">
        <v>8.0</v>
      </c>
      <c r="AD52" s="55" t="s">
        <v>165</v>
      </c>
      <c r="AE52" s="55" t="s">
        <v>165</v>
      </c>
      <c r="AF52" s="55"/>
      <c r="AG52" s="55"/>
      <c r="AH52" s="55" t="s">
        <v>165</v>
      </c>
      <c r="AI52" s="55"/>
      <c r="AJ52" s="55">
        <v>8.0</v>
      </c>
      <c r="AK52" s="57">
        <v>8.0</v>
      </c>
      <c r="AL52" s="57">
        <v>8.0</v>
      </c>
      <c r="AM52" s="57">
        <v>8.0</v>
      </c>
      <c r="AN52" s="57">
        <v>8.0</v>
      </c>
      <c r="AO52" s="55">
        <v>8.0</v>
      </c>
      <c r="AP52" s="55"/>
      <c r="AQ52" s="55"/>
      <c r="AR52" s="55"/>
      <c r="AS52" s="57">
        <v>8.0</v>
      </c>
      <c r="AT52" s="57">
        <v>8.0</v>
      </c>
      <c r="AU52" s="55"/>
      <c r="AV52" s="57">
        <v>8.0</v>
      </c>
      <c r="AW52" s="57">
        <v>8.0</v>
      </c>
      <c r="AX52" s="55"/>
      <c r="AY52" s="57">
        <v>8.0</v>
      </c>
      <c r="AZ52" s="57">
        <v>8.0</v>
      </c>
      <c r="BA52" s="57">
        <v>8.0</v>
      </c>
      <c r="BB52" s="57">
        <v>8.0</v>
      </c>
      <c r="BC52" s="57">
        <v>8.0</v>
      </c>
      <c r="BD52" s="55"/>
      <c r="BE52" s="57">
        <v>8.0</v>
      </c>
      <c r="BF52" s="57"/>
      <c r="BG52" s="57"/>
      <c r="BH52" s="57"/>
      <c r="BI52" s="57"/>
      <c r="BJ52" s="57"/>
    </row>
    <row r="53">
      <c r="A53" s="46">
        <f t="shared" si="3"/>
        <v>44302</v>
      </c>
      <c r="B53" s="15" t="str">
        <f>if(A53="","",Vlookup(weekday(A53,2),DATA!$O$14:$P$20,2))</f>
        <v>Friday</v>
      </c>
      <c r="C53" s="57"/>
      <c r="D53" s="55">
        <v>8.0</v>
      </c>
      <c r="E53" s="55">
        <v>8.0</v>
      </c>
      <c r="F53" s="55">
        <v>8.0</v>
      </c>
      <c r="G53" s="55">
        <v>8.0</v>
      </c>
      <c r="H53" s="55">
        <v>8.0</v>
      </c>
      <c r="I53" s="55">
        <v>8.0</v>
      </c>
      <c r="J53" s="55">
        <v>8.0</v>
      </c>
      <c r="K53" s="55" t="s">
        <v>165</v>
      </c>
      <c r="L53" s="55" t="s">
        <v>165</v>
      </c>
      <c r="M53" s="55" t="s">
        <v>165</v>
      </c>
      <c r="N53" s="55" t="s">
        <v>165</v>
      </c>
      <c r="O53" s="55" t="s">
        <v>165</v>
      </c>
      <c r="P53" s="55" t="s">
        <v>165</v>
      </c>
      <c r="Q53" s="57"/>
      <c r="R53" s="57">
        <v>8.0</v>
      </c>
      <c r="S53" s="55">
        <v>8.0</v>
      </c>
      <c r="T53" s="55">
        <v>8.0</v>
      </c>
      <c r="U53" s="57" t="s">
        <v>169</v>
      </c>
      <c r="V53" s="55"/>
      <c r="W53" s="55"/>
      <c r="X53" s="57" t="s">
        <v>169</v>
      </c>
      <c r="Y53" s="55">
        <v>8.0</v>
      </c>
      <c r="Z53" s="55"/>
      <c r="AA53" s="55"/>
      <c r="AB53" s="57" t="s">
        <v>165</v>
      </c>
      <c r="AC53" s="57">
        <v>8.0</v>
      </c>
      <c r="AD53" s="55" t="s">
        <v>165</v>
      </c>
      <c r="AE53" s="55" t="s">
        <v>165</v>
      </c>
      <c r="AF53" s="55"/>
      <c r="AG53" s="55"/>
      <c r="AH53" s="55" t="s">
        <v>165</v>
      </c>
      <c r="AI53" s="55"/>
      <c r="AJ53" s="55">
        <v>8.0</v>
      </c>
      <c r="AK53" s="57">
        <v>8.0</v>
      </c>
      <c r="AL53" s="57">
        <v>8.0</v>
      </c>
      <c r="AM53" s="57">
        <v>8.0</v>
      </c>
      <c r="AN53" s="57">
        <v>8.0</v>
      </c>
      <c r="AO53" s="55">
        <v>8.0</v>
      </c>
      <c r="AP53" s="55"/>
      <c r="AQ53" s="55"/>
      <c r="AR53" s="55"/>
      <c r="AS53" s="57">
        <v>8.0</v>
      </c>
      <c r="AT53" s="57">
        <v>8.0</v>
      </c>
      <c r="AU53" s="55"/>
      <c r="AV53" s="57">
        <v>8.0</v>
      </c>
      <c r="AW53" s="57">
        <v>8.0</v>
      </c>
      <c r="AX53" s="55"/>
      <c r="AY53" s="57">
        <v>8.0</v>
      </c>
      <c r="AZ53" s="57">
        <v>8.0</v>
      </c>
      <c r="BA53" s="57">
        <v>8.0</v>
      </c>
      <c r="BB53" s="57">
        <v>8.0</v>
      </c>
      <c r="BC53" s="57">
        <v>8.0</v>
      </c>
      <c r="BD53" s="55"/>
      <c r="BE53" s="57">
        <v>8.0</v>
      </c>
      <c r="BF53" s="57"/>
      <c r="BG53" s="57"/>
      <c r="BH53" s="57"/>
      <c r="BI53" s="57"/>
      <c r="BJ53" s="57"/>
    </row>
    <row r="54">
      <c r="A54" s="46">
        <f t="shared" si="3"/>
        <v>44303</v>
      </c>
      <c r="B54" s="15" t="str">
        <f>if(A54="","",Vlookup(weekday(A54,2),DATA!$O$14:$P$20,2))</f>
        <v>Saturday</v>
      </c>
      <c r="C54" s="55"/>
      <c r="D54" s="55" t="s">
        <v>165</v>
      </c>
      <c r="E54" s="55" t="s">
        <v>165</v>
      </c>
      <c r="F54" s="55" t="s">
        <v>165</v>
      </c>
      <c r="G54" s="55" t="s">
        <v>165</v>
      </c>
      <c r="H54" s="55" t="s">
        <v>165</v>
      </c>
      <c r="I54" s="57">
        <v>8.0</v>
      </c>
      <c r="J54" s="55" t="s">
        <v>165</v>
      </c>
      <c r="K54" s="55"/>
      <c r="L54" s="55">
        <v>8.0</v>
      </c>
      <c r="M54" s="55">
        <v>8.0</v>
      </c>
      <c r="N54" s="55" t="s">
        <v>165</v>
      </c>
      <c r="O54" s="55">
        <v>8.0</v>
      </c>
      <c r="P54" s="55">
        <v>8.0</v>
      </c>
      <c r="Q54" s="59"/>
      <c r="R54" s="57" t="s">
        <v>165</v>
      </c>
      <c r="S54" s="55" t="s">
        <v>165</v>
      </c>
      <c r="T54" s="57" t="s">
        <v>165</v>
      </c>
      <c r="U54" s="55" t="s">
        <v>165</v>
      </c>
      <c r="V54" s="55"/>
      <c r="W54" s="55"/>
      <c r="X54" s="55" t="s">
        <v>165</v>
      </c>
      <c r="Y54" s="55" t="s">
        <v>165</v>
      </c>
      <c r="Z54" s="55"/>
      <c r="AA54" s="55"/>
      <c r="AB54" s="57">
        <v>8.0</v>
      </c>
      <c r="AC54" s="55" t="s">
        <v>165</v>
      </c>
      <c r="AD54" s="55">
        <v>8.0</v>
      </c>
      <c r="AE54" s="57" t="s">
        <v>170</v>
      </c>
      <c r="AF54" s="55"/>
      <c r="AG54" s="55"/>
      <c r="AH54" s="55">
        <v>8.0</v>
      </c>
      <c r="AI54" s="55"/>
      <c r="AJ54" s="57" t="s">
        <v>165</v>
      </c>
      <c r="AK54" s="57" t="s">
        <v>165</v>
      </c>
      <c r="AL54" s="57" t="s">
        <v>165</v>
      </c>
      <c r="AM54" s="57" t="s">
        <v>165</v>
      </c>
      <c r="AN54" s="57" t="s">
        <v>165</v>
      </c>
      <c r="AO54" s="57" t="s">
        <v>165</v>
      </c>
      <c r="AP54" s="55"/>
      <c r="AQ54" s="55"/>
      <c r="AR54" s="55"/>
      <c r="AS54" s="57" t="s">
        <v>165</v>
      </c>
      <c r="AT54" s="57" t="s">
        <v>165</v>
      </c>
      <c r="AU54" s="55"/>
      <c r="AV54" s="57" t="s">
        <v>165</v>
      </c>
      <c r="AW54" s="57" t="s">
        <v>165</v>
      </c>
      <c r="AX54" s="55"/>
      <c r="AY54" s="57" t="s">
        <v>165</v>
      </c>
      <c r="AZ54" s="57" t="s">
        <v>165</v>
      </c>
      <c r="BA54" s="57" t="s">
        <v>165</v>
      </c>
      <c r="BB54" s="57" t="s">
        <v>165</v>
      </c>
      <c r="BC54" s="57" t="s">
        <v>165</v>
      </c>
      <c r="BD54" s="55"/>
      <c r="BE54" s="57" t="s">
        <v>165</v>
      </c>
      <c r="BF54" s="57"/>
      <c r="BG54" s="57"/>
      <c r="BH54" s="57"/>
      <c r="BI54" s="57"/>
      <c r="BJ54" s="57"/>
    </row>
    <row r="55">
      <c r="A55" s="46">
        <f t="shared" si="3"/>
        <v>44304</v>
      </c>
      <c r="B55" s="15" t="str">
        <f>if(A55="","",Vlookup(weekday(A55,2),DATA!$O$14:$P$20,2))</f>
        <v>Sunday</v>
      </c>
      <c r="C55" s="55"/>
      <c r="D55" s="55" t="s">
        <v>165</v>
      </c>
      <c r="E55" s="55" t="s">
        <v>165</v>
      </c>
      <c r="F55" s="55" t="s">
        <v>165</v>
      </c>
      <c r="G55" s="55" t="s">
        <v>165</v>
      </c>
      <c r="H55" s="55" t="s">
        <v>165</v>
      </c>
      <c r="I55" s="55" t="s">
        <v>165</v>
      </c>
      <c r="J55" s="55" t="s">
        <v>165</v>
      </c>
      <c r="K55" s="55"/>
      <c r="L55" s="55">
        <v>8.0</v>
      </c>
      <c r="M55" s="55">
        <v>8.0</v>
      </c>
      <c r="N55" s="55" t="s">
        <v>165</v>
      </c>
      <c r="O55" s="55">
        <v>8.0</v>
      </c>
      <c r="P55" s="55">
        <v>8.0</v>
      </c>
      <c r="Q55" s="55"/>
      <c r="R55" s="57" t="s">
        <v>165</v>
      </c>
      <c r="S55" s="55" t="s">
        <v>165</v>
      </c>
      <c r="T55" s="55" t="s">
        <v>165</v>
      </c>
      <c r="U55" s="55" t="s">
        <v>165</v>
      </c>
      <c r="V55" s="55"/>
      <c r="W55" s="55"/>
      <c r="X55" s="55" t="s">
        <v>165</v>
      </c>
      <c r="Y55" s="55" t="s">
        <v>165</v>
      </c>
      <c r="Z55" s="55"/>
      <c r="AA55" s="55"/>
      <c r="AB55" s="57">
        <v>8.0</v>
      </c>
      <c r="AC55" s="55" t="s">
        <v>165</v>
      </c>
      <c r="AD55" s="55">
        <v>8.0</v>
      </c>
      <c r="AE55" s="57" t="s">
        <v>170</v>
      </c>
      <c r="AF55" s="55"/>
      <c r="AG55" s="55"/>
      <c r="AH55" s="55">
        <v>8.0</v>
      </c>
      <c r="AI55" s="55"/>
      <c r="AJ55" s="57" t="s">
        <v>165</v>
      </c>
      <c r="AK55" s="57" t="s">
        <v>165</v>
      </c>
      <c r="AL55" s="57" t="s">
        <v>165</v>
      </c>
      <c r="AM55" s="57" t="s">
        <v>165</v>
      </c>
      <c r="AN55" s="57" t="s">
        <v>165</v>
      </c>
      <c r="AO55" s="57" t="s">
        <v>165</v>
      </c>
      <c r="AP55" s="55"/>
      <c r="AQ55" s="55"/>
      <c r="AR55" s="55"/>
      <c r="AS55" s="57" t="s">
        <v>165</v>
      </c>
      <c r="AT55" s="57" t="s">
        <v>165</v>
      </c>
      <c r="AU55" s="55"/>
      <c r="AV55" s="57" t="s">
        <v>165</v>
      </c>
      <c r="AW55" s="57" t="s">
        <v>165</v>
      </c>
      <c r="AX55" s="55"/>
      <c r="AY55" s="57" t="s">
        <v>165</v>
      </c>
      <c r="AZ55" s="57" t="s">
        <v>165</v>
      </c>
      <c r="BA55" s="57" t="s">
        <v>165</v>
      </c>
      <c r="BB55" s="57" t="s">
        <v>165</v>
      </c>
      <c r="BC55" s="57" t="s">
        <v>165</v>
      </c>
      <c r="BD55" s="55"/>
      <c r="BE55" s="57" t="s">
        <v>165</v>
      </c>
      <c r="BF55" s="57"/>
      <c r="BG55" s="57"/>
      <c r="BH55" s="57"/>
      <c r="BI55" s="57"/>
      <c r="BJ55" s="57"/>
    </row>
    <row r="56">
      <c r="A56" s="46">
        <f t="shared" si="3"/>
        <v>44305</v>
      </c>
      <c r="B56" s="15" t="str">
        <f>if(A56="","",Vlookup(weekday(A56,2),DATA!$O$14:$P$20,2))</f>
        <v>Monday</v>
      </c>
      <c r="C56" s="55"/>
      <c r="D56" s="55">
        <v>8.0</v>
      </c>
      <c r="E56" s="55">
        <v>8.0</v>
      </c>
      <c r="F56" s="55">
        <v>8.0</v>
      </c>
      <c r="G56" s="55">
        <v>8.0</v>
      </c>
      <c r="H56" s="55">
        <v>8.0</v>
      </c>
      <c r="I56" s="57" t="s">
        <v>168</v>
      </c>
      <c r="J56" s="55">
        <v>8.0</v>
      </c>
      <c r="K56" s="55" t="s">
        <v>165</v>
      </c>
      <c r="L56" s="55" t="s">
        <v>165</v>
      </c>
      <c r="M56" s="55" t="s">
        <v>165</v>
      </c>
      <c r="N56" s="55">
        <v>8.0</v>
      </c>
      <c r="O56" s="55" t="s">
        <v>165</v>
      </c>
      <c r="P56" s="55" t="s">
        <v>165</v>
      </c>
      <c r="Q56" s="55"/>
      <c r="R56" s="57">
        <v>8.0</v>
      </c>
      <c r="S56" s="55">
        <v>8.0</v>
      </c>
      <c r="T56" s="55">
        <v>8.0</v>
      </c>
      <c r="U56" s="57" t="s">
        <v>169</v>
      </c>
      <c r="V56" s="55"/>
      <c r="W56" s="55"/>
      <c r="X56" s="55">
        <v>8.0</v>
      </c>
      <c r="Y56" s="55">
        <v>8.0</v>
      </c>
      <c r="Z56" s="55"/>
      <c r="AA56" s="55"/>
      <c r="AB56" s="57" t="s">
        <v>165</v>
      </c>
      <c r="AC56" s="57">
        <v>8.0</v>
      </c>
      <c r="AD56" s="55" t="s">
        <v>165</v>
      </c>
      <c r="AE56" s="55" t="s">
        <v>165</v>
      </c>
      <c r="AF56" s="55"/>
      <c r="AG56" s="55"/>
      <c r="AH56" s="55" t="s">
        <v>165</v>
      </c>
      <c r="AI56" s="55"/>
      <c r="AJ56" s="55">
        <v>8.0</v>
      </c>
      <c r="AK56" s="57">
        <v>8.0</v>
      </c>
      <c r="AL56" s="57">
        <v>8.0</v>
      </c>
      <c r="AM56" s="57">
        <v>8.0</v>
      </c>
      <c r="AN56" s="57">
        <v>8.0</v>
      </c>
      <c r="AO56" s="55">
        <v>8.0</v>
      </c>
      <c r="AP56" s="55"/>
      <c r="AQ56" s="55"/>
      <c r="AR56" s="55"/>
      <c r="AS56" s="57">
        <v>8.0</v>
      </c>
      <c r="AT56" s="57">
        <v>8.0</v>
      </c>
      <c r="AU56" s="55"/>
      <c r="AV56" s="57">
        <v>8.0</v>
      </c>
      <c r="AW56" s="57">
        <v>8.0</v>
      </c>
      <c r="AX56" s="55"/>
      <c r="AY56" s="57">
        <v>8.0</v>
      </c>
      <c r="AZ56" s="57">
        <v>8.0</v>
      </c>
      <c r="BA56" s="57">
        <v>8.0</v>
      </c>
      <c r="BB56" s="57">
        <v>8.0</v>
      </c>
      <c r="BC56" s="57">
        <v>8.0</v>
      </c>
      <c r="BD56" s="55"/>
      <c r="BE56" s="57">
        <v>8.0</v>
      </c>
      <c r="BF56" s="57"/>
      <c r="BG56" s="57"/>
      <c r="BH56" s="57"/>
      <c r="BI56" s="57"/>
      <c r="BJ56" s="57"/>
    </row>
    <row r="57">
      <c r="A57" s="46">
        <f t="shared" si="3"/>
        <v>44306</v>
      </c>
      <c r="B57" s="15" t="str">
        <f>if(A57="","",Vlookup(weekday(A57,2),DATA!$O$14:$P$20,2))</f>
        <v>Tuesday</v>
      </c>
      <c r="C57" s="55"/>
      <c r="D57" s="55">
        <v>8.0</v>
      </c>
      <c r="E57" s="55">
        <v>8.0</v>
      </c>
      <c r="F57" s="55">
        <v>8.0</v>
      </c>
      <c r="G57" s="55">
        <v>8.0</v>
      </c>
      <c r="H57" s="55">
        <v>8.0</v>
      </c>
      <c r="I57" s="55">
        <v>8.0</v>
      </c>
      <c r="J57" s="55">
        <v>8.0</v>
      </c>
      <c r="K57" s="55" t="s">
        <v>165</v>
      </c>
      <c r="L57" s="55" t="s">
        <v>165</v>
      </c>
      <c r="M57" s="55" t="s">
        <v>165</v>
      </c>
      <c r="N57" s="55">
        <v>8.0</v>
      </c>
      <c r="O57" s="55" t="s">
        <v>165</v>
      </c>
      <c r="P57" s="55" t="s">
        <v>165</v>
      </c>
      <c r="Q57" s="55"/>
      <c r="R57" s="57">
        <v>8.0</v>
      </c>
      <c r="S57" s="55">
        <v>8.0</v>
      </c>
      <c r="T57" s="57" t="s">
        <v>165</v>
      </c>
      <c r="U57" s="57" t="s">
        <v>169</v>
      </c>
      <c r="V57" s="55"/>
      <c r="W57" s="55"/>
      <c r="X57" s="55">
        <v>8.0</v>
      </c>
      <c r="Y57" s="55">
        <v>8.0</v>
      </c>
      <c r="Z57" s="55"/>
      <c r="AA57" s="55"/>
      <c r="AB57" s="57" t="s">
        <v>165</v>
      </c>
      <c r="AC57" s="55" t="s">
        <v>165</v>
      </c>
      <c r="AD57" s="55" t="s">
        <v>165</v>
      </c>
      <c r="AE57" s="55" t="s">
        <v>165</v>
      </c>
      <c r="AF57" s="55"/>
      <c r="AG57" s="55"/>
      <c r="AH57" s="55" t="s">
        <v>165</v>
      </c>
      <c r="AI57" s="55"/>
      <c r="AJ57" s="55">
        <v>8.0</v>
      </c>
      <c r="AK57" s="57">
        <v>8.0</v>
      </c>
      <c r="AL57" s="57">
        <v>8.0</v>
      </c>
      <c r="AM57" s="57">
        <v>8.0</v>
      </c>
      <c r="AN57" s="57">
        <v>8.0</v>
      </c>
      <c r="AO57" s="55">
        <v>8.0</v>
      </c>
      <c r="AP57" s="55"/>
      <c r="AQ57" s="55"/>
      <c r="AR57" s="55"/>
      <c r="AS57" s="57">
        <v>8.0</v>
      </c>
      <c r="AT57" s="57">
        <v>8.0</v>
      </c>
      <c r="AU57" s="55"/>
      <c r="AV57" s="57">
        <v>8.0</v>
      </c>
      <c r="AW57" s="57">
        <v>8.0</v>
      </c>
      <c r="AX57" s="55"/>
      <c r="AY57" s="57">
        <v>8.0</v>
      </c>
      <c r="AZ57" s="57">
        <v>8.0</v>
      </c>
      <c r="BA57" s="57">
        <v>8.0</v>
      </c>
      <c r="BB57" s="57">
        <v>8.0</v>
      </c>
      <c r="BC57" s="57">
        <v>8.0</v>
      </c>
      <c r="BD57" s="55"/>
      <c r="BE57" s="57">
        <v>8.0</v>
      </c>
      <c r="BF57" s="57"/>
      <c r="BG57" s="57"/>
      <c r="BH57" s="57"/>
      <c r="BI57" s="57"/>
      <c r="BJ57" s="57"/>
    </row>
    <row r="58">
      <c r="A58" s="46">
        <f t="shared" si="3"/>
        <v>44307</v>
      </c>
      <c r="B58" s="15" t="str">
        <f>if(A58="","",Vlookup(weekday(A58,2),DATA!$O$14:$P$20,2))</f>
        <v>Wednesday</v>
      </c>
      <c r="C58" s="57"/>
      <c r="D58" s="55">
        <v>8.0</v>
      </c>
      <c r="E58" s="55">
        <v>8.0</v>
      </c>
      <c r="F58" s="57" t="s">
        <v>171</v>
      </c>
      <c r="G58" s="57" t="s">
        <v>171</v>
      </c>
      <c r="H58" s="55">
        <v>8.0</v>
      </c>
      <c r="I58" s="57" t="s">
        <v>171</v>
      </c>
      <c r="J58" s="57" t="s">
        <v>171</v>
      </c>
      <c r="K58" s="55" t="s">
        <v>165</v>
      </c>
      <c r="L58" s="55" t="s">
        <v>165</v>
      </c>
      <c r="M58" s="55" t="s">
        <v>165</v>
      </c>
      <c r="N58" s="55" t="s">
        <v>165</v>
      </c>
      <c r="O58" s="55" t="s">
        <v>165</v>
      </c>
      <c r="P58" s="55" t="s">
        <v>165</v>
      </c>
      <c r="Q58" s="55"/>
      <c r="R58" s="57">
        <v>8.0</v>
      </c>
      <c r="S58" s="55">
        <v>8.0</v>
      </c>
      <c r="T58" s="57" t="s">
        <v>169</v>
      </c>
      <c r="U58" s="57" t="s">
        <v>169</v>
      </c>
      <c r="V58" s="55"/>
      <c r="W58" s="55"/>
      <c r="X58" s="55">
        <v>8.0</v>
      </c>
      <c r="Y58" s="55">
        <v>8.0</v>
      </c>
      <c r="Z58" s="55"/>
      <c r="AA58" s="55"/>
      <c r="AB58" s="57" t="s">
        <v>165</v>
      </c>
      <c r="AC58" s="55" t="s">
        <v>165</v>
      </c>
      <c r="AD58" s="55" t="s">
        <v>165</v>
      </c>
      <c r="AE58" s="55" t="s">
        <v>165</v>
      </c>
      <c r="AF58" s="55"/>
      <c r="AG58" s="55"/>
      <c r="AH58" s="55" t="s">
        <v>165</v>
      </c>
      <c r="AI58" s="55"/>
      <c r="AJ58" s="55">
        <v>8.0</v>
      </c>
      <c r="AK58" s="57">
        <v>8.0</v>
      </c>
      <c r="AL58" s="57" t="s">
        <v>171</v>
      </c>
      <c r="AM58" s="57">
        <v>8.0</v>
      </c>
      <c r="AN58" s="57" t="s">
        <v>171</v>
      </c>
      <c r="AO58" s="55">
        <v>8.0</v>
      </c>
      <c r="AP58" s="55"/>
      <c r="AQ58" s="55"/>
      <c r="AR58" s="55"/>
      <c r="AS58" s="57" t="s">
        <v>171</v>
      </c>
      <c r="AT58" s="57">
        <v>8.0</v>
      </c>
      <c r="AU58" s="55"/>
      <c r="AV58" s="57" t="s">
        <v>171</v>
      </c>
      <c r="AW58" s="57">
        <v>8.0</v>
      </c>
      <c r="AX58" s="55"/>
      <c r="AY58" s="57">
        <v>8.0</v>
      </c>
      <c r="AZ58" s="57">
        <v>8.0</v>
      </c>
      <c r="BA58" s="57">
        <v>8.0</v>
      </c>
      <c r="BB58" s="57">
        <v>8.0</v>
      </c>
      <c r="BC58" s="57">
        <v>8.0</v>
      </c>
      <c r="BD58" s="55"/>
      <c r="BE58" s="57" t="s">
        <v>165</v>
      </c>
      <c r="BF58" s="55"/>
      <c r="BG58" s="55"/>
      <c r="BH58" s="55"/>
      <c r="BI58" s="55"/>
      <c r="BJ58" s="55"/>
    </row>
    <row r="59">
      <c r="A59" s="46">
        <f t="shared" si="3"/>
        <v>44308</v>
      </c>
      <c r="B59" s="15" t="str">
        <f>if(A59="","",Vlookup(weekday(A59,2),DATA!$O$14:$P$20,2))</f>
        <v>Thursday</v>
      </c>
      <c r="C59" s="57"/>
      <c r="D59" s="55">
        <v>8.0</v>
      </c>
      <c r="E59" s="55">
        <v>8.0</v>
      </c>
      <c r="F59" s="55">
        <v>8.0</v>
      </c>
      <c r="G59" s="55">
        <v>8.0</v>
      </c>
      <c r="H59" s="55">
        <v>8.0</v>
      </c>
      <c r="I59" s="57" t="s">
        <v>172</v>
      </c>
      <c r="J59" s="55">
        <v>8.0</v>
      </c>
      <c r="K59" s="55" t="s">
        <v>165</v>
      </c>
      <c r="L59" s="55" t="s">
        <v>165</v>
      </c>
      <c r="M59" s="55" t="s">
        <v>165</v>
      </c>
      <c r="N59" s="55" t="s">
        <v>165</v>
      </c>
      <c r="O59" s="55" t="s">
        <v>165</v>
      </c>
      <c r="P59" s="55" t="s">
        <v>165</v>
      </c>
      <c r="Q59" s="55"/>
      <c r="R59" s="57">
        <v>8.0</v>
      </c>
      <c r="S59" s="55">
        <v>8.0</v>
      </c>
      <c r="T59" s="57" t="s">
        <v>169</v>
      </c>
      <c r="U59" s="57" t="s">
        <v>169</v>
      </c>
      <c r="V59" s="55"/>
      <c r="W59" s="55"/>
      <c r="X59" s="55">
        <v>8.0</v>
      </c>
      <c r="Y59" s="55">
        <v>8.0</v>
      </c>
      <c r="Z59" s="55"/>
      <c r="AA59" s="55"/>
      <c r="AB59" s="57" t="s">
        <v>165</v>
      </c>
      <c r="AC59" s="55" t="s">
        <v>165</v>
      </c>
      <c r="AD59" s="55" t="s">
        <v>165</v>
      </c>
      <c r="AE59" s="55" t="s">
        <v>165</v>
      </c>
      <c r="AF59" s="55"/>
      <c r="AG59" s="55"/>
      <c r="AH59" s="55" t="s">
        <v>165</v>
      </c>
      <c r="AI59" s="55"/>
      <c r="AJ59" s="55">
        <v>8.0</v>
      </c>
      <c r="AK59" s="57">
        <v>8.0</v>
      </c>
      <c r="AL59" s="57">
        <v>8.0</v>
      </c>
      <c r="AM59" s="57">
        <v>8.0</v>
      </c>
      <c r="AN59" s="57">
        <v>8.0</v>
      </c>
      <c r="AO59" s="55">
        <v>8.0</v>
      </c>
      <c r="AP59" s="55"/>
      <c r="AQ59" s="55"/>
      <c r="AR59" s="55"/>
      <c r="AS59" s="57">
        <v>8.0</v>
      </c>
      <c r="AT59" s="57">
        <v>8.0</v>
      </c>
      <c r="AU59" s="55"/>
      <c r="AV59" s="57">
        <v>8.0</v>
      </c>
      <c r="AW59" s="57" t="s">
        <v>165</v>
      </c>
      <c r="AX59" s="55"/>
      <c r="AY59" s="57" t="s">
        <v>165</v>
      </c>
      <c r="AZ59" s="57" t="s">
        <v>165</v>
      </c>
      <c r="BA59" s="57" t="s">
        <v>165</v>
      </c>
      <c r="BB59" s="57" t="s">
        <v>165</v>
      </c>
      <c r="BC59" s="57" t="s">
        <v>165</v>
      </c>
      <c r="BD59" s="55"/>
      <c r="BE59" s="57" t="s">
        <v>165</v>
      </c>
      <c r="BF59" s="55"/>
      <c r="BG59" s="55"/>
      <c r="BH59" s="55"/>
      <c r="BI59" s="55"/>
      <c r="BJ59" s="55"/>
    </row>
    <row r="60">
      <c r="A60" s="46">
        <f t="shared" si="3"/>
        <v>44309</v>
      </c>
      <c r="B60" s="15" t="str">
        <f>if(A60="","",Vlookup(weekday(A60,2),DATA!$O$14:$P$20,2))</f>
        <v>Friday</v>
      </c>
      <c r="C60" s="57"/>
      <c r="D60" s="55">
        <v>8.0</v>
      </c>
      <c r="E60" s="55">
        <v>8.0</v>
      </c>
      <c r="F60" s="55">
        <v>8.0</v>
      </c>
      <c r="G60" s="55">
        <v>8.0</v>
      </c>
      <c r="H60" s="55">
        <v>8.0</v>
      </c>
      <c r="I60" s="57" t="s">
        <v>173</v>
      </c>
      <c r="J60" s="55">
        <v>8.0</v>
      </c>
      <c r="K60" s="55" t="s">
        <v>165</v>
      </c>
      <c r="L60" s="55" t="s">
        <v>165</v>
      </c>
      <c r="M60" s="55" t="s">
        <v>165</v>
      </c>
      <c r="N60" s="55" t="s">
        <v>165</v>
      </c>
      <c r="O60" s="55" t="s">
        <v>165</v>
      </c>
      <c r="P60" s="55" t="s">
        <v>165</v>
      </c>
      <c r="Q60" s="55"/>
      <c r="R60" s="57">
        <v>8.0</v>
      </c>
      <c r="S60" s="55">
        <v>8.0</v>
      </c>
      <c r="T60" s="57" t="s">
        <v>169</v>
      </c>
      <c r="U60" s="57" t="s">
        <v>169</v>
      </c>
      <c r="V60" s="55"/>
      <c r="W60" s="55"/>
      <c r="X60" s="55">
        <v>8.0</v>
      </c>
      <c r="Y60" s="55">
        <v>8.0</v>
      </c>
      <c r="Z60" s="55"/>
      <c r="AA60" s="55"/>
      <c r="AB60" s="57" t="s">
        <v>165</v>
      </c>
      <c r="AC60" s="55" t="s">
        <v>165</v>
      </c>
      <c r="AD60" s="55" t="s">
        <v>165</v>
      </c>
      <c r="AE60" s="55" t="s">
        <v>165</v>
      </c>
      <c r="AF60" s="55"/>
      <c r="AG60" s="55"/>
      <c r="AH60" s="55" t="s">
        <v>165</v>
      </c>
      <c r="AI60" s="55"/>
      <c r="AJ60" s="55">
        <v>8.0</v>
      </c>
      <c r="AK60" s="57">
        <v>8.0</v>
      </c>
      <c r="AL60" s="57">
        <v>8.0</v>
      </c>
      <c r="AM60" s="57">
        <v>8.0</v>
      </c>
      <c r="AN60" s="57">
        <v>8.0</v>
      </c>
      <c r="AO60" s="55">
        <v>8.0</v>
      </c>
      <c r="AP60" s="55"/>
      <c r="AQ60" s="55"/>
      <c r="AR60" s="55"/>
      <c r="AS60" s="57">
        <v>8.0</v>
      </c>
      <c r="AT60" s="57">
        <v>8.0</v>
      </c>
      <c r="AU60" s="55"/>
      <c r="AV60" s="57">
        <v>8.0</v>
      </c>
      <c r="AW60" s="57" t="s">
        <v>165</v>
      </c>
      <c r="AX60" s="55"/>
      <c r="AY60" s="57" t="s">
        <v>165</v>
      </c>
      <c r="AZ60" s="57" t="s">
        <v>165</v>
      </c>
      <c r="BA60" s="57" t="s">
        <v>165</v>
      </c>
      <c r="BB60" s="57" t="s">
        <v>165</v>
      </c>
      <c r="BC60" s="57" t="s">
        <v>165</v>
      </c>
      <c r="BD60" s="55"/>
      <c r="BE60" s="57" t="s">
        <v>165</v>
      </c>
      <c r="BF60" s="55"/>
      <c r="BG60" s="55"/>
      <c r="BH60" s="55"/>
      <c r="BI60" s="55"/>
      <c r="BJ60" s="55"/>
    </row>
    <row r="61">
      <c r="A61" s="46">
        <f t="shared" si="3"/>
        <v>44310</v>
      </c>
      <c r="B61" s="15" t="str">
        <f>if(A61="","",Vlookup(weekday(A61,2),DATA!$O$14:$P$20,2))</f>
        <v>Saturday</v>
      </c>
      <c r="C61" s="55"/>
      <c r="D61" s="55" t="s">
        <v>165</v>
      </c>
      <c r="E61" s="55" t="s">
        <v>165</v>
      </c>
      <c r="F61" s="55" t="s">
        <v>165</v>
      </c>
      <c r="G61" s="55" t="s">
        <v>165</v>
      </c>
      <c r="H61" s="55" t="s">
        <v>165</v>
      </c>
      <c r="I61" s="57">
        <v>8.0</v>
      </c>
      <c r="J61" s="55" t="s">
        <v>165</v>
      </c>
      <c r="K61" s="55"/>
      <c r="L61" s="55">
        <v>8.0</v>
      </c>
      <c r="M61" s="55">
        <v>8.0</v>
      </c>
      <c r="N61" s="55" t="s">
        <v>165</v>
      </c>
      <c r="O61" s="57" t="s">
        <v>169</v>
      </c>
      <c r="P61" s="55">
        <v>8.0</v>
      </c>
      <c r="Q61" s="55"/>
      <c r="R61" s="57" t="s">
        <v>165</v>
      </c>
      <c r="S61" s="55" t="s">
        <v>165</v>
      </c>
      <c r="T61" s="55" t="s">
        <v>165</v>
      </c>
      <c r="U61" s="55" t="s">
        <v>165</v>
      </c>
      <c r="V61" s="55"/>
      <c r="W61" s="55"/>
      <c r="X61" s="55" t="s">
        <v>165</v>
      </c>
      <c r="Y61" s="55" t="s">
        <v>165</v>
      </c>
      <c r="Z61" s="55"/>
      <c r="AA61" s="55"/>
      <c r="AB61" s="57">
        <v>8.0</v>
      </c>
      <c r="AC61" s="55" t="s">
        <v>165</v>
      </c>
      <c r="AD61" s="55">
        <v>8.0</v>
      </c>
      <c r="AE61" s="57" t="s">
        <v>170</v>
      </c>
      <c r="AF61" s="55"/>
      <c r="AG61" s="55"/>
      <c r="AH61" s="55">
        <v>8.0</v>
      </c>
      <c r="AI61" s="55"/>
      <c r="AJ61" s="57" t="s">
        <v>165</v>
      </c>
      <c r="AK61" s="57" t="s">
        <v>165</v>
      </c>
      <c r="AL61" s="57" t="s">
        <v>165</v>
      </c>
      <c r="AM61" s="57" t="s">
        <v>165</v>
      </c>
      <c r="AN61" s="57" t="s">
        <v>165</v>
      </c>
      <c r="AO61" s="57" t="s">
        <v>165</v>
      </c>
      <c r="AP61" s="55"/>
      <c r="AQ61" s="55"/>
      <c r="AR61" s="55"/>
      <c r="AS61" s="57" t="s">
        <v>165</v>
      </c>
      <c r="AT61" s="57" t="s">
        <v>165</v>
      </c>
      <c r="AU61" s="55"/>
      <c r="AV61" s="57" t="s">
        <v>165</v>
      </c>
      <c r="AW61" s="57">
        <v>8.0</v>
      </c>
      <c r="AX61" s="55"/>
      <c r="AY61" s="57">
        <v>8.0</v>
      </c>
      <c r="AZ61" s="57">
        <v>8.0</v>
      </c>
      <c r="BA61" s="57">
        <v>8.0</v>
      </c>
      <c r="BB61" s="57">
        <v>8.0</v>
      </c>
      <c r="BC61" s="57">
        <v>8.0</v>
      </c>
      <c r="BD61" s="55"/>
      <c r="BE61" s="57">
        <v>8.0</v>
      </c>
      <c r="BF61" s="55"/>
      <c r="BG61" s="55"/>
      <c r="BH61" s="55"/>
      <c r="BI61" s="55"/>
      <c r="BJ61" s="55"/>
    </row>
    <row r="62">
      <c r="A62" s="46">
        <f t="shared" si="3"/>
        <v>44311</v>
      </c>
      <c r="B62" s="15" t="str">
        <f>if(A62="","",Vlookup(weekday(A62,2),DATA!$O$14:$P$20,2))</f>
        <v>Sunday</v>
      </c>
      <c r="C62" s="55"/>
      <c r="D62" s="55" t="s">
        <v>165</v>
      </c>
      <c r="E62" s="55" t="s">
        <v>165</v>
      </c>
      <c r="F62" s="55" t="s">
        <v>165</v>
      </c>
      <c r="G62" s="55" t="s">
        <v>165</v>
      </c>
      <c r="H62" s="55" t="s">
        <v>165</v>
      </c>
      <c r="I62" s="55" t="s">
        <v>165</v>
      </c>
      <c r="J62" s="55" t="s">
        <v>165</v>
      </c>
      <c r="K62" s="55"/>
      <c r="L62" s="55">
        <v>8.0</v>
      </c>
      <c r="M62" s="55">
        <v>8.0</v>
      </c>
      <c r="N62" s="55" t="s">
        <v>165</v>
      </c>
      <c r="O62" s="57">
        <v>8.0</v>
      </c>
      <c r="P62" s="55">
        <v>8.0</v>
      </c>
      <c r="Q62" s="55"/>
      <c r="R62" s="57" t="s">
        <v>165</v>
      </c>
      <c r="S62" s="55" t="s">
        <v>165</v>
      </c>
      <c r="T62" s="55" t="s">
        <v>165</v>
      </c>
      <c r="U62" s="55" t="s">
        <v>165</v>
      </c>
      <c r="V62" s="55"/>
      <c r="W62" s="55"/>
      <c r="X62" s="55" t="s">
        <v>165</v>
      </c>
      <c r="Y62" s="55" t="s">
        <v>165</v>
      </c>
      <c r="Z62" s="55"/>
      <c r="AA62" s="55"/>
      <c r="AB62" s="57">
        <v>8.0</v>
      </c>
      <c r="AC62" s="55" t="s">
        <v>165</v>
      </c>
      <c r="AD62" s="55">
        <v>8.0</v>
      </c>
      <c r="AE62" s="57" t="s">
        <v>170</v>
      </c>
      <c r="AF62" s="55"/>
      <c r="AG62" s="55"/>
      <c r="AH62" s="55">
        <v>8.0</v>
      </c>
      <c r="AI62" s="55"/>
      <c r="AJ62" s="57" t="s">
        <v>165</v>
      </c>
      <c r="AK62" s="57" t="s">
        <v>165</v>
      </c>
      <c r="AL62" s="57" t="s">
        <v>165</v>
      </c>
      <c r="AM62" s="57" t="s">
        <v>165</v>
      </c>
      <c r="AN62" s="57" t="s">
        <v>165</v>
      </c>
      <c r="AO62" s="57" t="s">
        <v>165</v>
      </c>
      <c r="AP62" s="55"/>
      <c r="AQ62" s="55"/>
      <c r="AR62" s="55"/>
      <c r="AS62" s="57" t="s">
        <v>165</v>
      </c>
      <c r="AT62" s="57" t="s">
        <v>165</v>
      </c>
      <c r="AU62" s="55"/>
      <c r="AV62" s="57" t="s">
        <v>165</v>
      </c>
      <c r="AW62" s="57">
        <v>8.0</v>
      </c>
      <c r="AX62" s="55"/>
      <c r="AY62" s="57">
        <v>8.0</v>
      </c>
      <c r="AZ62" s="57">
        <v>8.0</v>
      </c>
      <c r="BA62" s="57">
        <v>8.0</v>
      </c>
      <c r="BB62" s="57">
        <v>8.0</v>
      </c>
      <c r="BC62" s="57">
        <v>8.0</v>
      </c>
      <c r="BD62" s="55"/>
      <c r="BE62" s="57">
        <v>8.0</v>
      </c>
      <c r="BF62" s="55"/>
      <c r="BG62" s="55"/>
      <c r="BH62" s="55"/>
      <c r="BI62" s="55"/>
      <c r="BJ62" s="55"/>
    </row>
    <row r="63">
      <c r="A63" s="46">
        <f t="shared" si="3"/>
        <v>44312</v>
      </c>
      <c r="B63" s="15" t="str">
        <f>if(A63="","",Vlookup(weekday(A63,2),DATA!$O$14:$P$20,2))</f>
        <v>Monday</v>
      </c>
      <c r="C63" s="55"/>
      <c r="D63" s="55">
        <v>8.0</v>
      </c>
      <c r="E63" s="55">
        <v>8.0</v>
      </c>
      <c r="F63" s="55">
        <v>8.0</v>
      </c>
      <c r="G63" s="55">
        <v>8.0</v>
      </c>
      <c r="H63" s="55">
        <v>8.0</v>
      </c>
      <c r="I63" s="55">
        <v>8.0</v>
      </c>
      <c r="J63" s="55">
        <v>8.0</v>
      </c>
      <c r="K63" s="55" t="s">
        <v>165</v>
      </c>
      <c r="L63" s="55" t="s">
        <v>165</v>
      </c>
      <c r="M63" s="55" t="s">
        <v>165</v>
      </c>
      <c r="N63" s="55">
        <v>8.0</v>
      </c>
      <c r="O63" s="55" t="s">
        <v>165</v>
      </c>
      <c r="P63" s="55" t="s">
        <v>165</v>
      </c>
      <c r="Q63" s="55"/>
      <c r="R63" s="57">
        <v>8.0</v>
      </c>
      <c r="S63" s="55">
        <v>8.0</v>
      </c>
      <c r="T63" s="57" t="s">
        <v>169</v>
      </c>
      <c r="U63" s="57" t="s">
        <v>169</v>
      </c>
      <c r="V63" s="55"/>
      <c r="W63" s="55"/>
      <c r="X63" s="57" t="s">
        <v>167</v>
      </c>
      <c r="Y63" s="55">
        <v>8.0</v>
      </c>
      <c r="Z63" s="55"/>
      <c r="AA63" s="55"/>
      <c r="AB63" s="57" t="s">
        <v>165</v>
      </c>
      <c r="AC63" s="55" t="s">
        <v>165</v>
      </c>
      <c r="AD63" s="55" t="s">
        <v>165</v>
      </c>
      <c r="AE63" s="55" t="s">
        <v>165</v>
      </c>
      <c r="AF63" s="55"/>
      <c r="AG63" s="55"/>
      <c r="AH63" s="55" t="s">
        <v>165</v>
      </c>
      <c r="AI63" s="57">
        <v>8.0</v>
      </c>
      <c r="AJ63" s="55">
        <v>8.0</v>
      </c>
      <c r="AK63" s="57">
        <v>8.0</v>
      </c>
      <c r="AL63" s="57">
        <v>8.0</v>
      </c>
      <c r="AM63" s="57">
        <v>8.0</v>
      </c>
      <c r="AN63" s="57">
        <v>8.0</v>
      </c>
      <c r="AO63" s="55">
        <v>8.0</v>
      </c>
      <c r="AP63" s="55"/>
      <c r="AQ63" s="57"/>
      <c r="AR63" s="57">
        <v>8.0</v>
      </c>
      <c r="AS63" s="57">
        <v>8.0</v>
      </c>
      <c r="AT63" s="57">
        <v>8.0</v>
      </c>
      <c r="AU63" s="55"/>
      <c r="AV63" s="57">
        <v>8.0</v>
      </c>
      <c r="AW63" s="57" t="s">
        <v>165</v>
      </c>
      <c r="AX63" s="57">
        <v>8.0</v>
      </c>
      <c r="AY63" s="57" t="s">
        <v>165</v>
      </c>
      <c r="AZ63" s="57" t="s">
        <v>165</v>
      </c>
      <c r="BA63" s="57" t="s">
        <v>165</v>
      </c>
      <c r="BB63" s="57" t="s">
        <v>165</v>
      </c>
      <c r="BC63" s="57" t="s">
        <v>165</v>
      </c>
      <c r="BD63" s="57">
        <v>8.0</v>
      </c>
      <c r="BE63" s="57" t="s">
        <v>165</v>
      </c>
      <c r="BF63" s="57">
        <v>8.0</v>
      </c>
      <c r="BG63" s="57">
        <v>8.0</v>
      </c>
      <c r="BH63" s="57"/>
      <c r="BI63" s="57"/>
      <c r="BJ63" s="57"/>
    </row>
    <row r="64">
      <c r="A64" s="46">
        <f t="shared" si="3"/>
        <v>44313</v>
      </c>
      <c r="B64" s="15" t="str">
        <f>if(A64="","",Vlookup(weekday(A64,2),DATA!$O$14:$P$20,2))</f>
        <v>Tuesday</v>
      </c>
      <c r="C64" s="55"/>
      <c r="D64" s="55">
        <v>8.0</v>
      </c>
      <c r="E64" s="55">
        <v>8.0</v>
      </c>
      <c r="F64" s="55">
        <v>8.0</v>
      </c>
      <c r="G64" s="55">
        <v>8.0</v>
      </c>
      <c r="H64" s="55">
        <v>8.0</v>
      </c>
      <c r="I64" s="55">
        <v>8.0</v>
      </c>
      <c r="J64" s="55">
        <v>8.0</v>
      </c>
      <c r="K64" s="55" t="s">
        <v>165</v>
      </c>
      <c r="L64" s="55" t="s">
        <v>165</v>
      </c>
      <c r="M64" s="55" t="s">
        <v>165</v>
      </c>
      <c r="N64" s="55">
        <v>8.0</v>
      </c>
      <c r="O64" s="55" t="s">
        <v>165</v>
      </c>
      <c r="P64" s="55" t="s">
        <v>165</v>
      </c>
      <c r="Q64" s="55"/>
      <c r="R64" s="57">
        <v>8.0</v>
      </c>
      <c r="S64" s="55">
        <v>8.0</v>
      </c>
      <c r="T64" s="57" t="s">
        <v>169</v>
      </c>
      <c r="U64" s="57" t="s">
        <v>169</v>
      </c>
      <c r="V64" s="55"/>
      <c r="W64" s="55"/>
      <c r="X64" s="57" t="s">
        <v>167</v>
      </c>
      <c r="Y64" s="55">
        <v>8.0</v>
      </c>
      <c r="Z64" s="55"/>
      <c r="AA64" s="55"/>
      <c r="AB64" s="57" t="s">
        <v>165</v>
      </c>
      <c r="AC64" s="55" t="s">
        <v>165</v>
      </c>
      <c r="AD64" s="55" t="s">
        <v>165</v>
      </c>
      <c r="AE64" s="55" t="s">
        <v>165</v>
      </c>
      <c r="AF64" s="55"/>
      <c r="AG64" s="55"/>
      <c r="AH64" s="55" t="s">
        <v>165</v>
      </c>
      <c r="AI64" s="57">
        <v>8.0</v>
      </c>
      <c r="AJ64" s="55">
        <v>8.0</v>
      </c>
      <c r="AK64" s="57">
        <v>8.0</v>
      </c>
      <c r="AL64" s="57">
        <v>8.0</v>
      </c>
      <c r="AM64" s="57">
        <v>8.0</v>
      </c>
      <c r="AN64" s="57">
        <v>8.0</v>
      </c>
      <c r="AO64" s="55">
        <v>8.0</v>
      </c>
      <c r="AP64" s="57">
        <v>8.0</v>
      </c>
      <c r="AQ64" s="57">
        <v>8.0</v>
      </c>
      <c r="AR64" s="57">
        <v>8.0</v>
      </c>
      <c r="AS64" s="57">
        <v>8.0</v>
      </c>
      <c r="AT64" s="57">
        <v>8.0</v>
      </c>
      <c r="AU64" s="57">
        <v>8.0</v>
      </c>
      <c r="AV64" s="57">
        <v>8.0</v>
      </c>
      <c r="AW64" s="57" t="s">
        <v>165</v>
      </c>
      <c r="AX64" s="57">
        <v>8.0</v>
      </c>
      <c r="AY64" s="57" t="s">
        <v>165</v>
      </c>
      <c r="AZ64" s="57" t="s">
        <v>165</v>
      </c>
      <c r="BA64" s="57" t="s">
        <v>165</v>
      </c>
      <c r="BB64" s="57" t="s">
        <v>165</v>
      </c>
      <c r="BC64" s="57" t="s">
        <v>165</v>
      </c>
      <c r="BD64" s="57">
        <v>8.0</v>
      </c>
      <c r="BE64" s="57" t="s">
        <v>165</v>
      </c>
      <c r="BF64" s="57">
        <v>8.0</v>
      </c>
      <c r="BG64" s="57">
        <v>8.0</v>
      </c>
      <c r="BH64" s="57">
        <v>8.0</v>
      </c>
      <c r="BI64" s="57">
        <v>8.0</v>
      </c>
      <c r="BJ64" s="57"/>
    </row>
    <row r="65">
      <c r="A65" s="46">
        <f t="shared" si="3"/>
        <v>44314</v>
      </c>
      <c r="B65" s="15" t="str">
        <f>if(A65="","",Vlookup(weekday(A65,2),DATA!$O$14:$P$20,2))</f>
        <v>Wednesday</v>
      </c>
      <c r="C65" s="57"/>
      <c r="D65" s="55">
        <v>8.0</v>
      </c>
      <c r="E65" s="55">
        <v>8.0</v>
      </c>
      <c r="F65" s="60">
        <v>0.22916666666666666</v>
      </c>
      <c r="G65" s="55">
        <v>8.0</v>
      </c>
      <c r="H65" s="55">
        <v>8.0</v>
      </c>
      <c r="I65" s="55">
        <v>8.0</v>
      </c>
      <c r="J65" s="55">
        <v>8.0</v>
      </c>
      <c r="K65" s="55" t="s">
        <v>165</v>
      </c>
      <c r="L65" s="55" t="s">
        <v>165</v>
      </c>
      <c r="M65" s="55" t="s">
        <v>165</v>
      </c>
      <c r="N65" s="55" t="s">
        <v>165</v>
      </c>
      <c r="O65" s="57">
        <v>8.0</v>
      </c>
      <c r="P65" s="55" t="s">
        <v>165</v>
      </c>
      <c r="Q65" s="55"/>
      <c r="R65" s="57">
        <v>8.0</v>
      </c>
      <c r="S65" s="55">
        <v>8.0</v>
      </c>
      <c r="T65" s="57" t="s">
        <v>169</v>
      </c>
      <c r="U65" s="57" t="s">
        <v>169</v>
      </c>
      <c r="V65" s="55"/>
      <c r="W65" s="55"/>
      <c r="X65" s="57" t="s">
        <v>167</v>
      </c>
      <c r="Y65" s="55">
        <v>8.0</v>
      </c>
      <c r="Z65" s="55"/>
      <c r="AA65" s="55"/>
      <c r="AB65" s="57" t="s">
        <v>165</v>
      </c>
      <c r="AC65" s="55" t="s">
        <v>165</v>
      </c>
      <c r="AD65" s="55" t="s">
        <v>165</v>
      </c>
      <c r="AE65" s="55" t="s">
        <v>165</v>
      </c>
      <c r="AF65" s="55"/>
      <c r="AG65" s="55"/>
      <c r="AH65" s="55" t="s">
        <v>165</v>
      </c>
      <c r="AI65" s="57">
        <v>8.0</v>
      </c>
      <c r="AJ65" s="55">
        <v>8.0</v>
      </c>
      <c r="AK65" s="57">
        <v>8.0</v>
      </c>
      <c r="AL65" s="57">
        <v>8.0</v>
      </c>
      <c r="AM65" s="57">
        <v>8.0</v>
      </c>
      <c r="AN65" s="57">
        <v>8.0</v>
      </c>
      <c r="AO65" s="55">
        <v>8.0</v>
      </c>
      <c r="AP65" s="57">
        <v>8.0</v>
      </c>
      <c r="AQ65" s="57">
        <v>8.0</v>
      </c>
      <c r="AR65" s="57">
        <v>8.0</v>
      </c>
      <c r="AS65" s="57">
        <v>8.0</v>
      </c>
      <c r="AT65" s="57">
        <v>8.0</v>
      </c>
      <c r="AU65" s="57">
        <v>8.0</v>
      </c>
      <c r="AV65" s="57">
        <v>8.0</v>
      </c>
      <c r="AW65" s="57" t="s">
        <v>165</v>
      </c>
      <c r="AX65" s="57">
        <v>8.0</v>
      </c>
      <c r="AY65" s="57" t="s">
        <v>165</v>
      </c>
      <c r="AZ65" s="57" t="s">
        <v>165</v>
      </c>
      <c r="BA65" s="57" t="s">
        <v>165</v>
      </c>
      <c r="BB65" s="57" t="s">
        <v>165</v>
      </c>
      <c r="BC65" s="57" t="s">
        <v>165</v>
      </c>
      <c r="BD65" s="57">
        <v>8.0</v>
      </c>
      <c r="BE65" s="57" t="s">
        <v>165</v>
      </c>
      <c r="BF65" s="57">
        <v>8.0</v>
      </c>
      <c r="BG65" s="57">
        <v>8.0</v>
      </c>
      <c r="BH65" s="57">
        <v>8.0</v>
      </c>
      <c r="BI65" s="57" t="s">
        <v>165</v>
      </c>
      <c r="BJ65" s="57"/>
    </row>
    <row r="66">
      <c r="A66" s="46">
        <f t="shared" si="3"/>
        <v>44315</v>
      </c>
      <c r="B66" s="15" t="str">
        <f>if(A66="","",Vlookup(weekday(A66,2),DATA!$O$14:$P$20,2))</f>
        <v>Thursday</v>
      </c>
      <c r="C66" s="57"/>
      <c r="D66" s="55">
        <v>8.0</v>
      </c>
      <c r="E66" s="55">
        <v>8.0</v>
      </c>
      <c r="F66" s="55">
        <v>8.0</v>
      </c>
      <c r="G66" s="55">
        <v>8.0</v>
      </c>
      <c r="H66" s="55">
        <v>8.0</v>
      </c>
      <c r="I66" s="55">
        <v>8.0</v>
      </c>
      <c r="J66" s="55">
        <v>8.0</v>
      </c>
      <c r="K66" s="55" t="s">
        <v>165</v>
      </c>
      <c r="L66" s="55" t="s">
        <v>165</v>
      </c>
      <c r="M66" s="55" t="s">
        <v>165</v>
      </c>
      <c r="N66" s="55" t="s">
        <v>165</v>
      </c>
      <c r="O66" s="57">
        <v>8.0</v>
      </c>
      <c r="P66" s="55" t="s">
        <v>165</v>
      </c>
      <c r="Q66" s="55"/>
      <c r="R66" s="57">
        <v>8.0</v>
      </c>
      <c r="S66" s="55">
        <v>8.0</v>
      </c>
      <c r="T66" s="57" t="s">
        <v>169</v>
      </c>
      <c r="U66" s="57" t="s">
        <v>169</v>
      </c>
      <c r="V66" s="55"/>
      <c r="W66" s="55"/>
      <c r="X66" s="57" t="s">
        <v>167</v>
      </c>
      <c r="Y66" s="55">
        <v>8.0</v>
      </c>
      <c r="Z66" s="55"/>
      <c r="AA66" s="55"/>
      <c r="AB66" s="57" t="s">
        <v>165</v>
      </c>
      <c r="AC66" s="55" t="s">
        <v>165</v>
      </c>
      <c r="AD66" s="55" t="s">
        <v>165</v>
      </c>
      <c r="AE66" s="55" t="s">
        <v>165</v>
      </c>
      <c r="AF66" s="55"/>
      <c r="AG66" s="55"/>
      <c r="AH66" s="55" t="s">
        <v>165</v>
      </c>
      <c r="AI66" s="57">
        <v>8.0</v>
      </c>
      <c r="AJ66" s="55">
        <v>8.0</v>
      </c>
      <c r="AK66" s="57">
        <v>8.0</v>
      </c>
      <c r="AL66" s="57">
        <v>8.0</v>
      </c>
      <c r="AM66" s="57">
        <v>8.0</v>
      </c>
      <c r="AN66" s="57">
        <v>8.0</v>
      </c>
      <c r="AO66" s="55">
        <v>8.0</v>
      </c>
      <c r="AP66" s="57">
        <v>5.0</v>
      </c>
      <c r="AQ66" s="57">
        <v>8.0</v>
      </c>
      <c r="AR66" s="57">
        <v>8.0</v>
      </c>
      <c r="AS66" s="57">
        <v>8.0</v>
      </c>
      <c r="AT66" s="57">
        <v>8.0</v>
      </c>
      <c r="AU66" s="57" t="s">
        <v>170</v>
      </c>
      <c r="AV66" s="57">
        <v>8.0</v>
      </c>
      <c r="AW66" s="57" t="s">
        <v>165</v>
      </c>
      <c r="AX66" s="57">
        <v>8.0</v>
      </c>
      <c r="AY66" s="57" t="s">
        <v>165</v>
      </c>
      <c r="AZ66" s="57" t="s">
        <v>165</v>
      </c>
      <c r="BA66" s="57">
        <v>8.0</v>
      </c>
      <c r="BB66" s="57" t="s">
        <v>165</v>
      </c>
      <c r="BC66" s="57" t="s">
        <v>165</v>
      </c>
      <c r="BD66" s="57">
        <v>8.0</v>
      </c>
      <c r="BE66" s="57" t="s">
        <v>165</v>
      </c>
      <c r="BF66" s="57">
        <v>8.0</v>
      </c>
      <c r="BG66" s="57">
        <v>8.0</v>
      </c>
      <c r="BH66" s="57">
        <v>8.0</v>
      </c>
      <c r="BI66" s="57" t="s">
        <v>165</v>
      </c>
      <c r="BJ66" s="57"/>
    </row>
    <row r="67">
      <c r="A67" s="46">
        <f t="shared" si="3"/>
        <v>44316</v>
      </c>
      <c r="B67" s="15" t="str">
        <f>if(A67="","",Vlookup(weekday(A67,2),DATA!$O$14:$P$20,2))</f>
        <v>Friday</v>
      </c>
      <c r="C67" s="57"/>
      <c r="D67" s="55">
        <v>8.0</v>
      </c>
      <c r="E67" s="55">
        <v>8.0</v>
      </c>
      <c r="F67" s="55">
        <v>8.0</v>
      </c>
      <c r="G67" s="55">
        <v>8.0</v>
      </c>
      <c r="H67" s="55">
        <v>8.0</v>
      </c>
      <c r="I67" s="55">
        <v>8.0</v>
      </c>
      <c r="J67" s="55">
        <v>8.0</v>
      </c>
      <c r="K67" s="55" t="s">
        <v>165</v>
      </c>
      <c r="L67" s="55" t="s">
        <v>165</v>
      </c>
      <c r="M67" s="55" t="s">
        <v>165</v>
      </c>
      <c r="N67" s="55" t="s">
        <v>165</v>
      </c>
      <c r="O67" s="57">
        <v>8.0</v>
      </c>
      <c r="P67" s="55" t="s">
        <v>165</v>
      </c>
      <c r="Q67" s="55"/>
      <c r="R67" s="57">
        <v>8.0</v>
      </c>
      <c r="S67" s="55">
        <v>8.0</v>
      </c>
      <c r="T67" s="57" t="s">
        <v>169</v>
      </c>
      <c r="U67" s="55">
        <v>8.0</v>
      </c>
      <c r="V67" s="55"/>
      <c r="W67" s="55"/>
      <c r="X67" s="57" t="s">
        <v>167</v>
      </c>
      <c r="Y67" s="55">
        <v>8.0</v>
      </c>
      <c r="Z67" s="55"/>
      <c r="AA67" s="55"/>
      <c r="AB67" s="57" t="s">
        <v>165</v>
      </c>
      <c r="AC67" s="55" t="s">
        <v>165</v>
      </c>
      <c r="AD67" s="55" t="s">
        <v>165</v>
      </c>
      <c r="AE67" s="55" t="s">
        <v>165</v>
      </c>
      <c r="AF67" s="55"/>
      <c r="AG67" s="55"/>
      <c r="AH67" s="55" t="s">
        <v>165</v>
      </c>
      <c r="AI67" s="57">
        <v>8.0</v>
      </c>
      <c r="AJ67" s="55">
        <v>8.0</v>
      </c>
      <c r="AK67" s="57">
        <v>8.0</v>
      </c>
      <c r="AL67" s="57">
        <v>8.0</v>
      </c>
      <c r="AM67" s="57">
        <v>8.0</v>
      </c>
      <c r="AN67" s="57">
        <v>8.0</v>
      </c>
      <c r="AO67" s="55">
        <v>8.0</v>
      </c>
      <c r="AP67" s="57">
        <v>9.0</v>
      </c>
      <c r="AQ67" s="57">
        <v>8.0</v>
      </c>
      <c r="AR67" s="57" t="s">
        <v>170</v>
      </c>
      <c r="AS67" s="57">
        <v>8.0</v>
      </c>
      <c r="AT67" s="57">
        <v>8.0</v>
      </c>
      <c r="AU67" s="57" t="s">
        <v>170</v>
      </c>
      <c r="AV67" s="57">
        <v>8.0</v>
      </c>
      <c r="AW67" s="57" t="s">
        <v>165</v>
      </c>
      <c r="AX67" s="57">
        <v>8.0</v>
      </c>
      <c r="AY67" s="57" t="s">
        <v>165</v>
      </c>
      <c r="AZ67" s="57" t="s">
        <v>165</v>
      </c>
      <c r="BA67" s="57">
        <v>8.0</v>
      </c>
      <c r="BB67" s="57" t="s">
        <v>165</v>
      </c>
      <c r="BC67" s="57" t="s">
        <v>165</v>
      </c>
      <c r="BD67" s="57">
        <v>8.0</v>
      </c>
      <c r="BE67" s="57" t="s">
        <v>165</v>
      </c>
      <c r="BF67" s="57">
        <v>8.0</v>
      </c>
      <c r="BG67" s="57">
        <v>8.0</v>
      </c>
      <c r="BH67" s="57" t="s">
        <v>165</v>
      </c>
      <c r="BI67" s="57" t="s">
        <v>165</v>
      </c>
      <c r="BJ67" s="57"/>
    </row>
    <row r="68">
      <c r="A68" s="46"/>
      <c r="B68" s="15"/>
      <c r="C68" s="15"/>
      <c r="D68" s="15">
        <f>IFERROR(__xludf.DUMMYFUNCTION("sum(COUNTIF(FILTER(FILTER(Shiftplan!C$7:BJ$67,Shiftplan!$A$7:$A$67&lt;=A67),Shiftplan!$C$6:$BJ$6=D6),""&gt;0""))"),45.0)</f>
        <v>45</v>
      </c>
      <c r="E68" s="16" t="s">
        <v>174</v>
      </c>
      <c r="F68" s="61" t="s">
        <v>175</v>
      </c>
      <c r="G68" s="15"/>
      <c r="H68" s="61" t="s">
        <v>175</v>
      </c>
      <c r="I68" s="15"/>
      <c r="J68" s="15"/>
      <c r="K68" s="15"/>
      <c r="L68" s="15"/>
      <c r="M68" s="15"/>
      <c r="N68" s="15"/>
      <c r="O68" s="16"/>
      <c r="P68" s="15"/>
      <c r="Q68" s="15"/>
      <c r="R68" s="16"/>
      <c r="S68" s="62" t="s">
        <v>175</v>
      </c>
      <c r="T68" s="63"/>
      <c r="U68" s="15"/>
      <c r="V68" s="15"/>
      <c r="W68" s="15"/>
      <c r="X68" s="15"/>
      <c r="Y68" s="15"/>
      <c r="Z68" s="15"/>
      <c r="AA68" s="15"/>
      <c r="AB68" s="16"/>
      <c r="AC68" s="15"/>
      <c r="AD68" s="15"/>
      <c r="AE68" s="15"/>
      <c r="AF68" s="15"/>
      <c r="AG68" s="15"/>
      <c r="AH68" s="15"/>
      <c r="AI68" s="15"/>
      <c r="AJ68" s="15"/>
      <c r="AK68" s="15"/>
      <c r="AL68" s="15"/>
      <c r="AM68" s="15"/>
      <c r="AN68" s="15"/>
      <c r="AO68" s="64"/>
      <c r="AP68" s="15"/>
      <c r="AQ68" s="15"/>
      <c r="AR68" s="15"/>
      <c r="AS68" s="16"/>
      <c r="AT68" s="15"/>
      <c r="AU68" s="15"/>
      <c r="AV68" s="16"/>
      <c r="AW68" s="15"/>
      <c r="AX68" s="15"/>
      <c r="AY68" s="16"/>
      <c r="AZ68" s="65"/>
      <c r="BA68" s="15"/>
      <c r="BB68" s="15"/>
      <c r="BC68" s="16"/>
      <c r="BD68" s="15"/>
      <c r="BE68" s="15"/>
      <c r="BF68" s="15"/>
      <c r="BG68" s="15"/>
      <c r="BH68" s="15"/>
      <c r="BI68" s="15"/>
      <c r="BJ68" s="15"/>
    </row>
    <row r="69">
      <c r="A69" s="46"/>
      <c r="B69" s="15"/>
      <c r="C69" s="15"/>
      <c r="D69" s="15"/>
      <c r="E69" s="15"/>
      <c r="F69" s="15"/>
      <c r="G69" s="15"/>
      <c r="H69" s="15"/>
      <c r="I69" s="15"/>
      <c r="J69" s="15"/>
      <c r="K69" s="15"/>
      <c r="L69" s="15"/>
      <c r="M69" s="15"/>
      <c r="N69" s="15"/>
      <c r="O69" s="15"/>
      <c r="P69" s="15"/>
      <c r="Q69" s="15"/>
      <c r="R69" s="16"/>
      <c r="S69" s="15"/>
      <c r="T69" s="15"/>
      <c r="U69" s="15"/>
      <c r="V69" s="15"/>
      <c r="W69" s="15"/>
      <c r="X69" s="15"/>
      <c r="Y69" s="15"/>
      <c r="Z69" s="15"/>
      <c r="AA69" s="15"/>
      <c r="AB69" s="16"/>
      <c r="AC69" s="15"/>
      <c r="AD69" s="15"/>
      <c r="AE69" s="15"/>
      <c r="AF69" s="15"/>
      <c r="AG69" s="15"/>
      <c r="AH69" s="15"/>
      <c r="AI69" s="15"/>
      <c r="AJ69" s="15"/>
      <c r="AK69" s="15"/>
      <c r="AL69" s="15"/>
      <c r="AM69" s="15"/>
      <c r="AN69" s="15"/>
      <c r="AO69" s="64"/>
      <c r="AP69" s="15"/>
      <c r="AQ69" s="15"/>
      <c r="AR69" s="15"/>
      <c r="AS69" s="16"/>
      <c r="AT69" s="15"/>
      <c r="AU69" s="15"/>
      <c r="AV69" s="16"/>
      <c r="AW69" s="15"/>
      <c r="AX69" s="15"/>
      <c r="AY69" s="16"/>
      <c r="AZ69" s="65"/>
      <c r="BA69" s="15"/>
      <c r="BB69" s="15"/>
      <c r="BC69" s="16"/>
      <c r="BD69" s="15"/>
      <c r="BE69" s="15"/>
      <c r="BF69" s="15"/>
      <c r="BG69" s="15"/>
      <c r="BH69" s="15"/>
      <c r="BI69" s="15"/>
      <c r="BJ69" s="15"/>
    </row>
    <row r="70">
      <c r="A70" s="46"/>
      <c r="B70" s="15"/>
      <c r="C70" s="15"/>
      <c r="D70" s="15"/>
      <c r="E70" s="15"/>
      <c r="F70" s="15"/>
      <c r="G70" s="15"/>
      <c r="H70" s="15"/>
      <c r="I70" s="15"/>
      <c r="J70" s="15"/>
      <c r="K70" s="15"/>
      <c r="L70" s="15"/>
      <c r="M70" s="15"/>
      <c r="N70" s="15"/>
      <c r="O70" s="15"/>
      <c r="P70" s="15"/>
      <c r="Q70" s="15"/>
      <c r="R70" s="16"/>
      <c r="S70" s="15"/>
      <c r="T70" s="15"/>
      <c r="U70" s="15"/>
      <c r="V70" s="15"/>
      <c r="W70" s="15"/>
      <c r="X70" s="15"/>
      <c r="Y70" s="15"/>
      <c r="Z70" s="15"/>
      <c r="AA70" s="15"/>
      <c r="AB70" s="15"/>
      <c r="AC70" s="15"/>
      <c r="AD70" s="15"/>
      <c r="AE70" s="15"/>
      <c r="AF70" s="15"/>
      <c r="AG70" s="15"/>
      <c r="AH70" s="15"/>
      <c r="AI70" s="15"/>
      <c r="AJ70" s="15"/>
      <c r="AK70" s="15"/>
      <c r="AL70" s="15"/>
      <c r="AM70" s="15"/>
      <c r="AN70" s="15"/>
      <c r="AO70" s="15"/>
      <c r="AP70" s="15"/>
      <c r="AQ70" s="15"/>
      <c r="AR70" s="15"/>
      <c r="AS70" s="16"/>
      <c r="AT70" s="15"/>
      <c r="AU70" s="15"/>
      <c r="AV70" s="16"/>
      <c r="AW70" s="15"/>
      <c r="AX70" s="15"/>
      <c r="AY70" s="16"/>
      <c r="AZ70" s="17"/>
      <c r="BA70" s="15"/>
      <c r="BB70" s="15"/>
      <c r="BC70" s="15"/>
      <c r="BD70" s="15"/>
      <c r="BE70" s="15"/>
      <c r="BF70" s="15"/>
      <c r="BG70" s="15"/>
      <c r="BH70" s="15"/>
      <c r="BI70" s="15"/>
      <c r="BJ70" s="15"/>
    </row>
  </sheetData>
  <autoFilter ref="$A$6:$AI$50"/>
  <customSheetViews>
    <customSheetView guid="{43D71FAF-BDB2-40F3-B2C5-BAA41EF6C06F}" filter="1" showAutoFilter="1">
      <autoFilter ref="$K$12:$K$13"/>
    </customSheetView>
    <customSheetView guid="{E505A9E2-A2E4-4BBF-BC36-354BCBF0F395}" filter="1" showAutoFilter="1">
      <autoFilter ref="$A$1:$BE$70"/>
    </customSheetView>
    <customSheetView guid="{4D3C7CA0-ACCC-4F50-A3C6-515B47606797}" filter="1" showAutoFilter="1">
      <autoFilter ref="$A$1:$BE$50"/>
    </customSheetView>
  </customSheetViews>
  <dataValidations>
    <dataValidation type="list" allowBlank="1" sqref="A1">
      <formula1>DATA!$A$1:$A$12</formula1>
    </dataValidation>
  </dataValidation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5" max="15" width="11.71"/>
    <col customWidth="1" min="16" max="16" width="16.29"/>
    <col customWidth="1" min="17" max="17" width="15.0"/>
    <col customWidth="1" min="18" max="18" width="7.71"/>
    <col customWidth="1" min="19" max="19" width="5.57"/>
    <col customWidth="1" min="20" max="20" width="2.14"/>
    <col customWidth="1" min="21" max="22" width="3.29"/>
    <col customWidth="1" min="23" max="23" width="15.0"/>
    <col customWidth="1" min="24" max="24" width="8.29"/>
    <col customWidth="1" min="25" max="25" width="7.86"/>
    <col customWidth="1" min="26" max="26" width="4.43"/>
    <col customWidth="1" min="27" max="27" width="8.29"/>
    <col customWidth="1" min="28" max="28" width="2.14"/>
    <col customWidth="1" min="29" max="29" width="3.29"/>
    <col customWidth="1" min="30" max="30" width="12.29"/>
    <col customWidth="1" min="31" max="32" width="6.43"/>
    <col customWidth="1" min="33" max="33" width="5.14"/>
    <col customWidth="1" min="34" max="34" width="9.71"/>
    <col customWidth="1" min="35" max="35" width="11.0"/>
    <col customWidth="1" min="36" max="36" width="12.71"/>
    <col customWidth="1" min="37" max="56" width="11.0"/>
  </cols>
  <sheetData>
    <row r="1">
      <c r="A1" s="1" t="s">
        <v>176</v>
      </c>
      <c r="O1" s="66"/>
      <c r="P1" s="66"/>
      <c r="Q1" s="66"/>
      <c r="R1" s="67"/>
      <c r="S1" s="68"/>
      <c r="W1" s="66"/>
      <c r="X1" s="66"/>
      <c r="Y1" s="66"/>
      <c r="Z1" s="66"/>
      <c r="AA1" s="69"/>
      <c r="AD1" s="66"/>
      <c r="AE1" s="66"/>
      <c r="AF1" s="66"/>
      <c r="AG1" s="66"/>
      <c r="AH1" s="66"/>
      <c r="AI1" s="66"/>
      <c r="AJ1" s="69"/>
    </row>
    <row r="2">
      <c r="O2" s="66"/>
      <c r="P2" s="66"/>
      <c r="Q2" s="66"/>
      <c r="R2" s="67"/>
      <c r="S2" s="68"/>
      <c r="W2" s="66"/>
      <c r="X2" s="66"/>
      <c r="Y2" s="66"/>
      <c r="Z2" s="66"/>
      <c r="AA2" s="69"/>
      <c r="AD2" s="66"/>
      <c r="AE2" s="66"/>
      <c r="AF2" s="66"/>
      <c r="AG2" s="66"/>
      <c r="AH2" s="66"/>
      <c r="AI2" s="66"/>
      <c r="AJ2" s="69"/>
    </row>
    <row r="3">
      <c r="A3" s="1" t="s">
        <v>177</v>
      </c>
      <c r="O3" s="66"/>
      <c r="P3" s="66"/>
      <c r="Q3" s="66"/>
      <c r="R3" s="67"/>
      <c r="S3" s="68"/>
      <c r="W3" s="66"/>
      <c r="X3" s="66"/>
      <c r="Y3" s="66"/>
      <c r="Z3" s="66"/>
      <c r="AA3" s="69"/>
      <c r="AD3" s="66"/>
      <c r="AE3" s="66"/>
      <c r="AF3" s="66"/>
      <c r="AG3" s="66"/>
      <c r="AH3" s="66"/>
      <c r="AI3" s="66"/>
      <c r="AJ3" s="69"/>
    </row>
    <row r="4">
      <c r="A4" s="1" t="s">
        <v>178</v>
      </c>
      <c r="O4" s="66"/>
      <c r="P4" s="66"/>
      <c r="Q4" s="66"/>
      <c r="R4" s="67"/>
      <c r="S4" s="68"/>
      <c r="W4" s="70" t="s">
        <v>179</v>
      </c>
      <c r="AD4" s="66"/>
      <c r="AE4" s="66"/>
      <c r="AF4" s="66"/>
      <c r="AG4" s="66"/>
      <c r="AH4" s="66"/>
      <c r="AI4" s="66"/>
      <c r="AJ4" s="69"/>
    </row>
    <row r="5">
      <c r="A5" s="71" t="s">
        <v>180</v>
      </c>
      <c r="R5" s="74" t="s">
        <v>183</v>
      </c>
      <c r="S5" s="75" t="s">
        <v>184</v>
      </c>
      <c r="Z5" s="68"/>
      <c r="AA5" s="77"/>
      <c r="AJ5" s="69"/>
    </row>
    <row r="6">
      <c r="A6" s="1" t="s">
        <v>188</v>
      </c>
      <c r="R6" s="80" t="s">
        <v>190</v>
      </c>
      <c r="S6" s="81">
        <f>sum(P6:P7)</f>
        <v>29</v>
      </c>
      <c r="Z6" s="68"/>
      <c r="AA6" s="77"/>
      <c r="AJ6" s="70" t="s">
        <v>194</v>
      </c>
    </row>
    <row r="7">
      <c r="A7" s="1" t="s">
        <v>195</v>
      </c>
      <c r="Z7" s="68"/>
      <c r="AA7" s="77"/>
      <c r="AJ7" s="69">
        <f>AG7/AI10</f>
        <v>0</v>
      </c>
    </row>
    <row r="8">
      <c r="A8" s="1" t="s">
        <v>198</v>
      </c>
      <c r="R8" s="85" t="s">
        <v>200</v>
      </c>
      <c r="S8" s="86">
        <f>sum(P8:P10)</f>
        <v>38</v>
      </c>
      <c r="Z8" s="68"/>
      <c r="AA8" s="77"/>
      <c r="AJ8" s="69">
        <f>AG8/AI10</f>
        <v>0</v>
      </c>
    </row>
    <row r="9">
      <c r="A9" s="1" t="s">
        <v>202</v>
      </c>
      <c r="Z9" s="68">
        <f>sum(Y6:Y9)</f>
        <v>3</v>
      </c>
      <c r="AA9" s="77">
        <f>Z9/Y13</f>
        <v>0.5</v>
      </c>
      <c r="AJ9" s="69">
        <f>AG9/AI10</f>
        <v>0.1666666667</v>
      </c>
    </row>
    <row r="10">
      <c r="Z10" s="68"/>
      <c r="AA10" s="77"/>
      <c r="AJ10" s="69"/>
    </row>
    <row r="11">
      <c r="R11" s="91" t="s">
        <v>206</v>
      </c>
      <c r="S11" s="92">
        <f>sum(P11:P12)</f>
        <v>32</v>
      </c>
      <c r="Z11" s="66"/>
      <c r="AA11" s="69"/>
      <c r="AJ11" s="69"/>
    </row>
    <row r="12">
      <c r="A12" s="1" t="s">
        <v>208</v>
      </c>
      <c r="Z12" s="66">
        <f>sum(Y10:Y12)</f>
        <v>6</v>
      </c>
      <c r="AA12" s="69">
        <f>Z12/Y13</f>
        <v>1</v>
      </c>
      <c r="AJ12" s="69"/>
    </row>
    <row r="13">
      <c r="A13" s="71" t="s">
        <v>209</v>
      </c>
      <c r="Z13" s="66"/>
      <c r="AA13" s="69"/>
      <c r="AD13" s="66"/>
      <c r="AE13" s="66"/>
      <c r="AF13" s="66"/>
      <c r="AG13" s="66"/>
      <c r="AH13" s="66"/>
      <c r="AI13" s="66"/>
      <c r="AJ13" s="69"/>
    </row>
    <row r="14">
      <c r="A14" s="1" t="s">
        <v>211</v>
      </c>
      <c r="O14" s="95"/>
      <c r="P14" s="95"/>
      <c r="Q14" s="95"/>
      <c r="R14" s="96"/>
      <c r="S14" s="97"/>
      <c r="Z14" s="66"/>
      <c r="AA14" s="69"/>
      <c r="AD14" s="66"/>
      <c r="AE14" s="66"/>
      <c r="AF14" s="66"/>
      <c r="AG14" s="66"/>
      <c r="AH14" s="66"/>
      <c r="AI14" s="66"/>
      <c r="AJ14" s="69"/>
    </row>
    <row r="15">
      <c r="A15" s="1" t="s">
        <v>213</v>
      </c>
      <c r="O15" s="95"/>
      <c r="P15" s="95"/>
      <c r="Q15" s="95"/>
      <c r="R15" s="96"/>
      <c r="S15" s="97"/>
      <c r="Z15" s="66"/>
      <c r="AA15" s="69"/>
      <c r="AD15" s="66"/>
      <c r="AE15" s="66"/>
      <c r="AF15" s="66"/>
      <c r="AG15" s="66"/>
      <c r="AH15" s="66"/>
      <c r="AI15" s="66"/>
      <c r="AJ15" s="69"/>
    </row>
    <row r="16">
      <c r="A16" s="71" t="s">
        <v>215</v>
      </c>
      <c r="O16" s="66"/>
      <c r="P16" s="66"/>
      <c r="Q16" s="66"/>
      <c r="R16" s="67"/>
      <c r="S16" s="68"/>
      <c r="Z16" s="66"/>
      <c r="AA16" s="69"/>
      <c r="AD16" s="66"/>
      <c r="AE16" s="66"/>
      <c r="AF16" s="66"/>
      <c r="AG16" s="66"/>
      <c r="AH16" s="66"/>
      <c r="AI16" s="66"/>
      <c r="AJ16" s="69"/>
    </row>
    <row r="17">
      <c r="A17" s="71" t="s">
        <v>217</v>
      </c>
      <c r="O17" s="66"/>
      <c r="P17" s="66"/>
      <c r="Q17" s="66"/>
      <c r="R17" s="67"/>
      <c r="S17" s="68"/>
      <c r="Z17" s="66">
        <f>sum(Y14:Y17)</f>
        <v>15</v>
      </c>
      <c r="AA17" s="69">
        <f>Z17/Y21</f>
        <v>1.875</v>
      </c>
      <c r="AD17" s="66"/>
      <c r="AE17" s="66"/>
      <c r="AF17" s="66"/>
      <c r="AG17" s="66"/>
      <c r="AH17" s="66"/>
      <c r="AI17" s="66"/>
      <c r="AJ17" s="69"/>
    </row>
    <row r="18">
      <c r="A18" s="71" t="s">
        <v>218</v>
      </c>
      <c r="Z18" s="66"/>
      <c r="AA18" s="69"/>
      <c r="AD18" s="66"/>
      <c r="AE18" s="66"/>
      <c r="AF18" s="66"/>
      <c r="AG18" s="66"/>
      <c r="AH18" s="66"/>
      <c r="AI18" s="66"/>
      <c r="AJ18" s="69"/>
    </row>
    <row r="19">
      <c r="A19" s="1" t="s">
        <v>220</v>
      </c>
      <c r="Z19" s="66"/>
      <c r="AA19" s="69"/>
      <c r="AD19" s="66"/>
      <c r="AE19" s="66"/>
      <c r="AF19" s="66"/>
      <c r="AG19" s="66"/>
      <c r="AH19" s="66"/>
      <c r="AI19" s="66"/>
      <c r="AJ19" s="69"/>
    </row>
    <row r="20">
      <c r="A20" s="71" t="s">
        <v>221</v>
      </c>
      <c r="Z20" s="66">
        <f>sum(Y18:Y21)</f>
        <v>31</v>
      </c>
      <c r="AA20" s="69">
        <f>Z20/Y21</f>
        <v>3.875</v>
      </c>
      <c r="AD20" s="66"/>
      <c r="AE20" s="66"/>
      <c r="AF20" s="66"/>
      <c r="AG20" s="66"/>
      <c r="AH20" s="66"/>
      <c r="AI20" s="66"/>
      <c r="AJ20" s="69"/>
    </row>
    <row r="21">
      <c r="A21" s="1" t="s">
        <v>223</v>
      </c>
      <c r="Z21" s="66"/>
      <c r="AA21" s="69"/>
      <c r="AD21" s="66"/>
      <c r="AE21" s="66"/>
      <c r="AF21" s="66"/>
      <c r="AG21" s="66"/>
      <c r="AH21" s="66"/>
      <c r="AI21" s="66"/>
      <c r="AJ21" s="69"/>
    </row>
    <row r="22">
      <c r="Z22" s="66"/>
      <c r="AA22" s="69"/>
      <c r="AD22" s="66"/>
      <c r="AE22" s="66"/>
      <c r="AF22" s="66"/>
      <c r="AG22" s="66"/>
      <c r="AH22" s="66"/>
      <c r="AI22" s="66"/>
      <c r="AJ22" s="69"/>
    </row>
    <row r="23">
      <c r="A23" s="1" t="s">
        <v>224</v>
      </c>
      <c r="Z23" s="66"/>
      <c r="AA23" s="69"/>
      <c r="AD23" s="66"/>
      <c r="AE23" s="66"/>
      <c r="AF23" s="66"/>
      <c r="AG23" s="66"/>
      <c r="AH23" s="66"/>
      <c r="AI23" s="66"/>
      <c r="AJ23" s="69"/>
    </row>
    <row r="24">
      <c r="A24" s="1" t="s">
        <v>225</v>
      </c>
      <c r="O24" s="66"/>
      <c r="P24" s="66"/>
      <c r="Q24" s="66"/>
      <c r="R24" s="67"/>
      <c r="S24" s="68"/>
      <c r="Z24" s="66"/>
      <c r="AA24" s="69"/>
      <c r="AD24" s="66"/>
      <c r="AE24" s="66"/>
      <c r="AF24" s="66"/>
      <c r="AG24" s="66"/>
      <c r="AH24" s="66"/>
      <c r="AI24" s="66"/>
      <c r="AJ24" s="69"/>
    </row>
    <row r="25">
      <c r="A25" s="1" t="s">
        <v>226</v>
      </c>
      <c r="O25" s="66"/>
      <c r="P25" s="66"/>
      <c r="Q25" s="66"/>
      <c r="R25" s="67"/>
      <c r="S25" s="68"/>
      <c r="Z25" s="66">
        <f>sum(Y23:Y24)</f>
        <v>20</v>
      </c>
      <c r="AA25" s="69">
        <f>Z25/Y28</f>
        <v>20</v>
      </c>
      <c r="AD25" s="66"/>
      <c r="AE25" s="66"/>
      <c r="AF25" s="66"/>
      <c r="AG25" s="66"/>
      <c r="AH25" s="66"/>
      <c r="AI25" s="66"/>
      <c r="AJ25" s="69"/>
    </row>
    <row r="26">
      <c r="A26" s="71" t="s">
        <v>227</v>
      </c>
      <c r="O26" s="66"/>
      <c r="P26" s="66"/>
      <c r="Q26" s="66"/>
      <c r="R26" s="67"/>
      <c r="S26" s="68"/>
      <c r="Z26" s="66"/>
      <c r="AA26" s="69"/>
      <c r="AD26" s="66"/>
      <c r="AE26" s="66"/>
      <c r="AF26" s="66"/>
      <c r="AG26" s="66"/>
      <c r="AH26" s="66"/>
      <c r="AI26" s="66"/>
      <c r="AJ26" s="69"/>
    </row>
    <row r="27">
      <c r="A27" s="1" t="s">
        <v>229</v>
      </c>
      <c r="O27" s="66"/>
      <c r="P27" s="66"/>
      <c r="Q27" s="66"/>
      <c r="R27" s="67"/>
      <c r="S27" s="68"/>
      <c r="Z27" s="66">
        <f>sum(Y25:Y27)</f>
        <v>36</v>
      </c>
      <c r="AA27" s="69">
        <f>Z27/Y28</f>
        <v>36</v>
      </c>
      <c r="AD27" s="66"/>
      <c r="AE27" s="66"/>
      <c r="AF27" s="66"/>
      <c r="AG27" s="66"/>
      <c r="AH27" s="66"/>
      <c r="AI27" s="66"/>
      <c r="AJ27" s="69"/>
    </row>
    <row r="28">
      <c r="A28" s="1" t="s">
        <v>230</v>
      </c>
      <c r="O28" s="66"/>
      <c r="P28" s="66"/>
      <c r="Q28" s="66"/>
      <c r="R28" s="67"/>
      <c r="S28" s="68"/>
      <c r="Z28" s="66"/>
      <c r="AA28" s="69"/>
      <c r="AD28" s="66"/>
      <c r="AE28" s="66"/>
      <c r="AF28" s="66"/>
      <c r="AG28" s="66"/>
      <c r="AH28" s="66"/>
      <c r="AI28" s="66"/>
      <c r="AJ28" s="69"/>
    </row>
    <row r="29">
      <c r="O29" s="66"/>
      <c r="P29" s="66"/>
      <c r="Q29" s="66"/>
      <c r="R29" s="67"/>
      <c r="S29" s="68"/>
      <c r="Z29" s="66"/>
      <c r="AA29" s="69"/>
      <c r="AD29" s="66"/>
      <c r="AE29" s="66"/>
      <c r="AF29" s="66"/>
      <c r="AG29" s="66"/>
      <c r="AH29" s="66"/>
      <c r="AI29" s="66"/>
      <c r="AJ29" s="69"/>
    </row>
    <row r="30">
      <c r="O30" s="66"/>
      <c r="P30" s="66"/>
      <c r="Q30" s="66"/>
      <c r="R30" s="67"/>
      <c r="S30" s="68"/>
      <c r="Z30" s="66"/>
      <c r="AA30" s="69"/>
      <c r="AD30" s="66"/>
      <c r="AE30" s="66"/>
      <c r="AF30" s="66"/>
      <c r="AG30" s="66"/>
      <c r="AH30" s="66"/>
      <c r="AI30" s="66"/>
      <c r="AJ30" s="69"/>
    </row>
    <row r="31">
      <c r="O31" s="66"/>
      <c r="P31" s="66"/>
      <c r="Q31" s="66"/>
      <c r="R31" s="67"/>
      <c r="S31" s="68"/>
      <c r="Z31" s="66"/>
      <c r="AA31" s="69"/>
      <c r="AD31" s="66"/>
      <c r="AE31" s="66"/>
      <c r="AF31" s="66"/>
      <c r="AG31" s="66"/>
      <c r="AH31" s="66"/>
      <c r="AI31" s="66"/>
      <c r="AJ31" s="69"/>
    </row>
    <row r="32">
      <c r="O32" s="66"/>
      <c r="P32" s="66"/>
      <c r="Q32" s="66"/>
      <c r="R32" s="67"/>
      <c r="S32" s="68"/>
      <c r="Z32" s="66"/>
      <c r="AA32" s="69"/>
      <c r="AD32" s="66"/>
      <c r="AE32" s="66"/>
      <c r="AF32" s="66"/>
      <c r="AG32" s="66"/>
      <c r="AH32" s="66"/>
      <c r="AI32" s="66"/>
      <c r="AJ32" s="69"/>
    </row>
    <row r="33">
      <c r="O33" s="66"/>
      <c r="P33" s="66"/>
      <c r="Q33" s="66"/>
      <c r="R33" s="67"/>
      <c r="S33" s="68"/>
      <c r="Z33" s="66"/>
      <c r="AA33" s="69"/>
      <c r="AD33" s="66"/>
      <c r="AE33" s="66"/>
      <c r="AF33" s="66"/>
      <c r="AG33" s="66"/>
      <c r="AH33" s="66"/>
      <c r="AI33" s="66"/>
      <c r="AJ33" s="69"/>
    </row>
    <row r="34">
      <c r="O34" s="66"/>
      <c r="P34" s="66"/>
      <c r="Q34" s="66"/>
      <c r="R34" s="67"/>
      <c r="S34" s="68"/>
      <c r="Z34" s="66"/>
      <c r="AA34" s="69"/>
      <c r="AD34" s="66"/>
      <c r="AE34" s="66"/>
      <c r="AF34" s="66"/>
      <c r="AG34" s="66"/>
      <c r="AH34" s="66"/>
      <c r="AI34" s="66"/>
      <c r="AJ34" s="69"/>
    </row>
    <row r="35">
      <c r="O35" s="66"/>
      <c r="P35" s="66"/>
      <c r="Q35" s="66"/>
      <c r="R35" s="67"/>
      <c r="S35" s="68"/>
      <c r="Z35" s="66"/>
      <c r="AA35" s="69"/>
      <c r="AD35" s="66"/>
      <c r="AE35" s="66"/>
      <c r="AF35" s="66"/>
      <c r="AG35" s="66"/>
      <c r="AH35" s="66"/>
      <c r="AI35" s="66"/>
      <c r="AJ35" s="69"/>
    </row>
    <row r="36">
      <c r="O36" s="66"/>
      <c r="P36" s="66"/>
      <c r="Q36" s="66"/>
      <c r="R36" s="67"/>
      <c r="S36" s="68"/>
      <c r="Z36" s="66"/>
      <c r="AA36" s="69"/>
      <c r="AD36" s="66"/>
      <c r="AE36" s="66"/>
      <c r="AF36" s="66"/>
      <c r="AG36" s="66"/>
      <c r="AH36" s="66"/>
      <c r="AI36" s="66"/>
      <c r="AJ36" s="69"/>
    </row>
    <row r="37">
      <c r="O37" s="66"/>
      <c r="P37" s="66"/>
      <c r="Q37" s="66"/>
      <c r="R37" s="67"/>
      <c r="S37" s="68"/>
      <c r="Z37" s="66"/>
      <c r="AA37" s="69"/>
      <c r="AD37" s="66"/>
      <c r="AE37" s="66"/>
      <c r="AF37" s="66"/>
      <c r="AG37" s="66"/>
      <c r="AH37" s="66"/>
      <c r="AI37" s="66"/>
      <c r="AJ37" s="69"/>
    </row>
    <row r="38">
      <c r="O38" s="66"/>
      <c r="P38" s="66"/>
      <c r="Q38" s="66"/>
      <c r="R38" s="67"/>
      <c r="S38" s="68"/>
      <c r="W38" s="66"/>
      <c r="X38" s="66"/>
      <c r="Y38" s="66"/>
      <c r="Z38" s="66"/>
      <c r="AA38" s="69"/>
      <c r="AD38" s="66"/>
      <c r="AE38" s="66"/>
      <c r="AF38" s="66"/>
      <c r="AG38" s="66"/>
      <c r="AH38" s="66"/>
      <c r="AI38" s="66"/>
      <c r="AJ38" s="69"/>
    </row>
    <row r="39">
      <c r="O39" s="66"/>
      <c r="P39" s="66"/>
      <c r="Q39" s="66"/>
      <c r="R39" s="67"/>
      <c r="S39" s="68"/>
      <c r="W39" s="66"/>
      <c r="X39" s="66"/>
      <c r="Y39" s="66"/>
      <c r="Z39" s="66"/>
      <c r="AA39" s="69"/>
      <c r="AD39" s="66"/>
      <c r="AE39" s="66"/>
      <c r="AF39" s="66"/>
      <c r="AG39" s="66"/>
      <c r="AH39" s="66"/>
      <c r="AI39" s="66"/>
      <c r="AJ39" s="69"/>
    </row>
    <row r="40">
      <c r="O40" s="66"/>
      <c r="P40" s="66"/>
      <c r="Q40" s="66"/>
      <c r="R40" s="67"/>
      <c r="S40" s="68"/>
      <c r="W40" s="66"/>
      <c r="X40" s="66"/>
      <c r="Y40" s="66"/>
      <c r="Z40" s="66"/>
      <c r="AA40" s="69"/>
      <c r="AD40" s="66"/>
      <c r="AE40" s="66"/>
      <c r="AF40" s="66"/>
      <c r="AG40" s="66"/>
      <c r="AH40" s="66"/>
      <c r="AI40" s="66"/>
      <c r="AJ40" s="69"/>
    </row>
    <row r="41">
      <c r="O41" s="66"/>
      <c r="P41" s="66"/>
      <c r="Q41" s="66"/>
      <c r="R41" s="67"/>
      <c r="S41" s="68"/>
      <c r="W41" s="66"/>
      <c r="X41" s="66"/>
      <c r="Y41" s="66"/>
      <c r="Z41" s="66"/>
      <c r="AA41" s="69"/>
      <c r="AD41" s="66"/>
      <c r="AE41" s="66"/>
      <c r="AF41" s="66"/>
      <c r="AG41" s="66"/>
      <c r="AH41" s="66"/>
      <c r="AI41" s="66"/>
      <c r="AJ41" s="69"/>
    </row>
    <row r="42">
      <c r="O42" s="66"/>
      <c r="P42" s="66"/>
      <c r="Q42" s="66"/>
      <c r="R42" s="67"/>
      <c r="S42" s="68"/>
      <c r="W42" s="66"/>
      <c r="X42" s="66"/>
      <c r="Y42" s="66"/>
      <c r="Z42" s="66"/>
      <c r="AA42" s="69"/>
      <c r="AD42" s="66"/>
      <c r="AE42" s="66"/>
      <c r="AF42" s="66"/>
      <c r="AG42" s="66"/>
      <c r="AH42" s="66"/>
      <c r="AI42" s="66"/>
      <c r="AJ42" s="69"/>
    </row>
    <row r="43">
      <c r="O43" s="66"/>
      <c r="P43" s="66"/>
      <c r="Q43" s="66"/>
      <c r="R43" s="67"/>
      <c r="S43" s="68"/>
      <c r="W43" s="66"/>
      <c r="X43" s="66"/>
      <c r="Y43" s="66"/>
      <c r="Z43" s="66"/>
      <c r="AA43" s="69"/>
      <c r="AD43" s="66"/>
      <c r="AE43" s="66"/>
      <c r="AF43" s="66"/>
      <c r="AG43" s="66"/>
      <c r="AH43" s="66"/>
      <c r="AI43" s="66"/>
      <c r="AJ43" s="69"/>
    </row>
    <row r="44">
      <c r="O44" s="66"/>
      <c r="P44" s="66"/>
      <c r="Q44" s="66"/>
      <c r="R44" s="67"/>
      <c r="S44" s="68"/>
      <c r="W44" s="66"/>
      <c r="X44" s="66"/>
      <c r="Y44" s="66"/>
      <c r="Z44" s="66"/>
      <c r="AA44" s="69"/>
      <c r="AD44" s="66"/>
      <c r="AE44" s="66"/>
      <c r="AF44" s="66"/>
      <c r="AG44" s="66"/>
      <c r="AH44" s="66"/>
      <c r="AI44" s="66"/>
      <c r="AJ44" s="69"/>
    </row>
    <row r="45">
      <c r="O45" s="66"/>
      <c r="P45" s="66"/>
      <c r="Q45" s="66"/>
      <c r="R45" s="67"/>
      <c r="S45" s="68"/>
      <c r="W45" s="66"/>
      <c r="X45" s="66"/>
      <c r="Y45" s="66"/>
      <c r="Z45" s="66"/>
      <c r="AA45" s="69"/>
      <c r="AD45" s="66"/>
      <c r="AE45" s="66"/>
      <c r="AF45" s="66"/>
      <c r="AG45" s="66"/>
      <c r="AH45" s="66"/>
      <c r="AI45" s="66"/>
      <c r="AJ45" s="69"/>
    </row>
    <row r="46">
      <c r="O46" s="66"/>
      <c r="P46" s="66"/>
      <c r="Q46" s="66"/>
      <c r="R46" s="67"/>
      <c r="S46" s="68"/>
      <c r="W46" s="66"/>
      <c r="X46" s="66"/>
      <c r="Y46" s="66"/>
      <c r="Z46" s="66"/>
      <c r="AA46" s="69"/>
      <c r="AD46" s="66"/>
      <c r="AE46" s="66"/>
      <c r="AF46" s="66"/>
      <c r="AG46" s="66"/>
      <c r="AH46" s="66"/>
      <c r="AI46" s="66"/>
      <c r="AJ46" s="69"/>
    </row>
    <row r="47">
      <c r="O47" s="66"/>
      <c r="P47" s="66"/>
      <c r="Q47" s="66"/>
      <c r="R47" s="67"/>
      <c r="S47" s="68"/>
      <c r="W47" s="66"/>
      <c r="X47" s="66"/>
      <c r="Y47" s="66"/>
      <c r="Z47" s="66"/>
      <c r="AA47" s="69"/>
      <c r="AD47" s="66"/>
      <c r="AE47" s="66"/>
      <c r="AF47" s="66"/>
      <c r="AG47" s="66"/>
      <c r="AH47" s="66"/>
      <c r="AI47" s="66"/>
      <c r="AJ47" s="69"/>
    </row>
    <row r="48">
      <c r="O48" s="66"/>
      <c r="P48" s="66"/>
      <c r="Q48" s="66"/>
      <c r="R48" s="67"/>
      <c r="S48" s="68"/>
      <c r="W48" s="66"/>
      <c r="X48" s="66"/>
      <c r="Y48" s="66"/>
      <c r="Z48" s="66"/>
      <c r="AA48" s="69"/>
      <c r="AD48" s="66"/>
      <c r="AE48" s="66"/>
      <c r="AF48" s="66"/>
      <c r="AG48" s="66"/>
      <c r="AH48" s="66"/>
      <c r="AI48" s="66"/>
      <c r="AJ48" s="69"/>
    </row>
    <row r="49">
      <c r="O49" s="66"/>
      <c r="P49" s="66"/>
      <c r="Q49" s="66"/>
      <c r="R49" s="67"/>
      <c r="S49" s="68"/>
      <c r="W49" s="66"/>
      <c r="X49" s="66"/>
      <c r="Y49" s="66"/>
      <c r="Z49" s="66"/>
      <c r="AA49" s="69"/>
      <c r="AD49" s="66"/>
      <c r="AE49" s="66"/>
      <c r="AF49" s="66"/>
      <c r="AG49" s="66"/>
      <c r="AH49" s="66"/>
      <c r="AI49" s="66"/>
      <c r="AJ49" s="69"/>
    </row>
    <row r="50">
      <c r="O50" s="66"/>
      <c r="P50" s="66"/>
      <c r="Q50" s="66"/>
      <c r="R50" s="67"/>
      <c r="S50" s="68"/>
      <c r="W50" s="66"/>
      <c r="X50" s="66"/>
      <c r="Y50" s="66"/>
      <c r="Z50" s="66"/>
      <c r="AA50" s="69"/>
      <c r="AD50" s="66"/>
      <c r="AE50" s="66"/>
      <c r="AF50" s="66"/>
      <c r="AG50" s="66"/>
      <c r="AH50" s="66"/>
      <c r="AI50" s="66"/>
      <c r="AJ50" s="69"/>
    </row>
    <row r="51">
      <c r="O51" s="66"/>
      <c r="P51" s="66"/>
      <c r="Q51" s="66"/>
      <c r="R51" s="67"/>
      <c r="S51" s="68"/>
      <c r="W51" s="66"/>
      <c r="X51" s="66"/>
      <c r="Y51" s="66"/>
      <c r="Z51" s="66"/>
      <c r="AA51" s="69"/>
      <c r="AD51" s="66"/>
      <c r="AE51" s="66"/>
      <c r="AF51" s="66"/>
      <c r="AG51" s="66"/>
      <c r="AH51" s="66"/>
      <c r="AI51" s="66"/>
      <c r="AJ51" s="69"/>
    </row>
    <row r="52">
      <c r="O52" s="66"/>
      <c r="P52" s="66"/>
      <c r="Q52" s="66"/>
      <c r="R52" s="67"/>
      <c r="S52" s="68"/>
      <c r="W52" s="66"/>
      <c r="X52" s="66"/>
      <c r="Y52" s="66"/>
      <c r="Z52" s="66"/>
      <c r="AA52" s="69"/>
      <c r="AD52" s="66"/>
      <c r="AE52" s="66"/>
      <c r="AF52" s="66"/>
      <c r="AG52" s="66"/>
      <c r="AH52" s="66"/>
      <c r="AI52" s="66"/>
      <c r="AJ52" s="69"/>
    </row>
    <row r="53">
      <c r="O53" s="66"/>
      <c r="P53" s="66"/>
      <c r="Q53" s="66"/>
      <c r="R53" s="67"/>
      <c r="S53" s="68"/>
      <c r="W53" s="66"/>
      <c r="X53" s="66"/>
      <c r="Y53" s="66"/>
      <c r="Z53" s="66"/>
      <c r="AA53" s="69"/>
      <c r="AD53" s="66"/>
      <c r="AE53" s="66"/>
      <c r="AF53" s="66"/>
      <c r="AG53" s="66"/>
      <c r="AH53" s="66"/>
      <c r="AI53" s="66"/>
      <c r="AJ53" s="69"/>
    </row>
    <row r="54">
      <c r="O54" s="66"/>
      <c r="P54" s="66"/>
      <c r="Q54" s="66"/>
      <c r="R54" s="67"/>
      <c r="S54" s="68"/>
      <c r="W54" s="66"/>
      <c r="X54" s="66"/>
      <c r="Y54" s="66"/>
      <c r="Z54" s="66"/>
      <c r="AA54" s="69"/>
      <c r="AD54" s="66"/>
      <c r="AE54" s="66"/>
      <c r="AF54" s="66"/>
      <c r="AG54" s="66"/>
      <c r="AH54" s="66"/>
      <c r="AI54" s="66"/>
      <c r="AJ54" s="69"/>
    </row>
    <row r="55">
      <c r="O55" s="66"/>
      <c r="P55" s="66"/>
      <c r="Q55" s="66"/>
      <c r="R55" s="67"/>
      <c r="S55" s="68"/>
      <c r="W55" s="66"/>
      <c r="X55" s="66"/>
      <c r="Y55" s="66"/>
      <c r="Z55" s="66"/>
      <c r="AA55" s="69"/>
      <c r="AD55" s="66"/>
      <c r="AE55" s="66"/>
      <c r="AF55" s="66"/>
      <c r="AG55" s="66"/>
      <c r="AH55" s="66"/>
      <c r="AI55" s="66"/>
      <c r="AJ55" s="69"/>
    </row>
    <row r="56">
      <c r="O56" s="66"/>
      <c r="P56" s="66"/>
      <c r="Q56" s="66"/>
      <c r="R56" s="67"/>
      <c r="S56" s="68"/>
      <c r="W56" s="66"/>
      <c r="X56" s="66"/>
      <c r="Y56" s="66"/>
      <c r="Z56" s="66"/>
      <c r="AA56" s="69"/>
      <c r="AD56" s="66"/>
      <c r="AE56" s="66"/>
      <c r="AF56" s="66"/>
      <c r="AG56" s="66"/>
      <c r="AH56" s="66"/>
      <c r="AI56" s="66"/>
      <c r="AJ56" s="69"/>
    </row>
    <row r="57">
      <c r="O57" s="66"/>
      <c r="P57" s="66"/>
      <c r="Q57" s="66"/>
      <c r="R57" s="67"/>
      <c r="S57" s="68"/>
      <c r="W57" s="66"/>
      <c r="X57" s="66"/>
      <c r="Y57" s="66"/>
      <c r="Z57" s="66"/>
      <c r="AA57" s="69"/>
      <c r="AD57" s="66"/>
      <c r="AE57" s="66"/>
      <c r="AF57" s="66"/>
      <c r="AG57" s="66"/>
      <c r="AH57" s="66"/>
      <c r="AI57" s="66"/>
      <c r="AJ57" s="69"/>
    </row>
    <row r="58">
      <c r="O58" s="66"/>
      <c r="P58" s="66"/>
      <c r="Q58" s="66"/>
      <c r="R58" s="67"/>
      <c r="S58" s="68"/>
      <c r="W58" s="66"/>
      <c r="X58" s="66"/>
      <c r="Y58" s="66"/>
      <c r="Z58" s="66"/>
      <c r="AA58" s="69"/>
      <c r="AD58" s="66"/>
      <c r="AE58" s="66"/>
      <c r="AF58" s="66"/>
      <c r="AG58" s="66"/>
      <c r="AH58" s="66"/>
      <c r="AI58" s="66"/>
      <c r="AJ58" s="69"/>
    </row>
    <row r="59">
      <c r="O59" s="66"/>
      <c r="P59" s="66"/>
      <c r="Q59" s="66"/>
      <c r="R59" s="67"/>
      <c r="S59" s="68"/>
      <c r="W59" s="66"/>
      <c r="X59" s="66"/>
      <c r="Y59" s="66"/>
      <c r="Z59" s="66"/>
      <c r="AA59" s="69"/>
      <c r="AD59" s="66"/>
      <c r="AE59" s="66"/>
      <c r="AF59" s="66"/>
      <c r="AG59" s="66"/>
      <c r="AH59" s="66"/>
      <c r="AI59" s="66"/>
      <c r="AJ59" s="69"/>
    </row>
    <row r="60">
      <c r="O60" s="66"/>
      <c r="P60" s="66"/>
      <c r="Q60" s="66"/>
      <c r="R60" s="67"/>
      <c r="S60" s="68"/>
      <c r="W60" s="66"/>
      <c r="X60" s="66"/>
      <c r="Y60" s="66"/>
      <c r="Z60" s="66"/>
      <c r="AA60" s="69"/>
      <c r="AD60" s="66"/>
      <c r="AE60" s="66"/>
      <c r="AF60" s="66"/>
      <c r="AG60" s="66"/>
      <c r="AH60" s="66"/>
      <c r="AI60" s="66"/>
      <c r="AJ60" s="69"/>
    </row>
    <row r="61">
      <c r="O61" s="66"/>
      <c r="P61" s="66"/>
      <c r="Q61" s="66"/>
      <c r="R61" s="67"/>
      <c r="S61" s="68"/>
      <c r="W61" s="66"/>
      <c r="X61" s="66"/>
      <c r="Y61" s="66"/>
      <c r="Z61" s="66"/>
      <c r="AA61" s="69"/>
      <c r="AD61" s="66"/>
      <c r="AE61" s="66"/>
      <c r="AF61" s="66"/>
      <c r="AG61" s="66"/>
      <c r="AH61" s="66"/>
      <c r="AI61" s="66"/>
      <c r="AJ61" s="69"/>
    </row>
    <row r="62">
      <c r="O62" s="66"/>
      <c r="P62" s="66"/>
      <c r="Q62" s="66"/>
      <c r="R62" s="67"/>
      <c r="S62" s="68"/>
      <c r="W62" s="66"/>
      <c r="X62" s="66"/>
      <c r="Y62" s="66"/>
      <c r="Z62" s="66"/>
      <c r="AA62" s="69"/>
      <c r="AD62" s="66"/>
      <c r="AE62" s="66"/>
      <c r="AF62" s="66"/>
      <c r="AG62" s="66"/>
      <c r="AH62" s="66"/>
      <c r="AI62" s="66"/>
      <c r="AJ62" s="69"/>
    </row>
    <row r="63">
      <c r="O63" s="66"/>
      <c r="P63" s="66"/>
      <c r="Q63" s="66"/>
      <c r="R63" s="67"/>
      <c r="S63" s="68"/>
      <c r="W63" s="66"/>
      <c r="X63" s="66"/>
      <c r="Y63" s="66"/>
      <c r="Z63" s="66"/>
      <c r="AA63" s="69"/>
      <c r="AD63" s="66"/>
      <c r="AE63" s="66"/>
      <c r="AF63" s="66"/>
      <c r="AG63" s="66"/>
      <c r="AH63" s="66"/>
      <c r="AI63" s="66"/>
      <c r="AJ63" s="69"/>
    </row>
    <row r="64">
      <c r="O64" s="66"/>
      <c r="P64" s="66"/>
      <c r="Q64" s="66"/>
      <c r="R64" s="67"/>
      <c r="S64" s="68"/>
      <c r="W64" s="66"/>
      <c r="X64" s="66"/>
      <c r="Y64" s="66"/>
      <c r="Z64" s="66"/>
      <c r="AA64" s="69"/>
      <c r="AD64" s="66"/>
      <c r="AE64" s="66"/>
      <c r="AF64" s="66"/>
      <c r="AG64" s="66"/>
      <c r="AH64" s="66"/>
      <c r="AI64" s="66"/>
      <c r="AJ64" s="69"/>
    </row>
    <row r="65">
      <c r="O65" s="66"/>
      <c r="P65" s="66"/>
      <c r="Q65" s="66"/>
      <c r="R65" s="67"/>
      <c r="S65" s="68"/>
      <c r="W65" s="66"/>
      <c r="X65" s="66"/>
      <c r="Y65" s="66"/>
      <c r="Z65" s="66"/>
      <c r="AA65" s="69"/>
      <c r="AD65" s="66"/>
      <c r="AE65" s="66"/>
      <c r="AF65" s="66"/>
      <c r="AG65" s="66"/>
      <c r="AH65" s="66"/>
      <c r="AI65" s="66"/>
      <c r="AJ65" s="69"/>
    </row>
    <row r="66">
      <c r="O66" s="66"/>
      <c r="P66" s="66"/>
      <c r="Q66" s="66"/>
      <c r="R66" s="67"/>
      <c r="S66" s="68"/>
      <c r="W66" s="66"/>
      <c r="X66" s="66"/>
      <c r="Y66" s="66"/>
      <c r="Z66" s="66"/>
      <c r="AA66" s="69"/>
      <c r="AD66" s="66"/>
      <c r="AE66" s="66"/>
      <c r="AF66" s="66"/>
      <c r="AG66" s="66"/>
      <c r="AH66" s="66"/>
      <c r="AI66" s="66"/>
      <c r="AJ66" s="69"/>
    </row>
    <row r="67">
      <c r="O67" s="66"/>
      <c r="P67" s="66"/>
      <c r="Q67" s="66"/>
      <c r="R67" s="67"/>
      <c r="S67" s="68"/>
      <c r="W67" s="66"/>
      <c r="X67" s="66"/>
      <c r="Y67" s="66"/>
      <c r="Z67" s="66"/>
      <c r="AA67" s="69"/>
      <c r="AD67" s="66"/>
      <c r="AE67" s="66"/>
      <c r="AF67" s="66"/>
      <c r="AG67" s="66"/>
      <c r="AH67" s="66"/>
      <c r="AI67" s="66"/>
      <c r="AJ67" s="69"/>
    </row>
    <row r="68">
      <c r="O68" s="66"/>
      <c r="P68" s="66"/>
      <c r="Q68" s="66"/>
      <c r="R68" s="67"/>
      <c r="S68" s="68"/>
      <c r="W68" s="66"/>
      <c r="X68" s="66"/>
      <c r="Y68" s="66"/>
      <c r="Z68" s="66"/>
      <c r="AA68" s="69"/>
      <c r="AD68" s="66"/>
      <c r="AE68" s="66"/>
      <c r="AF68" s="66"/>
      <c r="AG68" s="66"/>
      <c r="AH68" s="66"/>
      <c r="AI68" s="66"/>
      <c r="AJ68" s="69"/>
    </row>
    <row r="69">
      <c r="O69" s="66"/>
      <c r="P69" s="66"/>
      <c r="Q69" s="66"/>
      <c r="R69" s="67"/>
      <c r="S69" s="68"/>
      <c r="W69" s="66"/>
      <c r="X69" s="66"/>
      <c r="Y69" s="66"/>
      <c r="Z69" s="66"/>
      <c r="AA69" s="69"/>
      <c r="AD69" s="66"/>
      <c r="AE69" s="66"/>
      <c r="AF69" s="66"/>
      <c r="AG69" s="66"/>
      <c r="AH69" s="66"/>
      <c r="AI69" s="66"/>
      <c r="AJ69" s="69"/>
    </row>
    <row r="70">
      <c r="O70" s="66"/>
      <c r="P70" s="66"/>
      <c r="Q70" s="66"/>
      <c r="R70" s="67"/>
      <c r="S70" s="68"/>
      <c r="W70" s="66"/>
      <c r="X70" s="66"/>
      <c r="Y70" s="66"/>
      <c r="Z70" s="66"/>
      <c r="AA70" s="69"/>
      <c r="AD70" s="66"/>
      <c r="AE70" s="66"/>
      <c r="AF70" s="66"/>
      <c r="AG70" s="66"/>
      <c r="AH70" s="66"/>
      <c r="AI70" s="66"/>
      <c r="AJ70" s="69"/>
    </row>
    <row r="71">
      <c r="O71" s="66"/>
      <c r="P71" s="66"/>
      <c r="Q71" s="66"/>
      <c r="R71" s="67"/>
      <c r="S71" s="68"/>
      <c r="W71" s="66"/>
      <c r="X71" s="66"/>
      <c r="Y71" s="66"/>
      <c r="Z71" s="66"/>
      <c r="AA71" s="69"/>
      <c r="AD71" s="66"/>
      <c r="AE71" s="66"/>
      <c r="AF71" s="66"/>
      <c r="AG71" s="66"/>
      <c r="AH71" s="66"/>
      <c r="AI71" s="66"/>
      <c r="AJ71" s="69"/>
    </row>
    <row r="72">
      <c r="O72" s="66"/>
      <c r="P72" s="66"/>
      <c r="Q72" s="66"/>
      <c r="R72" s="67"/>
      <c r="S72" s="68"/>
      <c r="W72" s="66"/>
      <c r="X72" s="66"/>
      <c r="Y72" s="66"/>
      <c r="Z72" s="66"/>
      <c r="AA72" s="69"/>
      <c r="AD72" s="66"/>
      <c r="AE72" s="66"/>
      <c r="AF72" s="66"/>
      <c r="AG72" s="66"/>
      <c r="AH72" s="66"/>
      <c r="AI72" s="66"/>
      <c r="AJ72" s="69"/>
    </row>
    <row r="73">
      <c r="O73" s="66"/>
      <c r="P73" s="66"/>
      <c r="Q73" s="66"/>
      <c r="R73" s="67"/>
      <c r="S73" s="68"/>
      <c r="W73" s="66"/>
      <c r="X73" s="66"/>
      <c r="Y73" s="66"/>
      <c r="Z73" s="66"/>
      <c r="AA73" s="69"/>
      <c r="AD73" s="66"/>
      <c r="AE73" s="66"/>
      <c r="AF73" s="66"/>
      <c r="AG73" s="66"/>
      <c r="AH73" s="66"/>
      <c r="AI73" s="66"/>
      <c r="AJ73" s="69"/>
    </row>
    <row r="74">
      <c r="O74" s="66"/>
      <c r="P74" s="66"/>
      <c r="Q74" s="66"/>
      <c r="R74" s="67"/>
      <c r="S74" s="68"/>
      <c r="W74" s="66"/>
      <c r="X74" s="66"/>
      <c r="Y74" s="66"/>
      <c r="Z74" s="66"/>
      <c r="AA74" s="69"/>
      <c r="AD74" s="66"/>
      <c r="AE74" s="66"/>
      <c r="AF74" s="66"/>
      <c r="AG74" s="66"/>
      <c r="AH74" s="66"/>
      <c r="AI74" s="66"/>
      <c r="AJ74" s="69"/>
    </row>
    <row r="75">
      <c r="O75" s="66"/>
      <c r="P75" s="66"/>
      <c r="Q75" s="66"/>
      <c r="R75" s="67"/>
      <c r="S75" s="68"/>
      <c r="W75" s="66"/>
      <c r="X75" s="66"/>
      <c r="Y75" s="66"/>
      <c r="Z75" s="66"/>
      <c r="AA75" s="69"/>
      <c r="AD75" s="66"/>
      <c r="AE75" s="66"/>
      <c r="AF75" s="66"/>
      <c r="AG75" s="66"/>
      <c r="AH75" s="66"/>
      <c r="AI75" s="66"/>
      <c r="AJ75" s="69"/>
    </row>
    <row r="76">
      <c r="O76" s="66"/>
      <c r="P76" s="66"/>
      <c r="Q76" s="66"/>
      <c r="R76" s="67"/>
      <c r="S76" s="68"/>
      <c r="W76" s="66"/>
      <c r="X76" s="66"/>
      <c r="Y76" s="66"/>
      <c r="Z76" s="66"/>
      <c r="AA76" s="69"/>
      <c r="AD76" s="66"/>
      <c r="AE76" s="66"/>
      <c r="AF76" s="66"/>
      <c r="AG76" s="66"/>
      <c r="AH76" s="66"/>
      <c r="AI76" s="66"/>
      <c r="AJ76" s="69"/>
    </row>
    <row r="77">
      <c r="O77" s="66"/>
      <c r="P77" s="66"/>
      <c r="Q77" s="66"/>
      <c r="R77" s="67"/>
      <c r="S77" s="68"/>
      <c r="W77" s="66"/>
      <c r="X77" s="66"/>
      <c r="Y77" s="66"/>
      <c r="Z77" s="66"/>
      <c r="AA77" s="69"/>
      <c r="AD77" s="66"/>
      <c r="AE77" s="66"/>
      <c r="AF77" s="66"/>
      <c r="AG77" s="66"/>
      <c r="AH77" s="66"/>
      <c r="AI77" s="66"/>
      <c r="AJ77" s="69"/>
    </row>
    <row r="78">
      <c r="O78" s="66"/>
      <c r="P78" s="66"/>
      <c r="Q78" s="66"/>
      <c r="R78" s="67"/>
      <c r="S78" s="68"/>
      <c r="W78" s="66"/>
      <c r="X78" s="66"/>
      <c r="Y78" s="66"/>
      <c r="Z78" s="66"/>
      <c r="AA78" s="69"/>
      <c r="AD78" s="66"/>
      <c r="AE78" s="66"/>
      <c r="AF78" s="66"/>
      <c r="AG78" s="66"/>
      <c r="AH78" s="66"/>
      <c r="AI78" s="66"/>
      <c r="AJ78" s="69"/>
    </row>
    <row r="79">
      <c r="O79" s="66"/>
      <c r="P79" s="66"/>
      <c r="Q79" s="66"/>
      <c r="R79" s="67"/>
      <c r="S79" s="68"/>
      <c r="W79" s="66"/>
      <c r="X79" s="66"/>
      <c r="Y79" s="66"/>
      <c r="Z79" s="66"/>
      <c r="AA79" s="69"/>
      <c r="AD79" s="66"/>
      <c r="AE79" s="66"/>
      <c r="AF79" s="66"/>
      <c r="AG79" s="66"/>
      <c r="AH79" s="66"/>
      <c r="AI79" s="66"/>
      <c r="AJ79" s="69"/>
    </row>
    <row r="80">
      <c r="O80" s="66"/>
      <c r="P80" s="66"/>
      <c r="Q80" s="66"/>
      <c r="R80" s="67"/>
      <c r="S80" s="68"/>
      <c r="W80" s="66"/>
      <c r="X80" s="66"/>
      <c r="Y80" s="66"/>
      <c r="Z80" s="66"/>
      <c r="AA80" s="69"/>
      <c r="AD80" s="66"/>
      <c r="AE80" s="66"/>
      <c r="AF80" s="66"/>
      <c r="AG80" s="66"/>
      <c r="AH80" s="66"/>
      <c r="AI80" s="66"/>
      <c r="AJ80" s="69"/>
    </row>
    <row r="81">
      <c r="O81" s="66"/>
      <c r="P81" s="66"/>
      <c r="Q81" s="66"/>
      <c r="R81" s="67"/>
      <c r="S81" s="68"/>
      <c r="W81" s="66"/>
      <c r="X81" s="66"/>
      <c r="Y81" s="66"/>
      <c r="Z81" s="66"/>
      <c r="AA81" s="69"/>
      <c r="AD81" s="66"/>
      <c r="AE81" s="66"/>
      <c r="AF81" s="66"/>
      <c r="AG81" s="66"/>
      <c r="AH81" s="66"/>
      <c r="AI81" s="66"/>
      <c r="AJ81" s="69"/>
    </row>
    <row r="82">
      <c r="O82" s="66"/>
      <c r="P82" s="66"/>
      <c r="Q82" s="66"/>
      <c r="R82" s="67"/>
      <c r="S82" s="68"/>
      <c r="W82" s="66"/>
      <c r="X82" s="66"/>
      <c r="Y82" s="66"/>
      <c r="Z82" s="66"/>
      <c r="AA82" s="69"/>
      <c r="AD82" s="66"/>
      <c r="AE82" s="66"/>
      <c r="AF82" s="66"/>
      <c r="AG82" s="66"/>
      <c r="AH82" s="66"/>
      <c r="AI82" s="66"/>
      <c r="AJ82" s="69"/>
    </row>
    <row r="83">
      <c r="O83" s="66"/>
      <c r="P83" s="66"/>
      <c r="Q83" s="66"/>
      <c r="R83" s="67"/>
      <c r="S83" s="68"/>
      <c r="W83" s="66"/>
      <c r="X83" s="66"/>
      <c r="Y83" s="66"/>
      <c r="Z83" s="66"/>
      <c r="AA83" s="69"/>
      <c r="AD83" s="66"/>
      <c r="AE83" s="66"/>
      <c r="AF83" s="66"/>
      <c r="AG83" s="66"/>
      <c r="AH83" s="66"/>
      <c r="AI83" s="66"/>
      <c r="AJ83" s="69"/>
    </row>
    <row r="84">
      <c r="O84" s="66"/>
      <c r="P84" s="66"/>
      <c r="Q84" s="66"/>
      <c r="R84" s="67"/>
      <c r="S84" s="68"/>
      <c r="W84" s="66"/>
      <c r="X84" s="66"/>
      <c r="Y84" s="66"/>
      <c r="Z84" s="66"/>
      <c r="AA84" s="69"/>
      <c r="AD84" s="66"/>
      <c r="AE84" s="66"/>
      <c r="AF84" s="66"/>
      <c r="AG84" s="66"/>
      <c r="AH84" s="66"/>
      <c r="AI84" s="66"/>
      <c r="AJ84" s="69"/>
    </row>
    <row r="85">
      <c r="O85" s="66"/>
      <c r="P85" s="66"/>
      <c r="Q85" s="66"/>
      <c r="R85" s="67"/>
      <c r="S85" s="68"/>
      <c r="W85" s="66"/>
      <c r="X85" s="66"/>
      <c r="Y85" s="66"/>
      <c r="Z85" s="66"/>
      <c r="AA85" s="69"/>
      <c r="AD85" s="66"/>
      <c r="AE85" s="66"/>
      <c r="AF85" s="66"/>
      <c r="AG85" s="66"/>
      <c r="AH85" s="66"/>
      <c r="AI85" s="66"/>
      <c r="AJ85" s="69"/>
    </row>
    <row r="86">
      <c r="O86" s="66"/>
      <c r="P86" s="66"/>
      <c r="Q86" s="66"/>
      <c r="R86" s="67"/>
      <c r="S86" s="68"/>
      <c r="W86" s="66"/>
      <c r="X86" s="66"/>
      <c r="Y86" s="66"/>
      <c r="Z86" s="66"/>
      <c r="AA86" s="69"/>
      <c r="AD86" s="66"/>
      <c r="AE86" s="66"/>
      <c r="AF86" s="66"/>
      <c r="AG86" s="66"/>
      <c r="AH86" s="66"/>
      <c r="AI86" s="66"/>
      <c r="AJ86" s="69"/>
    </row>
    <row r="87">
      <c r="O87" s="66"/>
      <c r="P87" s="66"/>
      <c r="Q87" s="66"/>
      <c r="R87" s="67"/>
      <c r="S87" s="68"/>
      <c r="W87" s="66"/>
      <c r="X87" s="66"/>
      <c r="Y87" s="66"/>
      <c r="Z87" s="66"/>
      <c r="AA87" s="69"/>
      <c r="AD87" s="66"/>
      <c r="AE87" s="66"/>
      <c r="AF87" s="66"/>
      <c r="AG87" s="66"/>
      <c r="AH87" s="66"/>
      <c r="AI87" s="66"/>
      <c r="AJ87" s="69"/>
    </row>
    <row r="88">
      <c r="O88" s="66"/>
      <c r="P88" s="66"/>
      <c r="Q88" s="66"/>
      <c r="R88" s="67"/>
      <c r="S88" s="68"/>
      <c r="W88" s="66"/>
      <c r="X88" s="66"/>
      <c r="Y88" s="66"/>
      <c r="Z88" s="66"/>
      <c r="AA88" s="69"/>
      <c r="AD88" s="66"/>
      <c r="AE88" s="66"/>
      <c r="AF88" s="66"/>
      <c r="AG88" s="66"/>
      <c r="AH88" s="66"/>
      <c r="AI88" s="66"/>
      <c r="AJ88" s="69"/>
    </row>
    <row r="89">
      <c r="O89" s="66"/>
      <c r="P89" s="66"/>
      <c r="Q89" s="66"/>
      <c r="R89" s="67"/>
      <c r="S89" s="68"/>
      <c r="W89" s="66"/>
      <c r="X89" s="66"/>
      <c r="Y89" s="66"/>
      <c r="Z89" s="66"/>
      <c r="AA89" s="69"/>
      <c r="AD89" s="66"/>
      <c r="AE89" s="66"/>
      <c r="AF89" s="66"/>
      <c r="AG89" s="66"/>
      <c r="AH89" s="66"/>
      <c r="AI89" s="66"/>
      <c r="AJ89" s="69"/>
    </row>
    <row r="90">
      <c r="O90" s="66"/>
      <c r="P90" s="66"/>
      <c r="Q90" s="66"/>
      <c r="R90" s="67"/>
      <c r="S90" s="68"/>
      <c r="W90" s="66"/>
      <c r="X90" s="66"/>
      <c r="Y90" s="66"/>
      <c r="Z90" s="66"/>
      <c r="AA90" s="69"/>
      <c r="AD90" s="66"/>
      <c r="AE90" s="66"/>
      <c r="AF90" s="66"/>
      <c r="AG90" s="66"/>
      <c r="AH90" s="66"/>
      <c r="AI90" s="66"/>
      <c r="AJ90" s="69"/>
    </row>
    <row r="91">
      <c r="O91" s="66"/>
      <c r="P91" s="66"/>
      <c r="Q91" s="66"/>
      <c r="R91" s="67"/>
      <c r="S91" s="68"/>
      <c r="W91" s="66"/>
      <c r="X91" s="66"/>
      <c r="Y91" s="66"/>
      <c r="Z91" s="66"/>
      <c r="AA91" s="69"/>
      <c r="AD91" s="66"/>
      <c r="AE91" s="66"/>
      <c r="AF91" s="66"/>
      <c r="AG91" s="66"/>
      <c r="AH91" s="66"/>
      <c r="AI91" s="66"/>
      <c r="AJ91" s="69"/>
    </row>
    <row r="92">
      <c r="O92" s="66"/>
      <c r="P92" s="66"/>
      <c r="Q92" s="66"/>
      <c r="R92" s="67"/>
      <c r="S92" s="68"/>
      <c r="W92" s="66"/>
      <c r="X92" s="66"/>
      <c r="Y92" s="66"/>
      <c r="Z92" s="66"/>
      <c r="AA92" s="69"/>
      <c r="AD92" s="66"/>
      <c r="AE92" s="66"/>
      <c r="AF92" s="66"/>
      <c r="AG92" s="66"/>
      <c r="AH92" s="66"/>
      <c r="AI92" s="66"/>
      <c r="AJ92" s="69"/>
    </row>
    <row r="93">
      <c r="O93" s="66"/>
      <c r="P93" s="66"/>
      <c r="Q93" s="66"/>
      <c r="R93" s="67"/>
      <c r="S93" s="68"/>
      <c r="W93" s="66"/>
      <c r="X93" s="66"/>
      <c r="Y93" s="66"/>
      <c r="Z93" s="66"/>
      <c r="AA93" s="69"/>
      <c r="AD93" s="66"/>
      <c r="AE93" s="66"/>
      <c r="AF93" s="66"/>
      <c r="AG93" s="66"/>
      <c r="AH93" s="66"/>
      <c r="AI93" s="66"/>
      <c r="AJ93" s="69"/>
    </row>
    <row r="94">
      <c r="O94" s="66"/>
      <c r="P94" s="66"/>
      <c r="Q94" s="66"/>
      <c r="R94" s="67"/>
      <c r="S94" s="68"/>
      <c r="W94" s="66"/>
      <c r="X94" s="66"/>
      <c r="Y94" s="66"/>
      <c r="Z94" s="66"/>
      <c r="AA94" s="69"/>
      <c r="AD94" s="66"/>
      <c r="AE94" s="66"/>
      <c r="AF94" s="66"/>
      <c r="AG94" s="66"/>
      <c r="AH94" s="66"/>
      <c r="AI94" s="66"/>
      <c r="AJ94" s="69"/>
    </row>
    <row r="95">
      <c r="O95" s="66"/>
      <c r="P95" s="66"/>
      <c r="Q95" s="66"/>
      <c r="R95" s="67"/>
      <c r="S95" s="68"/>
      <c r="W95" s="66"/>
      <c r="X95" s="66"/>
      <c r="Y95" s="66"/>
      <c r="Z95" s="66"/>
      <c r="AA95" s="69"/>
      <c r="AD95" s="66"/>
      <c r="AE95" s="66"/>
      <c r="AF95" s="66"/>
      <c r="AG95" s="66"/>
      <c r="AH95" s="66"/>
      <c r="AI95" s="66"/>
      <c r="AJ95" s="69"/>
    </row>
    <row r="96">
      <c r="O96" s="66"/>
      <c r="P96" s="66"/>
      <c r="Q96" s="66"/>
      <c r="R96" s="67"/>
      <c r="S96" s="68"/>
      <c r="W96" s="66"/>
      <c r="X96" s="66"/>
      <c r="Y96" s="66"/>
      <c r="Z96" s="66"/>
      <c r="AA96" s="69"/>
      <c r="AD96" s="66"/>
      <c r="AE96" s="66"/>
      <c r="AF96" s="66"/>
      <c r="AG96" s="66"/>
      <c r="AH96" s="66"/>
      <c r="AI96" s="66"/>
      <c r="AJ96" s="69"/>
    </row>
    <row r="97">
      <c r="O97" s="66"/>
      <c r="P97" s="66"/>
      <c r="Q97" s="66"/>
      <c r="R97" s="67"/>
      <c r="S97" s="68"/>
      <c r="W97" s="66"/>
      <c r="X97" s="66"/>
      <c r="Y97" s="66"/>
      <c r="Z97" s="66"/>
      <c r="AA97" s="69"/>
      <c r="AD97" s="66"/>
      <c r="AE97" s="66"/>
      <c r="AF97" s="66"/>
      <c r="AG97" s="66"/>
      <c r="AH97" s="66"/>
      <c r="AI97" s="66"/>
      <c r="AJ97" s="69"/>
    </row>
    <row r="98">
      <c r="O98" s="66"/>
      <c r="P98" s="66"/>
      <c r="Q98" s="66"/>
      <c r="R98" s="67"/>
      <c r="S98" s="68"/>
      <c r="W98" s="66"/>
      <c r="X98" s="66"/>
      <c r="Y98" s="66"/>
      <c r="Z98" s="66"/>
      <c r="AA98" s="69"/>
      <c r="AD98" s="66"/>
      <c r="AE98" s="66"/>
      <c r="AF98" s="66"/>
      <c r="AG98" s="66"/>
      <c r="AH98" s="66"/>
      <c r="AI98" s="66"/>
      <c r="AJ98" s="69"/>
    </row>
    <row r="99">
      <c r="O99" s="66"/>
      <c r="P99" s="66"/>
      <c r="Q99" s="66"/>
      <c r="R99" s="67"/>
      <c r="S99" s="68"/>
      <c r="W99" s="66"/>
      <c r="X99" s="66"/>
      <c r="Y99" s="66"/>
      <c r="Z99" s="66"/>
      <c r="AA99" s="69"/>
      <c r="AD99" s="66"/>
      <c r="AE99" s="66"/>
      <c r="AF99" s="66"/>
      <c r="AG99" s="66"/>
      <c r="AH99" s="66"/>
      <c r="AI99" s="66"/>
      <c r="AJ99" s="69"/>
    </row>
    <row r="100">
      <c r="O100" s="66"/>
      <c r="P100" s="66"/>
      <c r="Q100" s="66"/>
      <c r="R100" s="67"/>
      <c r="S100" s="68"/>
      <c r="W100" s="66"/>
      <c r="X100" s="66"/>
      <c r="Y100" s="66"/>
      <c r="Z100" s="66"/>
      <c r="AA100" s="69"/>
      <c r="AD100" s="66"/>
      <c r="AE100" s="66"/>
      <c r="AF100" s="66"/>
      <c r="AG100" s="66"/>
      <c r="AH100" s="66"/>
      <c r="AI100" s="66"/>
      <c r="AJ100" s="69"/>
    </row>
    <row r="101">
      <c r="O101" s="66"/>
      <c r="P101" s="66"/>
      <c r="Q101" s="66"/>
      <c r="R101" s="67"/>
      <c r="S101" s="68"/>
      <c r="W101" s="66"/>
      <c r="X101" s="66"/>
      <c r="Y101" s="66"/>
      <c r="Z101" s="66"/>
      <c r="AA101" s="69"/>
      <c r="AD101" s="66"/>
      <c r="AE101" s="66"/>
      <c r="AF101" s="66"/>
      <c r="AG101" s="66"/>
      <c r="AH101" s="66"/>
      <c r="AI101" s="66"/>
      <c r="AJ101" s="69"/>
    </row>
    <row r="102">
      <c r="O102" s="66"/>
      <c r="P102" s="66"/>
      <c r="Q102" s="66"/>
      <c r="R102" s="67"/>
      <c r="S102" s="68"/>
      <c r="W102" s="66"/>
      <c r="X102" s="66"/>
      <c r="Y102" s="66"/>
      <c r="Z102" s="66"/>
      <c r="AA102" s="69"/>
      <c r="AD102" s="66"/>
      <c r="AE102" s="66"/>
      <c r="AF102" s="66"/>
      <c r="AG102" s="66"/>
      <c r="AH102" s="66"/>
      <c r="AI102" s="66"/>
      <c r="AJ102" s="69"/>
    </row>
    <row r="103">
      <c r="O103" s="66"/>
      <c r="P103" s="66"/>
      <c r="Q103" s="66"/>
      <c r="R103" s="67"/>
      <c r="S103" s="68"/>
      <c r="W103" s="66"/>
      <c r="X103" s="66"/>
      <c r="Y103" s="66"/>
      <c r="Z103" s="66"/>
      <c r="AA103" s="69"/>
      <c r="AD103" s="66"/>
      <c r="AE103" s="66"/>
      <c r="AF103" s="66"/>
      <c r="AG103" s="66"/>
      <c r="AH103" s="66"/>
      <c r="AI103" s="66"/>
      <c r="AJ103" s="69"/>
    </row>
    <row r="104">
      <c r="O104" s="66"/>
      <c r="P104" s="66"/>
      <c r="Q104" s="66"/>
      <c r="R104" s="67"/>
      <c r="S104" s="68"/>
      <c r="W104" s="66"/>
      <c r="X104" s="66"/>
      <c r="Y104" s="66"/>
      <c r="Z104" s="66"/>
      <c r="AA104" s="69"/>
      <c r="AD104" s="66"/>
      <c r="AE104" s="66"/>
      <c r="AF104" s="66"/>
      <c r="AG104" s="66"/>
      <c r="AH104" s="66"/>
      <c r="AI104" s="66"/>
      <c r="AJ104" s="69"/>
    </row>
    <row r="105">
      <c r="O105" s="66"/>
      <c r="P105" s="66"/>
      <c r="Q105" s="66"/>
      <c r="R105" s="67"/>
      <c r="S105" s="68"/>
      <c r="W105" s="66"/>
      <c r="X105" s="66"/>
      <c r="Y105" s="66"/>
      <c r="Z105" s="66"/>
      <c r="AA105" s="69"/>
      <c r="AD105" s="66"/>
      <c r="AE105" s="66"/>
      <c r="AF105" s="66"/>
      <c r="AG105" s="66"/>
      <c r="AH105" s="66"/>
      <c r="AI105" s="66"/>
      <c r="AJ105" s="69"/>
    </row>
    <row r="106">
      <c r="O106" s="66"/>
      <c r="P106" s="66"/>
      <c r="Q106" s="66"/>
      <c r="R106" s="67"/>
      <c r="S106" s="68"/>
      <c r="W106" s="66"/>
      <c r="X106" s="66"/>
      <c r="Y106" s="66"/>
      <c r="Z106" s="66"/>
      <c r="AA106" s="69"/>
      <c r="AD106" s="66"/>
      <c r="AE106" s="66"/>
      <c r="AF106" s="66"/>
      <c r="AG106" s="66"/>
      <c r="AH106" s="66"/>
      <c r="AI106" s="66"/>
      <c r="AJ106" s="69"/>
    </row>
    <row r="107">
      <c r="O107" s="66"/>
      <c r="P107" s="66"/>
      <c r="Q107" s="66"/>
      <c r="R107" s="67"/>
      <c r="S107" s="68"/>
      <c r="W107" s="66"/>
      <c r="X107" s="66"/>
      <c r="Y107" s="66"/>
      <c r="Z107" s="66"/>
      <c r="AA107" s="69"/>
      <c r="AD107" s="66"/>
      <c r="AE107" s="66"/>
      <c r="AF107" s="66"/>
      <c r="AG107" s="66"/>
      <c r="AH107" s="66"/>
      <c r="AI107" s="66"/>
      <c r="AJ107" s="69"/>
    </row>
    <row r="108">
      <c r="O108" s="66"/>
      <c r="P108" s="66"/>
      <c r="Q108" s="66"/>
      <c r="R108" s="67"/>
      <c r="S108" s="68"/>
      <c r="W108" s="66"/>
      <c r="X108" s="66"/>
      <c r="Y108" s="66"/>
      <c r="Z108" s="66"/>
      <c r="AA108" s="69"/>
      <c r="AD108" s="66"/>
      <c r="AE108" s="66"/>
      <c r="AF108" s="66"/>
      <c r="AG108" s="66"/>
      <c r="AH108" s="66"/>
      <c r="AI108" s="66"/>
      <c r="AJ108" s="69"/>
    </row>
    <row r="109">
      <c r="O109" s="66"/>
      <c r="P109" s="66"/>
      <c r="Q109" s="66"/>
      <c r="R109" s="67"/>
      <c r="S109" s="68"/>
      <c r="W109" s="66"/>
      <c r="X109" s="66"/>
      <c r="Y109" s="66"/>
      <c r="Z109" s="66"/>
      <c r="AA109" s="69"/>
      <c r="AD109" s="66"/>
      <c r="AE109" s="66"/>
      <c r="AF109" s="66"/>
      <c r="AG109" s="66"/>
      <c r="AH109" s="66"/>
      <c r="AI109" s="66"/>
      <c r="AJ109" s="69"/>
    </row>
    <row r="110">
      <c r="O110" s="66"/>
      <c r="P110" s="66"/>
      <c r="Q110" s="66"/>
      <c r="R110" s="67"/>
      <c r="S110" s="68"/>
      <c r="W110" s="66"/>
      <c r="X110" s="66"/>
      <c r="Y110" s="66"/>
      <c r="Z110" s="66"/>
      <c r="AA110" s="69"/>
      <c r="AD110" s="66"/>
      <c r="AE110" s="66"/>
      <c r="AF110" s="66"/>
      <c r="AG110" s="66"/>
      <c r="AH110" s="66"/>
      <c r="AI110" s="66"/>
      <c r="AJ110" s="69"/>
    </row>
    <row r="111">
      <c r="O111" s="66"/>
      <c r="P111" s="66"/>
      <c r="Q111" s="66"/>
      <c r="R111" s="67"/>
      <c r="S111" s="68"/>
      <c r="W111" s="66"/>
      <c r="X111" s="66"/>
      <c r="Y111" s="66"/>
      <c r="Z111" s="66"/>
      <c r="AA111" s="69"/>
      <c r="AD111" s="66"/>
      <c r="AE111" s="66"/>
      <c r="AF111" s="66"/>
      <c r="AG111" s="66"/>
      <c r="AH111" s="66"/>
      <c r="AI111" s="66"/>
      <c r="AJ111" s="69"/>
    </row>
    <row r="112">
      <c r="O112" s="66"/>
      <c r="P112" s="66"/>
      <c r="Q112" s="66"/>
      <c r="R112" s="67"/>
      <c r="S112" s="68"/>
      <c r="W112" s="66"/>
      <c r="X112" s="66"/>
      <c r="Y112" s="66"/>
      <c r="Z112" s="66"/>
      <c r="AA112" s="69"/>
      <c r="AD112" s="66"/>
      <c r="AE112" s="66"/>
      <c r="AF112" s="66"/>
      <c r="AG112" s="66"/>
      <c r="AH112" s="66"/>
      <c r="AI112" s="66"/>
      <c r="AJ112" s="69"/>
    </row>
    <row r="113">
      <c r="O113" s="66"/>
      <c r="P113" s="66"/>
      <c r="Q113" s="66"/>
      <c r="R113" s="67"/>
      <c r="S113" s="68"/>
      <c r="W113" s="66"/>
      <c r="X113" s="66"/>
      <c r="Y113" s="66"/>
      <c r="Z113" s="66"/>
      <c r="AA113" s="69"/>
      <c r="AD113" s="66"/>
      <c r="AE113" s="66"/>
      <c r="AF113" s="66"/>
      <c r="AG113" s="66"/>
      <c r="AH113" s="66"/>
      <c r="AI113" s="66"/>
      <c r="AJ113" s="69"/>
    </row>
    <row r="114">
      <c r="O114" s="66"/>
      <c r="P114" s="66"/>
      <c r="Q114" s="66"/>
      <c r="R114" s="67"/>
      <c r="S114" s="68"/>
      <c r="W114" s="66"/>
      <c r="X114" s="66"/>
      <c r="Y114" s="66"/>
      <c r="Z114" s="66"/>
      <c r="AA114" s="69"/>
      <c r="AD114" s="66"/>
      <c r="AE114" s="66"/>
      <c r="AF114" s="66"/>
      <c r="AG114" s="66"/>
      <c r="AH114" s="66"/>
      <c r="AI114" s="66"/>
      <c r="AJ114" s="69"/>
    </row>
    <row r="115">
      <c r="O115" s="66"/>
      <c r="P115" s="66"/>
      <c r="Q115" s="66"/>
      <c r="R115" s="67"/>
      <c r="S115" s="68"/>
      <c r="W115" s="66"/>
      <c r="X115" s="66"/>
      <c r="Y115" s="66"/>
      <c r="Z115" s="66"/>
      <c r="AA115" s="69"/>
      <c r="AD115" s="66"/>
      <c r="AE115" s="66"/>
      <c r="AF115" s="66"/>
      <c r="AG115" s="66"/>
      <c r="AH115" s="66"/>
      <c r="AI115" s="66"/>
      <c r="AJ115" s="69"/>
    </row>
    <row r="116">
      <c r="O116" s="66"/>
      <c r="P116" s="66"/>
      <c r="Q116" s="66"/>
      <c r="R116" s="67"/>
      <c r="S116" s="68"/>
      <c r="W116" s="66"/>
      <c r="X116" s="66"/>
      <c r="Y116" s="66"/>
      <c r="Z116" s="66"/>
      <c r="AA116" s="69"/>
      <c r="AD116" s="66"/>
      <c r="AE116" s="66"/>
      <c r="AF116" s="66"/>
      <c r="AG116" s="66"/>
      <c r="AH116" s="66"/>
      <c r="AI116" s="66"/>
      <c r="AJ116" s="69"/>
    </row>
    <row r="117">
      <c r="O117" s="66"/>
      <c r="P117" s="66"/>
      <c r="Q117" s="66"/>
      <c r="R117" s="67"/>
      <c r="S117" s="68"/>
      <c r="W117" s="66"/>
      <c r="X117" s="66"/>
      <c r="Y117" s="66"/>
      <c r="Z117" s="66"/>
      <c r="AA117" s="69"/>
      <c r="AD117" s="66"/>
      <c r="AE117" s="66"/>
      <c r="AF117" s="66"/>
      <c r="AG117" s="66"/>
      <c r="AH117" s="66"/>
      <c r="AI117" s="66"/>
      <c r="AJ117" s="69"/>
    </row>
    <row r="118">
      <c r="O118" s="66"/>
      <c r="P118" s="66"/>
      <c r="Q118" s="66"/>
      <c r="R118" s="67"/>
      <c r="S118" s="68"/>
      <c r="W118" s="66"/>
      <c r="X118" s="66"/>
      <c r="Y118" s="66"/>
      <c r="Z118" s="66"/>
      <c r="AA118" s="69"/>
      <c r="AD118" s="66"/>
      <c r="AE118" s="66"/>
      <c r="AF118" s="66"/>
      <c r="AG118" s="66"/>
      <c r="AH118" s="66"/>
      <c r="AI118" s="66"/>
      <c r="AJ118" s="69"/>
    </row>
    <row r="119">
      <c r="O119" s="66"/>
      <c r="P119" s="66"/>
      <c r="Q119" s="66"/>
      <c r="R119" s="67"/>
      <c r="S119" s="68"/>
      <c r="W119" s="66"/>
      <c r="X119" s="66"/>
      <c r="Y119" s="66"/>
      <c r="Z119" s="66"/>
      <c r="AA119" s="69"/>
      <c r="AD119" s="66"/>
      <c r="AE119" s="66"/>
      <c r="AF119" s="66"/>
      <c r="AG119" s="66"/>
      <c r="AH119" s="66"/>
      <c r="AI119" s="66"/>
      <c r="AJ119" s="69"/>
    </row>
    <row r="120">
      <c r="O120" s="66"/>
      <c r="P120" s="66"/>
      <c r="Q120" s="66"/>
      <c r="R120" s="67"/>
      <c r="S120" s="68"/>
      <c r="W120" s="66"/>
      <c r="X120" s="66"/>
      <c r="Y120" s="66"/>
      <c r="Z120" s="66"/>
      <c r="AA120" s="69"/>
      <c r="AD120" s="66"/>
      <c r="AE120" s="66"/>
      <c r="AF120" s="66"/>
      <c r="AG120" s="66"/>
      <c r="AH120" s="66"/>
      <c r="AI120" s="66"/>
      <c r="AJ120" s="69"/>
    </row>
    <row r="121">
      <c r="O121" s="66"/>
      <c r="P121" s="66"/>
      <c r="Q121" s="66"/>
      <c r="R121" s="67"/>
      <c r="S121" s="68"/>
      <c r="W121" s="66"/>
      <c r="X121" s="66"/>
      <c r="Y121" s="66"/>
      <c r="Z121" s="66"/>
      <c r="AA121" s="69"/>
      <c r="AD121" s="66"/>
      <c r="AE121" s="66"/>
      <c r="AF121" s="66"/>
      <c r="AG121" s="66"/>
      <c r="AH121" s="66"/>
      <c r="AI121" s="66"/>
      <c r="AJ121" s="69"/>
    </row>
    <row r="122">
      <c r="O122" s="66"/>
      <c r="P122" s="66"/>
      <c r="Q122" s="66"/>
      <c r="R122" s="67"/>
      <c r="S122" s="68"/>
      <c r="W122" s="66"/>
      <c r="X122" s="66"/>
      <c r="Y122" s="66"/>
      <c r="Z122" s="66"/>
      <c r="AA122" s="69"/>
      <c r="AD122" s="66"/>
      <c r="AE122" s="66"/>
      <c r="AF122" s="66"/>
      <c r="AG122" s="66"/>
      <c r="AH122" s="66"/>
      <c r="AI122" s="66"/>
      <c r="AJ122" s="69"/>
    </row>
    <row r="123">
      <c r="O123" s="66"/>
      <c r="P123" s="66"/>
      <c r="Q123" s="66"/>
      <c r="R123" s="67"/>
      <c r="S123" s="68"/>
      <c r="W123" s="66"/>
      <c r="X123" s="66"/>
      <c r="Y123" s="66"/>
      <c r="Z123" s="66"/>
      <c r="AA123" s="69"/>
      <c r="AD123" s="66"/>
      <c r="AE123" s="66"/>
      <c r="AF123" s="66"/>
      <c r="AG123" s="66"/>
      <c r="AH123" s="66"/>
      <c r="AI123" s="66"/>
      <c r="AJ123" s="69"/>
    </row>
    <row r="124">
      <c r="O124" s="66"/>
      <c r="P124" s="66"/>
      <c r="Q124" s="66"/>
      <c r="R124" s="67"/>
      <c r="S124" s="68"/>
      <c r="W124" s="66"/>
      <c r="X124" s="66"/>
      <c r="Y124" s="66"/>
      <c r="Z124" s="66"/>
      <c r="AA124" s="69"/>
      <c r="AD124" s="66"/>
      <c r="AE124" s="66"/>
      <c r="AF124" s="66"/>
      <c r="AG124" s="66"/>
      <c r="AH124" s="66"/>
      <c r="AI124" s="66"/>
      <c r="AJ124" s="69"/>
    </row>
    <row r="125">
      <c r="O125" s="66"/>
      <c r="P125" s="66"/>
      <c r="Q125" s="66"/>
      <c r="R125" s="67"/>
      <c r="S125" s="68"/>
      <c r="W125" s="66"/>
      <c r="X125" s="66"/>
      <c r="Y125" s="66"/>
      <c r="Z125" s="66"/>
      <c r="AA125" s="69"/>
      <c r="AD125" s="66"/>
      <c r="AE125" s="66"/>
      <c r="AF125" s="66"/>
      <c r="AG125" s="66"/>
      <c r="AH125" s="66"/>
      <c r="AI125" s="66"/>
      <c r="AJ125" s="69"/>
    </row>
    <row r="126">
      <c r="O126" s="66"/>
      <c r="P126" s="66"/>
      <c r="Q126" s="66"/>
      <c r="R126" s="67"/>
      <c r="S126" s="68"/>
      <c r="W126" s="66"/>
      <c r="X126" s="66"/>
      <c r="Y126" s="66"/>
      <c r="Z126" s="66"/>
      <c r="AA126" s="69"/>
      <c r="AD126" s="66"/>
      <c r="AE126" s="66"/>
      <c r="AF126" s="66"/>
      <c r="AG126" s="66"/>
      <c r="AH126" s="66"/>
      <c r="AI126" s="66"/>
      <c r="AJ126" s="69"/>
    </row>
    <row r="127">
      <c r="O127" s="66"/>
      <c r="P127" s="66"/>
      <c r="Q127" s="66"/>
      <c r="R127" s="67"/>
      <c r="S127" s="68"/>
      <c r="W127" s="66"/>
      <c r="X127" s="66"/>
      <c r="Y127" s="66"/>
      <c r="Z127" s="66"/>
      <c r="AA127" s="69"/>
      <c r="AD127" s="66"/>
      <c r="AE127" s="66"/>
      <c r="AF127" s="66"/>
      <c r="AG127" s="66"/>
      <c r="AH127" s="66"/>
      <c r="AI127" s="66"/>
      <c r="AJ127" s="69"/>
    </row>
    <row r="128">
      <c r="O128" s="66"/>
      <c r="P128" s="66"/>
      <c r="Q128" s="66"/>
      <c r="R128" s="67"/>
      <c r="S128" s="68"/>
      <c r="W128" s="66"/>
      <c r="X128" s="66"/>
      <c r="Y128" s="66"/>
      <c r="Z128" s="66"/>
      <c r="AA128" s="69"/>
      <c r="AD128" s="66"/>
      <c r="AE128" s="66"/>
      <c r="AF128" s="66"/>
      <c r="AG128" s="66"/>
      <c r="AH128" s="66"/>
      <c r="AI128" s="66"/>
      <c r="AJ128" s="69"/>
    </row>
    <row r="129">
      <c r="O129" s="66"/>
      <c r="P129" s="66"/>
      <c r="Q129" s="66"/>
      <c r="R129" s="67"/>
      <c r="S129" s="68"/>
      <c r="W129" s="66"/>
      <c r="X129" s="66"/>
      <c r="Y129" s="66"/>
      <c r="Z129" s="66"/>
      <c r="AA129" s="69"/>
      <c r="AD129" s="66"/>
      <c r="AE129" s="66"/>
      <c r="AF129" s="66"/>
      <c r="AG129" s="66"/>
      <c r="AH129" s="66"/>
      <c r="AI129" s="66"/>
      <c r="AJ129" s="69"/>
    </row>
    <row r="130">
      <c r="O130" s="66"/>
      <c r="P130" s="66"/>
      <c r="Q130" s="66"/>
      <c r="R130" s="67"/>
      <c r="S130" s="68"/>
      <c r="W130" s="66"/>
      <c r="X130" s="66"/>
      <c r="Y130" s="66"/>
      <c r="Z130" s="66"/>
      <c r="AA130" s="69"/>
      <c r="AD130" s="66"/>
      <c r="AE130" s="66"/>
      <c r="AF130" s="66"/>
      <c r="AG130" s="66"/>
      <c r="AH130" s="66"/>
      <c r="AI130" s="66"/>
      <c r="AJ130" s="69"/>
    </row>
    <row r="131">
      <c r="O131" s="66"/>
      <c r="P131" s="66"/>
      <c r="Q131" s="66"/>
      <c r="R131" s="67"/>
      <c r="S131" s="68"/>
      <c r="W131" s="66"/>
      <c r="X131" s="66"/>
      <c r="Y131" s="66"/>
      <c r="Z131" s="66"/>
      <c r="AA131" s="69"/>
      <c r="AD131" s="66"/>
      <c r="AE131" s="66"/>
      <c r="AF131" s="66"/>
      <c r="AG131" s="66"/>
      <c r="AH131" s="66"/>
      <c r="AI131" s="66"/>
      <c r="AJ131" s="69"/>
    </row>
    <row r="132">
      <c r="O132" s="66"/>
      <c r="P132" s="66"/>
      <c r="Q132" s="66"/>
      <c r="R132" s="67"/>
      <c r="S132" s="68"/>
      <c r="W132" s="66"/>
      <c r="X132" s="66"/>
      <c r="Y132" s="66"/>
      <c r="Z132" s="66"/>
      <c r="AA132" s="69"/>
      <c r="AD132" s="66"/>
      <c r="AE132" s="66"/>
      <c r="AF132" s="66"/>
      <c r="AG132" s="66"/>
      <c r="AH132" s="66"/>
      <c r="AI132" s="66"/>
      <c r="AJ132" s="69"/>
    </row>
    <row r="133">
      <c r="O133" s="66"/>
      <c r="P133" s="66"/>
      <c r="Q133" s="66"/>
      <c r="R133" s="67"/>
      <c r="S133" s="68"/>
      <c r="W133" s="66"/>
      <c r="X133" s="66"/>
      <c r="Y133" s="66"/>
      <c r="Z133" s="66"/>
      <c r="AA133" s="69"/>
      <c r="AD133" s="66"/>
      <c r="AE133" s="66"/>
      <c r="AF133" s="66"/>
      <c r="AG133" s="66"/>
      <c r="AH133" s="66"/>
      <c r="AI133" s="66"/>
      <c r="AJ133" s="69"/>
    </row>
    <row r="134">
      <c r="O134" s="66"/>
      <c r="P134" s="66"/>
      <c r="Q134" s="66"/>
      <c r="R134" s="67"/>
      <c r="S134" s="68"/>
      <c r="W134" s="66"/>
      <c r="X134" s="66"/>
      <c r="Y134" s="66"/>
      <c r="Z134" s="66"/>
      <c r="AA134" s="69"/>
      <c r="AD134" s="66"/>
      <c r="AE134" s="66"/>
      <c r="AF134" s="66"/>
      <c r="AG134" s="66"/>
      <c r="AH134" s="66"/>
      <c r="AI134" s="66"/>
      <c r="AJ134" s="69"/>
    </row>
    <row r="135">
      <c r="O135" s="66"/>
      <c r="P135" s="66"/>
      <c r="Q135" s="66"/>
      <c r="R135" s="67"/>
      <c r="S135" s="68"/>
      <c r="W135" s="66"/>
      <c r="X135" s="66"/>
      <c r="Y135" s="66"/>
      <c r="Z135" s="66"/>
      <c r="AA135" s="69"/>
      <c r="AD135" s="66"/>
      <c r="AE135" s="66"/>
      <c r="AF135" s="66"/>
      <c r="AG135" s="66"/>
      <c r="AH135" s="66"/>
      <c r="AI135" s="66"/>
      <c r="AJ135" s="69"/>
    </row>
    <row r="136">
      <c r="O136" s="66"/>
      <c r="P136" s="66"/>
      <c r="Q136" s="66"/>
      <c r="R136" s="67"/>
      <c r="S136" s="68"/>
      <c r="W136" s="66"/>
      <c r="X136" s="66"/>
      <c r="Y136" s="66"/>
      <c r="Z136" s="66"/>
      <c r="AA136" s="69"/>
      <c r="AD136" s="66"/>
      <c r="AE136" s="66"/>
      <c r="AF136" s="66"/>
      <c r="AG136" s="66"/>
      <c r="AH136" s="66"/>
      <c r="AI136" s="66"/>
      <c r="AJ136" s="69"/>
    </row>
    <row r="137">
      <c r="O137" s="66"/>
      <c r="P137" s="66"/>
      <c r="Q137" s="66"/>
      <c r="R137" s="67"/>
      <c r="S137" s="68"/>
      <c r="W137" s="66"/>
      <c r="X137" s="66"/>
      <c r="Y137" s="66"/>
      <c r="Z137" s="66"/>
      <c r="AA137" s="69"/>
      <c r="AD137" s="66"/>
      <c r="AE137" s="66"/>
      <c r="AF137" s="66"/>
      <c r="AG137" s="66"/>
      <c r="AH137" s="66"/>
      <c r="AI137" s="66"/>
      <c r="AJ137" s="69"/>
    </row>
    <row r="138">
      <c r="O138" s="66"/>
      <c r="P138" s="66"/>
      <c r="Q138" s="66"/>
      <c r="R138" s="67"/>
      <c r="S138" s="68"/>
      <c r="W138" s="66"/>
      <c r="X138" s="66"/>
      <c r="Y138" s="66"/>
      <c r="Z138" s="66"/>
      <c r="AA138" s="69"/>
      <c r="AD138" s="66"/>
      <c r="AE138" s="66"/>
      <c r="AF138" s="66"/>
      <c r="AG138" s="66"/>
      <c r="AH138" s="66"/>
      <c r="AI138" s="66"/>
      <c r="AJ138" s="69"/>
    </row>
    <row r="139">
      <c r="O139" s="66"/>
      <c r="P139" s="66"/>
      <c r="Q139" s="66"/>
      <c r="R139" s="67"/>
      <c r="S139" s="68"/>
      <c r="W139" s="66"/>
      <c r="X139" s="66"/>
      <c r="Y139" s="66"/>
      <c r="Z139" s="66"/>
      <c r="AA139" s="69"/>
      <c r="AD139" s="66"/>
      <c r="AE139" s="66"/>
      <c r="AF139" s="66"/>
      <c r="AG139" s="66"/>
      <c r="AH139" s="66"/>
      <c r="AI139" s="66"/>
      <c r="AJ139" s="69"/>
    </row>
    <row r="140">
      <c r="O140" s="66"/>
      <c r="P140" s="66"/>
      <c r="Q140" s="66"/>
      <c r="R140" s="67"/>
      <c r="S140" s="68"/>
      <c r="W140" s="66"/>
      <c r="X140" s="66"/>
      <c r="Y140" s="66"/>
      <c r="Z140" s="66"/>
      <c r="AA140" s="69"/>
      <c r="AD140" s="66"/>
      <c r="AE140" s="66"/>
      <c r="AF140" s="66"/>
      <c r="AG140" s="66"/>
      <c r="AH140" s="66"/>
      <c r="AI140" s="66"/>
      <c r="AJ140" s="69"/>
    </row>
    <row r="141">
      <c r="O141" s="66"/>
      <c r="P141" s="66"/>
      <c r="Q141" s="66"/>
      <c r="R141" s="67"/>
      <c r="S141" s="68"/>
      <c r="W141" s="66"/>
      <c r="X141" s="66"/>
      <c r="Y141" s="66"/>
      <c r="Z141" s="66"/>
      <c r="AA141" s="69"/>
      <c r="AD141" s="66"/>
      <c r="AE141" s="66"/>
      <c r="AF141" s="66"/>
      <c r="AG141" s="66"/>
      <c r="AH141" s="66"/>
      <c r="AI141" s="66"/>
      <c r="AJ141" s="69"/>
    </row>
    <row r="142">
      <c r="O142" s="66"/>
      <c r="P142" s="66"/>
      <c r="Q142" s="66"/>
      <c r="R142" s="67"/>
      <c r="S142" s="68"/>
      <c r="W142" s="66"/>
      <c r="X142" s="66"/>
      <c r="Y142" s="66"/>
      <c r="Z142" s="66"/>
      <c r="AA142" s="69"/>
      <c r="AD142" s="66"/>
      <c r="AE142" s="66"/>
      <c r="AF142" s="66"/>
      <c r="AG142" s="66"/>
      <c r="AH142" s="66"/>
      <c r="AI142" s="66"/>
      <c r="AJ142" s="69"/>
    </row>
    <row r="143">
      <c r="O143" s="66"/>
      <c r="P143" s="66"/>
      <c r="Q143" s="66"/>
      <c r="R143" s="67"/>
      <c r="S143" s="68"/>
      <c r="W143" s="66"/>
      <c r="X143" s="66"/>
      <c r="Y143" s="66"/>
      <c r="Z143" s="66"/>
      <c r="AA143" s="69"/>
      <c r="AD143" s="66"/>
      <c r="AE143" s="66"/>
      <c r="AF143" s="66"/>
      <c r="AG143" s="66"/>
      <c r="AH143" s="66"/>
      <c r="AI143" s="66"/>
      <c r="AJ143" s="69"/>
    </row>
    <row r="144">
      <c r="O144" s="66"/>
      <c r="P144" s="66"/>
      <c r="Q144" s="66"/>
      <c r="R144" s="67"/>
      <c r="S144" s="68"/>
      <c r="W144" s="66"/>
      <c r="X144" s="66"/>
      <c r="Y144" s="66"/>
      <c r="Z144" s="66"/>
      <c r="AA144" s="69"/>
      <c r="AD144" s="66"/>
      <c r="AE144" s="66"/>
      <c r="AF144" s="66"/>
      <c r="AG144" s="66"/>
      <c r="AH144" s="66"/>
      <c r="AI144" s="66"/>
      <c r="AJ144" s="69"/>
    </row>
    <row r="145">
      <c r="O145" s="66"/>
      <c r="P145" s="66"/>
      <c r="Q145" s="66"/>
      <c r="R145" s="67"/>
      <c r="S145" s="68"/>
      <c r="W145" s="66"/>
      <c r="X145" s="66"/>
      <c r="Y145" s="66"/>
      <c r="Z145" s="66"/>
      <c r="AA145" s="69"/>
      <c r="AD145" s="66"/>
      <c r="AE145" s="66"/>
      <c r="AF145" s="66"/>
      <c r="AG145" s="66"/>
      <c r="AH145" s="66"/>
      <c r="AI145" s="66"/>
      <c r="AJ145" s="69"/>
    </row>
    <row r="146">
      <c r="O146" s="66"/>
      <c r="P146" s="66"/>
      <c r="Q146" s="66"/>
      <c r="R146" s="67"/>
      <c r="S146" s="68"/>
      <c r="W146" s="66"/>
      <c r="X146" s="66"/>
      <c r="Y146" s="66"/>
      <c r="Z146" s="66"/>
      <c r="AA146" s="69"/>
      <c r="AD146" s="66"/>
      <c r="AE146" s="66"/>
      <c r="AF146" s="66"/>
      <c r="AG146" s="66"/>
      <c r="AH146" s="66"/>
      <c r="AI146" s="66"/>
      <c r="AJ146" s="69"/>
    </row>
    <row r="147">
      <c r="O147" s="66"/>
      <c r="P147" s="66"/>
      <c r="Q147" s="66"/>
      <c r="R147" s="67"/>
      <c r="S147" s="68"/>
      <c r="W147" s="66"/>
      <c r="X147" s="66"/>
      <c r="Y147" s="66"/>
      <c r="Z147" s="66"/>
      <c r="AA147" s="69"/>
      <c r="AD147" s="66"/>
      <c r="AE147" s="66"/>
      <c r="AF147" s="66"/>
      <c r="AG147" s="66"/>
      <c r="AH147" s="66"/>
      <c r="AI147" s="66"/>
      <c r="AJ147" s="69"/>
    </row>
    <row r="148">
      <c r="O148" s="66"/>
      <c r="P148" s="66"/>
      <c r="Q148" s="66"/>
      <c r="R148" s="67"/>
      <c r="S148" s="68"/>
      <c r="W148" s="66"/>
      <c r="X148" s="66"/>
      <c r="Y148" s="66"/>
      <c r="Z148" s="66"/>
      <c r="AA148" s="69"/>
      <c r="AD148" s="66"/>
      <c r="AE148" s="66"/>
      <c r="AF148" s="66"/>
      <c r="AG148" s="66"/>
      <c r="AH148" s="66"/>
      <c r="AI148" s="66"/>
      <c r="AJ148" s="69"/>
    </row>
    <row r="149">
      <c r="O149" s="66"/>
      <c r="P149" s="66"/>
      <c r="Q149" s="66"/>
      <c r="R149" s="67"/>
      <c r="S149" s="68"/>
      <c r="W149" s="66"/>
      <c r="X149" s="66"/>
      <c r="Y149" s="66"/>
      <c r="Z149" s="66"/>
      <c r="AA149" s="69"/>
      <c r="AD149" s="66"/>
      <c r="AE149" s="66"/>
      <c r="AF149" s="66"/>
      <c r="AG149" s="66"/>
      <c r="AH149" s="66"/>
      <c r="AI149" s="66"/>
      <c r="AJ149" s="69"/>
    </row>
    <row r="150">
      <c r="O150" s="66"/>
      <c r="P150" s="66"/>
      <c r="Q150" s="66"/>
      <c r="R150" s="67"/>
      <c r="S150" s="68"/>
      <c r="W150" s="66"/>
      <c r="X150" s="66"/>
      <c r="Y150" s="66"/>
      <c r="Z150" s="66"/>
      <c r="AA150" s="69"/>
      <c r="AD150" s="66"/>
      <c r="AE150" s="66"/>
      <c r="AF150" s="66"/>
      <c r="AG150" s="66"/>
      <c r="AH150" s="66"/>
      <c r="AI150" s="66"/>
      <c r="AJ150" s="69"/>
    </row>
    <row r="151">
      <c r="O151" s="66"/>
      <c r="P151" s="66"/>
      <c r="Q151" s="66"/>
      <c r="R151" s="67"/>
      <c r="S151" s="68"/>
      <c r="W151" s="66"/>
      <c r="X151" s="66"/>
      <c r="Y151" s="66"/>
      <c r="Z151" s="66"/>
      <c r="AA151" s="69"/>
      <c r="AD151" s="66"/>
      <c r="AE151" s="66"/>
      <c r="AF151" s="66"/>
      <c r="AG151" s="66"/>
      <c r="AH151" s="66"/>
      <c r="AI151" s="66"/>
      <c r="AJ151" s="69"/>
    </row>
    <row r="152">
      <c r="O152" s="66"/>
      <c r="P152" s="66"/>
      <c r="Q152" s="66"/>
      <c r="R152" s="67"/>
      <c r="S152" s="68"/>
      <c r="W152" s="66"/>
      <c r="X152" s="66"/>
      <c r="Y152" s="66"/>
      <c r="Z152" s="66"/>
      <c r="AA152" s="69"/>
      <c r="AD152" s="66"/>
      <c r="AE152" s="66"/>
      <c r="AF152" s="66"/>
      <c r="AG152" s="66"/>
      <c r="AH152" s="66"/>
      <c r="AI152" s="66"/>
      <c r="AJ152" s="69"/>
    </row>
    <row r="153">
      <c r="O153" s="66"/>
      <c r="P153" s="66"/>
      <c r="Q153" s="66"/>
      <c r="R153" s="67"/>
      <c r="S153" s="68"/>
      <c r="W153" s="66"/>
      <c r="X153" s="66"/>
      <c r="Y153" s="66"/>
      <c r="Z153" s="66"/>
      <c r="AA153" s="69"/>
      <c r="AD153" s="66"/>
      <c r="AE153" s="66"/>
      <c r="AF153" s="66"/>
      <c r="AG153" s="66"/>
      <c r="AH153" s="66"/>
      <c r="AI153" s="66"/>
      <c r="AJ153" s="69"/>
    </row>
    <row r="154">
      <c r="O154" s="66"/>
      <c r="P154" s="66"/>
      <c r="Q154" s="66"/>
      <c r="R154" s="67"/>
      <c r="S154" s="68"/>
      <c r="W154" s="66"/>
      <c r="X154" s="66"/>
      <c r="Y154" s="66"/>
      <c r="Z154" s="66"/>
      <c r="AA154" s="69"/>
      <c r="AD154" s="66"/>
      <c r="AE154" s="66"/>
      <c r="AF154" s="66"/>
      <c r="AG154" s="66"/>
      <c r="AH154" s="66"/>
      <c r="AI154" s="66"/>
      <c r="AJ154" s="69"/>
    </row>
    <row r="155">
      <c r="O155" s="66"/>
      <c r="P155" s="66"/>
      <c r="Q155" s="66"/>
      <c r="R155" s="67"/>
      <c r="S155" s="68"/>
      <c r="W155" s="66"/>
      <c r="X155" s="66"/>
      <c r="Y155" s="66"/>
      <c r="Z155" s="66"/>
      <c r="AA155" s="69"/>
      <c r="AD155" s="66"/>
      <c r="AE155" s="66"/>
      <c r="AF155" s="66"/>
      <c r="AG155" s="66"/>
      <c r="AH155" s="66"/>
      <c r="AI155" s="66"/>
      <c r="AJ155" s="69"/>
    </row>
    <row r="156">
      <c r="O156" s="66"/>
      <c r="P156" s="66"/>
      <c r="Q156" s="66"/>
      <c r="R156" s="67"/>
      <c r="S156" s="68"/>
      <c r="W156" s="66"/>
      <c r="X156" s="66"/>
      <c r="Y156" s="66"/>
      <c r="Z156" s="66"/>
      <c r="AA156" s="69"/>
      <c r="AD156" s="66"/>
      <c r="AE156" s="66"/>
      <c r="AF156" s="66"/>
      <c r="AG156" s="66"/>
      <c r="AH156" s="66"/>
      <c r="AI156" s="66"/>
      <c r="AJ156" s="69"/>
    </row>
    <row r="157">
      <c r="O157" s="66"/>
      <c r="P157" s="66"/>
      <c r="Q157" s="66"/>
      <c r="R157" s="67"/>
      <c r="S157" s="68"/>
      <c r="W157" s="66"/>
      <c r="X157" s="66"/>
      <c r="Y157" s="66"/>
      <c r="Z157" s="66"/>
      <c r="AA157" s="69"/>
      <c r="AD157" s="66"/>
      <c r="AE157" s="66"/>
      <c r="AF157" s="66"/>
      <c r="AG157" s="66"/>
      <c r="AH157" s="66"/>
      <c r="AI157" s="66"/>
      <c r="AJ157" s="69"/>
    </row>
    <row r="158">
      <c r="O158" s="66"/>
      <c r="P158" s="66"/>
      <c r="Q158" s="66"/>
      <c r="R158" s="67"/>
      <c r="S158" s="68"/>
      <c r="W158" s="66"/>
      <c r="X158" s="66"/>
      <c r="Y158" s="66"/>
      <c r="Z158" s="66"/>
      <c r="AA158" s="69"/>
      <c r="AD158" s="66"/>
      <c r="AE158" s="66"/>
      <c r="AF158" s="66"/>
      <c r="AG158" s="66"/>
      <c r="AH158" s="66"/>
      <c r="AI158" s="66"/>
      <c r="AJ158" s="69"/>
    </row>
    <row r="159">
      <c r="O159" s="66"/>
      <c r="P159" s="66"/>
      <c r="Q159" s="66"/>
      <c r="R159" s="67"/>
      <c r="S159" s="68"/>
      <c r="W159" s="66"/>
      <c r="X159" s="66"/>
      <c r="Y159" s="66"/>
      <c r="Z159" s="66"/>
      <c r="AA159" s="69"/>
      <c r="AD159" s="66"/>
      <c r="AE159" s="66"/>
      <c r="AF159" s="66"/>
      <c r="AG159" s="66"/>
      <c r="AH159" s="66"/>
      <c r="AI159" s="66"/>
      <c r="AJ159" s="69"/>
    </row>
    <row r="160">
      <c r="O160" s="66"/>
      <c r="P160" s="66"/>
      <c r="Q160" s="66"/>
      <c r="R160" s="67"/>
      <c r="S160" s="68"/>
      <c r="W160" s="66"/>
      <c r="X160" s="66"/>
      <c r="Y160" s="66"/>
      <c r="Z160" s="66"/>
      <c r="AA160" s="69"/>
      <c r="AD160" s="66"/>
      <c r="AE160" s="66"/>
      <c r="AF160" s="66"/>
      <c r="AG160" s="66"/>
      <c r="AH160" s="66"/>
      <c r="AI160" s="66"/>
      <c r="AJ160" s="69"/>
    </row>
    <row r="161">
      <c r="O161" s="66"/>
      <c r="P161" s="66"/>
      <c r="Q161" s="66"/>
      <c r="R161" s="67"/>
      <c r="S161" s="68"/>
      <c r="W161" s="66"/>
      <c r="X161" s="66"/>
      <c r="Y161" s="66"/>
      <c r="Z161" s="66"/>
      <c r="AA161" s="69"/>
      <c r="AD161" s="66"/>
      <c r="AE161" s="66"/>
      <c r="AF161" s="66"/>
      <c r="AG161" s="66"/>
      <c r="AH161" s="66"/>
      <c r="AI161" s="66"/>
      <c r="AJ161" s="69"/>
    </row>
    <row r="162">
      <c r="O162" s="66"/>
      <c r="P162" s="66"/>
      <c r="Q162" s="66"/>
      <c r="R162" s="67"/>
      <c r="S162" s="68"/>
      <c r="W162" s="66"/>
      <c r="X162" s="66"/>
      <c r="Y162" s="66"/>
      <c r="Z162" s="66"/>
      <c r="AA162" s="69"/>
      <c r="AD162" s="66"/>
      <c r="AE162" s="66"/>
      <c r="AF162" s="66"/>
      <c r="AG162" s="66"/>
      <c r="AH162" s="66"/>
      <c r="AI162" s="66"/>
      <c r="AJ162" s="69"/>
    </row>
    <row r="163">
      <c r="O163" s="66"/>
      <c r="P163" s="66"/>
      <c r="Q163" s="66"/>
      <c r="R163" s="67"/>
      <c r="S163" s="68"/>
      <c r="W163" s="66"/>
      <c r="X163" s="66"/>
      <c r="Y163" s="66"/>
      <c r="Z163" s="66"/>
      <c r="AA163" s="69"/>
      <c r="AD163" s="66"/>
      <c r="AE163" s="66"/>
      <c r="AF163" s="66"/>
      <c r="AG163" s="66"/>
      <c r="AH163" s="66"/>
      <c r="AI163" s="66"/>
      <c r="AJ163" s="69"/>
    </row>
    <row r="164">
      <c r="O164" s="66"/>
      <c r="P164" s="66"/>
      <c r="Q164" s="66"/>
      <c r="R164" s="67"/>
      <c r="S164" s="68"/>
      <c r="W164" s="66"/>
      <c r="X164" s="66"/>
      <c r="Y164" s="66"/>
      <c r="Z164" s="66"/>
      <c r="AA164" s="69"/>
      <c r="AD164" s="66"/>
      <c r="AE164" s="66"/>
      <c r="AF164" s="66"/>
      <c r="AG164" s="66"/>
      <c r="AH164" s="66"/>
      <c r="AI164" s="66"/>
      <c r="AJ164" s="69"/>
    </row>
    <row r="165">
      <c r="O165" s="66"/>
      <c r="P165" s="66"/>
      <c r="Q165" s="66"/>
      <c r="R165" s="67"/>
      <c r="S165" s="68"/>
      <c r="W165" s="66"/>
      <c r="X165" s="66"/>
      <c r="Y165" s="66"/>
      <c r="Z165" s="66"/>
      <c r="AA165" s="69"/>
      <c r="AD165" s="66"/>
      <c r="AE165" s="66"/>
      <c r="AF165" s="66"/>
      <c r="AG165" s="66"/>
      <c r="AH165" s="66"/>
      <c r="AI165" s="66"/>
      <c r="AJ165" s="69"/>
    </row>
    <row r="166">
      <c r="O166" s="66"/>
      <c r="P166" s="66"/>
      <c r="Q166" s="66"/>
      <c r="R166" s="67"/>
      <c r="S166" s="68"/>
      <c r="W166" s="66"/>
      <c r="X166" s="66"/>
      <c r="Y166" s="66"/>
      <c r="Z166" s="66"/>
      <c r="AA166" s="69"/>
      <c r="AD166" s="66"/>
      <c r="AE166" s="66"/>
      <c r="AF166" s="66"/>
      <c r="AG166" s="66"/>
      <c r="AH166" s="66"/>
      <c r="AI166" s="66"/>
      <c r="AJ166" s="69"/>
    </row>
    <row r="167">
      <c r="O167" s="66"/>
      <c r="P167" s="66"/>
      <c r="Q167" s="66"/>
      <c r="R167" s="67"/>
      <c r="S167" s="68"/>
      <c r="W167" s="66"/>
      <c r="X167" s="66"/>
      <c r="Y167" s="66"/>
      <c r="Z167" s="66"/>
      <c r="AA167" s="69"/>
      <c r="AD167" s="66"/>
      <c r="AE167" s="66"/>
      <c r="AF167" s="66"/>
      <c r="AG167" s="66"/>
      <c r="AH167" s="66"/>
      <c r="AI167" s="66"/>
      <c r="AJ167" s="69"/>
    </row>
    <row r="168">
      <c r="O168" s="66"/>
      <c r="P168" s="66"/>
      <c r="Q168" s="66"/>
      <c r="R168" s="67"/>
      <c r="S168" s="68"/>
      <c r="W168" s="66"/>
      <c r="X168" s="66"/>
      <c r="Y168" s="66"/>
      <c r="Z168" s="66"/>
      <c r="AA168" s="69"/>
      <c r="AD168" s="66"/>
      <c r="AE168" s="66"/>
      <c r="AF168" s="66"/>
      <c r="AG168" s="66"/>
      <c r="AH168" s="66"/>
      <c r="AI168" s="66"/>
      <c r="AJ168" s="69"/>
    </row>
    <row r="169">
      <c r="O169" s="66"/>
      <c r="P169" s="66"/>
      <c r="Q169" s="66"/>
      <c r="R169" s="67"/>
      <c r="S169" s="68"/>
      <c r="W169" s="66"/>
      <c r="X169" s="66"/>
      <c r="Y169" s="66"/>
      <c r="Z169" s="66"/>
      <c r="AA169" s="69"/>
      <c r="AD169" s="66"/>
      <c r="AE169" s="66"/>
      <c r="AF169" s="66"/>
      <c r="AG169" s="66"/>
      <c r="AH169" s="66"/>
      <c r="AI169" s="66"/>
      <c r="AJ169" s="69"/>
    </row>
    <row r="170">
      <c r="O170" s="66"/>
      <c r="P170" s="66"/>
      <c r="Q170" s="66"/>
      <c r="R170" s="67"/>
      <c r="S170" s="68"/>
      <c r="W170" s="66"/>
      <c r="X170" s="66"/>
      <c r="Y170" s="66"/>
      <c r="Z170" s="66"/>
      <c r="AA170" s="69"/>
      <c r="AD170" s="66"/>
      <c r="AE170" s="66"/>
      <c r="AF170" s="66"/>
      <c r="AG170" s="66"/>
      <c r="AH170" s="66"/>
      <c r="AI170" s="66"/>
      <c r="AJ170" s="69"/>
    </row>
    <row r="171">
      <c r="O171" s="66"/>
      <c r="P171" s="66"/>
      <c r="Q171" s="66"/>
      <c r="R171" s="67"/>
      <c r="S171" s="68"/>
      <c r="W171" s="66"/>
      <c r="X171" s="66"/>
      <c r="Y171" s="66"/>
      <c r="Z171" s="66"/>
      <c r="AA171" s="69"/>
      <c r="AD171" s="66"/>
      <c r="AE171" s="66"/>
      <c r="AF171" s="66"/>
      <c r="AG171" s="66"/>
      <c r="AH171" s="66"/>
      <c r="AI171" s="66"/>
      <c r="AJ171" s="69"/>
    </row>
    <row r="172">
      <c r="O172" s="66"/>
      <c r="P172" s="66"/>
      <c r="Q172" s="66"/>
      <c r="R172" s="67"/>
      <c r="S172" s="68"/>
      <c r="W172" s="66"/>
      <c r="X172" s="66"/>
      <c r="Y172" s="66"/>
      <c r="Z172" s="66"/>
      <c r="AA172" s="69"/>
      <c r="AD172" s="66"/>
      <c r="AE172" s="66"/>
      <c r="AF172" s="66"/>
      <c r="AG172" s="66"/>
      <c r="AH172" s="66"/>
      <c r="AI172" s="66"/>
      <c r="AJ172" s="69"/>
    </row>
    <row r="173">
      <c r="O173" s="66"/>
      <c r="P173" s="66"/>
      <c r="Q173" s="66"/>
      <c r="R173" s="67"/>
      <c r="S173" s="68"/>
      <c r="W173" s="66"/>
      <c r="X173" s="66"/>
      <c r="Y173" s="66"/>
      <c r="Z173" s="66"/>
      <c r="AA173" s="69"/>
      <c r="AD173" s="66"/>
      <c r="AE173" s="66"/>
      <c r="AF173" s="66"/>
      <c r="AG173" s="66"/>
      <c r="AH173" s="66"/>
      <c r="AI173" s="66"/>
      <c r="AJ173" s="69"/>
    </row>
    <row r="174">
      <c r="O174" s="66"/>
      <c r="P174" s="66"/>
      <c r="Q174" s="66"/>
      <c r="R174" s="67"/>
      <c r="S174" s="68"/>
      <c r="W174" s="66"/>
      <c r="X174" s="66"/>
      <c r="Y174" s="66"/>
      <c r="Z174" s="66"/>
      <c r="AA174" s="69"/>
      <c r="AD174" s="66"/>
      <c r="AE174" s="66"/>
      <c r="AF174" s="66"/>
      <c r="AG174" s="66"/>
      <c r="AH174" s="66"/>
      <c r="AI174" s="66"/>
      <c r="AJ174" s="69"/>
    </row>
    <row r="175">
      <c r="O175" s="66"/>
      <c r="P175" s="66"/>
      <c r="Q175" s="66"/>
      <c r="R175" s="67"/>
      <c r="S175" s="68"/>
      <c r="W175" s="66"/>
      <c r="X175" s="66"/>
      <c r="Y175" s="66"/>
      <c r="Z175" s="66"/>
      <c r="AA175" s="69"/>
      <c r="AD175" s="66"/>
      <c r="AE175" s="66"/>
      <c r="AF175" s="66"/>
      <c r="AG175" s="66"/>
      <c r="AH175" s="66"/>
      <c r="AI175" s="66"/>
      <c r="AJ175" s="69"/>
    </row>
    <row r="176">
      <c r="O176" s="66"/>
      <c r="P176" s="66"/>
      <c r="Q176" s="66"/>
      <c r="R176" s="67"/>
      <c r="S176" s="68"/>
      <c r="W176" s="66"/>
      <c r="X176" s="66"/>
      <c r="Y176" s="66"/>
      <c r="Z176" s="66"/>
      <c r="AA176" s="69"/>
      <c r="AD176" s="66"/>
      <c r="AE176" s="66"/>
      <c r="AF176" s="66"/>
      <c r="AG176" s="66"/>
      <c r="AH176" s="66"/>
      <c r="AI176" s="66"/>
      <c r="AJ176" s="69"/>
    </row>
    <row r="177">
      <c r="O177" s="66"/>
      <c r="P177" s="66"/>
      <c r="Q177" s="66"/>
      <c r="R177" s="67"/>
      <c r="S177" s="68"/>
      <c r="W177" s="66"/>
      <c r="X177" s="66"/>
      <c r="Y177" s="66"/>
      <c r="Z177" s="66"/>
      <c r="AA177" s="69"/>
      <c r="AD177" s="66"/>
      <c r="AE177" s="66"/>
      <c r="AF177" s="66"/>
      <c r="AG177" s="66"/>
      <c r="AH177" s="66"/>
      <c r="AI177" s="66"/>
      <c r="AJ177" s="69"/>
    </row>
    <row r="178">
      <c r="O178" s="66"/>
      <c r="P178" s="66"/>
      <c r="Q178" s="66"/>
      <c r="R178" s="67"/>
      <c r="S178" s="68"/>
      <c r="W178" s="66"/>
      <c r="X178" s="66"/>
      <c r="Y178" s="66"/>
      <c r="Z178" s="66"/>
      <c r="AA178" s="69"/>
      <c r="AD178" s="66"/>
      <c r="AE178" s="66"/>
      <c r="AF178" s="66"/>
      <c r="AG178" s="66"/>
      <c r="AH178" s="66"/>
      <c r="AI178" s="66"/>
      <c r="AJ178" s="69"/>
    </row>
    <row r="179">
      <c r="O179" s="66"/>
      <c r="P179" s="66"/>
      <c r="Q179" s="66"/>
      <c r="R179" s="67"/>
      <c r="S179" s="68"/>
      <c r="W179" s="66"/>
      <c r="X179" s="66"/>
      <c r="Y179" s="66"/>
      <c r="Z179" s="66"/>
      <c r="AA179" s="69"/>
      <c r="AD179" s="66"/>
      <c r="AE179" s="66"/>
      <c r="AF179" s="66"/>
      <c r="AG179" s="66"/>
      <c r="AH179" s="66"/>
      <c r="AI179" s="66"/>
      <c r="AJ179" s="69"/>
    </row>
    <row r="180">
      <c r="O180" s="66"/>
      <c r="P180" s="66"/>
      <c r="Q180" s="66"/>
      <c r="R180" s="67"/>
      <c r="S180" s="68"/>
      <c r="W180" s="66"/>
      <c r="X180" s="66"/>
      <c r="Y180" s="66"/>
      <c r="Z180" s="66"/>
      <c r="AA180" s="69"/>
      <c r="AD180" s="66"/>
      <c r="AE180" s="66"/>
      <c r="AF180" s="66"/>
      <c r="AG180" s="66"/>
      <c r="AH180" s="66"/>
      <c r="AI180" s="66"/>
      <c r="AJ180" s="69"/>
    </row>
    <row r="181">
      <c r="O181" s="66"/>
      <c r="P181" s="66"/>
      <c r="Q181" s="66"/>
      <c r="R181" s="67"/>
      <c r="S181" s="68"/>
      <c r="W181" s="66"/>
      <c r="X181" s="66"/>
      <c r="Y181" s="66"/>
      <c r="Z181" s="66"/>
      <c r="AA181" s="69"/>
      <c r="AD181" s="66"/>
      <c r="AE181" s="66"/>
      <c r="AF181" s="66"/>
      <c r="AG181" s="66"/>
      <c r="AH181" s="66"/>
      <c r="AI181" s="66"/>
      <c r="AJ181" s="69"/>
    </row>
    <row r="182">
      <c r="O182" s="66"/>
      <c r="P182" s="66"/>
      <c r="Q182" s="66"/>
      <c r="R182" s="67"/>
      <c r="S182" s="68"/>
      <c r="W182" s="66"/>
      <c r="X182" s="66"/>
      <c r="Y182" s="66"/>
      <c r="Z182" s="66"/>
      <c r="AA182" s="69"/>
      <c r="AD182" s="66"/>
      <c r="AE182" s="66"/>
      <c r="AF182" s="66"/>
      <c r="AG182" s="66"/>
      <c r="AH182" s="66"/>
      <c r="AI182" s="66"/>
      <c r="AJ182" s="69"/>
    </row>
    <row r="183">
      <c r="O183" s="66"/>
      <c r="P183" s="66"/>
      <c r="Q183" s="66"/>
      <c r="R183" s="67"/>
      <c r="S183" s="68"/>
      <c r="W183" s="66"/>
      <c r="X183" s="66"/>
      <c r="Y183" s="66"/>
      <c r="Z183" s="66"/>
      <c r="AA183" s="69"/>
      <c r="AD183" s="66"/>
      <c r="AE183" s="66"/>
      <c r="AF183" s="66"/>
      <c r="AG183" s="66"/>
      <c r="AH183" s="66"/>
      <c r="AI183" s="66"/>
      <c r="AJ183" s="69"/>
    </row>
    <row r="184">
      <c r="O184" s="66"/>
      <c r="P184" s="66"/>
      <c r="Q184" s="66"/>
      <c r="R184" s="67"/>
      <c r="S184" s="68"/>
      <c r="W184" s="66"/>
      <c r="X184" s="66"/>
      <c r="Y184" s="66"/>
      <c r="Z184" s="66"/>
      <c r="AA184" s="69"/>
      <c r="AD184" s="66"/>
      <c r="AE184" s="66"/>
      <c r="AF184" s="66"/>
      <c r="AG184" s="66"/>
      <c r="AH184" s="66"/>
      <c r="AI184" s="66"/>
      <c r="AJ184" s="69"/>
    </row>
    <row r="185">
      <c r="O185" s="66"/>
      <c r="P185" s="66"/>
      <c r="Q185" s="66"/>
      <c r="R185" s="67"/>
      <c r="S185" s="68"/>
      <c r="W185" s="66"/>
      <c r="X185" s="66"/>
      <c r="Y185" s="66"/>
      <c r="Z185" s="66"/>
      <c r="AA185" s="69"/>
      <c r="AD185" s="66"/>
      <c r="AE185" s="66"/>
      <c r="AF185" s="66"/>
      <c r="AG185" s="66"/>
      <c r="AH185" s="66"/>
      <c r="AI185" s="66"/>
      <c r="AJ185" s="69"/>
    </row>
    <row r="186">
      <c r="O186" s="66"/>
      <c r="P186" s="66"/>
      <c r="Q186" s="66"/>
      <c r="R186" s="67"/>
      <c r="S186" s="68"/>
      <c r="W186" s="66"/>
      <c r="X186" s="66"/>
      <c r="Y186" s="66"/>
      <c r="Z186" s="66"/>
      <c r="AA186" s="69"/>
      <c r="AD186" s="66"/>
      <c r="AE186" s="66"/>
      <c r="AF186" s="66"/>
      <c r="AG186" s="66"/>
      <c r="AH186" s="66"/>
      <c r="AI186" s="66"/>
      <c r="AJ186" s="69"/>
    </row>
    <row r="187">
      <c r="O187" s="66"/>
      <c r="P187" s="66"/>
      <c r="Q187" s="66"/>
      <c r="R187" s="67"/>
      <c r="S187" s="68"/>
      <c r="W187" s="66"/>
      <c r="X187" s="66"/>
      <c r="Y187" s="66"/>
      <c r="Z187" s="66"/>
      <c r="AA187" s="69"/>
      <c r="AD187" s="66"/>
      <c r="AE187" s="66"/>
      <c r="AF187" s="66"/>
      <c r="AG187" s="66"/>
      <c r="AH187" s="66"/>
      <c r="AI187" s="66"/>
      <c r="AJ187" s="69"/>
    </row>
    <row r="188">
      <c r="O188" s="66"/>
      <c r="P188" s="66"/>
      <c r="Q188" s="66"/>
      <c r="R188" s="67"/>
      <c r="S188" s="68"/>
      <c r="W188" s="66"/>
      <c r="X188" s="66"/>
      <c r="Y188" s="66"/>
      <c r="Z188" s="66"/>
      <c r="AA188" s="69"/>
      <c r="AD188" s="66"/>
      <c r="AE188" s="66"/>
      <c r="AF188" s="66"/>
      <c r="AG188" s="66"/>
      <c r="AH188" s="66"/>
      <c r="AI188" s="66"/>
      <c r="AJ188" s="69"/>
    </row>
    <row r="189">
      <c r="O189" s="66"/>
      <c r="P189" s="66"/>
      <c r="Q189" s="66"/>
      <c r="R189" s="67"/>
      <c r="S189" s="68"/>
      <c r="W189" s="66"/>
      <c r="X189" s="66"/>
      <c r="Y189" s="66"/>
      <c r="Z189" s="66"/>
      <c r="AA189" s="69"/>
      <c r="AD189" s="66"/>
      <c r="AE189" s="66"/>
      <c r="AF189" s="66"/>
      <c r="AG189" s="66"/>
      <c r="AH189" s="66"/>
      <c r="AI189" s="66"/>
      <c r="AJ189" s="69"/>
    </row>
    <row r="190">
      <c r="O190" s="66"/>
      <c r="P190" s="66"/>
      <c r="Q190" s="66"/>
      <c r="R190" s="67"/>
      <c r="S190" s="68"/>
      <c r="W190" s="66"/>
      <c r="X190" s="66"/>
      <c r="Y190" s="66"/>
      <c r="Z190" s="66"/>
      <c r="AA190" s="69"/>
      <c r="AD190" s="66"/>
      <c r="AE190" s="66"/>
      <c r="AF190" s="66"/>
      <c r="AG190" s="66"/>
      <c r="AH190" s="66"/>
      <c r="AI190" s="66"/>
      <c r="AJ190" s="69"/>
    </row>
    <row r="191">
      <c r="O191" s="66"/>
      <c r="P191" s="66"/>
      <c r="Q191" s="66"/>
      <c r="R191" s="67"/>
      <c r="S191" s="68"/>
      <c r="W191" s="66"/>
      <c r="X191" s="66"/>
      <c r="Y191" s="66"/>
      <c r="Z191" s="66"/>
      <c r="AA191" s="69"/>
      <c r="AD191" s="66"/>
      <c r="AE191" s="66"/>
      <c r="AF191" s="66"/>
      <c r="AG191" s="66"/>
      <c r="AH191" s="66"/>
      <c r="AI191" s="66"/>
      <c r="AJ191" s="69"/>
    </row>
    <row r="192">
      <c r="O192" s="66"/>
      <c r="P192" s="66"/>
      <c r="Q192" s="66"/>
      <c r="R192" s="67"/>
      <c r="S192" s="68"/>
      <c r="W192" s="66"/>
      <c r="X192" s="66"/>
      <c r="Y192" s="66"/>
      <c r="Z192" s="66"/>
      <c r="AA192" s="69"/>
      <c r="AD192" s="66"/>
      <c r="AE192" s="66"/>
      <c r="AF192" s="66"/>
      <c r="AG192" s="66"/>
      <c r="AH192" s="66"/>
      <c r="AI192" s="66"/>
      <c r="AJ192" s="69"/>
    </row>
    <row r="193">
      <c r="O193" s="66"/>
      <c r="P193" s="66"/>
      <c r="Q193" s="66"/>
      <c r="R193" s="67"/>
      <c r="S193" s="68"/>
      <c r="W193" s="66"/>
      <c r="X193" s="66"/>
      <c r="Y193" s="66"/>
      <c r="Z193" s="66"/>
      <c r="AA193" s="69"/>
      <c r="AD193" s="66"/>
      <c r="AE193" s="66"/>
      <c r="AF193" s="66"/>
      <c r="AG193" s="66"/>
      <c r="AH193" s="66"/>
      <c r="AI193" s="66"/>
      <c r="AJ193" s="69"/>
    </row>
    <row r="194">
      <c r="O194" s="66"/>
      <c r="P194" s="66"/>
      <c r="Q194" s="66"/>
      <c r="R194" s="67"/>
      <c r="S194" s="68"/>
      <c r="W194" s="66"/>
      <c r="X194" s="66"/>
      <c r="Y194" s="66"/>
      <c r="Z194" s="66"/>
      <c r="AA194" s="69"/>
      <c r="AD194" s="66"/>
      <c r="AE194" s="66"/>
      <c r="AF194" s="66"/>
      <c r="AG194" s="66"/>
      <c r="AH194" s="66"/>
      <c r="AI194" s="66"/>
      <c r="AJ194" s="69"/>
    </row>
    <row r="195">
      <c r="O195" s="66"/>
      <c r="P195" s="66"/>
      <c r="Q195" s="66"/>
      <c r="R195" s="67"/>
      <c r="S195" s="68"/>
      <c r="W195" s="66"/>
      <c r="X195" s="66"/>
      <c r="Y195" s="66"/>
      <c r="Z195" s="66"/>
      <c r="AA195" s="69"/>
      <c r="AD195" s="66"/>
      <c r="AE195" s="66"/>
      <c r="AF195" s="66"/>
      <c r="AG195" s="66"/>
      <c r="AH195" s="66"/>
      <c r="AI195" s="66"/>
      <c r="AJ195" s="69"/>
    </row>
    <row r="196">
      <c r="O196" s="66"/>
      <c r="P196" s="66"/>
      <c r="Q196" s="66"/>
      <c r="R196" s="67"/>
      <c r="S196" s="68"/>
      <c r="W196" s="66"/>
      <c r="X196" s="66"/>
      <c r="Y196" s="66"/>
      <c r="Z196" s="66"/>
      <c r="AA196" s="69"/>
      <c r="AD196" s="66"/>
      <c r="AE196" s="66"/>
      <c r="AF196" s="66"/>
      <c r="AG196" s="66"/>
      <c r="AH196" s="66"/>
      <c r="AI196" s="66"/>
      <c r="AJ196" s="69"/>
    </row>
    <row r="197">
      <c r="O197" s="66"/>
      <c r="P197" s="66"/>
      <c r="Q197" s="66"/>
      <c r="R197" s="67"/>
      <c r="S197" s="68"/>
      <c r="W197" s="66"/>
      <c r="X197" s="66"/>
      <c r="Y197" s="66"/>
      <c r="Z197" s="66"/>
      <c r="AA197" s="69"/>
      <c r="AD197" s="66"/>
      <c r="AE197" s="66"/>
      <c r="AF197" s="66"/>
      <c r="AG197" s="66"/>
      <c r="AH197" s="66"/>
      <c r="AI197" s="66"/>
      <c r="AJ197" s="69"/>
    </row>
    <row r="198">
      <c r="O198" s="66"/>
      <c r="P198" s="66"/>
      <c r="Q198" s="66"/>
      <c r="R198" s="67"/>
      <c r="S198" s="68"/>
      <c r="W198" s="66"/>
      <c r="X198" s="66"/>
      <c r="Y198" s="66"/>
      <c r="Z198" s="66"/>
      <c r="AA198" s="69"/>
      <c r="AD198" s="66"/>
      <c r="AE198" s="66"/>
      <c r="AF198" s="66"/>
      <c r="AG198" s="66"/>
      <c r="AH198" s="66"/>
      <c r="AI198" s="66"/>
      <c r="AJ198" s="69"/>
    </row>
    <row r="199">
      <c r="O199" s="66"/>
      <c r="P199" s="66"/>
      <c r="Q199" s="66"/>
      <c r="R199" s="67"/>
      <c r="S199" s="68"/>
      <c r="W199" s="66"/>
      <c r="X199" s="66"/>
      <c r="Y199" s="66"/>
      <c r="Z199" s="66"/>
      <c r="AA199" s="69"/>
      <c r="AD199" s="66"/>
      <c r="AE199" s="66"/>
      <c r="AF199" s="66"/>
      <c r="AG199" s="66"/>
      <c r="AH199" s="66"/>
      <c r="AI199" s="66"/>
      <c r="AJ199" s="69"/>
    </row>
    <row r="200">
      <c r="O200" s="66"/>
      <c r="P200" s="66"/>
      <c r="Q200" s="66"/>
      <c r="R200" s="67"/>
      <c r="S200" s="68"/>
      <c r="W200" s="66"/>
      <c r="X200" s="66"/>
      <c r="Y200" s="66"/>
      <c r="Z200" s="66"/>
      <c r="AA200" s="69"/>
      <c r="AD200" s="66"/>
      <c r="AE200" s="66"/>
      <c r="AF200" s="66"/>
      <c r="AG200" s="66"/>
      <c r="AH200" s="66"/>
      <c r="AI200" s="66"/>
      <c r="AJ200" s="69"/>
    </row>
    <row r="201">
      <c r="O201" s="66"/>
      <c r="P201" s="66"/>
      <c r="Q201" s="66"/>
      <c r="R201" s="67"/>
      <c r="S201" s="68"/>
      <c r="W201" s="66"/>
      <c r="X201" s="66"/>
      <c r="Y201" s="66"/>
      <c r="Z201" s="66"/>
      <c r="AA201" s="69"/>
      <c r="AD201" s="66"/>
      <c r="AE201" s="66"/>
      <c r="AF201" s="66"/>
      <c r="AG201" s="66"/>
      <c r="AH201" s="66"/>
      <c r="AI201" s="66"/>
      <c r="AJ201" s="69"/>
    </row>
    <row r="202">
      <c r="O202" s="66"/>
      <c r="P202" s="66"/>
      <c r="Q202" s="66"/>
      <c r="R202" s="67"/>
      <c r="S202" s="68"/>
      <c r="W202" s="66"/>
      <c r="X202" s="66"/>
      <c r="Y202" s="66"/>
      <c r="Z202" s="66"/>
      <c r="AA202" s="69"/>
      <c r="AD202" s="66"/>
      <c r="AE202" s="66"/>
      <c r="AF202" s="66"/>
      <c r="AG202" s="66"/>
      <c r="AH202" s="66"/>
      <c r="AI202" s="66"/>
      <c r="AJ202" s="69"/>
    </row>
    <row r="203">
      <c r="O203" s="66"/>
      <c r="P203" s="66"/>
      <c r="Q203" s="66"/>
      <c r="R203" s="67"/>
      <c r="S203" s="68"/>
      <c r="W203" s="66"/>
      <c r="X203" s="66"/>
      <c r="Y203" s="66"/>
      <c r="Z203" s="66"/>
      <c r="AA203" s="69"/>
      <c r="AD203" s="66"/>
      <c r="AE203" s="66"/>
      <c r="AF203" s="66"/>
      <c r="AG203" s="66"/>
      <c r="AH203" s="66"/>
      <c r="AI203" s="66"/>
      <c r="AJ203" s="69"/>
    </row>
    <row r="204">
      <c r="O204" s="66"/>
      <c r="P204" s="66"/>
      <c r="Q204" s="66"/>
      <c r="R204" s="67"/>
      <c r="S204" s="68"/>
      <c r="W204" s="66"/>
      <c r="X204" s="66"/>
      <c r="Y204" s="66"/>
      <c r="Z204" s="66"/>
      <c r="AA204" s="69"/>
      <c r="AD204" s="66"/>
      <c r="AE204" s="66"/>
      <c r="AF204" s="66"/>
      <c r="AG204" s="66"/>
      <c r="AH204" s="66"/>
      <c r="AI204" s="66"/>
      <c r="AJ204" s="69"/>
    </row>
    <row r="205">
      <c r="O205" s="66"/>
      <c r="P205" s="66"/>
      <c r="Q205" s="66"/>
      <c r="R205" s="67"/>
      <c r="S205" s="68"/>
      <c r="W205" s="66"/>
      <c r="X205" s="66"/>
      <c r="Y205" s="66"/>
      <c r="Z205" s="66"/>
      <c r="AA205" s="69"/>
      <c r="AD205" s="66"/>
      <c r="AE205" s="66"/>
      <c r="AF205" s="66"/>
      <c r="AG205" s="66"/>
      <c r="AH205" s="66"/>
      <c r="AI205" s="66"/>
      <c r="AJ205" s="69"/>
    </row>
    <row r="206">
      <c r="O206" s="66"/>
      <c r="P206" s="66"/>
      <c r="Q206" s="66"/>
      <c r="R206" s="67"/>
      <c r="S206" s="68"/>
      <c r="W206" s="66"/>
      <c r="X206" s="66"/>
      <c r="Y206" s="66"/>
      <c r="Z206" s="66"/>
      <c r="AA206" s="69"/>
      <c r="AD206" s="66"/>
      <c r="AE206" s="66"/>
      <c r="AF206" s="66"/>
      <c r="AG206" s="66"/>
      <c r="AH206" s="66"/>
      <c r="AI206" s="66"/>
      <c r="AJ206" s="69"/>
    </row>
    <row r="207">
      <c r="O207" s="66"/>
      <c r="P207" s="66"/>
      <c r="Q207" s="66"/>
      <c r="R207" s="67"/>
      <c r="S207" s="68"/>
      <c r="W207" s="66"/>
      <c r="X207" s="66"/>
      <c r="Y207" s="66"/>
      <c r="Z207" s="66"/>
      <c r="AA207" s="69"/>
      <c r="AD207" s="66"/>
      <c r="AE207" s="66"/>
      <c r="AF207" s="66"/>
      <c r="AG207" s="66"/>
      <c r="AH207" s="66"/>
      <c r="AI207" s="66"/>
      <c r="AJ207" s="69"/>
    </row>
    <row r="208">
      <c r="O208" s="66"/>
      <c r="P208" s="66"/>
      <c r="Q208" s="66"/>
      <c r="R208" s="67"/>
      <c r="S208" s="68"/>
      <c r="W208" s="66"/>
      <c r="X208" s="66"/>
      <c r="Y208" s="66"/>
      <c r="Z208" s="66"/>
      <c r="AA208" s="69"/>
      <c r="AD208" s="66"/>
      <c r="AE208" s="66"/>
      <c r="AF208" s="66"/>
      <c r="AG208" s="66"/>
      <c r="AH208" s="66"/>
      <c r="AI208" s="66"/>
      <c r="AJ208" s="69"/>
    </row>
    <row r="209">
      <c r="O209" s="66"/>
      <c r="P209" s="66"/>
      <c r="Q209" s="66"/>
      <c r="R209" s="67"/>
      <c r="S209" s="68"/>
      <c r="W209" s="66"/>
      <c r="X209" s="66"/>
      <c r="Y209" s="66"/>
      <c r="Z209" s="66"/>
      <c r="AA209" s="69"/>
      <c r="AD209" s="66"/>
      <c r="AE209" s="66"/>
      <c r="AF209" s="66"/>
      <c r="AG209" s="66"/>
      <c r="AH209" s="66"/>
      <c r="AI209" s="66"/>
      <c r="AJ209" s="69"/>
    </row>
    <row r="210">
      <c r="O210" s="66"/>
      <c r="P210" s="66"/>
      <c r="Q210" s="66"/>
      <c r="R210" s="67"/>
      <c r="S210" s="68"/>
      <c r="W210" s="66"/>
      <c r="X210" s="66"/>
      <c r="Y210" s="66"/>
      <c r="Z210" s="66"/>
      <c r="AA210" s="69"/>
      <c r="AD210" s="66"/>
      <c r="AE210" s="66"/>
      <c r="AF210" s="66"/>
      <c r="AG210" s="66"/>
      <c r="AH210" s="66"/>
      <c r="AI210" s="66"/>
      <c r="AJ210" s="69"/>
    </row>
    <row r="211">
      <c r="O211" s="66"/>
      <c r="P211" s="66"/>
      <c r="Q211" s="66"/>
      <c r="R211" s="67"/>
      <c r="S211" s="68"/>
      <c r="W211" s="66"/>
      <c r="X211" s="66"/>
      <c r="Y211" s="66"/>
      <c r="Z211" s="66"/>
      <c r="AA211" s="69"/>
      <c r="AD211" s="66"/>
      <c r="AE211" s="66"/>
      <c r="AF211" s="66"/>
      <c r="AG211" s="66"/>
      <c r="AH211" s="66"/>
      <c r="AI211" s="66"/>
      <c r="AJ211" s="69"/>
    </row>
    <row r="212">
      <c r="O212" s="66"/>
      <c r="P212" s="66"/>
      <c r="Q212" s="66"/>
      <c r="R212" s="67"/>
      <c r="S212" s="68"/>
      <c r="W212" s="66"/>
      <c r="X212" s="66"/>
      <c r="Y212" s="66"/>
      <c r="Z212" s="66"/>
      <c r="AA212" s="69"/>
      <c r="AD212" s="66"/>
      <c r="AE212" s="66"/>
      <c r="AF212" s="66"/>
      <c r="AG212" s="66"/>
      <c r="AH212" s="66"/>
      <c r="AI212" s="66"/>
      <c r="AJ212" s="69"/>
    </row>
    <row r="213">
      <c r="O213" s="66"/>
      <c r="P213" s="66"/>
      <c r="Q213" s="66"/>
      <c r="R213" s="67"/>
      <c r="S213" s="68"/>
      <c r="W213" s="66"/>
      <c r="X213" s="66"/>
      <c r="Y213" s="66"/>
      <c r="Z213" s="66"/>
      <c r="AA213" s="69"/>
      <c r="AD213" s="66"/>
      <c r="AE213" s="66"/>
      <c r="AF213" s="66"/>
      <c r="AG213" s="66"/>
      <c r="AH213" s="66"/>
      <c r="AI213" s="66"/>
      <c r="AJ213" s="69"/>
    </row>
    <row r="214">
      <c r="O214" s="66"/>
      <c r="P214" s="66"/>
      <c r="Q214" s="66"/>
      <c r="R214" s="67"/>
      <c r="S214" s="68"/>
      <c r="W214" s="66"/>
      <c r="X214" s="66"/>
      <c r="Y214" s="66"/>
      <c r="Z214" s="66"/>
      <c r="AA214" s="69"/>
      <c r="AD214" s="66"/>
      <c r="AE214" s="66"/>
      <c r="AF214" s="66"/>
      <c r="AG214" s="66"/>
      <c r="AH214" s="66"/>
      <c r="AI214" s="66"/>
      <c r="AJ214" s="69"/>
    </row>
    <row r="215">
      <c r="O215" s="66"/>
      <c r="P215" s="66"/>
      <c r="Q215" s="66"/>
      <c r="R215" s="67"/>
      <c r="S215" s="68"/>
      <c r="W215" s="66"/>
      <c r="X215" s="66"/>
      <c r="Y215" s="66"/>
      <c r="Z215" s="66"/>
      <c r="AA215" s="69"/>
      <c r="AD215" s="66"/>
      <c r="AE215" s="66"/>
      <c r="AF215" s="66"/>
      <c r="AG215" s="66"/>
      <c r="AH215" s="66"/>
      <c r="AI215" s="66"/>
      <c r="AJ215" s="69"/>
    </row>
    <row r="216">
      <c r="O216" s="66"/>
      <c r="P216" s="66"/>
      <c r="Q216" s="66"/>
      <c r="R216" s="67"/>
      <c r="S216" s="68"/>
      <c r="W216" s="66"/>
      <c r="X216" s="66"/>
      <c r="Y216" s="66"/>
      <c r="Z216" s="66"/>
      <c r="AA216" s="69"/>
      <c r="AD216" s="66"/>
      <c r="AE216" s="66"/>
      <c r="AF216" s="66"/>
      <c r="AG216" s="66"/>
      <c r="AH216" s="66"/>
      <c r="AI216" s="66"/>
      <c r="AJ216" s="69"/>
    </row>
    <row r="217">
      <c r="O217" s="66"/>
      <c r="P217" s="66"/>
      <c r="Q217" s="66"/>
      <c r="R217" s="67"/>
      <c r="S217" s="68"/>
      <c r="W217" s="66"/>
      <c r="X217" s="66"/>
      <c r="Y217" s="66"/>
      <c r="Z217" s="66"/>
      <c r="AA217" s="69"/>
      <c r="AD217" s="66"/>
      <c r="AE217" s="66"/>
      <c r="AF217" s="66"/>
      <c r="AG217" s="66"/>
      <c r="AH217" s="66"/>
      <c r="AI217" s="66"/>
      <c r="AJ217" s="69"/>
    </row>
    <row r="218">
      <c r="O218" s="66"/>
      <c r="P218" s="66"/>
      <c r="Q218" s="66"/>
      <c r="R218" s="67"/>
      <c r="S218" s="68"/>
      <c r="W218" s="66"/>
      <c r="X218" s="66"/>
      <c r="Y218" s="66"/>
      <c r="Z218" s="66"/>
      <c r="AA218" s="69"/>
      <c r="AD218" s="66"/>
      <c r="AE218" s="66"/>
      <c r="AF218" s="66"/>
      <c r="AG218" s="66"/>
      <c r="AH218" s="66"/>
      <c r="AI218" s="66"/>
      <c r="AJ218" s="69"/>
    </row>
    <row r="219">
      <c r="O219" s="66"/>
      <c r="P219" s="66"/>
      <c r="Q219" s="66"/>
      <c r="R219" s="67"/>
      <c r="S219" s="68"/>
      <c r="W219" s="66"/>
      <c r="X219" s="66"/>
      <c r="Y219" s="66"/>
      <c r="Z219" s="66"/>
      <c r="AA219" s="69"/>
      <c r="AD219" s="66"/>
      <c r="AE219" s="66"/>
      <c r="AF219" s="66"/>
      <c r="AG219" s="66"/>
      <c r="AH219" s="66"/>
      <c r="AI219" s="66"/>
      <c r="AJ219" s="69"/>
    </row>
    <row r="220">
      <c r="O220" s="66"/>
      <c r="P220" s="66"/>
      <c r="Q220" s="66"/>
      <c r="R220" s="67"/>
      <c r="S220" s="68"/>
      <c r="W220" s="66"/>
      <c r="X220" s="66"/>
      <c r="Y220" s="66"/>
      <c r="Z220" s="66"/>
      <c r="AA220" s="69"/>
      <c r="AD220" s="66"/>
      <c r="AE220" s="66"/>
      <c r="AF220" s="66"/>
      <c r="AG220" s="66"/>
      <c r="AH220" s="66"/>
      <c r="AI220" s="66"/>
      <c r="AJ220" s="69"/>
    </row>
    <row r="221">
      <c r="O221" s="66"/>
      <c r="P221" s="66"/>
      <c r="Q221" s="66"/>
      <c r="R221" s="67"/>
      <c r="S221" s="68"/>
      <c r="W221" s="66"/>
      <c r="X221" s="66"/>
      <c r="Y221" s="66"/>
      <c r="Z221" s="66"/>
      <c r="AA221" s="69"/>
      <c r="AD221" s="66"/>
      <c r="AE221" s="66"/>
      <c r="AF221" s="66"/>
      <c r="AG221" s="66"/>
      <c r="AH221" s="66"/>
      <c r="AI221" s="66"/>
      <c r="AJ221" s="69"/>
    </row>
    <row r="222">
      <c r="O222" s="66"/>
      <c r="P222" s="66"/>
      <c r="Q222" s="66"/>
      <c r="R222" s="67"/>
      <c r="S222" s="68"/>
      <c r="W222" s="66"/>
      <c r="X222" s="66"/>
      <c r="Y222" s="66"/>
      <c r="Z222" s="66"/>
      <c r="AA222" s="69"/>
      <c r="AD222" s="66"/>
      <c r="AE222" s="66"/>
      <c r="AF222" s="66"/>
      <c r="AG222" s="66"/>
      <c r="AH222" s="66"/>
      <c r="AI222" s="66"/>
      <c r="AJ222" s="69"/>
    </row>
    <row r="223">
      <c r="O223" s="66"/>
      <c r="P223" s="66"/>
      <c r="Q223" s="66"/>
      <c r="R223" s="67"/>
      <c r="S223" s="68"/>
      <c r="W223" s="66"/>
      <c r="X223" s="66"/>
      <c r="Y223" s="66"/>
      <c r="Z223" s="66"/>
      <c r="AA223" s="69"/>
      <c r="AD223" s="66"/>
      <c r="AE223" s="66"/>
      <c r="AF223" s="66"/>
      <c r="AG223" s="66"/>
      <c r="AH223" s="66"/>
      <c r="AI223" s="66"/>
      <c r="AJ223" s="69"/>
    </row>
    <row r="224">
      <c r="O224" s="66"/>
      <c r="P224" s="66"/>
      <c r="Q224" s="66"/>
      <c r="R224" s="67"/>
      <c r="S224" s="68"/>
      <c r="W224" s="66"/>
      <c r="X224" s="66"/>
      <c r="Y224" s="66"/>
      <c r="Z224" s="66"/>
      <c r="AA224" s="69"/>
      <c r="AD224" s="66"/>
      <c r="AE224" s="66"/>
      <c r="AF224" s="66"/>
      <c r="AG224" s="66"/>
      <c r="AH224" s="66"/>
      <c r="AI224" s="66"/>
      <c r="AJ224" s="69"/>
    </row>
    <row r="225">
      <c r="O225" s="66"/>
      <c r="P225" s="66"/>
      <c r="Q225" s="66"/>
      <c r="R225" s="67"/>
      <c r="S225" s="68"/>
      <c r="W225" s="66"/>
      <c r="X225" s="66"/>
      <c r="Y225" s="66"/>
      <c r="Z225" s="66"/>
      <c r="AA225" s="69"/>
      <c r="AD225" s="66"/>
      <c r="AE225" s="66"/>
      <c r="AF225" s="66"/>
      <c r="AG225" s="66"/>
      <c r="AH225" s="66"/>
      <c r="AI225" s="66"/>
      <c r="AJ225" s="69"/>
    </row>
    <row r="226">
      <c r="O226" s="66"/>
      <c r="P226" s="66"/>
      <c r="Q226" s="66"/>
      <c r="R226" s="67"/>
      <c r="S226" s="68"/>
      <c r="W226" s="66"/>
      <c r="X226" s="66"/>
      <c r="Y226" s="66"/>
      <c r="Z226" s="66"/>
      <c r="AA226" s="69"/>
      <c r="AD226" s="66"/>
      <c r="AE226" s="66"/>
      <c r="AF226" s="66"/>
      <c r="AG226" s="66"/>
      <c r="AH226" s="66"/>
      <c r="AI226" s="66"/>
      <c r="AJ226" s="69"/>
    </row>
    <row r="227">
      <c r="O227" s="66"/>
      <c r="P227" s="66"/>
      <c r="Q227" s="66"/>
      <c r="R227" s="67"/>
      <c r="S227" s="68"/>
      <c r="W227" s="66"/>
      <c r="X227" s="66"/>
      <c r="Y227" s="66"/>
      <c r="Z227" s="66"/>
      <c r="AA227" s="69"/>
      <c r="AD227" s="66"/>
      <c r="AE227" s="66"/>
      <c r="AF227" s="66"/>
      <c r="AG227" s="66"/>
      <c r="AH227" s="66"/>
      <c r="AI227" s="66"/>
      <c r="AJ227" s="69"/>
    </row>
    <row r="228">
      <c r="O228" s="66"/>
      <c r="P228" s="66"/>
      <c r="Q228" s="66"/>
      <c r="R228" s="67"/>
      <c r="S228" s="68"/>
      <c r="W228" s="66"/>
      <c r="X228" s="66"/>
      <c r="Y228" s="66"/>
      <c r="Z228" s="66"/>
      <c r="AA228" s="69"/>
      <c r="AD228" s="66"/>
      <c r="AE228" s="66"/>
      <c r="AF228" s="66"/>
      <c r="AG228" s="66"/>
      <c r="AH228" s="66"/>
      <c r="AI228" s="66"/>
      <c r="AJ228" s="69"/>
    </row>
    <row r="229">
      <c r="O229" s="66"/>
      <c r="P229" s="66"/>
      <c r="Q229" s="66"/>
      <c r="R229" s="67"/>
      <c r="S229" s="68"/>
      <c r="W229" s="66"/>
      <c r="X229" s="66"/>
      <c r="Y229" s="66"/>
      <c r="Z229" s="66"/>
      <c r="AA229" s="69"/>
      <c r="AD229" s="66"/>
      <c r="AE229" s="66"/>
      <c r="AF229" s="66"/>
      <c r="AG229" s="66"/>
      <c r="AH229" s="66"/>
      <c r="AI229" s="66"/>
      <c r="AJ229" s="69"/>
    </row>
    <row r="230">
      <c r="O230" s="66"/>
      <c r="P230" s="66"/>
      <c r="Q230" s="66"/>
      <c r="R230" s="67"/>
      <c r="S230" s="68"/>
      <c r="W230" s="66"/>
      <c r="X230" s="66"/>
      <c r="Y230" s="66"/>
      <c r="Z230" s="66"/>
      <c r="AA230" s="69"/>
      <c r="AD230" s="66"/>
      <c r="AE230" s="66"/>
      <c r="AF230" s="66"/>
      <c r="AG230" s="66"/>
      <c r="AH230" s="66"/>
      <c r="AI230" s="66"/>
      <c r="AJ230" s="69"/>
    </row>
    <row r="231">
      <c r="O231" s="66"/>
      <c r="P231" s="66"/>
      <c r="Q231" s="66"/>
      <c r="R231" s="67"/>
      <c r="S231" s="68"/>
      <c r="W231" s="66"/>
      <c r="X231" s="66"/>
      <c r="Y231" s="66"/>
      <c r="Z231" s="66"/>
      <c r="AA231" s="69"/>
      <c r="AD231" s="66"/>
      <c r="AE231" s="66"/>
      <c r="AF231" s="66"/>
      <c r="AG231" s="66"/>
      <c r="AH231" s="66"/>
      <c r="AI231" s="66"/>
      <c r="AJ231" s="69"/>
    </row>
    <row r="232">
      <c r="O232" s="66"/>
      <c r="P232" s="66"/>
      <c r="Q232" s="66"/>
      <c r="R232" s="67"/>
      <c r="S232" s="68"/>
      <c r="W232" s="66"/>
      <c r="X232" s="66"/>
      <c r="Y232" s="66"/>
      <c r="Z232" s="66"/>
      <c r="AA232" s="69"/>
      <c r="AD232" s="66"/>
      <c r="AE232" s="66"/>
      <c r="AF232" s="66"/>
      <c r="AG232" s="66"/>
      <c r="AH232" s="66"/>
      <c r="AI232" s="66"/>
      <c r="AJ232" s="69"/>
    </row>
    <row r="233">
      <c r="O233" s="66"/>
      <c r="P233" s="66"/>
      <c r="Q233" s="66"/>
      <c r="R233" s="67"/>
      <c r="S233" s="68"/>
      <c r="W233" s="66"/>
      <c r="X233" s="66"/>
      <c r="Y233" s="66"/>
      <c r="Z233" s="66"/>
      <c r="AA233" s="69"/>
      <c r="AD233" s="66"/>
      <c r="AE233" s="66"/>
      <c r="AF233" s="66"/>
      <c r="AG233" s="66"/>
      <c r="AH233" s="66"/>
      <c r="AI233" s="66"/>
      <c r="AJ233" s="69"/>
    </row>
    <row r="234">
      <c r="O234" s="66"/>
      <c r="P234" s="66"/>
      <c r="Q234" s="66"/>
      <c r="R234" s="67"/>
      <c r="S234" s="68"/>
      <c r="W234" s="66"/>
      <c r="X234" s="66"/>
      <c r="Y234" s="66"/>
      <c r="Z234" s="66"/>
      <c r="AA234" s="69"/>
      <c r="AD234" s="66"/>
      <c r="AE234" s="66"/>
      <c r="AF234" s="66"/>
      <c r="AG234" s="66"/>
      <c r="AH234" s="66"/>
      <c r="AI234" s="66"/>
      <c r="AJ234" s="69"/>
    </row>
    <row r="235">
      <c r="O235" s="66"/>
      <c r="P235" s="66"/>
      <c r="Q235" s="66"/>
      <c r="R235" s="67"/>
      <c r="S235" s="68"/>
      <c r="W235" s="66"/>
      <c r="X235" s="66"/>
      <c r="Y235" s="66"/>
      <c r="Z235" s="66"/>
      <c r="AA235" s="69"/>
      <c r="AD235" s="66"/>
      <c r="AE235" s="66"/>
      <c r="AF235" s="66"/>
      <c r="AG235" s="66"/>
      <c r="AH235" s="66"/>
      <c r="AI235" s="66"/>
      <c r="AJ235" s="69"/>
    </row>
    <row r="236">
      <c r="O236" s="66"/>
      <c r="P236" s="66"/>
      <c r="Q236" s="66"/>
      <c r="R236" s="67"/>
      <c r="S236" s="68"/>
      <c r="W236" s="66"/>
      <c r="X236" s="66"/>
      <c r="Y236" s="66"/>
      <c r="Z236" s="66"/>
      <c r="AA236" s="69"/>
      <c r="AD236" s="66"/>
      <c r="AE236" s="66"/>
      <c r="AF236" s="66"/>
      <c r="AG236" s="66"/>
      <c r="AH236" s="66"/>
      <c r="AI236" s="66"/>
      <c r="AJ236" s="69"/>
    </row>
    <row r="237">
      <c r="O237" s="66"/>
      <c r="P237" s="66"/>
      <c r="Q237" s="66"/>
      <c r="R237" s="67"/>
      <c r="S237" s="68"/>
      <c r="W237" s="66"/>
      <c r="X237" s="66"/>
      <c r="Y237" s="66"/>
      <c r="Z237" s="66"/>
      <c r="AA237" s="69"/>
      <c r="AD237" s="66"/>
      <c r="AE237" s="66"/>
      <c r="AF237" s="66"/>
      <c r="AG237" s="66"/>
      <c r="AH237" s="66"/>
      <c r="AI237" s="66"/>
      <c r="AJ237" s="69"/>
    </row>
    <row r="238">
      <c r="O238" s="66"/>
      <c r="P238" s="66"/>
      <c r="Q238" s="66"/>
      <c r="R238" s="67"/>
      <c r="S238" s="68"/>
      <c r="W238" s="66"/>
      <c r="X238" s="66"/>
      <c r="Y238" s="66"/>
      <c r="Z238" s="66"/>
      <c r="AA238" s="69"/>
      <c r="AD238" s="66"/>
      <c r="AE238" s="66"/>
      <c r="AF238" s="66"/>
      <c r="AG238" s="66"/>
      <c r="AH238" s="66"/>
      <c r="AI238" s="66"/>
      <c r="AJ238" s="69"/>
    </row>
    <row r="239">
      <c r="O239" s="66"/>
      <c r="P239" s="66"/>
      <c r="Q239" s="66"/>
      <c r="R239" s="67"/>
      <c r="S239" s="68"/>
      <c r="W239" s="66"/>
      <c r="X239" s="66"/>
      <c r="Y239" s="66"/>
      <c r="Z239" s="66"/>
      <c r="AA239" s="69"/>
      <c r="AD239" s="66"/>
      <c r="AE239" s="66"/>
      <c r="AF239" s="66"/>
      <c r="AG239" s="66"/>
      <c r="AH239" s="66"/>
      <c r="AI239" s="66"/>
      <c r="AJ239" s="69"/>
    </row>
    <row r="240">
      <c r="O240" s="66"/>
      <c r="P240" s="66"/>
      <c r="Q240" s="66"/>
      <c r="R240" s="67"/>
      <c r="S240" s="68"/>
      <c r="W240" s="66"/>
      <c r="X240" s="66"/>
      <c r="Y240" s="66"/>
      <c r="Z240" s="66"/>
      <c r="AA240" s="69"/>
      <c r="AD240" s="66"/>
      <c r="AE240" s="66"/>
      <c r="AF240" s="66"/>
      <c r="AG240" s="66"/>
      <c r="AH240" s="66"/>
      <c r="AI240" s="66"/>
      <c r="AJ240" s="69"/>
    </row>
    <row r="241">
      <c r="O241" s="66"/>
      <c r="P241" s="66"/>
      <c r="Q241" s="66"/>
      <c r="R241" s="67"/>
      <c r="S241" s="68"/>
      <c r="W241" s="66"/>
      <c r="X241" s="66"/>
      <c r="Y241" s="66"/>
      <c r="Z241" s="66"/>
      <c r="AA241" s="69"/>
      <c r="AD241" s="66"/>
      <c r="AE241" s="66"/>
      <c r="AF241" s="66"/>
      <c r="AG241" s="66"/>
      <c r="AH241" s="66"/>
      <c r="AI241" s="66"/>
      <c r="AJ241" s="69"/>
    </row>
    <row r="242">
      <c r="O242" s="66"/>
      <c r="P242" s="66"/>
      <c r="Q242" s="66"/>
      <c r="R242" s="67"/>
      <c r="S242" s="68"/>
      <c r="W242" s="66"/>
      <c r="X242" s="66"/>
      <c r="Y242" s="66"/>
      <c r="Z242" s="66"/>
      <c r="AA242" s="69"/>
      <c r="AD242" s="66"/>
      <c r="AE242" s="66"/>
      <c r="AF242" s="66"/>
      <c r="AG242" s="66"/>
      <c r="AH242" s="66"/>
      <c r="AI242" s="66"/>
      <c r="AJ242" s="69"/>
    </row>
    <row r="243">
      <c r="O243" s="66"/>
      <c r="P243" s="66"/>
      <c r="Q243" s="66"/>
      <c r="R243" s="67"/>
      <c r="S243" s="68"/>
      <c r="W243" s="66"/>
      <c r="X243" s="66"/>
      <c r="Y243" s="66"/>
      <c r="Z243" s="66"/>
      <c r="AA243" s="69"/>
      <c r="AD243" s="66"/>
      <c r="AE243" s="66"/>
      <c r="AF243" s="66"/>
      <c r="AG243" s="66"/>
      <c r="AH243" s="66"/>
      <c r="AI243" s="66"/>
      <c r="AJ243" s="69"/>
    </row>
    <row r="244">
      <c r="O244" s="66"/>
      <c r="P244" s="66"/>
      <c r="Q244" s="66"/>
      <c r="R244" s="67"/>
      <c r="S244" s="68"/>
      <c r="W244" s="66"/>
      <c r="X244" s="66"/>
      <c r="Y244" s="66"/>
      <c r="Z244" s="66"/>
      <c r="AA244" s="69"/>
      <c r="AD244" s="66"/>
      <c r="AE244" s="66"/>
      <c r="AF244" s="66"/>
      <c r="AG244" s="66"/>
      <c r="AH244" s="66"/>
      <c r="AI244" s="66"/>
      <c r="AJ244" s="69"/>
    </row>
    <row r="245">
      <c r="O245" s="66"/>
      <c r="P245" s="66"/>
      <c r="Q245" s="66"/>
      <c r="R245" s="67"/>
      <c r="S245" s="68"/>
      <c r="W245" s="66"/>
      <c r="X245" s="66"/>
      <c r="Y245" s="66"/>
      <c r="Z245" s="66"/>
      <c r="AA245" s="69"/>
      <c r="AD245" s="66"/>
      <c r="AE245" s="66"/>
      <c r="AF245" s="66"/>
      <c r="AG245" s="66"/>
      <c r="AH245" s="66"/>
      <c r="AI245" s="66"/>
      <c r="AJ245" s="69"/>
    </row>
    <row r="246">
      <c r="O246" s="66"/>
      <c r="P246" s="66"/>
      <c r="Q246" s="66"/>
      <c r="R246" s="67"/>
      <c r="S246" s="68"/>
      <c r="W246" s="66"/>
      <c r="X246" s="66"/>
      <c r="Y246" s="66"/>
      <c r="Z246" s="66"/>
      <c r="AA246" s="69"/>
      <c r="AD246" s="66"/>
      <c r="AE246" s="66"/>
      <c r="AF246" s="66"/>
      <c r="AG246" s="66"/>
      <c r="AH246" s="66"/>
      <c r="AI246" s="66"/>
      <c r="AJ246" s="69"/>
    </row>
    <row r="247">
      <c r="O247" s="66"/>
      <c r="P247" s="66"/>
      <c r="Q247" s="66"/>
      <c r="R247" s="67"/>
      <c r="S247" s="68"/>
      <c r="W247" s="66"/>
      <c r="X247" s="66"/>
      <c r="Y247" s="66"/>
      <c r="Z247" s="66"/>
      <c r="AA247" s="69"/>
      <c r="AD247" s="66"/>
      <c r="AE247" s="66"/>
      <c r="AF247" s="66"/>
      <c r="AG247" s="66"/>
      <c r="AH247" s="66"/>
      <c r="AI247" s="66"/>
      <c r="AJ247" s="69"/>
    </row>
    <row r="248">
      <c r="O248" s="66"/>
      <c r="P248" s="66"/>
      <c r="Q248" s="66"/>
      <c r="R248" s="67"/>
      <c r="S248" s="68"/>
      <c r="W248" s="66"/>
      <c r="X248" s="66"/>
      <c r="Y248" s="66"/>
      <c r="Z248" s="66"/>
      <c r="AA248" s="69"/>
      <c r="AD248" s="66"/>
      <c r="AE248" s="66"/>
      <c r="AF248" s="66"/>
      <c r="AG248" s="66"/>
      <c r="AH248" s="66"/>
      <c r="AI248" s="66"/>
      <c r="AJ248" s="69"/>
    </row>
    <row r="249">
      <c r="O249" s="66"/>
      <c r="P249" s="66"/>
      <c r="Q249" s="66"/>
      <c r="R249" s="67"/>
      <c r="S249" s="68"/>
      <c r="W249" s="66"/>
      <c r="X249" s="66"/>
      <c r="Y249" s="66"/>
      <c r="Z249" s="66"/>
      <c r="AA249" s="69"/>
      <c r="AD249" s="66"/>
      <c r="AE249" s="66"/>
      <c r="AF249" s="66"/>
      <c r="AG249" s="66"/>
      <c r="AH249" s="66"/>
      <c r="AI249" s="66"/>
      <c r="AJ249" s="69"/>
    </row>
    <row r="250">
      <c r="O250" s="66"/>
      <c r="P250" s="66"/>
      <c r="Q250" s="66"/>
      <c r="R250" s="67"/>
      <c r="S250" s="68"/>
      <c r="W250" s="66"/>
      <c r="X250" s="66"/>
      <c r="Y250" s="66"/>
      <c r="Z250" s="66"/>
      <c r="AA250" s="69"/>
      <c r="AD250" s="66"/>
      <c r="AE250" s="66"/>
      <c r="AF250" s="66"/>
      <c r="AG250" s="66"/>
      <c r="AH250" s="66"/>
      <c r="AI250" s="66"/>
      <c r="AJ250" s="69"/>
    </row>
    <row r="251">
      <c r="O251" s="66"/>
      <c r="P251" s="66"/>
      <c r="Q251" s="66"/>
      <c r="R251" s="67"/>
      <c r="S251" s="68"/>
      <c r="W251" s="66"/>
      <c r="X251" s="66"/>
      <c r="Y251" s="66"/>
      <c r="Z251" s="66"/>
      <c r="AA251" s="69"/>
      <c r="AD251" s="66"/>
      <c r="AE251" s="66"/>
      <c r="AF251" s="66"/>
      <c r="AG251" s="66"/>
      <c r="AH251" s="66"/>
      <c r="AI251" s="66"/>
      <c r="AJ251" s="69"/>
    </row>
    <row r="252">
      <c r="O252" s="66"/>
      <c r="P252" s="66"/>
      <c r="Q252" s="66"/>
      <c r="R252" s="67"/>
      <c r="S252" s="68"/>
      <c r="W252" s="66"/>
      <c r="X252" s="66"/>
      <c r="Y252" s="66"/>
      <c r="Z252" s="66"/>
      <c r="AA252" s="69"/>
      <c r="AD252" s="66"/>
      <c r="AE252" s="66"/>
      <c r="AF252" s="66"/>
      <c r="AG252" s="66"/>
      <c r="AH252" s="66"/>
      <c r="AI252" s="66"/>
      <c r="AJ252" s="69"/>
    </row>
    <row r="253">
      <c r="O253" s="66"/>
      <c r="P253" s="66"/>
      <c r="Q253" s="66"/>
      <c r="R253" s="67"/>
      <c r="S253" s="68"/>
      <c r="W253" s="66"/>
      <c r="X253" s="66"/>
      <c r="Y253" s="66"/>
      <c r="Z253" s="66"/>
      <c r="AA253" s="69"/>
      <c r="AD253" s="66"/>
      <c r="AE253" s="66"/>
      <c r="AF253" s="66"/>
      <c r="AG253" s="66"/>
      <c r="AH253" s="66"/>
      <c r="AI253" s="66"/>
      <c r="AJ253" s="69"/>
    </row>
    <row r="254">
      <c r="O254" s="66"/>
      <c r="P254" s="66"/>
      <c r="Q254" s="66"/>
      <c r="R254" s="67"/>
      <c r="S254" s="68"/>
      <c r="W254" s="66"/>
      <c r="X254" s="66"/>
      <c r="Y254" s="66"/>
      <c r="Z254" s="66"/>
      <c r="AA254" s="69"/>
      <c r="AD254" s="66"/>
      <c r="AE254" s="66"/>
      <c r="AF254" s="66"/>
      <c r="AG254" s="66"/>
      <c r="AH254" s="66"/>
      <c r="AI254" s="66"/>
      <c r="AJ254" s="69"/>
    </row>
    <row r="255">
      <c r="O255" s="66"/>
      <c r="P255" s="66"/>
      <c r="Q255" s="66"/>
      <c r="R255" s="67"/>
      <c r="S255" s="68"/>
      <c r="W255" s="66"/>
      <c r="X255" s="66"/>
      <c r="Y255" s="66"/>
      <c r="Z255" s="66"/>
      <c r="AA255" s="69"/>
      <c r="AD255" s="66"/>
      <c r="AE255" s="66"/>
      <c r="AF255" s="66"/>
      <c r="AG255" s="66"/>
      <c r="AH255" s="66"/>
      <c r="AI255" s="66"/>
      <c r="AJ255" s="69"/>
    </row>
    <row r="256">
      <c r="O256" s="66"/>
      <c r="P256" s="66"/>
      <c r="Q256" s="66"/>
      <c r="R256" s="67"/>
      <c r="S256" s="68"/>
      <c r="W256" s="66"/>
      <c r="X256" s="66"/>
      <c r="Y256" s="66"/>
      <c r="Z256" s="66"/>
      <c r="AA256" s="69"/>
      <c r="AD256" s="66"/>
      <c r="AE256" s="66"/>
      <c r="AF256" s="66"/>
      <c r="AG256" s="66"/>
      <c r="AH256" s="66"/>
      <c r="AI256" s="66"/>
      <c r="AJ256" s="69"/>
    </row>
    <row r="257">
      <c r="O257" s="66"/>
      <c r="P257" s="66"/>
      <c r="Q257" s="66"/>
      <c r="R257" s="67"/>
      <c r="S257" s="68"/>
      <c r="W257" s="66"/>
      <c r="X257" s="66"/>
      <c r="Y257" s="66"/>
      <c r="Z257" s="66"/>
      <c r="AA257" s="69"/>
      <c r="AD257" s="66"/>
      <c r="AE257" s="66"/>
      <c r="AF257" s="66"/>
      <c r="AG257" s="66"/>
      <c r="AH257" s="66"/>
      <c r="AI257" s="66"/>
      <c r="AJ257" s="69"/>
    </row>
    <row r="258">
      <c r="O258" s="66"/>
      <c r="P258" s="66"/>
      <c r="Q258" s="66"/>
      <c r="R258" s="67"/>
      <c r="S258" s="68"/>
      <c r="W258" s="66"/>
      <c r="X258" s="66"/>
      <c r="Y258" s="66"/>
      <c r="Z258" s="66"/>
      <c r="AA258" s="69"/>
      <c r="AD258" s="66"/>
      <c r="AE258" s="66"/>
      <c r="AF258" s="66"/>
      <c r="AG258" s="66"/>
      <c r="AH258" s="66"/>
      <c r="AI258" s="66"/>
      <c r="AJ258" s="69"/>
    </row>
    <row r="259">
      <c r="O259" s="66"/>
      <c r="P259" s="66"/>
      <c r="Q259" s="66"/>
      <c r="R259" s="67"/>
      <c r="S259" s="68"/>
      <c r="W259" s="66"/>
      <c r="X259" s="66"/>
      <c r="Y259" s="66"/>
      <c r="Z259" s="66"/>
      <c r="AA259" s="69"/>
      <c r="AD259" s="66"/>
      <c r="AE259" s="66"/>
      <c r="AF259" s="66"/>
      <c r="AG259" s="66"/>
      <c r="AH259" s="66"/>
      <c r="AI259" s="66"/>
      <c r="AJ259" s="69"/>
    </row>
    <row r="260">
      <c r="O260" s="66"/>
      <c r="P260" s="66"/>
      <c r="Q260" s="66"/>
      <c r="R260" s="67"/>
      <c r="S260" s="68"/>
      <c r="W260" s="66"/>
      <c r="X260" s="66"/>
      <c r="Y260" s="66"/>
      <c r="Z260" s="66"/>
      <c r="AA260" s="69"/>
      <c r="AD260" s="66"/>
      <c r="AE260" s="66"/>
      <c r="AF260" s="66"/>
      <c r="AG260" s="66"/>
      <c r="AH260" s="66"/>
      <c r="AI260" s="66"/>
      <c r="AJ260" s="69"/>
    </row>
    <row r="261">
      <c r="O261" s="66"/>
      <c r="P261" s="66"/>
      <c r="Q261" s="66"/>
      <c r="R261" s="67"/>
      <c r="S261" s="68"/>
      <c r="W261" s="66"/>
      <c r="X261" s="66"/>
      <c r="Y261" s="66"/>
      <c r="Z261" s="66"/>
      <c r="AA261" s="69"/>
      <c r="AD261" s="66"/>
      <c r="AE261" s="66"/>
      <c r="AF261" s="66"/>
      <c r="AG261" s="66"/>
      <c r="AH261" s="66"/>
      <c r="AI261" s="66"/>
      <c r="AJ261" s="69"/>
    </row>
    <row r="262">
      <c r="O262" s="66"/>
      <c r="P262" s="66"/>
      <c r="Q262" s="66"/>
      <c r="R262" s="67"/>
      <c r="S262" s="68"/>
      <c r="W262" s="66"/>
      <c r="X262" s="66"/>
      <c r="Y262" s="66"/>
      <c r="Z262" s="66"/>
      <c r="AA262" s="69"/>
      <c r="AD262" s="66"/>
      <c r="AE262" s="66"/>
      <c r="AF262" s="66"/>
      <c r="AG262" s="66"/>
      <c r="AH262" s="66"/>
      <c r="AI262" s="66"/>
      <c r="AJ262" s="69"/>
    </row>
    <row r="263">
      <c r="O263" s="66"/>
      <c r="P263" s="66"/>
      <c r="Q263" s="66"/>
      <c r="R263" s="67"/>
      <c r="S263" s="68"/>
      <c r="W263" s="66"/>
      <c r="X263" s="66"/>
      <c r="Y263" s="66"/>
      <c r="Z263" s="66"/>
      <c r="AA263" s="69"/>
      <c r="AD263" s="66"/>
      <c r="AE263" s="66"/>
      <c r="AF263" s="66"/>
      <c r="AG263" s="66"/>
      <c r="AH263" s="66"/>
      <c r="AI263" s="66"/>
      <c r="AJ263" s="69"/>
    </row>
    <row r="264">
      <c r="O264" s="66"/>
      <c r="P264" s="66"/>
      <c r="Q264" s="66"/>
      <c r="R264" s="67"/>
      <c r="S264" s="68"/>
      <c r="W264" s="66"/>
      <c r="X264" s="66"/>
      <c r="Y264" s="66"/>
      <c r="Z264" s="66"/>
      <c r="AA264" s="69"/>
      <c r="AD264" s="66"/>
      <c r="AE264" s="66"/>
      <c r="AF264" s="66"/>
      <c r="AG264" s="66"/>
      <c r="AH264" s="66"/>
      <c r="AI264" s="66"/>
      <c r="AJ264" s="69"/>
    </row>
    <row r="265">
      <c r="O265" s="66"/>
      <c r="P265" s="66"/>
      <c r="Q265" s="66"/>
      <c r="R265" s="67"/>
      <c r="S265" s="68"/>
      <c r="W265" s="66"/>
      <c r="X265" s="66"/>
      <c r="Y265" s="66"/>
      <c r="Z265" s="66"/>
      <c r="AA265" s="69"/>
      <c r="AD265" s="66"/>
      <c r="AE265" s="66"/>
      <c r="AF265" s="66"/>
      <c r="AG265" s="66"/>
      <c r="AH265" s="66"/>
      <c r="AI265" s="66"/>
      <c r="AJ265" s="69"/>
    </row>
    <row r="266">
      <c r="O266" s="66"/>
      <c r="P266" s="66"/>
      <c r="Q266" s="66"/>
      <c r="R266" s="67"/>
      <c r="S266" s="68"/>
      <c r="W266" s="66"/>
      <c r="X266" s="66"/>
      <c r="Y266" s="66"/>
      <c r="Z266" s="66"/>
      <c r="AA266" s="69"/>
      <c r="AD266" s="66"/>
      <c r="AE266" s="66"/>
      <c r="AF266" s="66"/>
      <c r="AG266" s="66"/>
      <c r="AH266" s="66"/>
      <c r="AI266" s="66"/>
      <c r="AJ266" s="69"/>
    </row>
    <row r="267">
      <c r="O267" s="66"/>
      <c r="P267" s="66"/>
      <c r="Q267" s="66"/>
      <c r="R267" s="67"/>
      <c r="S267" s="68"/>
      <c r="W267" s="66"/>
      <c r="X267" s="66"/>
      <c r="Y267" s="66"/>
      <c r="Z267" s="66"/>
      <c r="AA267" s="69"/>
      <c r="AD267" s="66"/>
      <c r="AE267" s="66"/>
      <c r="AF267" s="66"/>
      <c r="AG267" s="66"/>
      <c r="AH267" s="66"/>
      <c r="AI267" s="66"/>
      <c r="AJ267" s="69"/>
    </row>
    <row r="268">
      <c r="O268" s="66"/>
      <c r="P268" s="66"/>
      <c r="Q268" s="66"/>
      <c r="R268" s="67"/>
      <c r="S268" s="68"/>
      <c r="W268" s="66"/>
      <c r="X268" s="66"/>
      <c r="Y268" s="66"/>
      <c r="Z268" s="66"/>
      <c r="AA268" s="69"/>
      <c r="AD268" s="66"/>
      <c r="AE268" s="66"/>
      <c r="AF268" s="66"/>
      <c r="AG268" s="66"/>
      <c r="AH268" s="66"/>
      <c r="AI268" s="66"/>
      <c r="AJ268" s="69"/>
    </row>
    <row r="269">
      <c r="O269" s="66"/>
      <c r="P269" s="66"/>
      <c r="Q269" s="66"/>
      <c r="R269" s="67"/>
      <c r="S269" s="68"/>
      <c r="W269" s="66"/>
      <c r="X269" s="66"/>
      <c r="Y269" s="66"/>
      <c r="Z269" s="66"/>
      <c r="AA269" s="69"/>
      <c r="AD269" s="66"/>
      <c r="AE269" s="66"/>
      <c r="AF269" s="66"/>
      <c r="AG269" s="66"/>
      <c r="AH269" s="66"/>
      <c r="AI269" s="66"/>
      <c r="AJ269" s="69"/>
    </row>
    <row r="270">
      <c r="O270" s="66"/>
      <c r="P270" s="66"/>
      <c r="Q270" s="66"/>
      <c r="R270" s="67"/>
      <c r="S270" s="68"/>
      <c r="W270" s="66"/>
      <c r="X270" s="66"/>
      <c r="Y270" s="66"/>
      <c r="Z270" s="66"/>
      <c r="AA270" s="69"/>
      <c r="AD270" s="66"/>
      <c r="AE270" s="66"/>
      <c r="AF270" s="66"/>
      <c r="AG270" s="66"/>
      <c r="AH270" s="66"/>
      <c r="AI270" s="66"/>
      <c r="AJ270" s="69"/>
    </row>
    <row r="271">
      <c r="O271" s="66"/>
      <c r="P271" s="66"/>
      <c r="Q271" s="66"/>
      <c r="R271" s="67"/>
      <c r="S271" s="68"/>
      <c r="W271" s="66"/>
      <c r="X271" s="66"/>
      <c r="Y271" s="66"/>
      <c r="Z271" s="66"/>
      <c r="AA271" s="69"/>
      <c r="AD271" s="66"/>
      <c r="AE271" s="66"/>
      <c r="AF271" s="66"/>
      <c r="AG271" s="66"/>
      <c r="AH271" s="66"/>
      <c r="AI271" s="66"/>
      <c r="AJ271" s="69"/>
    </row>
    <row r="272">
      <c r="O272" s="66"/>
      <c r="P272" s="66"/>
      <c r="Q272" s="66"/>
      <c r="R272" s="67"/>
      <c r="S272" s="68"/>
      <c r="W272" s="66"/>
      <c r="X272" s="66"/>
      <c r="Y272" s="66"/>
      <c r="Z272" s="66"/>
      <c r="AA272" s="69"/>
      <c r="AD272" s="66"/>
      <c r="AE272" s="66"/>
      <c r="AF272" s="66"/>
      <c r="AG272" s="66"/>
      <c r="AH272" s="66"/>
      <c r="AI272" s="66"/>
      <c r="AJ272" s="69"/>
    </row>
    <row r="273">
      <c r="O273" s="66"/>
      <c r="P273" s="66"/>
      <c r="Q273" s="66"/>
      <c r="R273" s="67"/>
      <c r="S273" s="68"/>
      <c r="W273" s="66"/>
      <c r="X273" s="66"/>
      <c r="Y273" s="66"/>
      <c r="Z273" s="66"/>
      <c r="AA273" s="69"/>
      <c r="AD273" s="66"/>
      <c r="AE273" s="66"/>
      <c r="AF273" s="66"/>
      <c r="AG273" s="66"/>
      <c r="AH273" s="66"/>
      <c r="AI273" s="66"/>
      <c r="AJ273" s="69"/>
    </row>
    <row r="274">
      <c r="O274" s="66"/>
      <c r="P274" s="66"/>
      <c r="Q274" s="66"/>
      <c r="R274" s="67"/>
      <c r="S274" s="68"/>
      <c r="W274" s="66"/>
      <c r="X274" s="66"/>
      <c r="Y274" s="66"/>
      <c r="Z274" s="66"/>
      <c r="AA274" s="69"/>
      <c r="AD274" s="66"/>
      <c r="AE274" s="66"/>
      <c r="AF274" s="66"/>
      <c r="AG274" s="66"/>
      <c r="AH274" s="66"/>
      <c r="AI274" s="66"/>
      <c r="AJ274" s="69"/>
    </row>
    <row r="275">
      <c r="O275" s="66"/>
      <c r="P275" s="66"/>
      <c r="Q275" s="66"/>
      <c r="R275" s="67"/>
      <c r="S275" s="68"/>
      <c r="W275" s="66"/>
      <c r="X275" s="66"/>
      <c r="Y275" s="66"/>
      <c r="Z275" s="66"/>
      <c r="AA275" s="69"/>
      <c r="AD275" s="66"/>
      <c r="AE275" s="66"/>
      <c r="AF275" s="66"/>
      <c r="AG275" s="66"/>
      <c r="AH275" s="66"/>
      <c r="AI275" s="66"/>
      <c r="AJ275" s="69"/>
    </row>
    <row r="276">
      <c r="O276" s="66"/>
      <c r="P276" s="66"/>
      <c r="Q276" s="66"/>
      <c r="R276" s="67"/>
      <c r="S276" s="68"/>
      <c r="W276" s="66"/>
      <c r="X276" s="66"/>
      <c r="Y276" s="66"/>
      <c r="Z276" s="66"/>
      <c r="AA276" s="69"/>
      <c r="AD276" s="66"/>
      <c r="AE276" s="66"/>
      <c r="AF276" s="66"/>
      <c r="AG276" s="66"/>
      <c r="AH276" s="66"/>
      <c r="AI276" s="66"/>
      <c r="AJ276" s="69"/>
    </row>
    <row r="277">
      <c r="O277" s="66"/>
      <c r="P277" s="66"/>
      <c r="Q277" s="66"/>
      <c r="R277" s="67"/>
      <c r="S277" s="68"/>
      <c r="W277" s="66"/>
      <c r="X277" s="66"/>
      <c r="Y277" s="66"/>
      <c r="Z277" s="66"/>
      <c r="AA277" s="69"/>
      <c r="AD277" s="66"/>
      <c r="AE277" s="66"/>
      <c r="AF277" s="66"/>
      <c r="AG277" s="66"/>
      <c r="AH277" s="66"/>
      <c r="AI277" s="66"/>
      <c r="AJ277" s="69"/>
    </row>
    <row r="278">
      <c r="O278" s="66"/>
      <c r="P278" s="66"/>
      <c r="Q278" s="66"/>
      <c r="R278" s="67"/>
      <c r="S278" s="68"/>
      <c r="W278" s="66"/>
      <c r="X278" s="66"/>
      <c r="Y278" s="66"/>
      <c r="Z278" s="66"/>
      <c r="AA278" s="69"/>
      <c r="AD278" s="66"/>
      <c r="AE278" s="66"/>
      <c r="AF278" s="66"/>
      <c r="AG278" s="66"/>
      <c r="AH278" s="66"/>
      <c r="AI278" s="66"/>
      <c r="AJ278" s="69"/>
    </row>
    <row r="279">
      <c r="O279" s="66"/>
      <c r="P279" s="66"/>
      <c r="Q279" s="66"/>
      <c r="R279" s="67"/>
      <c r="S279" s="68"/>
      <c r="W279" s="66"/>
      <c r="X279" s="66"/>
      <c r="Y279" s="66"/>
      <c r="Z279" s="66"/>
      <c r="AA279" s="69"/>
      <c r="AD279" s="66"/>
      <c r="AE279" s="66"/>
      <c r="AF279" s="66"/>
      <c r="AG279" s="66"/>
      <c r="AH279" s="66"/>
      <c r="AI279" s="66"/>
      <c r="AJ279" s="69"/>
    </row>
    <row r="280">
      <c r="O280" s="66"/>
      <c r="P280" s="66"/>
      <c r="Q280" s="66"/>
      <c r="R280" s="67"/>
      <c r="S280" s="68"/>
      <c r="W280" s="66"/>
      <c r="X280" s="66"/>
      <c r="Y280" s="66"/>
      <c r="Z280" s="66"/>
      <c r="AA280" s="69"/>
      <c r="AD280" s="66"/>
      <c r="AE280" s="66"/>
      <c r="AF280" s="66"/>
      <c r="AG280" s="66"/>
      <c r="AH280" s="66"/>
      <c r="AI280" s="66"/>
      <c r="AJ280" s="69"/>
    </row>
    <row r="281">
      <c r="O281" s="66"/>
      <c r="P281" s="66"/>
      <c r="Q281" s="66"/>
      <c r="R281" s="67"/>
      <c r="S281" s="68"/>
      <c r="W281" s="66"/>
      <c r="X281" s="66"/>
      <c r="Y281" s="66"/>
      <c r="Z281" s="66"/>
      <c r="AA281" s="69"/>
      <c r="AD281" s="66"/>
      <c r="AE281" s="66"/>
      <c r="AF281" s="66"/>
      <c r="AG281" s="66"/>
      <c r="AH281" s="66"/>
      <c r="AI281" s="66"/>
      <c r="AJ281" s="69"/>
    </row>
    <row r="282">
      <c r="O282" s="66"/>
      <c r="P282" s="66"/>
      <c r="Q282" s="66"/>
      <c r="R282" s="67"/>
      <c r="S282" s="68"/>
      <c r="W282" s="66"/>
      <c r="X282" s="66"/>
      <c r="Y282" s="66"/>
      <c r="Z282" s="66"/>
      <c r="AA282" s="69"/>
      <c r="AD282" s="66"/>
      <c r="AE282" s="66"/>
      <c r="AF282" s="66"/>
      <c r="AG282" s="66"/>
      <c r="AH282" s="66"/>
      <c r="AI282" s="66"/>
      <c r="AJ282" s="69"/>
    </row>
    <row r="283">
      <c r="O283" s="66"/>
      <c r="P283" s="66"/>
      <c r="Q283" s="66"/>
      <c r="R283" s="67"/>
      <c r="S283" s="68"/>
      <c r="W283" s="66"/>
      <c r="X283" s="66"/>
      <c r="Y283" s="66"/>
      <c r="Z283" s="66"/>
      <c r="AA283" s="69"/>
      <c r="AD283" s="66"/>
      <c r="AE283" s="66"/>
      <c r="AF283" s="66"/>
      <c r="AG283" s="66"/>
      <c r="AH283" s="66"/>
      <c r="AI283" s="66"/>
      <c r="AJ283" s="69"/>
    </row>
    <row r="284">
      <c r="O284" s="66"/>
      <c r="P284" s="66"/>
      <c r="Q284" s="66"/>
      <c r="R284" s="67"/>
      <c r="S284" s="68"/>
      <c r="W284" s="66"/>
      <c r="X284" s="66"/>
      <c r="Y284" s="66"/>
      <c r="Z284" s="66"/>
      <c r="AA284" s="69"/>
      <c r="AD284" s="66"/>
      <c r="AE284" s="66"/>
      <c r="AF284" s="66"/>
      <c r="AG284" s="66"/>
      <c r="AH284" s="66"/>
      <c r="AI284" s="66"/>
      <c r="AJ284" s="69"/>
    </row>
    <row r="285">
      <c r="O285" s="66"/>
      <c r="P285" s="66"/>
      <c r="Q285" s="66"/>
      <c r="R285" s="67"/>
      <c r="S285" s="68"/>
      <c r="W285" s="66"/>
      <c r="X285" s="66"/>
      <c r="Y285" s="66"/>
      <c r="Z285" s="66"/>
      <c r="AA285" s="69"/>
      <c r="AD285" s="66"/>
      <c r="AE285" s="66"/>
      <c r="AF285" s="66"/>
      <c r="AG285" s="66"/>
      <c r="AH285" s="66"/>
      <c r="AI285" s="66"/>
      <c r="AJ285" s="69"/>
    </row>
    <row r="286">
      <c r="O286" s="66"/>
      <c r="P286" s="66"/>
      <c r="Q286" s="66"/>
      <c r="R286" s="67"/>
      <c r="S286" s="68"/>
      <c r="W286" s="66"/>
      <c r="X286" s="66"/>
      <c r="Y286" s="66"/>
      <c r="Z286" s="66"/>
      <c r="AA286" s="69"/>
      <c r="AD286" s="66"/>
      <c r="AE286" s="66"/>
      <c r="AF286" s="66"/>
      <c r="AG286" s="66"/>
      <c r="AH286" s="66"/>
      <c r="AI286" s="66"/>
      <c r="AJ286" s="69"/>
    </row>
    <row r="287">
      <c r="O287" s="66"/>
      <c r="P287" s="66"/>
      <c r="Q287" s="66"/>
      <c r="R287" s="67"/>
      <c r="S287" s="68"/>
      <c r="W287" s="66"/>
      <c r="X287" s="66"/>
      <c r="Y287" s="66"/>
      <c r="Z287" s="66"/>
      <c r="AA287" s="69"/>
      <c r="AD287" s="66"/>
      <c r="AE287" s="66"/>
      <c r="AF287" s="66"/>
      <c r="AG287" s="66"/>
      <c r="AH287" s="66"/>
      <c r="AI287" s="66"/>
      <c r="AJ287" s="69"/>
    </row>
    <row r="288">
      <c r="O288" s="66"/>
      <c r="P288" s="66"/>
      <c r="Q288" s="66"/>
      <c r="R288" s="67"/>
      <c r="S288" s="68"/>
      <c r="W288" s="66"/>
      <c r="X288" s="66"/>
      <c r="Y288" s="66"/>
      <c r="Z288" s="66"/>
      <c r="AA288" s="69"/>
      <c r="AD288" s="66"/>
      <c r="AE288" s="66"/>
      <c r="AF288" s="66"/>
      <c r="AG288" s="66"/>
      <c r="AH288" s="66"/>
      <c r="AI288" s="66"/>
      <c r="AJ288" s="69"/>
    </row>
    <row r="289">
      <c r="O289" s="66"/>
      <c r="P289" s="66"/>
      <c r="Q289" s="66"/>
      <c r="R289" s="67"/>
      <c r="S289" s="68"/>
      <c r="W289" s="66"/>
      <c r="X289" s="66"/>
      <c r="Y289" s="66"/>
      <c r="Z289" s="66"/>
      <c r="AA289" s="69"/>
      <c r="AD289" s="66"/>
      <c r="AE289" s="66"/>
      <c r="AF289" s="66"/>
      <c r="AG289" s="66"/>
      <c r="AH289" s="66"/>
      <c r="AI289" s="66"/>
      <c r="AJ289" s="69"/>
    </row>
    <row r="290">
      <c r="O290" s="66"/>
      <c r="P290" s="66"/>
      <c r="Q290" s="66"/>
      <c r="R290" s="67"/>
      <c r="S290" s="68"/>
      <c r="W290" s="66"/>
      <c r="X290" s="66"/>
      <c r="Y290" s="66"/>
      <c r="Z290" s="66"/>
      <c r="AA290" s="69"/>
      <c r="AD290" s="66"/>
      <c r="AE290" s="66"/>
      <c r="AF290" s="66"/>
      <c r="AG290" s="66"/>
      <c r="AH290" s="66"/>
      <c r="AI290" s="66"/>
      <c r="AJ290" s="69"/>
    </row>
    <row r="291">
      <c r="O291" s="66"/>
      <c r="P291" s="66"/>
      <c r="Q291" s="66"/>
      <c r="R291" s="67"/>
      <c r="S291" s="68"/>
      <c r="W291" s="66"/>
      <c r="X291" s="66"/>
      <c r="Y291" s="66"/>
      <c r="Z291" s="66"/>
      <c r="AA291" s="69"/>
      <c r="AD291" s="66"/>
      <c r="AE291" s="66"/>
      <c r="AF291" s="66"/>
      <c r="AG291" s="66"/>
      <c r="AH291" s="66"/>
      <c r="AI291" s="66"/>
      <c r="AJ291" s="69"/>
    </row>
    <row r="292">
      <c r="O292" s="66"/>
      <c r="P292" s="66"/>
      <c r="Q292" s="66"/>
      <c r="R292" s="67"/>
      <c r="S292" s="68"/>
      <c r="W292" s="66"/>
      <c r="X292" s="66"/>
      <c r="Y292" s="66"/>
      <c r="Z292" s="66"/>
      <c r="AA292" s="69"/>
      <c r="AD292" s="66"/>
      <c r="AE292" s="66"/>
      <c r="AF292" s="66"/>
      <c r="AG292" s="66"/>
      <c r="AH292" s="66"/>
      <c r="AI292" s="66"/>
      <c r="AJ292" s="69"/>
    </row>
    <row r="293">
      <c r="O293" s="66"/>
      <c r="P293" s="66"/>
      <c r="Q293" s="66"/>
      <c r="R293" s="67"/>
      <c r="S293" s="68"/>
      <c r="W293" s="66"/>
      <c r="X293" s="66"/>
      <c r="Y293" s="66"/>
      <c r="Z293" s="66"/>
      <c r="AA293" s="69"/>
      <c r="AD293" s="66"/>
      <c r="AE293" s="66"/>
      <c r="AF293" s="66"/>
      <c r="AG293" s="66"/>
      <c r="AH293" s="66"/>
      <c r="AI293" s="66"/>
      <c r="AJ293" s="69"/>
    </row>
    <row r="294">
      <c r="O294" s="66"/>
      <c r="P294" s="66"/>
      <c r="Q294" s="66"/>
      <c r="R294" s="67"/>
      <c r="S294" s="68"/>
      <c r="W294" s="66"/>
      <c r="X294" s="66"/>
      <c r="Y294" s="66"/>
      <c r="Z294" s="66"/>
      <c r="AA294" s="69"/>
      <c r="AD294" s="66"/>
      <c r="AE294" s="66"/>
      <c r="AF294" s="66"/>
      <c r="AG294" s="66"/>
      <c r="AH294" s="66"/>
      <c r="AI294" s="66"/>
      <c r="AJ294" s="69"/>
    </row>
    <row r="295">
      <c r="O295" s="66"/>
      <c r="P295" s="66"/>
      <c r="Q295" s="66"/>
      <c r="R295" s="67"/>
      <c r="S295" s="68"/>
      <c r="W295" s="66"/>
      <c r="X295" s="66"/>
      <c r="Y295" s="66"/>
      <c r="Z295" s="66"/>
      <c r="AA295" s="69"/>
      <c r="AD295" s="66"/>
      <c r="AE295" s="66"/>
      <c r="AF295" s="66"/>
      <c r="AG295" s="66"/>
      <c r="AH295" s="66"/>
      <c r="AI295" s="66"/>
      <c r="AJ295" s="69"/>
    </row>
    <row r="296">
      <c r="O296" s="66"/>
      <c r="P296" s="66"/>
      <c r="Q296" s="66"/>
      <c r="R296" s="67"/>
      <c r="S296" s="68"/>
      <c r="W296" s="66"/>
      <c r="X296" s="66"/>
      <c r="Y296" s="66"/>
      <c r="Z296" s="66"/>
      <c r="AA296" s="69"/>
      <c r="AD296" s="66"/>
      <c r="AE296" s="66"/>
      <c r="AF296" s="66"/>
      <c r="AG296" s="66"/>
      <c r="AH296" s="66"/>
      <c r="AI296" s="66"/>
      <c r="AJ296" s="69"/>
    </row>
    <row r="297">
      <c r="O297" s="66"/>
      <c r="P297" s="66"/>
      <c r="Q297" s="66"/>
      <c r="R297" s="67"/>
      <c r="S297" s="68"/>
      <c r="W297" s="66"/>
      <c r="X297" s="66"/>
      <c r="Y297" s="66"/>
      <c r="Z297" s="66"/>
      <c r="AA297" s="69"/>
      <c r="AD297" s="66"/>
      <c r="AE297" s="66"/>
      <c r="AF297" s="66"/>
      <c r="AG297" s="66"/>
      <c r="AH297" s="66"/>
      <c r="AI297" s="66"/>
      <c r="AJ297" s="69"/>
    </row>
    <row r="298">
      <c r="O298" s="66"/>
      <c r="P298" s="66"/>
      <c r="Q298" s="66"/>
      <c r="R298" s="67"/>
      <c r="S298" s="68"/>
      <c r="W298" s="66"/>
      <c r="X298" s="66"/>
      <c r="Y298" s="66"/>
      <c r="Z298" s="66"/>
      <c r="AA298" s="69"/>
      <c r="AD298" s="66"/>
      <c r="AE298" s="66"/>
      <c r="AF298" s="66"/>
      <c r="AG298" s="66"/>
      <c r="AH298" s="66"/>
      <c r="AI298" s="66"/>
      <c r="AJ298" s="69"/>
    </row>
    <row r="299">
      <c r="O299" s="66"/>
      <c r="P299" s="66"/>
      <c r="Q299" s="66"/>
      <c r="R299" s="67"/>
      <c r="S299" s="68"/>
      <c r="W299" s="66"/>
      <c r="X299" s="66"/>
      <c r="Y299" s="66"/>
      <c r="Z299" s="66"/>
      <c r="AA299" s="69"/>
      <c r="AD299" s="66"/>
      <c r="AE299" s="66"/>
      <c r="AF299" s="66"/>
      <c r="AG299" s="66"/>
      <c r="AH299" s="66"/>
      <c r="AI299" s="66"/>
      <c r="AJ299" s="69"/>
    </row>
    <row r="300">
      <c r="O300" s="66"/>
      <c r="P300" s="66"/>
      <c r="Q300" s="66"/>
      <c r="R300" s="67"/>
      <c r="S300" s="68"/>
      <c r="W300" s="66"/>
      <c r="X300" s="66"/>
      <c r="Y300" s="66"/>
      <c r="Z300" s="66"/>
      <c r="AA300" s="69"/>
      <c r="AD300" s="66"/>
      <c r="AE300" s="66"/>
      <c r="AF300" s="66"/>
      <c r="AG300" s="66"/>
      <c r="AH300" s="66"/>
      <c r="AI300" s="66"/>
      <c r="AJ300" s="69"/>
    </row>
    <row r="301">
      <c r="O301" s="66"/>
      <c r="P301" s="66"/>
      <c r="Q301" s="66"/>
      <c r="R301" s="67"/>
      <c r="S301" s="68"/>
      <c r="W301" s="66"/>
      <c r="X301" s="66"/>
      <c r="Y301" s="66"/>
      <c r="Z301" s="66"/>
      <c r="AA301" s="69"/>
      <c r="AD301" s="66"/>
      <c r="AE301" s="66"/>
      <c r="AF301" s="66"/>
      <c r="AG301" s="66"/>
      <c r="AH301" s="66"/>
      <c r="AI301" s="66"/>
      <c r="AJ301" s="69"/>
    </row>
    <row r="302">
      <c r="O302" s="66"/>
      <c r="P302" s="66"/>
      <c r="Q302" s="66"/>
      <c r="R302" s="67"/>
      <c r="S302" s="68"/>
      <c r="W302" s="66"/>
      <c r="X302" s="66"/>
      <c r="Y302" s="66"/>
      <c r="Z302" s="66"/>
      <c r="AA302" s="69"/>
      <c r="AD302" s="66"/>
      <c r="AE302" s="66"/>
      <c r="AF302" s="66"/>
      <c r="AG302" s="66"/>
      <c r="AH302" s="66"/>
      <c r="AI302" s="66"/>
      <c r="AJ302" s="69"/>
    </row>
    <row r="303">
      <c r="O303" s="66"/>
      <c r="P303" s="66"/>
      <c r="Q303" s="66"/>
      <c r="R303" s="67"/>
      <c r="S303" s="68"/>
      <c r="W303" s="66"/>
      <c r="X303" s="66"/>
      <c r="Y303" s="66"/>
      <c r="Z303" s="66"/>
      <c r="AA303" s="69"/>
      <c r="AD303" s="66"/>
      <c r="AE303" s="66"/>
      <c r="AF303" s="66"/>
      <c r="AG303" s="66"/>
      <c r="AH303" s="66"/>
      <c r="AI303" s="66"/>
      <c r="AJ303" s="69"/>
    </row>
    <row r="304">
      <c r="O304" s="66"/>
      <c r="P304" s="66"/>
      <c r="Q304" s="66"/>
      <c r="R304" s="67"/>
      <c r="S304" s="68"/>
      <c r="W304" s="66"/>
      <c r="X304" s="66"/>
      <c r="Y304" s="66"/>
      <c r="Z304" s="66"/>
      <c r="AA304" s="69"/>
      <c r="AD304" s="66"/>
      <c r="AE304" s="66"/>
      <c r="AF304" s="66"/>
      <c r="AG304" s="66"/>
      <c r="AH304" s="66"/>
      <c r="AI304" s="66"/>
      <c r="AJ304" s="69"/>
    </row>
    <row r="305">
      <c r="O305" s="66"/>
      <c r="P305" s="66"/>
      <c r="Q305" s="66"/>
      <c r="R305" s="67"/>
      <c r="S305" s="68"/>
      <c r="W305" s="66"/>
      <c r="X305" s="66"/>
      <c r="Y305" s="66"/>
      <c r="Z305" s="66"/>
      <c r="AA305" s="69"/>
      <c r="AD305" s="66"/>
      <c r="AE305" s="66"/>
      <c r="AF305" s="66"/>
      <c r="AG305" s="66"/>
      <c r="AH305" s="66"/>
      <c r="AI305" s="66"/>
      <c r="AJ305" s="69"/>
    </row>
    <row r="306">
      <c r="O306" s="66"/>
      <c r="P306" s="66"/>
      <c r="Q306" s="66"/>
      <c r="R306" s="67"/>
      <c r="S306" s="68"/>
      <c r="W306" s="66"/>
      <c r="X306" s="66"/>
      <c r="Y306" s="66"/>
      <c r="Z306" s="66"/>
      <c r="AA306" s="69"/>
      <c r="AD306" s="66"/>
      <c r="AE306" s="66"/>
      <c r="AF306" s="66"/>
      <c r="AG306" s="66"/>
      <c r="AH306" s="66"/>
      <c r="AI306" s="66"/>
      <c r="AJ306" s="69"/>
    </row>
    <row r="307">
      <c r="O307" s="66"/>
      <c r="P307" s="66"/>
      <c r="Q307" s="66"/>
      <c r="R307" s="67"/>
      <c r="S307" s="68"/>
      <c r="W307" s="66"/>
      <c r="X307" s="66"/>
      <c r="Y307" s="66"/>
      <c r="Z307" s="66"/>
      <c r="AA307" s="69"/>
      <c r="AD307" s="66"/>
      <c r="AE307" s="66"/>
      <c r="AF307" s="66"/>
      <c r="AG307" s="66"/>
      <c r="AH307" s="66"/>
      <c r="AI307" s="66"/>
      <c r="AJ307" s="69"/>
    </row>
    <row r="308">
      <c r="O308" s="66"/>
      <c r="P308" s="66"/>
      <c r="Q308" s="66"/>
      <c r="R308" s="67"/>
      <c r="S308" s="68"/>
      <c r="W308" s="66"/>
      <c r="X308" s="66"/>
      <c r="Y308" s="66"/>
      <c r="Z308" s="66"/>
      <c r="AA308" s="69"/>
      <c r="AD308" s="66"/>
      <c r="AE308" s="66"/>
      <c r="AF308" s="66"/>
      <c r="AG308" s="66"/>
      <c r="AH308" s="66"/>
      <c r="AI308" s="66"/>
      <c r="AJ308" s="69"/>
    </row>
    <row r="309">
      <c r="O309" s="66"/>
      <c r="P309" s="66"/>
      <c r="Q309" s="66"/>
      <c r="R309" s="67"/>
      <c r="S309" s="68"/>
      <c r="W309" s="66"/>
      <c r="X309" s="66"/>
      <c r="Y309" s="66"/>
      <c r="Z309" s="66"/>
      <c r="AA309" s="69"/>
      <c r="AD309" s="66"/>
      <c r="AE309" s="66"/>
      <c r="AF309" s="66"/>
      <c r="AG309" s="66"/>
      <c r="AH309" s="66"/>
      <c r="AI309" s="66"/>
      <c r="AJ309" s="69"/>
    </row>
    <row r="310">
      <c r="O310" s="66"/>
      <c r="P310" s="66"/>
      <c r="Q310" s="66"/>
      <c r="R310" s="67"/>
      <c r="S310" s="68"/>
      <c r="W310" s="66"/>
      <c r="X310" s="66"/>
      <c r="Y310" s="66"/>
      <c r="Z310" s="66"/>
      <c r="AA310" s="69"/>
      <c r="AD310" s="66"/>
      <c r="AE310" s="66"/>
      <c r="AF310" s="66"/>
      <c r="AG310" s="66"/>
      <c r="AH310" s="66"/>
      <c r="AI310" s="66"/>
      <c r="AJ310" s="69"/>
    </row>
    <row r="311">
      <c r="O311" s="66"/>
      <c r="P311" s="66"/>
      <c r="Q311" s="66"/>
      <c r="R311" s="67"/>
      <c r="S311" s="68"/>
      <c r="W311" s="66"/>
      <c r="X311" s="66"/>
      <c r="Y311" s="66"/>
      <c r="Z311" s="66"/>
      <c r="AA311" s="69"/>
      <c r="AD311" s="66"/>
      <c r="AE311" s="66"/>
      <c r="AF311" s="66"/>
      <c r="AG311" s="66"/>
      <c r="AH311" s="66"/>
      <c r="AI311" s="66"/>
      <c r="AJ311" s="69"/>
    </row>
    <row r="312">
      <c r="O312" s="66"/>
      <c r="P312" s="66"/>
      <c r="Q312" s="66"/>
      <c r="R312" s="67"/>
      <c r="S312" s="68"/>
      <c r="W312" s="66"/>
      <c r="X312" s="66"/>
      <c r="Y312" s="66"/>
      <c r="Z312" s="66"/>
      <c r="AA312" s="69"/>
      <c r="AD312" s="66"/>
      <c r="AE312" s="66"/>
      <c r="AF312" s="66"/>
      <c r="AG312" s="66"/>
      <c r="AH312" s="66"/>
      <c r="AI312" s="66"/>
      <c r="AJ312" s="69"/>
    </row>
    <row r="313">
      <c r="O313" s="66"/>
      <c r="P313" s="66"/>
      <c r="Q313" s="66"/>
      <c r="R313" s="67"/>
      <c r="S313" s="68"/>
      <c r="W313" s="66"/>
      <c r="X313" s="66"/>
      <c r="Y313" s="66"/>
      <c r="Z313" s="66"/>
      <c r="AA313" s="69"/>
      <c r="AD313" s="66"/>
      <c r="AE313" s="66"/>
      <c r="AF313" s="66"/>
      <c r="AG313" s="66"/>
      <c r="AH313" s="66"/>
      <c r="AI313" s="66"/>
      <c r="AJ313" s="69"/>
    </row>
    <row r="314">
      <c r="O314" s="66"/>
      <c r="P314" s="66"/>
      <c r="Q314" s="66"/>
      <c r="R314" s="67"/>
      <c r="S314" s="68"/>
      <c r="W314" s="66"/>
      <c r="X314" s="66"/>
      <c r="Y314" s="66"/>
      <c r="Z314" s="66"/>
      <c r="AA314" s="69"/>
      <c r="AD314" s="66"/>
      <c r="AE314" s="66"/>
      <c r="AF314" s="66"/>
      <c r="AG314" s="66"/>
      <c r="AH314" s="66"/>
      <c r="AI314" s="66"/>
      <c r="AJ314" s="69"/>
    </row>
    <row r="315">
      <c r="O315" s="66"/>
      <c r="P315" s="66"/>
      <c r="Q315" s="66"/>
      <c r="R315" s="67"/>
      <c r="S315" s="68"/>
      <c r="W315" s="66"/>
      <c r="X315" s="66"/>
      <c r="Y315" s="66"/>
      <c r="Z315" s="66"/>
      <c r="AA315" s="69"/>
      <c r="AD315" s="66"/>
      <c r="AE315" s="66"/>
      <c r="AF315" s="66"/>
      <c r="AG315" s="66"/>
      <c r="AH315" s="66"/>
      <c r="AI315" s="66"/>
      <c r="AJ315" s="69"/>
    </row>
    <row r="316">
      <c r="O316" s="66"/>
      <c r="P316" s="66"/>
      <c r="Q316" s="66"/>
      <c r="R316" s="67"/>
      <c r="S316" s="68"/>
      <c r="W316" s="66"/>
      <c r="X316" s="66"/>
      <c r="Y316" s="66"/>
      <c r="Z316" s="66"/>
      <c r="AA316" s="69"/>
      <c r="AD316" s="66"/>
      <c r="AE316" s="66"/>
      <c r="AF316" s="66"/>
      <c r="AG316" s="66"/>
      <c r="AH316" s="66"/>
      <c r="AI316" s="66"/>
      <c r="AJ316" s="69"/>
    </row>
    <row r="317">
      <c r="O317" s="66"/>
      <c r="P317" s="66"/>
      <c r="Q317" s="66"/>
      <c r="R317" s="67"/>
      <c r="S317" s="68"/>
      <c r="W317" s="66"/>
      <c r="X317" s="66"/>
      <c r="Y317" s="66"/>
      <c r="Z317" s="66"/>
      <c r="AA317" s="69"/>
      <c r="AD317" s="66"/>
      <c r="AE317" s="66"/>
      <c r="AF317" s="66"/>
      <c r="AG317" s="66"/>
      <c r="AH317" s="66"/>
      <c r="AI317" s="66"/>
      <c r="AJ317" s="69"/>
    </row>
    <row r="318">
      <c r="O318" s="66"/>
      <c r="P318" s="66"/>
      <c r="Q318" s="66"/>
      <c r="R318" s="67"/>
      <c r="S318" s="68"/>
      <c r="W318" s="66"/>
      <c r="X318" s="66"/>
      <c r="Y318" s="66"/>
      <c r="Z318" s="66"/>
      <c r="AA318" s="69"/>
      <c r="AD318" s="66"/>
      <c r="AE318" s="66"/>
      <c r="AF318" s="66"/>
      <c r="AG318" s="66"/>
      <c r="AH318" s="66"/>
      <c r="AI318" s="66"/>
      <c r="AJ318" s="69"/>
    </row>
    <row r="319">
      <c r="O319" s="66"/>
      <c r="P319" s="66"/>
      <c r="Q319" s="66"/>
      <c r="R319" s="67"/>
      <c r="S319" s="68"/>
      <c r="W319" s="66"/>
      <c r="X319" s="66"/>
      <c r="Y319" s="66"/>
      <c r="Z319" s="66"/>
      <c r="AA319" s="69"/>
      <c r="AD319" s="66"/>
      <c r="AE319" s="66"/>
      <c r="AF319" s="66"/>
      <c r="AG319" s="66"/>
      <c r="AH319" s="66"/>
      <c r="AI319" s="66"/>
      <c r="AJ319" s="69"/>
    </row>
    <row r="320">
      <c r="O320" s="66"/>
      <c r="P320" s="66"/>
      <c r="Q320" s="66"/>
      <c r="R320" s="67"/>
      <c r="S320" s="68"/>
      <c r="W320" s="66"/>
      <c r="X320" s="66"/>
      <c r="Y320" s="66"/>
      <c r="Z320" s="66"/>
      <c r="AA320" s="69"/>
      <c r="AD320" s="66"/>
      <c r="AE320" s="66"/>
      <c r="AF320" s="66"/>
      <c r="AG320" s="66"/>
      <c r="AH320" s="66"/>
      <c r="AI320" s="66"/>
      <c r="AJ320" s="69"/>
    </row>
    <row r="321">
      <c r="O321" s="66"/>
      <c r="P321" s="66"/>
      <c r="Q321" s="66"/>
      <c r="R321" s="67"/>
      <c r="S321" s="68"/>
      <c r="W321" s="66"/>
      <c r="X321" s="66"/>
      <c r="Y321" s="66"/>
      <c r="Z321" s="66"/>
      <c r="AA321" s="69"/>
      <c r="AD321" s="66"/>
      <c r="AE321" s="66"/>
      <c r="AF321" s="66"/>
      <c r="AG321" s="66"/>
      <c r="AH321" s="66"/>
      <c r="AI321" s="66"/>
      <c r="AJ321" s="69"/>
    </row>
    <row r="322">
      <c r="O322" s="66"/>
      <c r="P322" s="66"/>
      <c r="Q322" s="66"/>
      <c r="R322" s="67"/>
      <c r="S322" s="68"/>
      <c r="W322" s="66"/>
      <c r="X322" s="66"/>
      <c r="Y322" s="66"/>
      <c r="Z322" s="66"/>
      <c r="AA322" s="69"/>
      <c r="AD322" s="66"/>
      <c r="AE322" s="66"/>
      <c r="AF322" s="66"/>
      <c r="AG322" s="66"/>
      <c r="AH322" s="66"/>
      <c r="AI322" s="66"/>
      <c r="AJ322" s="69"/>
    </row>
    <row r="323">
      <c r="O323" s="66"/>
      <c r="P323" s="66"/>
      <c r="Q323" s="66"/>
      <c r="R323" s="67"/>
      <c r="S323" s="68"/>
      <c r="W323" s="66"/>
      <c r="X323" s="66"/>
      <c r="Y323" s="66"/>
      <c r="Z323" s="66"/>
      <c r="AA323" s="69"/>
      <c r="AD323" s="66"/>
      <c r="AE323" s="66"/>
      <c r="AF323" s="66"/>
      <c r="AG323" s="66"/>
      <c r="AH323" s="66"/>
      <c r="AI323" s="66"/>
      <c r="AJ323" s="69"/>
    </row>
    <row r="324">
      <c r="O324" s="66"/>
      <c r="P324" s="66"/>
      <c r="Q324" s="66"/>
      <c r="R324" s="67"/>
      <c r="S324" s="68"/>
      <c r="W324" s="66"/>
      <c r="X324" s="66"/>
      <c r="Y324" s="66"/>
      <c r="Z324" s="66"/>
      <c r="AA324" s="69"/>
      <c r="AD324" s="66"/>
      <c r="AE324" s="66"/>
      <c r="AF324" s="66"/>
      <c r="AG324" s="66"/>
      <c r="AH324" s="66"/>
      <c r="AI324" s="66"/>
      <c r="AJ324" s="69"/>
    </row>
    <row r="325">
      <c r="O325" s="66"/>
      <c r="P325" s="66"/>
      <c r="Q325" s="66"/>
      <c r="R325" s="67"/>
      <c r="S325" s="68"/>
      <c r="W325" s="66"/>
      <c r="X325" s="66"/>
      <c r="Y325" s="66"/>
      <c r="Z325" s="66"/>
      <c r="AA325" s="69"/>
      <c r="AD325" s="66"/>
      <c r="AE325" s="66"/>
      <c r="AF325" s="66"/>
      <c r="AG325" s="66"/>
      <c r="AH325" s="66"/>
      <c r="AI325" s="66"/>
      <c r="AJ325" s="69"/>
    </row>
    <row r="326">
      <c r="O326" s="66"/>
      <c r="P326" s="66"/>
      <c r="Q326" s="66"/>
      <c r="R326" s="67"/>
      <c r="S326" s="68"/>
      <c r="W326" s="66"/>
      <c r="X326" s="66"/>
      <c r="Y326" s="66"/>
      <c r="Z326" s="66"/>
      <c r="AA326" s="69"/>
      <c r="AD326" s="66"/>
      <c r="AE326" s="66"/>
      <c r="AF326" s="66"/>
      <c r="AG326" s="66"/>
      <c r="AH326" s="66"/>
      <c r="AI326" s="66"/>
      <c r="AJ326" s="69"/>
    </row>
    <row r="327">
      <c r="O327" s="66"/>
      <c r="P327" s="66"/>
      <c r="Q327" s="66"/>
      <c r="R327" s="67"/>
      <c r="S327" s="68"/>
      <c r="W327" s="66"/>
      <c r="X327" s="66"/>
      <c r="Y327" s="66"/>
      <c r="Z327" s="66"/>
      <c r="AA327" s="69"/>
      <c r="AD327" s="66"/>
      <c r="AE327" s="66"/>
      <c r="AF327" s="66"/>
      <c r="AG327" s="66"/>
      <c r="AH327" s="66"/>
      <c r="AI327" s="66"/>
      <c r="AJ327" s="69"/>
    </row>
    <row r="328">
      <c r="O328" s="66"/>
      <c r="P328" s="66"/>
      <c r="Q328" s="66"/>
      <c r="R328" s="67"/>
      <c r="S328" s="68"/>
      <c r="W328" s="66"/>
      <c r="X328" s="66"/>
      <c r="Y328" s="66"/>
      <c r="Z328" s="66"/>
      <c r="AA328" s="69"/>
      <c r="AD328" s="66"/>
      <c r="AE328" s="66"/>
      <c r="AF328" s="66"/>
      <c r="AG328" s="66"/>
      <c r="AH328" s="66"/>
      <c r="AI328" s="66"/>
      <c r="AJ328" s="69"/>
    </row>
    <row r="329">
      <c r="O329" s="66"/>
      <c r="P329" s="66"/>
      <c r="Q329" s="66"/>
      <c r="R329" s="67"/>
      <c r="S329" s="68"/>
      <c r="W329" s="66"/>
      <c r="X329" s="66"/>
      <c r="Y329" s="66"/>
      <c r="Z329" s="66"/>
      <c r="AA329" s="69"/>
      <c r="AD329" s="66"/>
      <c r="AE329" s="66"/>
      <c r="AF329" s="66"/>
      <c r="AG329" s="66"/>
      <c r="AH329" s="66"/>
      <c r="AI329" s="66"/>
      <c r="AJ329" s="69"/>
    </row>
    <row r="330">
      <c r="O330" s="66"/>
      <c r="P330" s="66"/>
      <c r="Q330" s="66"/>
      <c r="R330" s="67"/>
      <c r="S330" s="68"/>
      <c r="W330" s="66"/>
      <c r="X330" s="66"/>
      <c r="Y330" s="66"/>
      <c r="Z330" s="66"/>
      <c r="AA330" s="69"/>
      <c r="AD330" s="66"/>
      <c r="AE330" s="66"/>
      <c r="AF330" s="66"/>
      <c r="AG330" s="66"/>
      <c r="AH330" s="66"/>
      <c r="AI330" s="66"/>
      <c r="AJ330" s="69"/>
    </row>
    <row r="331">
      <c r="O331" s="66"/>
      <c r="P331" s="66"/>
      <c r="Q331" s="66"/>
      <c r="R331" s="67"/>
      <c r="S331" s="68"/>
      <c r="W331" s="66"/>
      <c r="X331" s="66"/>
      <c r="Y331" s="66"/>
      <c r="Z331" s="66"/>
      <c r="AA331" s="69"/>
      <c r="AD331" s="66"/>
      <c r="AE331" s="66"/>
      <c r="AF331" s="66"/>
      <c r="AG331" s="66"/>
      <c r="AH331" s="66"/>
      <c r="AI331" s="66"/>
      <c r="AJ331" s="69"/>
    </row>
    <row r="332">
      <c r="O332" s="66"/>
      <c r="P332" s="66"/>
      <c r="Q332" s="66"/>
      <c r="R332" s="67"/>
      <c r="S332" s="68"/>
      <c r="W332" s="66"/>
      <c r="X332" s="66"/>
      <c r="Y332" s="66"/>
      <c r="Z332" s="66"/>
      <c r="AA332" s="69"/>
      <c r="AD332" s="66"/>
      <c r="AE332" s="66"/>
      <c r="AF332" s="66"/>
      <c r="AG332" s="66"/>
      <c r="AH332" s="66"/>
      <c r="AI332" s="66"/>
      <c r="AJ332" s="69"/>
    </row>
    <row r="333">
      <c r="O333" s="66"/>
      <c r="P333" s="66"/>
      <c r="Q333" s="66"/>
      <c r="R333" s="67"/>
      <c r="S333" s="68"/>
      <c r="W333" s="66"/>
      <c r="X333" s="66"/>
      <c r="Y333" s="66"/>
      <c r="Z333" s="66"/>
      <c r="AA333" s="69"/>
      <c r="AD333" s="66"/>
      <c r="AE333" s="66"/>
      <c r="AF333" s="66"/>
      <c r="AG333" s="66"/>
      <c r="AH333" s="66"/>
      <c r="AI333" s="66"/>
      <c r="AJ333" s="69"/>
    </row>
    <row r="334">
      <c r="O334" s="66"/>
      <c r="P334" s="66"/>
      <c r="Q334" s="66"/>
      <c r="R334" s="67"/>
      <c r="S334" s="68"/>
      <c r="W334" s="66"/>
      <c r="X334" s="66"/>
      <c r="Y334" s="66"/>
      <c r="Z334" s="66"/>
      <c r="AA334" s="69"/>
      <c r="AD334" s="66"/>
      <c r="AE334" s="66"/>
      <c r="AF334" s="66"/>
      <c r="AG334" s="66"/>
      <c r="AH334" s="66"/>
      <c r="AI334" s="66"/>
      <c r="AJ334" s="69"/>
    </row>
    <row r="335">
      <c r="O335" s="66"/>
      <c r="P335" s="66"/>
      <c r="Q335" s="66"/>
      <c r="R335" s="67"/>
      <c r="S335" s="68"/>
      <c r="W335" s="66"/>
      <c r="X335" s="66"/>
      <c r="Y335" s="66"/>
      <c r="Z335" s="66"/>
      <c r="AA335" s="69"/>
      <c r="AD335" s="66"/>
      <c r="AE335" s="66"/>
      <c r="AF335" s="66"/>
      <c r="AG335" s="66"/>
      <c r="AH335" s="66"/>
      <c r="AI335" s="66"/>
      <c r="AJ335" s="69"/>
    </row>
    <row r="336">
      <c r="O336" s="66"/>
      <c r="P336" s="66"/>
      <c r="Q336" s="66"/>
      <c r="R336" s="67"/>
      <c r="S336" s="68"/>
      <c r="W336" s="66"/>
      <c r="X336" s="66"/>
      <c r="Y336" s="66"/>
      <c r="Z336" s="66"/>
      <c r="AA336" s="69"/>
      <c r="AD336" s="66"/>
      <c r="AE336" s="66"/>
      <c r="AF336" s="66"/>
      <c r="AG336" s="66"/>
      <c r="AH336" s="66"/>
      <c r="AI336" s="66"/>
      <c r="AJ336" s="69"/>
    </row>
    <row r="337">
      <c r="O337" s="66"/>
      <c r="P337" s="66"/>
      <c r="Q337" s="66"/>
      <c r="R337" s="67"/>
      <c r="S337" s="68"/>
      <c r="W337" s="66"/>
      <c r="X337" s="66"/>
      <c r="Y337" s="66"/>
      <c r="Z337" s="66"/>
      <c r="AA337" s="69"/>
      <c r="AD337" s="66"/>
      <c r="AE337" s="66"/>
      <c r="AF337" s="66"/>
      <c r="AG337" s="66"/>
      <c r="AH337" s="66"/>
      <c r="AI337" s="66"/>
      <c r="AJ337" s="69"/>
    </row>
    <row r="338">
      <c r="O338" s="66"/>
      <c r="P338" s="66"/>
      <c r="Q338" s="66"/>
      <c r="R338" s="67"/>
      <c r="S338" s="68"/>
      <c r="W338" s="66"/>
      <c r="X338" s="66"/>
      <c r="Y338" s="66"/>
      <c r="Z338" s="66"/>
      <c r="AA338" s="69"/>
      <c r="AD338" s="66"/>
      <c r="AE338" s="66"/>
      <c r="AF338" s="66"/>
      <c r="AG338" s="66"/>
      <c r="AH338" s="66"/>
      <c r="AI338" s="66"/>
      <c r="AJ338" s="69"/>
    </row>
    <row r="339">
      <c r="O339" s="66"/>
      <c r="P339" s="66"/>
      <c r="Q339" s="66"/>
      <c r="R339" s="67"/>
      <c r="S339" s="68"/>
      <c r="W339" s="66"/>
      <c r="X339" s="66"/>
      <c r="Y339" s="66"/>
      <c r="Z339" s="66"/>
      <c r="AA339" s="69"/>
      <c r="AD339" s="66"/>
      <c r="AE339" s="66"/>
      <c r="AF339" s="66"/>
      <c r="AG339" s="66"/>
      <c r="AH339" s="66"/>
      <c r="AI339" s="66"/>
      <c r="AJ339" s="69"/>
    </row>
    <row r="340">
      <c r="O340" s="66"/>
      <c r="P340" s="66"/>
      <c r="Q340" s="66"/>
      <c r="R340" s="67"/>
      <c r="S340" s="68"/>
      <c r="W340" s="66"/>
      <c r="X340" s="66"/>
      <c r="Y340" s="66"/>
      <c r="Z340" s="66"/>
      <c r="AA340" s="69"/>
      <c r="AD340" s="66"/>
      <c r="AE340" s="66"/>
      <c r="AF340" s="66"/>
      <c r="AG340" s="66"/>
      <c r="AH340" s="66"/>
      <c r="AI340" s="66"/>
      <c r="AJ340" s="69"/>
    </row>
    <row r="341">
      <c r="O341" s="66"/>
      <c r="P341" s="66"/>
      <c r="Q341" s="66"/>
      <c r="R341" s="67"/>
      <c r="S341" s="68"/>
      <c r="W341" s="66"/>
      <c r="X341" s="66"/>
      <c r="Y341" s="66"/>
      <c r="Z341" s="66"/>
      <c r="AA341" s="69"/>
      <c r="AD341" s="66"/>
      <c r="AE341" s="66"/>
      <c r="AF341" s="66"/>
      <c r="AG341" s="66"/>
      <c r="AH341" s="66"/>
      <c r="AI341" s="66"/>
      <c r="AJ341" s="69"/>
    </row>
    <row r="342">
      <c r="O342" s="66"/>
      <c r="P342" s="66"/>
      <c r="Q342" s="66"/>
      <c r="R342" s="67"/>
      <c r="S342" s="68"/>
      <c r="W342" s="66"/>
      <c r="X342" s="66"/>
      <c r="Y342" s="66"/>
      <c r="Z342" s="66"/>
      <c r="AA342" s="69"/>
      <c r="AD342" s="66"/>
      <c r="AE342" s="66"/>
      <c r="AF342" s="66"/>
      <c r="AG342" s="66"/>
      <c r="AH342" s="66"/>
      <c r="AI342" s="66"/>
      <c r="AJ342" s="69"/>
    </row>
    <row r="343">
      <c r="O343" s="66"/>
      <c r="P343" s="66"/>
      <c r="Q343" s="66"/>
      <c r="R343" s="67"/>
      <c r="S343" s="68"/>
      <c r="W343" s="66"/>
      <c r="X343" s="66"/>
      <c r="Y343" s="66"/>
      <c r="Z343" s="66"/>
      <c r="AA343" s="69"/>
      <c r="AD343" s="66"/>
      <c r="AE343" s="66"/>
      <c r="AF343" s="66"/>
      <c r="AG343" s="66"/>
      <c r="AH343" s="66"/>
      <c r="AI343" s="66"/>
      <c r="AJ343" s="69"/>
    </row>
    <row r="344">
      <c r="O344" s="66"/>
      <c r="P344" s="66"/>
      <c r="Q344" s="66"/>
      <c r="R344" s="67"/>
      <c r="S344" s="68"/>
      <c r="W344" s="66"/>
      <c r="X344" s="66"/>
      <c r="Y344" s="66"/>
      <c r="Z344" s="66"/>
      <c r="AA344" s="69"/>
      <c r="AD344" s="66"/>
      <c r="AE344" s="66"/>
      <c r="AF344" s="66"/>
      <c r="AG344" s="66"/>
      <c r="AH344" s="66"/>
      <c r="AI344" s="66"/>
      <c r="AJ344" s="69"/>
    </row>
    <row r="345">
      <c r="O345" s="66"/>
      <c r="P345" s="66"/>
      <c r="Q345" s="66"/>
      <c r="R345" s="67"/>
      <c r="S345" s="68"/>
      <c r="W345" s="66"/>
      <c r="X345" s="66"/>
      <c r="Y345" s="66"/>
      <c r="Z345" s="66"/>
      <c r="AA345" s="69"/>
      <c r="AD345" s="66"/>
      <c r="AE345" s="66"/>
      <c r="AF345" s="66"/>
      <c r="AG345" s="66"/>
      <c r="AH345" s="66"/>
      <c r="AI345" s="66"/>
      <c r="AJ345" s="69"/>
    </row>
    <row r="346">
      <c r="O346" s="66"/>
      <c r="P346" s="66"/>
      <c r="Q346" s="66"/>
      <c r="R346" s="67"/>
      <c r="S346" s="68"/>
      <c r="W346" s="66"/>
      <c r="X346" s="66"/>
      <c r="Y346" s="66"/>
      <c r="Z346" s="66"/>
      <c r="AA346" s="69"/>
      <c r="AD346" s="66"/>
      <c r="AE346" s="66"/>
      <c r="AF346" s="66"/>
      <c r="AG346" s="66"/>
      <c r="AH346" s="66"/>
      <c r="AI346" s="66"/>
      <c r="AJ346" s="69"/>
    </row>
    <row r="347">
      <c r="O347" s="66"/>
      <c r="P347" s="66"/>
      <c r="Q347" s="66"/>
      <c r="R347" s="67"/>
      <c r="S347" s="68"/>
      <c r="W347" s="66"/>
      <c r="X347" s="66"/>
      <c r="Y347" s="66"/>
      <c r="Z347" s="66"/>
      <c r="AA347" s="69"/>
      <c r="AD347" s="66"/>
      <c r="AE347" s="66"/>
      <c r="AF347" s="66"/>
      <c r="AG347" s="66"/>
      <c r="AH347" s="66"/>
      <c r="AI347" s="66"/>
      <c r="AJ347" s="69"/>
    </row>
    <row r="348">
      <c r="O348" s="66"/>
      <c r="P348" s="66"/>
      <c r="Q348" s="66"/>
      <c r="R348" s="67"/>
      <c r="S348" s="68"/>
      <c r="W348" s="66"/>
      <c r="X348" s="66"/>
      <c r="Y348" s="66"/>
      <c r="Z348" s="66"/>
      <c r="AA348" s="69"/>
      <c r="AD348" s="66"/>
      <c r="AE348" s="66"/>
      <c r="AF348" s="66"/>
      <c r="AG348" s="66"/>
      <c r="AH348" s="66"/>
      <c r="AI348" s="66"/>
      <c r="AJ348" s="69"/>
    </row>
    <row r="349">
      <c r="O349" s="66"/>
      <c r="P349" s="66"/>
      <c r="Q349" s="66"/>
      <c r="R349" s="67"/>
      <c r="S349" s="68"/>
      <c r="W349" s="66"/>
      <c r="X349" s="66"/>
      <c r="Y349" s="66"/>
      <c r="Z349" s="66"/>
      <c r="AA349" s="69"/>
      <c r="AD349" s="66"/>
      <c r="AE349" s="66"/>
      <c r="AF349" s="66"/>
      <c r="AG349" s="66"/>
      <c r="AH349" s="66"/>
      <c r="AI349" s="66"/>
      <c r="AJ349" s="69"/>
    </row>
    <row r="350">
      <c r="O350" s="66"/>
      <c r="P350" s="66"/>
      <c r="Q350" s="66"/>
      <c r="R350" s="67"/>
      <c r="S350" s="68"/>
      <c r="W350" s="66"/>
      <c r="X350" s="66"/>
      <c r="Y350" s="66"/>
      <c r="Z350" s="66"/>
      <c r="AA350" s="69"/>
      <c r="AD350" s="66"/>
      <c r="AE350" s="66"/>
      <c r="AF350" s="66"/>
      <c r="AG350" s="66"/>
      <c r="AH350" s="66"/>
      <c r="AI350" s="66"/>
      <c r="AJ350" s="69"/>
    </row>
    <row r="351">
      <c r="O351" s="66"/>
      <c r="P351" s="66"/>
      <c r="Q351" s="66"/>
      <c r="R351" s="67"/>
      <c r="S351" s="68"/>
      <c r="W351" s="66"/>
      <c r="X351" s="66"/>
      <c r="Y351" s="66"/>
      <c r="Z351" s="66"/>
      <c r="AA351" s="69"/>
      <c r="AD351" s="66"/>
      <c r="AE351" s="66"/>
      <c r="AF351" s="66"/>
      <c r="AG351" s="66"/>
      <c r="AH351" s="66"/>
      <c r="AI351" s="66"/>
      <c r="AJ351" s="69"/>
    </row>
    <row r="352">
      <c r="O352" s="66"/>
      <c r="P352" s="66"/>
      <c r="Q352" s="66"/>
      <c r="R352" s="67"/>
      <c r="S352" s="68"/>
      <c r="W352" s="66"/>
      <c r="X352" s="66"/>
      <c r="Y352" s="66"/>
      <c r="Z352" s="66"/>
      <c r="AA352" s="69"/>
      <c r="AD352" s="66"/>
      <c r="AE352" s="66"/>
      <c r="AF352" s="66"/>
      <c r="AG352" s="66"/>
      <c r="AH352" s="66"/>
      <c r="AI352" s="66"/>
      <c r="AJ352" s="69"/>
    </row>
    <row r="353">
      <c r="O353" s="66"/>
      <c r="P353" s="66"/>
      <c r="Q353" s="66"/>
      <c r="R353" s="67"/>
      <c r="S353" s="68"/>
      <c r="W353" s="66"/>
      <c r="X353" s="66"/>
      <c r="Y353" s="66"/>
      <c r="Z353" s="66"/>
      <c r="AA353" s="69"/>
      <c r="AD353" s="66"/>
      <c r="AE353" s="66"/>
      <c r="AF353" s="66"/>
      <c r="AG353" s="66"/>
      <c r="AH353" s="66"/>
      <c r="AI353" s="66"/>
      <c r="AJ353" s="69"/>
    </row>
    <row r="354">
      <c r="O354" s="66"/>
      <c r="P354" s="66"/>
      <c r="Q354" s="66"/>
      <c r="R354" s="67"/>
      <c r="S354" s="68"/>
      <c r="W354" s="66"/>
      <c r="X354" s="66"/>
      <c r="Y354" s="66"/>
      <c r="Z354" s="66"/>
      <c r="AA354" s="69"/>
      <c r="AD354" s="66"/>
      <c r="AE354" s="66"/>
      <c r="AF354" s="66"/>
      <c r="AG354" s="66"/>
      <c r="AH354" s="66"/>
      <c r="AI354" s="66"/>
      <c r="AJ354" s="69"/>
    </row>
    <row r="355">
      <c r="O355" s="66"/>
      <c r="P355" s="66"/>
      <c r="Q355" s="66"/>
      <c r="R355" s="67"/>
      <c r="S355" s="68"/>
      <c r="W355" s="66"/>
      <c r="X355" s="66"/>
      <c r="Y355" s="66"/>
      <c r="Z355" s="66"/>
      <c r="AA355" s="69"/>
      <c r="AD355" s="66"/>
      <c r="AE355" s="66"/>
      <c r="AF355" s="66"/>
      <c r="AG355" s="66"/>
      <c r="AH355" s="66"/>
      <c r="AI355" s="66"/>
      <c r="AJ355" s="69"/>
    </row>
    <row r="356">
      <c r="O356" s="66"/>
      <c r="P356" s="66"/>
      <c r="Q356" s="66"/>
      <c r="R356" s="67"/>
      <c r="S356" s="68"/>
      <c r="W356" s="66"/>
      <c r="X356" s="66"/>
      <c r="Y356" s="66"/>
      <c r="Z356" s="66"/>
      <c r="AA356" s="69"/>
      <c r="AD356" s="66"/>
      <c r="AE356" s="66"/>
      <c r="AF356" s="66"/>
      <c r="AG356" s="66"/>
      <c r="AH356" s="66"/>
      <c r="AI356" s="66"/>
      <c r="AJ356" s="69"/>
    </row>
    <row r="357">
      <c r="O357" s="66"/>
      <c r="P357" s="66"/>
      <c r="Q357" s="66"/>
      <c r="R357" s="67"/>
      <c r="S357" s="68"/>
      <c r="W357" s="66"/>
      <c r="X357" s="66"/>
      <c r="Y357" s="66"/>
      <c r="Z357" s="66"/>
      <c r="AA357" s="69"/>
      <c r="AD357" s="66"/>
      <c r="AE357" s="66"/>
      <c r="AF357" s="66"/>
      <c r="AG357" s="66"/>
      <c r="AH357" s="66"/>
      <c r="AI357" s="66"/>
      <c r="AJ357" s="69"/>
    </row>
    <row r="358">
      <c r="O358" s="66"/>
      <c r="P358" s="66"/>
      <c r="Q358" s="66"/>
      <c r="R358" s="67"/>
      <c r="S358" s="68"/>
      <c r="W358" s="66"/>
      <c r="X358" s="66"/>
      <c r="Y358" s="66"/>
      <c r="Z358" s="66"/>
      <c r="AA358" s="69"/>
      <c r="AD358" s="66"/>
      <c r="AE358" s="66"/>
      <c r="AF358" s="66"/>
      <c r="AG358" s="66"/>
      <c r="AH358" s="66"/>
      <c r="AI358" s="66"/>
      <c r="AJ358" s="69"/>
    </row>
    <row r="359">
      <c r="O359" s="66"/>
      <c r="P359" s="66"/>
      <c r="Q359" s="66"/>
      <c r="R359" s="67"/>
      <c r="S359" s="68"/>
      <c r="W359" s="66"/>
      <c r="X359" s="66"/>
      <c r="Y359" s="66"/>
      <c r="Z359" s="66"/>
      <c r="AA359" s="69"/>
      <c r="AD359" s="66"/>
      <c r="AE359" s="66"/>
      <c r="AF359" s="66"/>
      <c r="AG359" s="66"/>
      <c r="AH359" s="66"/>
      <c r="AI359" s="66"/>
      <c r="AJ359" s="69"/>
    </row>
    <row r="360">
      <c r="O360" s="66"/>
      <c r="P360" s="66"/>
      <c r="Q360" s="66"/>
      <c r="R360" s="67"/>
      <c r="S360" s="68"/>
      <c r="W360" s="66"/>
      <c r="X360" s="66"/>
      <c r="Y360" s="66"/>
      <c r="Z360" s="66"/>
      <c r="AA360" s="69"/>
      <c r="AD360" s="66"/>
      <c r="AE360" s="66"/>
      <c r="AF360" s="66"/>
      <c r="AG360" s="66"/>
      <c r="AH360" s="66"/>
      <c r="AI360" s="66"/>
      <c r="AJ360" s="69"/>
    </row>
    <row r="361">
      <c r="O361" s="66"/>
      <c r="P361" s="66"/>
      <c r="Q361" s="66"/>
      <c r="R361" s="67"/>
      <c r="S361" s="68"/>
      <c r="W361" s="66"/>
      <c r="X361" s="66"/>
      <c r="Y361" s="66"/>
      <c r="Z361" s="66"/>
      <c r="AA361" s="69"/>
      <c r="AD361" s="66"/>
      <c r="AE361" s="66"/>
      <c r="AF361" s="66"/>
      <c r="AG361" s="66"/>
      <c r="AH361" s="66"/>
      <c r="AI361" s="66"/>
      <c r="AJ361" s="69"/>
    </row>
    <row r="362">
      <c r="O362" s="66"/>
      <c r="P362" s="66"/>
      <c r="Q362" s="66"/>
      <c r="R362" s="67"/>
      <c r="S362" s="68"/>
      <c r="W362" s="66"/>
      <c r="X362" s="66"/>
      <c r="Y362" s="66"/>
      <c r="Z362" s="66"/>
      <c r="AA362" s="69"/>
      <c r="AD362" s="66"/>
      <c r="AE362" s="66"/>
      <c r="AF362" s="66"/>
      <c r="AG362" s="66"/>
      <c r="AH362" s="66"/>
      <c r="AI362" s="66"/>
      <c r="AJ362" s="69"/>
    </row>
    <row r="363">
      <c r="O363" s="66"/>
      <c r="P363" s="66"/>
      <c r="Q363" s="66"/>
      <c r="R363" s="67"/>
      <c r="S363" s="68"/>
      <c r="W363" s="66"/>
      <c r="X363" s="66"/>
      <c r="Y363" s="66"/>
      <c r="Z363" s="66"/>
      <c r="AA363" s="69"/>
      <c r="AD363" s="66"/>
      <c r="AE363" s="66"/>
      <c r="AF363" s="66"/>
      <c r="AG363" s="66"/>
      <c r="AH363" s="66"/>
      <c r="AI363" s="66"/>
      <c r="AJ363" s="69"/>
    </row>
    <row r="364">
      <c r="O364" s="66"/>
      <c r="P364" s="66"/>
      <c r="Q364" s="66"/>
      <c r="R364" s="67"/>
      <c r="S364" s="68"/>
      <c r="W364" s="66"/>
      <c r="X364" s="66"/>
      <c r="Y364" s="66"/>
      <c r="Z364" s="66"/>
      <c r="AA364" s="69"/>
      <c r="AD364" s="66"/>
      <c r="AE364" s="66"/>
      <c r="AF364" s="66"/>
      <c r="AG364" s="66"/>
      <c r="AH364" s="66"/>
      <c r="AI364" s="66"/>
      <c r="AJ364" s="69"/>
    </row>
    <row r="365">
      <c r="O365" s="66"/>
      <c r="P365" s="66"/>
      <c r="Q365" s="66"/>
      <c r="R365" s="67"/>
      <c r="S365" s="68"/>
      <c r="W365" s="66"/>
      <c r="X365" s="66"/>
      <c r="Y365" s="66"/>
      <c r="Z365" s="66"/>
      <c r="AA365" s="69"/>
      <c r="AD365" s="66"/>
      <c r="AE365" s="66"/>
      <c r="AF365" s="66"/>
      <c r="AG365" s="66"/>
      <c r="AH365" s="66"/>
      <c r="AI365" s="66"/>
      <c r="AJ365" s="69"/>
    </row>
    <row r="366">
      <c r="O366" s="66"/>
      <c r="P366" s="66"/>
      <c r="Q366" s="66"/>
      <c r="R366" s="67"/>
      <c r="S366" s="68"/>
      <c r="W366" s="66"/>
      <c r="X366" s="66"/>
      <c r="Y366" s="66"/>
      <c r="Z366" s="66"/>
      <c r="AA366" s="69"/>
      <c r="AD366" s="66"/>
      <c r="AE366" s="66"/>
      <c r="AF366" s="66"/>
      <c r="AG366" s="66"/>
      <c r="AH366" s="66"/>
      <c r="AI366" s="66"/>
      <c r="AJ366" s="69"/>
    </row>
    <row r="367">
      <c r="O367" s="66"/>
      <c r="P367" s="66"/>
      <c r="Q367" s="66"/>
      <c r="R367" s="67"/>
      <c r="S367" s="68"/>
      <c r="W367" s="66"/>
      <c r="X367" s="66"/>
      <c r="Y367" s="66"/>
      <c r="Z367" s="66"/>
      <c r="AA367" s="69"/>
      <c r="AD367" s="66"/>
      <c r="AE367" s="66"/>
      <c r="AF367" s="66"/>
      <c r="AG367" s="66"/>
      <c r="AH367" s="66"/>
      <c r="AI367" s="66"/>
      <c r="AJ367" s="69"/>
    </row>
    <row r="368">
      <c r="O368" s="66"/>
      <c r="P368" s="66"/>
      <c r="Q368" s="66"/>
      <c r="R368" s="67"/>
      <c r="S368" s="68"/>
      <c r="W368" s="66"/>
      <c r="X368" s="66"/>
      <c r="Y368" s="66"/>
      <c r="Z368" s="66"/>
      <c r="AA368" s="69"/>
      <c r="AD368" s="66"/>
      <c r="AE368" s="66"/>
      <c r="AF368" s="66"/>
      <c r="AG368" s="66"/>
      <c r="AH368" s="66"/>
      <c r="AI368" s="66"/>
      <c r="AJ368" s="69"/>
    </row>
    <row r="369">
      <c r="O369" s="66"/>
      <c r="P369" s="66"/>
      <c r="Q369" s="66"/>
      <c r="R369" s="67"/>
      <c r="S369" s="68"/>
      <c r="W369" s="66"/>
      <c r="X369" s="66"/>
      <c r="Y369" s="66"/>
      <c r="Z369" s="66"/>
      <c r="AA369" s="69"/>
      <c r="AD369" s="66"/>
      <c r="AE369" s="66"/>
      <c r="AF369" s="66"/>
      <c r="AG369" s="66"/>
      <c r="AH369" s="66"/>
      <c r="AI369" s="66"/>
      <c r="AJ369" s="69"/>
    </row>
    <row r="370">
      <c r="O370" s="66"/>
      <c r="P370" s="66"/>
      <c r="Q370" s="66"/>
      <c r="R370" s="67"/>
      <c r="S370" s="68"/>
      <c r="W370" s="66"/>
      <c r="X370" s="66"/>
      <c r="Y370" s="66"/>
      <c r="Z370" s="66"/>
      <c r="AA370" s="69"/>
      <c r="AD370" s="66"/>
      <c r="AE370" s="66"/>
      <c r="AF370" s="66"/>
      <c r="AG370" s="66"/>
      <c r="AH370" s="66"/>
      <c r="AI370" s="66"/>
      <c r="AJ370" s="69"/>
    </row>
    <row r="371">
      <c r="O371" s="66"/>
      <c r="P371" s="66"/>
      <c r="Q371" s="66"/>
      <c r="R371" s="67"/>
      <c r="S371" s="68"/>
      <c r="W371" s="66"/>
      <c r="X371" s="66"/>
      <c r="Y371" s="66"/>
      <c r="Z371" s="66"/>
      <c r="AA371" s="69"/>
      <c r="AD371" s="66"/>
      <c r="AE371" s="66"/>
      <c r="AF371" s="66"/>
      <c r="AG371" s="66"/>
      <c r="AH371" s="66"/>
      <c r="AI371" s="66"/>
      <c r="AJ371" s="69"/>
    </row>
    <row r="372">
      <c r="O372" s="66"/>
      <c r="P372" s="66"/>
      <c r="Q372" s="66"/>
      <c r="R372" s="67"/>
      <c r="S372" s="68"/>
      <c r="W372" s="66"/>
      <c r="X372" s="66"/>
      <c r="Y372" s="66"/>
      <c r="Z372" s="66"/>
      <c r="AA372" s="69"/>
      <c r="AD372" s="66"/>
      <c r="AE372" s="66"/>
      <c r="AF372" s="66"/>
      <c r="AG372" s="66"/>
      <c r="AH372" s="66"/>
      <c r="AI372" s="66"/>
      <c r="AJ372" s="69"/>
    </row>
    <row r="373">
      <c r="O373" s="66"/>
      <c r="P373" s="66"/>
      <c r="Q373" s="66"/>
      <c r="R373" s="67"/>
      <c r="S373" s="68"/>
      <c r="W373" s="66"/>
      <c r="X373" s="66"/>
      <c r="Y373" s="66"/>
      <c r="Z373" s="66"/>
      <c r="AA373" s="69"/>
      <c r="AD373" s="66"/>
      <c r="AE373" s="66"/>
      <c r="AF373" s="66"/>
      <c r="AG373" s="66"/>
      <c r="AH373" s="66"/>
      <c r="AI373" s="66"/>
      <c r="AJ373" s="69"/>
    </row>
    <row r="374">
      <c r="O374" s="66"/>
      <c r="P374" s="66"/>
      <c r="Q374" s="66"/>
      <c r="R374" s="67"/>
      <c r="S374" s="68"/>
      <c r="W374" s="66"/>
      <c r="X374" s="66"/>
      <c r="Y374" s="66"/>
      <c r="Z374" s="66"/>
      <c r="AA374" s="69"/>
      <c r="AD374" s="66"/>
      <c r="AE374" s="66"/>
      <c r="AF374" s="66"/>
      <c r="AG374" s="66"/>
      <c r="AH374" s="66"/>
      <c r="AI374" s="66"/>
      <c r="AJ374" s="69"/>
    </row>
    <row r="375">
      <c r="O375" s="66"/>
      <c r="P375" s="66"/>
      <c r="Q375" s="66"/>
      <c r="R375" s="67"/>
      <c r="S375" s="68"/>
      <c r="W375" s="66"/>
      <c r="X375" s="66"/>
      <c r="Y375" s="66"/>
      <c r="Z375" s="66"/>
      <c r="AA375" s="69"/>
      <c r="AD375" s="66"/>
      <c r="AE375" s="66"/>
      <c r="AF375" s="66"/>
      <c r="AG375" s="66"/>
      <c r="AH375" s="66"/>
      <c r="AI375" s="66"/>
      <c r="AJ375" s="69"/>
    </row>
    <row r="376">
      <c r="O376" s="66"/>
      <c r="P376" s="66"/>
      <c r="Q376" s="66"/>
      <c r="R376" s="67"/>
      <c r="S376" s="68"/>
      <c r="W376" s="66"/>
      <c r="X376" s="66"/>
      <c r="Y376" s="66"/>
      <c r="Z376" s="66"/>
      <c r="AA376" s="69"/>
      <c r="AD376" s="66"/>
      <c r="AE376" s="66"/>
      <c r="AF376" s="66"/>
      <c r="AG376" s="66"/>
      <c r="AH376" s="66"/>
      <c r="AI376" s="66"/>
      <c r="AJ376" s="69"/>
    </row>
    <row r="377">
      <c r="O377" s="66"/>
      <c r="P377" s="66"/>
      <c r="Q377" s="66"/>
      <c r="R377" s="67"/>
      <c r="S377" s="68"/>
      <c r="W377" s="66"/>
      <c r="X377" s="66"/>
      <c r="Y377" s="66"/>
      <c r="Z377" s="66"/>
      <c r="AA377" s="69"/>
      <c r="AD377" s="66"/>
      <c r="AE377" s="66"/>
      <c r="AF377" s="66"/>
      <c r="AG377" s="66"/>
      <c r="AH377" s="66"/>
      <c r="AI377" s="66"/>
      <c r="AJ377" s="69"/>
    </row>
    <row r="378">
      <c r="O378" s="66"/>
      <c r="P378" s="66"/>
      <c r="Q378" s="66"/>
      <c r="R378" s="67"/>
      <c r="S378" s="68"/>
      <c r="W378" s="66"/>
      <c r="X378" s="66"/>
      <c r="Y378" s="66"/>
      <c r="Z378" s="66"/>
      <c r="AA378" s="69"/>
      <c r="AD378" s="66"/>
      <c r="AE378" s="66"/>
      <c r="AF378" s="66"/>
      <c r="AG378" s="66"/>
      <c r="AH378" s="66"/>
      <c r="AI378" s="66"/>
      <c r="AJ378" s="69"/>
    </row>
    <row r="379">
      <c r="O379" s="66"/>
      <c r="P379" s="66"/>
      <c r="Q379" s="66"/>
      <c r="R379" s="67"/>
      <c r="S379" s="68"/>
      <c r="W379" s="66"/>
      <c r="X379" s="66"/>
      <c r="Y379" s="66"/>
      <c r="Z379" s="66"/>
      <c r="AA379" s="69"/>
      <c r="AD379" s="66"/>
      <c r="AE379" s="66"/>
      <c r="AF379" s="66"/>
      <c r="AG379" s="66"/>
      <c r="AH379" s="66"/>
      <c r="AI379" s="66"/>
      <c r="AJ379" s="69"/>
    </row>
    <row r="380">
      <c r="O380" s="66"/>
      <c r="P380" s="66"/>
      <c r="Q380" s="66"/>
      <c r="R380" s="67"/>
      <c r="S380" s="68"/>
      <c r="W380" s="66"/>
      <c r="X380" s="66"/>
      <c r="Y380" s="66"/>
      <c r="Z380" s="66"/>
      <c r="AA380" s="69"/>
      <c r="AD380" s="66"/>
      <c r="AE380" s="66"/>
      <c r="AF380" s="66"/>
      <c r="AG380" s="66"/>
      <c r="AH380" s="66"/>
      <c r="AI380" s="66"/>
      <c r="AJ380" s="69"/>
    </row>
    <row r="381">
      <c r="O381" s="66"/>
      <c r="P381" s="66"/>
      <c r="Q381" s="66"/>
      <c r="R381" s="67"/>
      <c r="S381" s="68"/>
      <c r="W381" s="66"/>
      <c r="X381" s="66"/>
      <c r="Y381" s="66"/>
      <c r="Z381" s="66"/>
      <c r="AA381" s="69"/>
      <c r="AD381" s="66"/>
      <c r="AE381" s="66"/>
      <c r="AF381" s="66"/>
      <c r="AG381" s="66"/>
      <c r="AH381" s="66"/>
      <c r="AI381" s="66"/>
      <c r="AJ381" s="69"/>
    </row>
    <row r="382">
      <c r="O382" s="66"/>
      <c r="P382" s="66"/>
      <c r="Q382" s="66"/>
      <c r="R382" s="67"/>
      <c r="S382" s="68"/>
      <c r="W382" s="66"/>
      <c r="X382" s="66"/>
      <c r="Y382" s="66"/>
      <c r="Z382" s="66"/>
      <c r="AA382" s="69"/>
      <c r="AD382" s="66"/>
      <c r="AE382" s="66"/>
      <c r="AF382" s="66"/>
      <c r="AG382" s="66"/>
      <c r="AH382" s="66"/>
      <c r="AI382" s="66"/>
      <c r="AJ382" s="69"/>
    </row>
    <row r="383">
      <c r="O383" s="66"/>
      <c r="P383" s="66"/>
      <c r="Q383" s="66"/>
      <c r="R383" s="67"/>
      <c r="S383" s="68"/>
      <c r="W383" s="66"/>
      <c r="X383" s="66"/>
      <c r="Y383" s="66"/>
      <c r="Z383" s="66"/>
      <c r="AA383" s="69"/>
      <c r="AD383" s="66"/>
      <c r="AE383" s="66"/>
      <c r="AF383" s="66"/>
      <c r="AG383" s="66"/>
      <c r="AH383" s="66"/>
      <c r="AI383" s="66"/>
      <c r="AJ383" s="69"/>
    </row>
    <row r="384">
      <c r="O384" s="66"/>
      <c r="P384" s="66"/>
      <c r="Q384" s="66"/>
      <c r="R384" s="67"/>
      <c r="S384" s="68"/>
      <c r="W384" s="66"/>
      <c r="X384" s="66"/>
      <c r="Y384" s="66"/>
      <c r="Z384" s="66"/>
      <c r="AA384" s="69"/>
      <c r="AD384" s="66"/>
      <c r="AE384" s="66"/>
      <c r="AF384" s="66"/>
      <c r="AG384" s="66"/>
      <c r="AH384" s="66"/>
      <c r="AI384" s="66"/>
      <c r="AJ384" s="69"/>
    </row>
    <row r="385">
      <c r="O385" s="66"/>
      <c r="P385" s="66"/>
      <c r="Q385" s="66"/>
      <c r="R385" s="67"/>
      <c r="S385" s="68"/>
      <c r="W385" s="66"/>
      <c r="X385" s="66"/>
      <c r="Y385" s="66"/>
      <c r="Z385" s="66"/>
      <c r="AA385" s="69"/>
      <c r="AD385" s="66"/>
      <c r="AE385" s="66"/>
      <c r="AF385" s="66"/>
      <c r="AG385" s="66"/>
      <c r="AH385" s="66"/>
      <c r="AI385" s="66"/>
      <c r="AJ385" s="69"/>
    </row>
    <row r="386">
      <c r="O386" s="66"/>
      <c r="P386" s="66"/>
      <c r="Q386" s="66"/>
      <c r="R386" s="67"/>
      <c r="S386" s="68"/>
      <c r="W386" s="66"/>
      <c r="X386" s="66"/>
      <c r="Y386" s="66"/>
      <c r="Z386" s="66"/>
      <c r="AA386" s="69"/>
      <c r="AD386" s="66"/>
      <c r="AE386" s="66"/>
      <c r="AF386" s="66"/>
      <c r="AG386" s="66"/>
      <c r="AH386" s="66"/>
      <c r="AI386" s="66"/>
      <c r="AJ386" s="69"/>
    </row>
    <row r="387">
      <c r="O387" s="66"/>
      <c r="P387" s="66"/>
      <c r="Q387" s="66"/>
      <c r="R387" s="67"/>
      <c r="S387" s="68"/>
      <c r="W387" s="66"/>
      <c r="X387" s="66"/>
      <c r="Y387" s="66"/>
      <c r="Z387" s="66"/>
      <c r="AA387" s="69"/>
      <c r="AD387" s="66"/>
      <c r="AE387" s="66"/>
      <c r="AF387" s="66"/>
      <c r="AG387" s="66"/>
      <c r="AH387" s="66"/>
      <c r="AI387" s="66"/>
      <c r="AJ387" s="69"/>
    </row>
    <row r="388">
      <c r="O388" s="66"/>
      <c r="P388" s="66"/>
      <c r="Q388" s="66"/>
      <c r="R388" s="67"/>
      <c r="S388" s="68"/>
      <c r="W388" s="66"/>
      <c r="X388" s="66"/>
      <c r="Y388" s="66"/>
      <c r="Z388" s="66"/>
      <c r="AA388" s="69"/>
      <c r="AD388" s="66"/>
      <c r="AE388" s="66"/>
      <c r="AF388" s="66"/>
      <c r="AG388" s="66"/>
      <c r="AH388" s="66"/>
      <c r="AI388" s="66"/>
      <c r="AJ388" s="69"/>
    </row>
    <row r="389">
      <c r="O389" s="66"/>
      <c r="P389" s="66"/>
      <c r="Q389" s="66"/>
      <c r="R389" s="67"/>
      <c r="S389" s="68"/>
      <c r="W389" s="66"/>
      <c r="X389" s="66"/>
      <c r="Y389" s="66"/>
      <c r="Z389" s="66"/>
      <c r="AA389" s="69"/>
      <c r="AD389" s="66"/>
      <c r="AE389" s="66"/>
      <c r="AF389" s="66"/>
      <c r="AG389" s="66"/>
      <c r="AH389" s="66"/>
      <c r="AI389" s="66"/>
      <c r="AJ389" s="69"/>
    </row>
    <row r="390">
      <c r="O390" s="66"/>
      <c r="P390" s="66"/>
      <c r="Q390" s="66"/>
      <c r="R390" s="67"/>
      <c r="S390" s="68"/>
      <c r="W390" s="66"/>
      <c r="X390" s="66"/>
      <c r="Y390" s="66"/>
      <c r="Z390" s="66"/>
      <c r="AA390" s="69"/>
      <c r="AD390" s="66"/>
      <c r="AE390" s="66"/>
      <c r="AF390" s="66"/>
      <c r="AG390" s="66"/>
      <c r="AH390" s="66"/>
      <c r="AI390" s="66"/>
      <c r="AJ390" s="69"/>
    </row>
    <row r="391">
      <c r="O391" s="66"/>
      <c r="P391" s="66"/>
      <c r="Q391" s="66"/>
      <c r="R391" s="67"/>
      <c r="S391" s="68"/>
      <c r="W391" s="66"/>
      <c r="X391" s="66"/>
      <c r="Y391" s="66"/>
      <c r="Z391" s="66"/>
      <c r="AA391" s="69"/>
      <c r="AD391" s="66"/>
      <c r="AE391" s="66"/>
      <c r="AF391" s="66"/>
      <c r="AG391" s="66"/>
      <c r="AH391" s="66"/>
      <c r="AI391" s="66"/>
      <c r="AJ391" s="69"/>
    </row>
    <row r="392">
      <c r="O392" s="66"/>
      <c r="P392" s="66"/>
      <c r="Q392" s="66"/>
      <c r="R392" s="67"/>
      <c r="S392" s="68"/>
      <c r="W392" s="66"/>
      <c r="X392" s="66"/>
      <c r="Y392" s="66"/>
      <c r="Z392" s="66"/>
      <c r="AA392" s="69"/>
      <c r="AD392" s="66"/>
      <c r="AE392" s="66"/>
      <c r="AF392" s="66"/>
      <c r="AG392" s="66"/>
      <c r="AH392" s="66"/>
      <c r="AI392" s="66"/>
      <c r="AJ392" s="69"/>
    </row>
    <row r="393">
      <c r="O393" s="66"/>
      <c r="P393" s="66"/>
      <c r="Q393" s="66"/>
      <c r="R393" s="67"/>
      <c r="S393" s="68"/>
      <c r="W393" s="66"/>
      <c r="X393" s="66"/>
      <c r="Y393" s="66"/>
      <c r="Z393" s="66"/>
      <c r="AA393" s="69"/>
      <c r="AD393" s="66"/>
      <c r="AE393" s="66"/>
      <c r="AF393" s="66"/>
      <c r="AG393" s="66"/>
      <c r="AH393" s="66"/>
      <c r="AI393" s="66"/>
      <c r="AJ393" s="69"/>
    </row>
    <row r="394">
      <c r="O394" s="66"/>
      <c r="P394" s="66"/>
      <c r="Q394" s="66"/>
      <c r="R394" s="67"/>
      <c r="S394" s="68"/>
      <c r="W394" s="66"/>
      <c r="X394" s="66"/>
      <c r="Y394" s="66"/>
      <c r="Z394" s="66"/>
      <c r="AA394" s="69"/>
      <c r="AD394" s="66"/>
      <c r="AE394" s="66"/>
      <c r="AF394" s="66"/>
      <c r="AG394" s="66"/>
      <c r="AH394" s="66"/>
      <c r="AI394" s="66"/>
      <c r="AJ394" s="69"/>
    </row>
    <row r="395">
      <c r="O395" s="66"/>
      <c r="P395" s="66"/>
      <c r="Q395" s="66"/>
      <c r="R395" s="67"/>
      <c r="S395" s="68"/>
      <c r="W395" s="66"/>
      <c r="X395" s="66"/>
      <c r="Y395" s="66"/>
      <c r="Z395" s="66"/>
      <c r="AA395" s="69"/>
      <c r="AD395" s="66"/>
      <c r="AE395" s="66"/>
      <c r="AF395" s="66"/>
      <c r="AG395" s="66"/>
      <c r="AH395" s="66"/>
      <c r="AI395" s="66"/>
      <c r="AJ395" s="69"/>
    </row>
    <row r="396">
      <c r="O396" s="66"/>
      <c r="P396" s="66"/>
      <c r="Q396" s="66"/>
      <c r="R396" s="67"/>
      <c r="S396" s="68"/>
      <c r="W396" s="66"/>
      <c r="X396" s="66"/>
      <c r="Y396" s="66"/>
      <c r="Z396" s="66"/>
      <c r="AA396" s="69"/>
      <c r="AD396" s="66"/>
      <c r="AE396" s="66"/>
      <c r="AF396" s="66"/>
      <c r="AG396" s="66"/>
      <c r="AH396" s="66"/>
      <c r="AI396" s="66"/>
      <c r="AJ396" s="69"/>
    </row>
    <row r="397">
      <c r="O397" s="66"/>
      <c r="P397" s="66"/>
      <c r="Q397" s="66"/>
      <c r="R397" s="67"/>
      <c r="S397" s="68"/>
      <c r="W397" s="66"/>
      <c r="X397" s="66"/>
      <c r="Y397" s="66"/>
      <c r="Z397" s="66"/>
      <c r="AA397" s="69"/>
      <c r="AD397" s="66"/>
      <c r="AE397" s="66"/>
      <c r="AF397" s="66"/>
      <c r="AG397" s="66"/>
      <c r="AH397" s="66"/>
      <c r="AI397" s="66"/>
      <c r="AJ397" s="69"/>
    </row>
    <row r="398">
      <c r="O398" s="66"/>
      <c r="P398" s="66"/>
      <c r="Q398" s="66"/>
      <c r="R398" s="67"/>
      <c r="S398" s="68"/>
      <c r="W398" s="66"/>
      <c r="X398" s="66"/>
      <c r="Y398" s="66"/>
      <c r="Z398" s="66"/>
      <c r="AA398" s="69"/>
      <c r="AD398" s="66"/>
      <c r="AE398" s="66"/>
      <c r="AF398" s="66"/>
      <c r="AG398" s="66"/>
      <c r="AH398" s="66"/>
      <c r="AI398" s="66"/>
      <c r="AJ398" s="69"/>
    </row>
    <row r="399">
      <c r="O399" s="66"/>
      <c r="P399" s="66"/>
      <c r="Q399" s="66"/>
      <c r="R399" s="67"/>
      <c r="S399" s="68"/>
      <c r="W399" s="66"/>
      <c r="X399" s="66"/>
      <c r="Y399" s="66"/>
      <c r="Z399" s="66"/>
      <c r="AA399" s="69"/>
      <c r="AD399" s="66"/>
      <c r="AE399" s="66"/>
      <c r="AF399" s="66"/>
      <c r="AG399" s="66"/>
      <c r="AH399" s="66"/>
      <c r="AI399" s="66"/>
      <c r="AJ399" s="69"/>
    </row>
    <row r="400">
      <c r="O400" s="66"/>
      <c r="P400" s="66"/>
      <c r="Q400" s="66"/>
      <c r="R400" s="67"/>
      <c r="S400" s="68"/>
      <c r="W400" s="66"/>
      <c r="X400" s="66"/>
      <c r="Y400" s="66"/>
      <c r="Z400" s="66"/>
      <c r="AA400" s="69"/>
      <c r="AD400" s="66"/>
      <c r="AE400" s="66"/>
      <c r="AF400" s="66"/>
      <c r="AG400" s="66"/>
      <c r="AH400" s="66"/>
      <c r="AI400" s="66"/>
      <c r="AJ400" s="69"/>
    </row>
    <row r="401">
      <c r="O401" s="66"/>
      <c r="P401" s="66"/>
      <c r="Q401" s="66"/>
      <c r="R401" s="67"/>
      <c r="S401" s="68"/>
      <c r="W401" s="66"/>
      <c r="X401" s="66"/>
      <c r="Y401" s="66"/>
      <c r="Z401" s="66"/>
      <c r="AA401" s="69"/>
      <c r="AD401" s="66"/>
      <c r="AE401" s="66"/>
      <c r="AF401" s="66"/>
      <c r="AG401" s="66"/>
      <c r="AH401" s="66"/>
      <c r="AI401" s="66"/>
      <c r="AJ401" s="69"/>
    </row>
    <row r="402">
      <c r="O402" s="66"/>
      <c r="P402" s="66"/>
      <c r="Q402" s="66"/>
      <c r="R402" s="67"/>
      <c r="S402" s="68"/>
      <c r="W402" s="66"/>
      <c r="X402" s="66"/>
      <c r="Y402" s="66"/>
      <c r="Z402" s="66"/>
      <c r="AA402" s="69"/>
      <c r="AD402" s="66"/>
      <c r="AE402" s="66"/>
      <c r="AF402" s="66"/>
      <c r="AG402" s="66"/>
      <c r="AH402" s="66"/>
      <c r="AI402" s="66"/>
      <c r="AJ402" s="69"/>
    </row>
    <row r="403">
      <c r="O403" s="66"/>
      <c r="P403" s="66"/>
      <c r="Q403" s="66"/>
      <c r="R403" s="67"/>
      <c r="S403" s="68"/>
      <c r="W403" s="66"/>
      <c r="X403" s="66"/>
      <c r="Y403" s="66"/>
      <c r="Z403" s="66"/>
      <c r="AA403" s="69"/>
      <c r="AD403" s="66"/>
      <c r="AE403" s="66"/>
      <c r="AF403" s="66"/>
      <c r="AG403" s="66"/>
      <c r="AH403" s="66"/>
      <c r="AI403" s="66"/>
      <c r="AJ403" s="69"/>
    </row>
    <row r="404">
      <c r="O404" s="66"/>
      <c r="P404" s="66"/>
      <c r="Q404" s="66"/>
      <c r="R404" s="67"/>
      <c r="S404" s="68"/>
      <c r="W404" s="66"/>
      <c r="X404" s="66"/>
      <c r="Y404" s="66"/>
      <c r="Z404" s="66"/>
      <c r="AA404" s="69"/>
      <c r="AD404" s="66"/>
      <c r="AE404" s="66"/>
      <c r="AF404" s="66"/>
      <c r="AG404" s="66"/>
      <c r="AH404" s="66"/>
      <c r="AI404" s="66"/>
      <c r="AJ404" s="69"/>
    </row>
    <row r="405">
      <c r="O405" s="66"/>
      <c r="P405" s="66"/>
      <c r="Q405" s="66"/>
      <c r="R405" s="67"/>
      <c r="S405" s="68"/>
      <c r="W405" s="66"/>
      <c r="X405" s="66"/>
      <c r="Y405" s="66"/>
      <c r="Z405" s="66"/>
      <c r="AA405" s="69"/>
      <c r="AD405" s="66"/>
      <c r="AE405" s="66"/>
      <c r="AF405" s="66"/>
      <c r="AG405" s="66"/>
      <c r="AH405" s="66"/>
      <c r="AI405" s="66"/>
      <c r="AJ405" s="69"/>
    </row>
    <row r="406">
      <c r="O406" s="66"/>
      <c r="P406" s="66"/>
      <c r="Q406" s="66"/>
      <c r="R406" s="67"/>
      <c r="S406" s="68"/>
      <c r="W406" s="66"/>
      <c r="X406" s="66"/>
      <c r="Y406" s="66"/>
      <c r="Z406" s="66"/>
      <c r="AA406" s="69"/>
      <c r="AD406" s="66"/>
      <c r="AE406" s="66"/>
      <c r="AF406" s="66"/>
      <c r="AG406" s="66"/>
      <c r="AH406" s="66"/>
      <c r="AI406" s="66"/>
      <c r="AJ406" s="69"/>
    </row>
    <row r="407">
      <c r="O407" s="66"/>
      <c r="P407" s="66"/>
      <c r="Q407" s="66"/>
      <c r="R407" s="67"/>
      <c r="S407" s="68"/>
      <c r="W407" s="66"/>
      <c r="X407" s="66"/>
      <c r="Y407" s="66"/>
      <c r="Z407" s="66"/>
      <c r="AA407" s="69"/>
      <c r="AD407" s="66"/>
      <c r="AE407" s="66"/>
      <c r="AF407" s="66"/>
      <c r="AG407" s="66"/>
      <c r="AH407" s="66"/>
      <c r="AI407" s="66"/>
      <c r="AJ407" s="69"/>
    </row>
    <row r="408">
      <c r="O408" s="66"/>
      <c r="P408" s="66"/>
      <c r="Q408" s="66"/>
      <c r="R408" s="67"/>
      <c r="S408" s="68"/>
      <c r="W408" s="66"/>
      <c r="X408" s="66"/>
      <c r="Y408" s="66"/>
      <c r="Z408" s="66"/>
      <c r="AA408" s="69"/>
      <c r="AD408" s="66"/>
      <c r="AE408" s="66"/>
      <c r="AF408" s="66"/>
      <c r="AG408" s="66"/>
      <c r="AH408" s="66"/>
      <c r="AI408" s="66"/>
      <c r="AJ408" s="69"/>
    </row>
    <row r="409">
      <c r="O409" s="66"/>
      <c r="P409" s="66"/>
      <c r="Q409" s="66"/>
      <c r="R409" s="67"/>
      <c r="S409" s="68"/>
      <c r="W409" s="66"/>
      <c r="X409" s="66"/>
      <c r="Y409" s="66"/>
      <c r="Z409" s="66"/>
      <c r="AA409" s="69"/>
      <c r="AD409" s="66"/>
      <c r="AE409" s="66"/>
      <c r="AF409" s="66"/>
      <c r="AG409" s="66"/>
      <c r="AH409" s="66"/>
      <c r="AI409" s="66"/>
      <c r="AJ409" s="69"/>
    </row>
    <row r="410">
      <c r="O410" s="66"/>
      <c r="P410" s="66"/>
      <c r="Q410" s="66"/>
      <c r="R410" s="67"/>
      <c r="S410" s="68"/>
      <c r="W410" s="66"/>
      <c r="X410" s="66"/>
      <c r="Y410" s="66"/>
      <c r="Z410" s="66"/>
      <c r="AA410" s="69"/>
      <c r="AD410" s="66"/>
      <c r="AE410" s="66"/>
      <c r="AF410" s="66"/>
      <c r="AG410" s="66"/>
      <c r="AH410" s="66"/>
      <c r="AI410" s="66"/>
      <c r="AJ410" s="69"/>
    </row>
    <row r="411">
      <c r="O411" s="66"/>
      <c r="P411" s="66"/>
      <c r="Q411" s="66"/>
      <c r="R411" s="67"/>
      <c r="S411" s="68"/>
      <c r="W411" s="66"/>
      <c r="X411" s="66"/>
      <c r="Y411" s="66"/>
      <c r="Z411" s="66"/>
      <c r="AA411" s="69"/>
      <c r="AD411" s="66"/>
      <c r="AE411" s="66"/>
      <c r="AF411" s="66"/>
      <c r="AG411" s="66"/>
      <c r="AH411" s="66"/>
      <c r="AI411" s="66"/>
      <c r="AJ411" s="69"/>
    </row>
    <row r="412">
      <c r="O412" s="66"/>
      <c r="P412" s="66"/>
      <c r="Q412" s="66"/>
      <c r="R412" s="67"/>
      <c r="S412" s="68"/>
      <c r="W412" s="66"/>
      <c r="X412" s="66"/>
      <c r="Y412" s="66"/>
      <c r="Z412" s="66"/>
      <c r="AA412" s="69"/>
      <c r="AD412" s="66"/>
      <c r="AE412" s="66"/>
      <c r="AF412" s="66"/>
      <c r="AG412" s="66"/>
      <c r="AH412" s="66"/>
      <c r="AI412" s="66"/>
      <c r="AJ412" s="69"/>
    </row>
    <row r="413">
      <c r="O413" s="66"/>
      <c r="P413" s="66"/>
      <c r="Q413" s="66"/>
      <c r="R413" s="67"/>
      <c r="S413" s="68"/>
      <c r="W413" s="66"/>
      <c r="X413" s="66"/>
      <c r="Y413" s="66"/>
      <c r="Z413" s="66"/>
      <c r="AA413" s="69"/>
      <c r="AD413" s="66"/>
      <c r="AE413" s="66"/>
      <c r="AF413" s="66"/>
      <c r="AG413" s="66"/>
      <c r="AH413" s="66"/>
      <c r="AI413" s="66"/>
      <c r="AJ413" s="69"/>
    </row>
    <row r="414">
      <c r="O414" s="66"/>
      <c r="P414" s="66"/>
      <c r="Q414" s="66"/>
      <c r="R414" s="67"/>
      <c r="S414" s="68"/>
      <c r="W414" s="66"/>
      <c r="X414" s="66"/>
      <c r="Y414" s="66"/>
      <c r="Z414" s="66"/>
      <c r="AA414" s="69"/>
      <c r="AD414" s="66"/>
      <c r="AE414" s="66"/>
      <c r="AF414" s="66"/>
      <c r="AG414" s="66"/>
      <c r="AH414" s="66"/>
      <c r="AI414" s="66"/>
      <c r="AJ414" s="69"/>
    </row>
    <row r="415">
      <c r="O415" s="66"/>
      <c r="P415" s="66"/>
      <c r="Q415" s="66"/>
      <c r="R415" s="67"/>
      <c r="S415" s="68"/>
      <c r="W415" s="66"/>
      <c r="X415" s="66"/>
      <c r="Y415" s="66"/>
      <c r="Z415" s="66"/>
      <c r="AA415" s="69"/>
      <c r="AD415" s="66"/>
      <c r="AE415" s="66"/>
      <c r="AF415" s="66"/>
      <c r="AG415" s="66"/>
      <c r="AH415" s="66"/>
      <c r="AI415" s="66"/>
      <c r="AJ415" s="69"/>
    </row>
    <row r="416">
      <c r="O416" s="66"/>
      <c r="P416" s="66"/>
      <c r="Q416" s="66"/>
      <c r="R416" s="67"/>
      <c r="S416" s="68"/>
      <c r="W416" s="66"/>
      <c r="X416" s="66"/>
      <c r="Y416" s="66"/>
      <c r="Z416" s="66"/>
      <c r="AA416" s="69"/>
      <c r="AD416" s="66"/>
      <c r="AE416" s="66"/>
      <c r="AF416" s="66"/>
      <c r="AG416" s="66"/>
      <c r="AH416" s="66"/>
      <c r="AI416" s="66"/>
      <c r="AJ416" s="69"/>
    </row>
    <row r="417">
      <c r="O417" s="66"/>
      <c r="P417" s="66"/>
      <c r="Q417" s="66"/>
      <c r="R417" s="67"/>
      <c r="S417" s="68"/>
      <c r="W417" s="66"/>
      <c r="X417" s="66"/>
      <c r="Y417" s="66"/>
      <c r="Z417" s="66"/>
      <c r="AA417" s="69"/>
      <c r="AD417" s="66"/>
      <c r="AE417" s="66"/>
      <c r="AF417" s="66"/>
      <c r="AG417" s="66"/>
      <c r="AH417" s="66"/>
      <c r="AI417" s="66"/>
      <c r="AJ417" s="69"/>
    </row>
    <row r="418">
      <c r="O418" s="66"/>
      <c r="P418" s="66"/>
      <c r="Q418" s="66"/>
      <c r="R418" s="67"/>
      <c r="S418" s="68"/>
      <c r="W418" s="66"/>
      <c r="X418" s="66"/>
      <c r="Y418" s="66"/>
      <c r="Z418" s="66"/>
      <c r="AA418" s="69"/>
      <c r="AD418" s="66"/>
      <c r="AE418" s="66"/>
      <c r="AF418" s="66"/>
      <c r="AG418" s="66"/>
      <c r="AH418" s="66"/>
      <c r="AI418" s="66"/>
      <c r="AJ418" s="69"/>
    </row>
    <row r="419">
      <c r="O419" s="66"/>
      <c r="P419" s="66"/>
      <c r="Q419" s="66"/>
      <c r="R419" s="67"/>
      <c r="S419" s="68"/>
      <c r="W419" s="66"/>
      <c r="X419" s="66"/>
      <c r="Y419" s="66"/>
      <c r="Z419" s="66"/>
      <c r="AA419" s="69"/>
      <c r="AD419" s="66"/>
      <c r="AE419" s="66"/>
      <c r="AF419" s="66"/>
      <c r="AG419" s="66"/>
      <c r="AH419" s="66"/>
      <c r="AI419" s="66"/>
      <c r="AJ419" s="69"/>
    </row>
    <row r="420">
      <c r="O420" s="66"/>
      <c r="P420" s="66"/>
      <c r="Q420" s="66"/>
      <c r="R420" s="67"/>
      <c r="S420" s="68"/>
      <c r="W420" s="66"/>
      <c r="X420" s="66"/>
      <c r="Y420" s="66"/>
      <c r="Z420" s="66"/>
      <c r="AA420" s="69"/>
      <c r="AD420" s="66"/>
      <c r="AE420" s="66"/>
      <c r="AF420" s="66"/>
      <c r="AG420" s="66"/>
      <c r="AH420" s="66"/>
      <c r="AI420" s="66"/>
      <c r="AJ420" s="69"/>
    </row>
    <row r="421">
      <c r="O421" s="66"/>
      <c r="P421" s="66"/>
      <c r="Q421" s="66"/>
      <c r="R421" s="67"/>
      <c r="S421" s="68"/>
      <c r="W421" s="66"/>
      <c r="X421" s="66"/>
      <c r="Y421" s="66"/>
      <c r="Z421" s="66"/>
      <c r="AA421" s="69"/>
      <c r="AD421" s="66"/>
      <c r="AE421" s="66"/>
      <c r="AF421" s="66"/>
      <c r="AG421" s="66"/>
      <c r="AH421" s="66"/>
      <c r="AI421" s="66"/>
      <c r="AJ421" s="69"/>
    </row>
    <row r="422">
      <c r="O422" s="66"/>
      <c r="P422" s="66"/>
      <c r="Q422" s="66"/>
      <c r="R422" s="67"/>
      <c r="S422" s="68"/>
      <c r="W422" s="66"/>
      <c r="X422" s="66"/>
      <c r="Y422" s="66"/>
      <c r="Z422" s="66"/>
      <c r="AA422" s="69"/>
      <c r="AD422" s="66"/>
      <c r="AE422" s="66"/>
      <c r="AF422" s="66"/>
      <c r="AG422" s="66"/>
      <c r="AH422" s="66"/>
      <c r="AI422" s="66"/>
      <c r="AJ422" s="69"/>
    </row>
    <row r="423">
      <c r="O423" s="66"/>
      <c r="P423" s="66"/>
      <c r="Q423" s="66"/>
      <c r="R423" s="67"/>
      <c r="S423" s="68"/>
      <c r="W423" s="66"/>
      <c r="X423" s="66"/>
      <c r="Y423" s="66"/>
      <c r="Z423" s="66"/>
      <c r="AA423" s="69"/>
      <c r="AD423" s="66"/>
      <c r="AE423" s="66"/>
      <c r="AF423" s="66"/>
      <c r="AG423" s="66"/>
      <c r="AH423" s="66"/>
      <c r="AI423" s="66"/>
      <c r="AJ423" s="69"/>
    </row>
    <row r="424">
      <c r="O424" s="66"/>
      <c r="P424" s="66"/>
      <c r="Q424" s="66"/>
      <c r="R424" s="67"/>
      <c r="S424" s="68"/>
      <c r="W424" s="66"/>
      <c r="X424" s="66"/>
      <c r="Y424" s="66"/>
      <c r="Z424" s="66"/>
      <c r="AA424" s="69"/>
      <c r="AD424" s="66"/>
      <c r="AE424" s="66"/>
      <c r="AF424" s="66"/>
      <c r="AG424" s="66"/>
      <c r="AH424" s="66"/>
      <c r="AI424" s="66"/>
      <c r="AJ424" s="69"/>
    </row>
    <row r="425">
      <c r="O425" s="66"/>
      <c r="P425" s="66"/>
      <c r="Q425" s="66"/>
      <c r="R425" s="67"/>
      <c r="S425" s="68"/>
      <c r="W425" s="66"/>
      <c r="X425" s="66"/>
      <c r="Y425" s="66"/>
      <c r="Z425" s="66"/>
      <c r="AA425" s="69"/>
      <c r="AD425" s="66"/>
      <c r="AE425" s="66"/>
      <c r="AF425" s="66"/>
      <c r="AG425" s="66"/>
      <c r="AH425" s="66"/>
      <c r="AI425" s="66"/>
      <c r="AJ425" s="69"/>
    </row>
    <row r="426">
      <c r="O426" s="66"/>
      <c r="P426" s="66"/>
      <c r="Q426" s="66"/>
      <c r="R426" s="67"/>
      <c r="S426" s="68"/>
      <c r="W426" s="66"/>
      <c r="X426" s="66"/>
      <c r="Y426" s="66"/>
      <c r="Z426" s="66"/>
      <c r="AA426" s="69"/>
      <c r="AD426" s="66"/>
      <c r="AE426" s="66"/>
      <c r="AF426" s="66"/>
      <c r="AG426" s="66"/>
      <c r="AH426" s="66"/>
      <c r="AI426" s="66"/>
      <c r="AJ426" s="69"/>
    </row>
    <row r="427">
      <c r="O427" s="66"/>
      <c r="P427" s="66"/>
      <c r="Q427" s="66"/>
      <c r="R427" s="67"/>
      <c r="S427" s="68"/>
      <c r="W427" s="66"/>
      <c r="X427" s="66"/>
      <c r="Y427" s="66"/>
      <c r="Z427" s="66"/>
      <c r="AA427" s="69"/>
      <c r="AD427" s="66"/>
      <c r="AE427" s="66"/>
      <c r="AF427" s="66"/>
      <c r="AG427" s="66"/>
      <c r="AH427" s="66"/>
      <c r="AI427" s="66"/>
      <c r="AJ427" s="69"/>
    </row>
    <row r="428">
      <c r="O428" s="66"/>
      <c r="P428" s="66"/>
      <c r="Q428" s="66"/>
      <c r="R428" s="67"/>
      <c r="S428" s="68"/>
      <c r="W428" s="66"/>
      <c r="X428" s="66"/>
      <c r="Y428" s="66"/>
      <c r="Z428" s="66"/>
      <c r="AA428" s="69"/>
      <c r="AD428" s="66"/>
      <c r="AE428" s="66"/>
      <c r="AF428" s="66"/>
      <c r="AG428" s="66"/>
      <c r="AH428" s="66"/>
      <c r="AI428" s="66"/>
      <c r="AJ428" s="69"/>
    </row>
    <row r="429">
      <c r="O429" s="66"/>
      <c r="P429" s="66"/>
      <c r="Q429" s="66"/>
      <c r="R429" s="67"/>
      <c r="S429" s="68"/>
      <c r="W429" s="66"/>
      <c r="X429" s="66"/>
      <c r="Y429" s="66"/>
      <c r="Z429" s="66"/>
      <c r="AA429" s="69"/>
      <c r="AD429" s="66"/>
      <c r="AE429" s="66"/>
      <c r="AF429" s="66"/>
      <c r="AG429" s="66"/>
      <c r="AH429" s="66"/>
      <c r="AI429" s="66"/>
      <c r="AJ429" s="69"/>
    </row>
    <row r="430">
      <c r="O430" s="66"/>
      <c r="P430" s="66"/>
      <c r="Q430" s="66"/>
      <c r="R430" s="67"/>
      <c r="S430" s="68"/>
      <c r="W430" s="66"/>
      <c r="X430" s="66"/>
      <c r="Y430" s="66"/>
      <c r="Z430" s="66"/>
      <c r="AA430" s="69"/>
      <c r="AD430" s="66"/>
      <c r="AE430" s="66"/>
      <c r="AF430" s="66"/>
      <c r="AG430" s="66"/>
      <c r="AH430" s="66"/>
      <c r="AI430" s="66"/>
      <c r="AJ430" s="69"/>
    </row>
    <row r="431">
      <c r="O431" s="66"/>
      <c r="P431" s="66"/>
      <c r="Q431" s="66"/>
      <c r="R431" s="67"/>
      <c r="S431" s="68"/>
      <c r="W431" s="66"/>
      <c r="X431" s="66"/>
      <c r="Y431" s="66"/>
      <c r="Z431" s="66"/>
      <c r="AA431" s="69"/>
      <c r="AD431" s="66"/>
      <c r="AE431" s="66"/>
      <c r="AF431" s="66"/>
      <c r="AG431" s="66"/>
      <c r="AH431" s="66"/>
      <c r="AI431" s="66"/>
      <c r="AJ431" s="69"/>
    </row>
    <row r="432">
      <c r="O432" s="66"/>
      <c r="P432" s="66"/>
      <c r="Q432" s="66"/>
      <c r="R432" s="67"/>
      <c r="S432" s="68"/>
      <c r="W432" s="66"/>
      <c r="X432" s="66"/>
      <c r="Y432" s="66"/>
      <c r="Z432" s="66"/>
      <c r="AA432" s="69"/>
      <c r="AD432" s="66"/>
      <c r="AE432" s="66"/>
      <c r="AF432" s="66"/>
      <c r="AG432" s="66"/>
      <c r="AH432" s="66"/>
      <c r="AI432" s="66"/>
      <c r="AJ432" s="69"/>
    </row>
    <row r="433">
      <c r="O433" s="66"/>
      <c r="P433" s="66"/>
      <c r="Q433" s="66"/>
      <c r="R433" s="67"/>
      <c r="S433" s="68"/>
      <c r="W433" s="66"/>
      <c r="X433" s="66"/>
      <c r="Y433" s="66"/>
      <c r="Z433" s="66"/>
      <c r="AA433" s="69"/>
      <c r="AD433" s="66"/>
      <c r="AE433" s="66"/>
      <c r="AF433" s="66"/>
      <c r="AG433" s="66"/>
      <c r="AH433" s="66"/>
      <c r="AI433" s="66"/>
      <c r="AJ433" s="69"/>
    </row>
    <row r="434">
      <c r="O434" s="66"/>
      <c r="P434" s="66"/>
      <c r="Q434" s="66"/>
      <c r="R434" s="67"/>
      <c r="S434" s="68"/>
      <c r="W434" s="66"/>
      <c r="X434" s="66"/>
      <c r="Y434" s="66"/>
      <c r="Z434" s="66"/>
      <c r="AA434" s="69"/>
      <c r="AD434" s="66"/>
      <c r="AE434" s="66"/>
      <c r="AF434" s="66"/>
      <c r="AG434" s="66"/>
      <c r="AH434" s="66"/>
      <c r="AI434" s="66"/>
      <c r="AJ434" s="69"/>
    </row>
    <row r="435">
      <c r="O435" s="66"/>
      <c r="P435" s="66"/>
      <c r="Q435" s="66"/>
      <c r="R435" s="67"/>
      <c r="S435" s="68"/>
      <c r="W435" s="66"/>
      <c r="X435" s="66"/>
      <c r="Y435" s="66"/>
      <c r="Z435" s="66"/>
      <c r="AA435" s="69"/>
      <c r="AD435" s="66"/>
      <c r="AE435" s="66"/>
      <c r="AF435" s="66"/>
      <c r="AG435" s="66"/>
      <c r="AH435" s="66"/>
      <c r="AI435" s="66"/>
      <c r="AJ435" s="69"/>
    </row>
    <row r="436">
      <c r="O436" s="66"/>
      <c r="P436" s="66"/>
      <c r="Q436" s="66"/>
      <c r="R436" s="67"/>
      <c r="S436" s="68"/>
      <c r="W436" s="66"/>
      <c r="X436" s="66"/>
      <c r="Y436" s="66"/>
      <c r="Z436" s="66"/>
      <c r="AA436" s="69"/>
      <c r="AD436" s="66"/>
      <c r="AE436" s="66"/>
      <c r="AF436" s="66"/>
      <c r="AG436" s="66"/>
      <c r="AH436" s="66"/>
      <c r="AI436" s="66"/>
      <c r="AJ436" s="69"/>
    </row>
    <row r="437">
      <c r="O437" s="66"/>
      <c r="P437" s="66"/>
      <c r="Q437" s="66"/>
      <c r="R437" s="67"/>
      <c r="S437" s="68"/>
      <c r="W437" s="66"/>
      <c r="X437" s="66"/>
      <c r="Y437" s="66"/>
      <c r="Z437" s="66"/>
      <c r="AA437" s="69"/>
      <c r="AD437" s="66"/>
      <c r="AE437" s="66"/>
      <c r="AF437" s="66"/>
      <c r="AG437" s="66"/>
      <c r="AH437" s="66"/>
      <c r="AI437" s="66"/>
      <c r="AJ437" s="69"/>
    </row>
    <row r="438">
      <c r="O438" s="66"/>
      <c r="P438" s="66"/>
      <c r="Q438" s="66"/>
      <c r="R438" s="67"/>
      <c r="S438" s="68"/>
      <c r="W438" s="66"/>
      <c r="X438" s="66"/>
      <c r="Y438" s="66"/>
      <c r="Z438" s="66"/>
      <c r="AA438" s="69"/>
      <c r="AD438" s="66"/>
      <c r="AE438" s="66"/>
      <c r="AF438" s="66"/>
      <c r="AG438" s="66"/>
      <c r="AH438" s="66"/>
      <c r="AI438" s="66"/>
      <c r="AJ438" s="69"/>
    </row>
    <row r="439">
      <c r="O439" s="66"/>
      <c r="P439" s="66"/>
      <c r="Q439" s="66"/>
      <c r="R439" s="67"/>
      <c r="S439" s="68"/>
      <c r="W439" s="66"/>
      <c r="X439" s="66"/>
      <c r="Y439" s="66"/>
      <c r="Z439" s="66"/>
      <c r="AA439" s="69"/>
      <c r="AD439" s="66"/>
      <c r="AE439" s="66"/>
      <c r="AF439" s="66"/>
      <c r="AG439" s="66"/>
      <c r="AH439" s="66"/>
      <c r="AI439" s="66"/>
      <c r="AJ439" s="69"/>
    </row>
    <row r="440">
      <c r="O440" s="66"/>
      <c r="P440" s="66"/>
      <c r="Q440" s="66"/>
      <c r="R440" s="67"/>
      <c r="S440" s="68"/>
      <c r="W440" s="66"/>
      <c r="X440" s="66"/>
      <c r="Y440" s="66"/>
      <c r="Z440" s="66"/>
      <c r="AA440" s="69"/>
      <c r="AD440" s="66"/>
      <c r="AE440" s="66"/>
      <c r="AF440" s="66"/>
      <c r="AG440" s="66"/>
      <c r="AH440" s="66"/>
      <c r="AI440" s="66"/>
      <c r="AJ440" s="69"/>
    </row>
    <row r="441">
      <c r="O441" s="66"/>
      <c r="P441" s="66"/>
      <c r="Q441" s="66"/>
      <c r="R441" s="67"/>
      <c r="S441" s="68"/>
      <c r="W441" s="66"/>
      <c r="X441" s="66"/>
      <c r="Y441" s="66"/>
      <c r="Z441" s="66"/>
      <c r="AA441" s="69"/>
      <c r="AD441" s="66"/>
      <c r="AE441" s="66"/>
      <c r="AF441" s="66"/>
      <c r="AG441" s="66"/>
      <c r="AH441" s="66"/>
      <c r="AI441" s="66"/>
      <c r="AJ441" s="69"/>
    </row>
    <row r="442">
      <c r="O442" s="66"/>
      <c r="P442" s="66"/>
      <c r="Q442" s="66"/>
      <c r="R442" s="67"/>
      <c r="S442" s="68"/>
      <c r="W442" s="66"/>
      <c r="X442" s="66"/>
      <c r="Y442" s="66"/>
      <c r="Z442" s="66"/>
      <c r="AA442" s="69"/>
      <c r="AD442" s="66"/>
      <c r="AE442" s="66"/>
      <c r="AF442" s="66"/>
      <c r="AG442" s="66"/>
      <c r="AH442" s="66"/>
      <c r="AI442" s="66"/>
      <c r="AJ442" s="69"/>
    </row>
    <row r="443">
      <c r="O443" s="66"/>
      <c r="P443" s="66"/>
      <c r="Q443" s="66"/>
      <c r="R443" s="67"/>
      <c r="S443" s="68"/>
      <c r="W443" s="66"/>
      <c r="X443" s="66"/>
      <c r="Y443" s="66"/>
      <c r="Z443" s="66"/>
      <c r="AA443" s="69"/>
      <c r="AD443" s="66"/>
      <c r="AE443" s="66"/>
      <c r="AF443" s="66"/>
      <c r="AG443" s="66"/>
      <c r="AH443" s="66"/>
      <c r="AI443" s="66"/>
      <c r="AJ443" s="69"/>
    </row>
    <row r="444">
      <c r="O444" s="66"/>
      <c r="P444" s="66"/>
      <c r="Q444" s="66"/>
      <c r="R444" s="67"/>
      <c r="S444" s="68"/>
      <c r="W444" s="66"/>
      <c r="X444" s="66"/>
      <c r="Y444" s="66"/>
      <c r="Z444" s="66"/>
      <c r="AA444" s="69"/>
      <c r="AD444" s="66"/>
      <c r="AE444" s="66"/>
      <c r="AF444" s="66"/>
      <c r="AG444" s="66"/>
      <c r="AH444" s="66"/>
      <c r="AI444" s="66"/>
      <c r="AJ444" s="69"/>
    </row>
    <row r="445">
      <c r="O445" s="66"/>
      <c r="P445" s="66"/>
      <c r="Q445" s="66"/>
      <c r="R445" s="67"/>
      <c r="S445" s="68"/>
      <c r="W445" s="66"/>
      <c r="X445" s="66"/>
      <c r="Y445" s="66"/>
      <c r="Z445" s="66"/>
      <c r="AA445" s="69"/>
      <c r="AD445" s="66"/>
      <c r="AE445" s="66"/>
      <c r="AF445" s="66"/>
      <c r="AG445" s="66"/>
      <c r="AH445" s="66"/>
      <c r="AI445" s="66"/>
      <c r="AJ445" s="69"/>
    </row>
    <row r="446">
      <c r="O446" s="66"/>
      <c r="P446" s="66"/>
      <c r="Q446" s="66"/>
      <c r="R446" s="67"/>
      <c r="S446" s="68"/>
      <c r="W446" s="66"/>
      <c r="X446" s="66"/>
      <c r="Y446" s="66"/>
      <c r="Z446" s="66"/>
      <c r="AA446" s="69"/>
      <c r="AD446" s="66"/>
      <c r="AE446" s="66"/>
      <c r="AF446" s="66"/>
      <c r="AG446" s="66"/>
      <c r="AH446" s="66"/>
      <c r="AI446" s="66"/>
      <c r="AJ446" s="69"/>
    </row>
    <row r="447">
      <c r="O447" s="66"/>
      <c r="P447" s="66"/>
      <c r="Q447" s="66"/>
      <c r="R447" s="67"/>
      <c r="S447" s="68"/>
      <c r="W447" s="66"/>
      <c r="X447" s="66"/>
      <c r="Y447" s="66"/>
      <c r="Z447" s="66"/>
      <c r="AA447" s="69"/>
      <c r="AD447" s="66"/>
      <c r="AE447" s="66"/>
      <c r="AF447" s="66"/>
      <c r="AG447" s="66"/>
      <c r="AH447" s="66"/>
      <c r="AI447" s="66"/>
      <c r="AJ447" s="69"/>
    </row>
    <row r="448">
      <c r="O448" s="66"/>
      <c r="P448" s="66"/>
      <c r="Q448" s="66"/>
      <c r="R448" s="67"/>
      <c r="S448" s="68"/>
      <c r="W448" s="66"/>
      <c r="X448" s="66"/>
      <c r="Y448" s="66"/>
      <c r="Z448" s="66"/>
      <c r="AA448" s="69"/>
      <c r="AD448" s="66"/>
      <c r="AE448" s="66"/>
      <c r="AF448" s="66"/>
      <c r="AG448" s="66"/>
      <c r="AH448" s="66"/>
      <c r="AI448" s="66"/>
      <c r="AJ448" s="69"/>
    </row>
    <row r="449">
      <c r="O449" s="66"/>
      <c r="P449" s="66"/>
      <c r="Q449" s="66"/>
      <c r="R449" s="67"/>
      <c r="S449" s="68"/>
      <c r="W449" s="66"/>
      <c r="X449" s="66"/>
      <c r="Y449" s="66"/>
      <c r="Z449" s="66"/>
      <c r="AA449" s="69"/>
      <c r="AD449" s="66"/>
      <c r="AE449" s="66"/>
      <c r="AF449" s="66"/>
      <c r="AG449" s="66"/>
      <c r="AH449" s="66"/>
      <c r="AI449" s="66"/>
      <c r="AJ449" s="69"/>
    </row>
    <row r="450">
      <c r="O450" s="66"/>
      <c r="P450" s="66"/>
      <c r="Q450" s="66"/>
      <c r="R450" s="67"/>
      <c r="S450" s="68"/>
      <c r="W450" s="66"/>
      <c r="X450" s="66"/>
      <c r="Y450" s="66"/>
      <c r="Z450" s="66"/>
      <c r="AA450" s="69"/>
      <c r="AD450" s="66"/>
      <c r="AE450" s="66"/>
      <c r="AF450" s="66"/>
      <c r="AG450" s="66"/>
      <c r="AH450" s="66"/>
      <c r="AI450" s="66"/>
      <c r="AJ450" s="69"/>
    </row>
    <row r="451">
      <c r="O451" s="66"/>
      <c r="P451" s="66"/>
      <c r="Q451" s="66"/>
      <c r="R451" s="67"/>
      <c r="S451" s="68"/>
      <c r="W451" s="66"/>
      <c r="X451" s="66"/>
      <c r="Y451" s="66"/>
      <c r="Z451" s="66"/>
      <c r="AA451" s="69"/>
      <c r="AD451" s="66"/>
      <c r="AE451" s="66"/>
      <c r="AF451" s="66"/>
      <c r="AG451" s="66"/>
      <c r="AH451" s="66"/>
      <c r="AI451" s="66"/>
      <c r="AJ451" s="69"/>
    </row>
    <row r="452">
      <c r="O452" s="66"/>
      <c r="P452" s="66"/>
      <c r="Q452" s="66"/>
      <c r="R452" s="67"/>
      <c r="S452" s="68"/>
      <c r="W452" s="66"/>
      <c r="X452" s="66"/>
      <c r="Y452" s="66"/>
      <c r="Z452" s="66"/>
      <c r="AA452" s="69"/>
      <c r="AD452" s="66"/>
      <c r="AE452" s="66"/>
      <c r="AF452" s="66"/>
      <c r="AG452" s="66"/>
      <c r="AH452" s="66"/>
      <c r="AI452" s="66"/>
      <c r="AJ452" s="69"/>
    </row>
    <row r="453">
      <c r="O453" s="66"/>
      <c r="P453" s="66"/>
      <c r="Q453" s="66"/>
      <c r="R453" s="67"/>
      <c r="S453" s="68"/>
      <c r="W453" s="66"/>
      <c r="X453" s="66"/>
      <c r="Y453" s="66"/>
      <c r="Z453" s="66"/>
      <c r="AA453" s="69"/>
      <c r="AD453" s="66"/>
      <c r="AE453" s="66"/>
      <c r="AF453" s="66"/>
      <c r="AG453" s="66"/>
      <c r="AH453" s="66"/>
      <c r="AI453" s="66"/>
      <c r="AJ453" s="69"/>
    </row>
    <row r="454">
      <c r="O454" s="66"/>
      <c r="P454" s="66"/>
      <c r="Q454" s="66"/>
      <c r="R454" s="67"/>
      <c r="S454" s="68"/>
      <c r="W454" s="66"/>
      <c r="X454" s="66"/>
      <c r="Y454" s="66"/>
      <c r="Z454" s="66"/>
      <c r="AA454" s="69"/>
      <c r="AD454" s="66"/>
      <c r="AE454" s="66"/>
      <c r="AF454" s="66"/>
      <c r="AG454" s="66"/>
      <c r="AH454" s="66"/>
      <c r="AI454" s="66"/>
      <c r="AJ454" s="69"/>
    </row>
    <row r="455">
      <c r="O455" s="66"/>
      <c r="P455" s="66"/>
      <c r="Q455" s="66"/>
      <c r="R455" s="67"/>
      <c r="S455" s="68"/>
      <c r="W455" s="66"/>
      <c r="X455" s="66"/>
      <c r="Y455" s="66"/>
      <c r="Z455" s="66"/>
      <c r="AA455" s="69"/>
      <c r="AD455" s="66"/>
      <c r="AE455" s="66"/>
      <c r="AF455" s="66"/>
      <c r="AG455" s="66"/>
      <c r="AH455" s="66"/>
      <c r="AI455" s="66"/>
      <c r="AJ455" s="69"/>
    </row>
    <row r="456">
      <c r="O456" s="66"/>
      <c r="P456" s="66"/>
      <c r="Q456" s="66"/>
      <c r="R456" s="67"/>
      <c r="S456" s="68"/>
      <c r="W456" s="66"/>
      <c r="X456" s="66"/>
      <c r="Y456" s="66"/>
      <c r="Z456" s="66"/>
      <c r="AA456" s="69"/>
      <c r="AD456" s="66"/>
      <c r="AE456" s="66"/>
      <c r="AF456" s="66"/>
      <c r="AG456" s="66"/>
      <c r="AH456" s="66"/>
      <c r="AI456" s="66"/>
      <c r="AJ456" s="69"/>
    </row>
    <row r="457">
      <c r="O457" s="66"/>
      <c r="P457" s="66"/>
      <c r="Q457" s="66"/>
      <c r="R457" s="67"/>
      <c r="S457" s="68"/>
      <c r="W457" s="66"/>
      <c r="X457" s="66"/>
      <c r="Y457" s="66"/>
      <c r="Z457" s="66"/>
      <c r="AA457" s="69"/>
      <c r="AD457" s="66"/>
      <c r="AE457" s="66"/>
      <c r="AF457" s="66"/>
      <c r="AG457" s="66"/>
      <c r="AH457" s="66"/>
      <c r="AI457" s="66"/>
      <c r="AJ457" s="69"/>
    </row>
    <row r="458">
      <c r="O458" s="66"/>
      <c r="P458" s="66"/>
      <c r="Q458" s="66"/>
      <c r="R458" s="67"/>
      <c r="S458" s="68"/>
      <c r="W458" s="66"/>
      <c r="X458" s="66"/>
      <c r="Y458" s="66"/>
      <c r="Z458" s="66"/>
      <c r="AA458" s="69"/>
      <c r="AD458" s="66"/>
      <c r="AE458" s="66"/>
      <c r="AF458" s="66"/>
      <c r="AG458" s="66"/>
      <c r="AH458" s="66"/>
      <c r="AI458" s="66"/>
      <c r="AJ458" s="69"/>
    </row>
    <row r="459">
      <c r="O459" s="66"/>
      <c r="P459" s="66"/>
      <c r="Q459" s="66"/>
      <c r="R459" s="67"/>
      <c r="S459" s="68"/>
      <c r="W459" s="66"/>
      <c r="X459" s="66"/>
      <c r="Y459" s="66"/>
      <c r="Z459" s="66"/>
      <c r="AA459" s="69"/>
      <c r="AD459" s="66"/>
      <c r="AE459" s="66"/>
      <c r="AF459" s="66"/>
      <c r="AG459" s="66"/>
      <c r="AH459" s="66"/>
      <c r="AI459" s="66"/>
      <c r="AJ459" s="69"/>
    </row>
    <row r="460">
      <c r="O460" s="66"/>
      <c r="P460" s="66"/>
      <c r="Q460" s="66"/>
      <c r="R460" s="67"/>
      <c r="S460" s="68"/>
      <c r="W460" s="66"/>
      <c r="X460" s="66"/>
      <c r="Y460" s="66"/>
      <c r="Z460" s="66"/>
      <c r="AA460" s="69"/>
      <c r="AD460" s="66"/>
      <c r="AE460" s="66"/>
      <c r="AF460" s="66"/>
      <c r="AG460" s="66"/>
      <c r="AH460" s="66"/>
      <c r="AI460" s="66"/>
      <c r="AJ460" s="69"/>
    </row>
    <row r="461">
      <c r="O461" s="66"/>
      <c r="P461" s="66"/>
      <c r="Q461" s="66"/>
      <c r="R461" s="67"/>
      <c r="S461" s="68"/>
      <c r="W461" s="66"/>
      <c r="X461" s="66"/>
      <c r="Y461" s="66"/>
      <c r="Z461" s="66"/>
      <c r="AA461" s="69"/>
      <c r="AD461" s="66"/>
      <c r="AE461" s="66"/>
      <c r="AF461" s="66"/>
      <c r="AG461" s="66"/>
      <c r="AH461" s="66"/>
      <c r="AI461" s="66"/>
      <c r="AJ461" s="69"/>
    </row>
    <row r="462">
      <c r="O462" s="66"/>
      <c r="P462" s="66"/>
      <c r="Q462" s="66"/>
      <c r="R462" s="67"/>
      <c r="S462" s="68"/>
      <c r="W462" s="66"/>
      <c r="X462" s="66"/>
      <c r="Y462" s="66"/>
      <c r="Z462" s="66"/>
      <c r="AA462" s="69"/>
      <c r="AD462" s="66"/>
      <c r="AE462" s="66"/>
      <c r="AF462" s="66"/>
      <c r="AG462" s="66"/>
      <c r="AH462" s="66"/>
      <c r="AI462" s="66"/>
      <c r="AJ462" s="69"/>
    </row>
    <row r="463">
      <c r="O463" s="66"/>
      <c r="P463" s="66"/>
      <c r="Q463" s="66"/>
      <c r="R463" s="67"/>
      <c r="S463" s="68"/>
      <c r="W463" s="66"/>
      <c r="X463" s="66"/>
      <c r="Y463" s="66"/>
      <c r="Z463" s="66"/>
      <c r="AA463" s="69"/>
      <c r="AD463" s="66"/>
      <c r="AE463" s="66"/>
      <c r="AF463" s="66"/>
      <c r="AG463" s="66"/>
      <c r="AH463" s="66"/>
      <c r="AI463" s="66"/>
      <c r="AJ463" s="69"/>
    </row>
    <row r="464">
      <c r="O464" s="66"/>
      <c r="P464" s="66"/>
      <c r="Q464" s="66"/>
      <c r="R464" s="67"/>
      <c r="S464" s="68"/>
      <c r="W464" s="66"/>
      <c r="X464" s="66"/>
      <c r="Y464" s="66"/>
      <c r="Z464" s="66"/>
      <c r="AA464" s="69"/>
      <c r="AD464" s="66"/>
      <c r="AE464" s="66"/>
      <c r="AF464" s="66"/>
      <c r="AG464" s="66"/>
      <c r="AH464" s="66"/>
      <c r="AI464" s="66"/>
      <c r="AJ464" s="69"/>
    </row>
    <row r="465">
      <c r="O465" s="66"/>
      <c r="P465" s="66"/>
      <c r="Q465" s="66"/>
      <c r="R465" s="67"/>
      <c r="S465" s="68"/>
      <c r="W465" s="66"/>
      <c r="X465" s="66"/>
      <c r="Y465" s="66"/>
      <c r="Z465" s="66"/>
      <c r="AA465" s="69"/>
      <c r="AD465" s="66"/>
      <c r="AE465" s="66"/>
      <c r="AF465" s="66"/>
      <c r="AG465" s="66"/>
      <c r="AH465" s="66"/>
      <c r="AI465" s="66"/>
      <c r="AJ465" s="69"/>
    </row>
    <row r="466">
      <c r="O466" s="66"/>
      <c r="P466" s="66"/>
      <c r="Q466" s="66"/>
      <c r="R466" s="67"/>
      <c r="S466" s="68"/>
      <c r="W466" s="66"/>
      <c r="X466" s="66"/>
      <c r="Y466" s="66"/>
      <c r="Z466" s="66"/>
      <c r="AA466" s="69"/>
      <c r="AD466" s="66"/>
      <c r="AE466" s="66"/>
      <c r="AF466" s="66"/>
      <c r="AG466" s="66"/>
      <c r="AH466" s="66"/>
      <c r="AI466" s="66"/>
      <c r="AJ466" s="69"/>
    </row>
    <row r="467">
      <c r="O467" s="66"/>
      <c r="P467" s="66"/>
      <c r="Q467" s="66"/>
      <c r="R467" s="67"/>
      <c r="S467" s="68"/>
      <c r="W467" s="66"/>
      <c r="X467" s="66"/>
      <c r="Y467" s="66"/>
      <c r="Z467" s="66"/>
      <c r="AA467" s="69"/>
      <c r="AD467" s="66"/>
      <c r="AE467" s="66"/>
      <c r="AF467" s="66"/>
      <c r="AG467" s="66"/>
      <c r="AH467" s="66"/>
      <c r="AI467" s="66"/>
      <c r="AJ467" s="69"/>
    </row>
    <row r="468">
      <c r="O468" s="66"/>
      <c r="P468" s="66"/>
      <c r="Q468" s="66"/>
      <c r="R468" s="67"/>
      <c r="S468" s="68"/>
      <c r="W468" s="66"/>
      <c r="X468" s="66"/>
      <c r="Y468" s="66"/>
      <c r="Z468" s="66"/>
      <c r="AA468" s="69"/>
      <c r="AD468" s="66"/>
      <c r="AE468" s="66"/>
      <c r="AF468" s="66"/>
      <c r="AG468" s="66"/>
      <c r="AH468" s="66"/>
      <c r="AI468" s="66"/>
      <c r="AJ468" s="69"/>
    </row>
    <row r="469">
      <c r="O469" s="66"/>
      <c r="P469" s="66"/>
      <c r="Q469" s="66"/>
      <c r="R469" s="67"/>
      <c r="S469" s="68"/>
      <c r="W469" s="66"/>
      <c r="X469" s="66"/>
      <c r="Y469" s="66"/>
      <c r="Z469" s="66"/>
      <c r="AA469" s="69"/>
      <c r="AD469" s="66"/>
      <c r="AE469" s="66"/>
      <c r="AF469" s="66"/>
      <c r="AG469" s="66"/>
      <c r="AH469" s="66"/>
      <c r="AI469" s="66"/>
      <c r="AJ469" s="69"/>
    </row>
    <row r="470">
      <c r="O470" s="66"/>
      <c r="P470" s="66"/>
      <c r="Q470" s="66"/>
      <c r="R470" s="67"/>
      <c r="S470" s="68"/>
      <c r="W470" s="66"/>
      <c r="X470" s="66"/>
      <c r="Y470" s="66"/>
      <c r="Z470" s="66"/>
      <c r="AA470" s="69"/>
      <c r="AD470" s="66"/>
      <c r="AE470" s="66"/>
      <c r="AF470" s="66"/>
      <c r="AG470" s="66"/>
      <c r="AH470" s="66"/>
      <c r="AI470" s="66"/>
      <c r="AJ470" s="69"/>
    </row>
    <row r="471">
      <c r="O471" s="66"/>
      <c r="P471" s="66"/>
      <c r="Q471" s="66"/>
      <c r="R471" s="67"/>
      <c r="S471" s="68"/>
      <c r="W471" s="66"/>
      <c r="X471" s="66"/>
      <c r="Y471" s="66"/>
      <c r="Z471" s="66"/>
      <c r="AA471" s="69"/>
      <c r="AD471" s="66"/>
      <c r="AE471" s="66"/>
      <c r="AF471" s="66"/>
      <c r="AG471" s="66"/>
      <c r="AH471" s="66"/>
      <c r="AI471" s="66"/>
      <c r="AJ471" s="69"/>
    </row>
    <row r="472">
      <c r="O472" s="66"/>
      <c r="P472" s="66"/>
      <c r="Q472" s="66"/>
      <c r="R472" s="67"/>
      <c r="S472" s="68"/>
      <c r="W472" s="66"/>
      <c r="X472" s="66"/>
      <c r="Y472" s="66"/>
      <c r="Z472" s="66"/>
      <c r="AA472" s="69"/>
      <c r="AD472" s="66"/>
      <c r="AE472" s="66"/>
      <c r="AF472" s="66"/>
      <c r="AG472" s="66"/>
      <c r="AH472" s="66"/>
      <c r="AI472" s="66"/>
      <c r="AJ472" s="69"/>
    </row>
    <row r="473">
      <c r="O473" s="66"/>
      <c r="P473" s="66"/>
      <c r="Q473" s="66"/>
      <c r="R473" s="67"/>
      <c r="S473" s="68"/>
      <c r="W473" s="66"/>
      <c r="X473" s="66"/>
      <c r="Y473" s="66"/>
      <c r="Z473" s="66"/>
      <c r="AA473" s="69"/>
      <c r="AD473" s="66"/>
      <c r="AE473" s="66"/>
      <c r="AF473" s="66"/>
      <c r="AG473" s="66"/>
      <c r="AH473" s="66"/>
      <c r="AI473" s="66"/>
      <c r="AJ473" s="69"/>
    </row>
    <row r="474">
      <c r="O474" s="66"/>
      <c r="P474" s="66"/>
      <c r="Q474" s="66"/>
      <c r="R474" s="67"/>
      <c r="S474" s="68"/>
      <c r="W474" s="66"/>
      <c r="X474" s="66"/>
      <c r="Y474" s="66"/>
      <c r="Z474" s="66"/>
      <c r="AA474" s="69"/>
      <c r="AD474" s="66"/>
      <c r="AE474" s="66"/>
      <c r="AF474" s="66"/>
      <c r="AG474" s="66"/>
      <c r="AH474" s="66"/>
      <c r="AI474" s="66"/>
      <c r="AJ474" s="69"/>
    </row>
    <row r="475">
      <c r="O475" s="66"/>
      <c r="P475" s="66"/>
      <c r="Q475" s="66"/>
      <c r="R475" s="67"/>
      <c r="S475" s="68"/>
      <c r="W475" s="66"/>
      <c r="X475" s="66"/>
      <c r="Y475" s="66"/>
      <c r="Z475" s="66"/>
      <c r="AA475" s="69"/>
      <c r="AD475" s="66"/>
      <c r="AE475" s="66"/>
      <c r="AF475" s="66"/>
      <c r="AG475" s="66"/>
      <c r="AH475" s="66"/>
      <c r="AI475" s="66"/>
      <c r="AJ475" s="69"/>
    </row>
    <row r="476">
      <c r="O476" s="66"/>
      <c r="P476" s="66"/>
      <c r="Q476" s="66"/>
      <c r="R476" s="67"/>
      <c r="S476" s="68"/>
      <c r="W476" s="66"/>
      <c r="X476" s="66"/>
      <c r="Y476" s="66"/>
      <c r="Z476" s="66"/>
      <c r="AA476" s="69"/>
      <c r="AD476" s="66"/>
      <c r="AE476" s="66"/>
      <c r="AF476" s="66"/>
      <c r="AG476" s="66"/>
      <c r="AH476" s="66"/>
      <c r="AI476" s="66"/>
      <c r="AJ476" s="69"/>
    </row>
    <row r="477">
      <c r="O477" s="66"/>
      <c r="P477" s="66"/>
      <c r="Q477" s="66"/>
      <c r="R477" s="67"/>
      <c r="S477" s="68"/>
      <c r="W477" s="66"/>
      <c r="X477" s="66"/>
      <c r="Y477" s="66"/>
      <c r="Z477" s="66"/>
      <c r="AA477" s="69"/>
      <c r="AD477" s="66"/>
      <c r="AE477" s="66"/>
      <c r="AF477" s="66"/>
      <c r="AG477" s="66"/>
      <c r="AH477" s="66"/>
      <c r="AI477" s="66"/>
      <c r="AJ477" s="69"/>
    </row>
    <row r="478">
      <c r="O478" s="66"/>
      <c r="P478" s="66"/>
      <c r="Q478" s="66"/>
      <c r="R478" s="67"/>
      <c r="S478" s="68"/>
      <c r="W478" s="66"/>
      <c r="X478" s="66"/>
      <c r="Y478" s="66"/>
      <c r="Z478" s="66"/>
      <c r="AA478" s="69"/>
      <c r="AD478" s="66"/>
      <c r="AE478" s="66"/>
      <c r="AF478" s="66"/>
      <c r="AG478" s="66"/>
      <c r="AH478" s="66"/>
      <c r="AI478" s="66"/>
      <c r="AJ478" s="69"/>
    </row>
    <row r="479">
      <c r="O479" s="66"/>
      <c r="P479" s="66"/>
      <c r="Q479" s="66"/>
      <c r="R479" s="67"/>
      <c r="S479" s="68"/>
      <c r="W479" s="66"/>
      <c r="X479" s="66"/>
      <c r="Y479" s="66"/>
      <c r="Z479" s="66"/>
      <c r="AA479" s="69"/>
      <c r="AD479" s="66"/>
      <c r="AE479" s="66"/>
      <c r="AF479" s="66"/>
      <c r="AG479" s="66"/>
      <c r="AH479" s="66"/>
      <c r="AI479" s="66"/>
      <c r="AJ479" s="69"/>
    </row>
    <row r="480">
      <c r="O480" s="66"/>
      <c r="P480" s="66"/>
      <c r="Q480" s="66"/>
      <c r="R480" s="67"/>
      <c r="S480" s="68"/>
      <c r="W480" s="66"/>
      <c r="X480" s="66"/>
      <c r="Y480" s="66"/>
      <c r="Z480" s="66"/>
      <c r="AA480" s="69"/>
      <c r="AD480" s="66"/>
      <c r="AE480" s="66"/>
      <c r="AF480" s="66"/>
      <c r="AG480" s="66"/>
      <c r="AH480" s="66"/>
      <c r="AI480" s="66"/>
      <c r="AJ480" s="69"/>
    </row>
    <row r="481">
      <c r="O481" s="66"/>
      <c r="P481" s="66"/>
      <c r="Q481" s="66"/>
      <c r="R481" s="67"/>
      <c r="S481" s="68"/>
      <c r="W481" s="66"/>
      <c r="X481" s="66"/>
      <c r="Y481" s="66"/>
      <c r="Z481" s="66"/>
      <c r="AA481" s="69"/>
      <c r="AD481" s="66"/>
      <c r="AE481" s="66"/>
      <c r="AF481" s="66"/>
      <c r="AG481" s="66"/>
      <c r="AH481" s="66"/>
      <c r="AI481" s="66"/>
      <c r="AJ481" s="69"/>
    </row>
    <row r="482">
      <c r="O482" s="66"/>
      <c r="P482" s="66"/>
      <c r="Q482" s="66"/>
      <c r="R482" s="67"/>
      <c r="S482" s="68"/>
      <c r="W482" s="66"/>
      <c r="X482" s="66"/>
      <c r="Y482" s="66"/>
      <c r="Z482" s="66"/>
      <c r="AA482" s="69"/>
      <c r="AD482" s="66"/>
      <c r="AE482" s="66"/>
      <c r="AF482" s="66"/>
      <c r="AG482" s="66"/>
      <c r="AH482" s="66"/>
      <c r="AI482" s="66"/>
      <c r="AJ482" s="69"/>
    </row>
    <row r="483">
      <c r="O483" s="66"/>
      <c r="P483" s="66"/>
      <c r="Q483" s="66"/>
      <c r="R483" s="67"/>
      <c r="S483" s="68"/>
      <c r="W483" s="66"/>
      <c r="X483" s="66"/>
      <c r="Y483" s="66"/>
      <c r="Z483" s="66"/>
      <c r="AA483" s="69"/>
      <c r="AD483" s="66"/>
      <c r="AE483" s="66"/>
      <c r="AF483" s="66"/>
      <c r="AG483" s="66"/>
      <c r="AH483" s="66"/>
      <c r="AI483" s="66"/>
      <c r="AJ483" s="69"/>
    </row>
    <row r="484">
      <c r="O484" s="66"/>
      <c r="P484" s="66"/>
      <c r="Q484" s="66"/>
      <c r="R484" s="67"/>
      <c r="S484" s="68"/>
      <c r="W484" s="66"/>
      <c r="X484" s="66"/>
      <c r="Y484" s="66"/>
      <c r="Z484" s="66"/>
      <c r="AA484" s="69"/>
      <c r="AD484" s="66"/>
      <c r="AE484" s="66"/>
      <c r="AF484" s="66"/>
      <c r="AG484" s="66"/>
      <c r="AH484" s="66"/>
      <c r="AI484" s="66"/>
      <c r="AJ484" s="69"/>
    </row>
    <row r="485">
      <c r="O485" s="66"/>
      <c r="P485" s="66"/>
      <c r="Q485" s="66"/>
      <c r="R485" s="67"/>
      <c r="S485" s="68"/>
      <c r="W485" s="66"/>
      <c r="X485" s="66"/>
      <c r="Y485" s="66"/>
      <c r="Z485" s="66"/>
      <c r="AA485" s="69"/>
      <c r="AD485" s="66"/>
      <c r="AE485" s="66"/>
      <c r="AF485" s="66"/>
      <c r="AG485" s="66"/>
      <c r="AH485" s="66"/>
      <c r="AI485" s="66"/>
      <c r="AJ485" s="69"/>
    </row>
    <row r="486">
      <c r="O486" s="66"/>
      <c r="P486" s="66"/>
      <c r="Q486" s="66"/>
      <c r="R486" s="67"/>
      <c r="S486" s="68"/>
      <c r="W486" s="66"/>
      <c r="X486" s="66"/>
      <c r="Y486" s="66"/>
      <c r="Z486" s="66"/>
      <c r="AA486" s="69"/>
      <c r="AD486" s="66"/>
      <c r="AE486" s="66"/>
      <c r="AF486" s="66"/>
      <c r="AG486" s="66"/>
      <c r="AH486" s="66"/>
      <c r="AI486" s="66"/>
      <c r="AJ486" s="69"/>
    </row>
    <row r="487">
      <c r="O487" s="66"/>
      <c r="P487" s="66"/>
      <c r="Q487" s="66"/>
      <c r="R487" s="67"/>
      <c r="S487" s="68"/>
      <c r="W487" s="66"/>
      <c r="X487" s="66"/>
      <c r="Y487" s="66"/>
      <c r="Z487" s="66"/>
      <c r="AA487" s="69"/>
      <c r="AD487" s="66"/>
      <c r="AE487" s="66"/>
      <c r="AF487" s="66"/>
      <c r="AG487" s="66"/>
      <c r="AH487" s="66"/>
      <c r="AI487" s="66"/>
      <c r="AJ487" s="69"/>
    </row>
    <row r="488">
      <c r="O488" s="66"/>
      <c r="P488" s="66"/>
      <c r="Q488" s="66"/>
      <c r="R488" s="67"/>
      <c r="S488" s="68"/>
      <c r="W488" s="66"/>
      <c r="X488" s="66"/>
      <c r="Y488" s="66"/>
      <c r="Z488" s="66"/>
      <c r="AA488" s="69"/>
      <c r="AD488" s="66"/>
      <c r="AE488" s="66"/>
      <c r="AF488" s="66"/>
      <c r="AG488" s="66"/>
      <c r="AH488" s="66"/>
      <c r="AI488" s="66"/>
      <c r="AJ488" s="69"/>
    </row>
    <row r="489">
      <c r="O489" s="66"/>
      <c r="P489" s="66"/>
      <c r="Q489" s="66"/>
      <c r="R489" s="67"/>
      <c r="S489" s="68"/>
      <c r="W489" s="66"/>
      <c r="X489" s="66"/>
      <c r="Y489" s="66"/>
      <c r="Z489" s="66"/>
      <c r="AA489" s="69"/>
      <c r="AD489" s="66"/>
      <c r="AE489" s="66"/>
      <c r="AF489" s="66"/>
      <c r="AG489" s="66"/>
      <c r="AH489" s="66"/>
      <c r="AI489" s="66"/>
      <c r="AJ489" s="69"/>
    </row>
    <row r="490">
      <c r="O490" s="66"/>
      <c r="P490" s="66"/>
      <c r="Q490" s="66"/>
      <c r="R490" s="67"/>
      <c r="S490" s="68"/>
      <c r="W490" s="66"/>
      <c r="X490" s="66"/>
      <c r="Y490" s="66"/>
      <c r="Z490" s="66"/>
      <c r="AA490" s="69"/>
      <c r="AD490" s="66"/>
      <c r="AE490" s="66"/>
      <c r="AF490" s="66"/>
      <c r="AG490" s="66"/>
      <c r="AH490" s="66"/>
      <c r="AI490" s="66"/>
      <c r="AJ490" s="69"/>
    </row>
    <row r="491">
      <c r="O491" s="66"/>
      <c r="P491" s="66"/>
      <c r="Q491" s="66"/>
      <c r="R491" s="67"/>
      <c r="S491" s="68"/>
      <c r="W491" s="66"/>
      <c r="X491" s="66"/>
      <c r="Y491" s="66"/>
      <c r="Z491" s="66"/>
      <c r="AA491" s="69"/>
      <c r="AD491" s="66"/>
      <c r="AE491" s="66"/>
      <c r="AF491" s="66"/>
      <c r="AG491" s="66"/>
      <c r="AH491" s="66"/>
      <c r="AI491" s="66"/>
      <c r="AJ491" s="69"/>
    </row>
    <row r="492">
      <c r="O492" s="66"/>
      <c r="P492" s="66"/>
      <c r="Q492" s="66"/>
      <c r="R492" s="67"/>
      <c r="S492" s="68"/>
      <c r="W492" s="66"/>
      <c r="X492" s="66"/>
      <c r="Y492" s="66"/>
      <c r="Z492" s="66"/>
      <c r="AA492" s="69"/>
      <c r="AD492" s="66"/>
      <c r="AE492" s="66"/>
      <c r="AF492" s="66"/>
      <c r="AG492" s="66"/>
      <c r="AH492" s="66"/>
      <c r="AI492" s="66"/>
      <c r="AJ492" s="69"/>
    </row>
    <row r="493">
      <c r="O493" s="66"/>
      <c r="P493" s="66"/>
      <c r="Q493" s="66"/>
      <c r="R493" s="67"/>
      <c r="S493" s="68"/>
      <c r="W493" s="66"/>
      <c r="X493" s="66"/>
      <c r="Y493" s="66"/>
      <c r="Z493" s="66"/>
      <c r="AA493" s="69"/>
      <c r="AD493" s="66"/>
      <c r="AE493" s="66"/>
      <c r="AF493" s="66"/>
      <c r="AG493" s="66"/>
      <c r="AH493" s="66"/>
      <c r="AI493" s="66"/>
      <c r="AJ493" s="69"/>
    </row>
    <row r="494">
      <c r="O494" s="66"/>
      <c r="P494" s="66"/>
      <c r="Q494" s="66"/>
      <c r="R494" s="67"/>
      <c r="S494" s="68"/>
      <c r="W494" s="66"/>
      <c r="X494" s="66"/>
      <c r="Y494" s="66"/>
      <c r="Z494" s="66"/>
      <c r="AA494" s="69"/>
      <c r="AD494" s="66"/>
      <c r="AE494" s="66"/>
      <c r="AF494" s="66"/>
      <c r="AG494" s="66"/>
      <c r="AH494" s="66"/>
      <c r="AI494" s="66"/>
      <c r="AJ494" s="69"/>
    </row>
    <row r="495">
      <c r="O495" s="66"/>
      <c r="P495" s="66"/>
      <c r="Q495" s="66"/>
      <c r="R495" s="67"/>
      <c r="S495" s="68"/>
      <c r="W495" s="66"/>
      <c r="X495" s="66"/>
      <c r="Y495" s="66"/>
      <c r="Z495" s="66"/>
      <c r="AA495" s="69"/>
      <c r="AD495" s="66"/>
      <c r="AE495" s="66"/>
      <c r="AF495" s="66"/>
      <c r="AG495" s="66"/>
      <c r="AH495" s="66"/>
      <c r="AI495" s="66"/>
      <c r="AJ495" s="69"/>
    </row>
    <row r="496">
      <c r="O496" s="66"/>
      <c r="P496" s="66"/>
      <c r="Q496" s="66"/>
      <c r="R496" s="67"/>
      <c r="S496" s="68"/>
      <c r="W496" s="66"/>
      <c r="X496" s="66"/>
      <c r="Y496" s="66"/>
      <c r="Z496" s="66"/>
      <c r="AA496" s="69"/>
      <c r="AD496" s="66"/>
      <c r="AE496" s="66"/>
      <c r="AF496" s="66"/>
      <c r="AG496" s="66"/>
      <c r="AH496" s="66"/>
      <c r="AI496" s="66"/>
      <c r="AJ496" s="69"/>
    </row>
    <row r="497">
      <c r="O497" s="66"/>
      <c r="P497" s="66"/>
      <c r="Q497" s="66"/>
      <c r="R497" s="67"/>
      <c r="S497" s="68"/>
      <c r="W497" s="66"/>
      <c r="X497" s="66"/>
      <c r="Y497" s="66"/>
      <c r="Z497" s="66"/>
      <c r="AA497" s="69"/>
      <c r="AD497" s="66"/>
      <c r="AE497" s="66"/>
      <c r="AF497" s="66"/>
      <c r="AG497" s="66"/>
      <c r="AH497" s="66"/>
      <c r="AI497" s="66"/>
      <c r="AJ497" s="69"/>
    </row>
    <row r="498">
      <c r="O498" s="66"/>
      <c r="P498" s="66"/>
      <c r="Q498" s="66"/>
      <c r="R498" s="67"/>
      <c r="S498" s="68"/>
      <c r="W498" s="66"/>
      <c r="X498" s="66"/>
      <c r="Y498" s="66"/>
      <c r="Z498" s="66"/>
      <c r="AA498" s="69"/>
      <c r="AD498" s="66"/>
      <c r="AE498" s="66"/>
      <c r="AF498" s="66"/>
      <c r="AG498" s="66"/>
      <c r="AH498" s="66"/>
      <c r="AI498" s="66"/>
      <c r="AJ498" s="69"/>
    </row>
    <row r="499">
      <c r="O499" s="66"/>
      <c r="P499" s="66"/>
      <c r="Q499" s="66"/>
      <c r="R499" s="67"/>
      <c r="S499" s="68"/>
      <c r="W499" s="66"/>
      <c r="X499" s="66"/>
      <c r="Y499" s="66"/>
      <c r="Z499" s="66"/>
      <c r="AA499" s="69"/>
      <c r="AD499" s="66"/>
      <c r="AE499" s="66"/>
      <c r="AF499" s="66"/>
      <c r="AG499" s="66"/>
      <c r="AH499" s="66"/>
      <c r="AI499" s="66"/>
      <c r="AJ499" s="69"/>
    </row>
    <row r="500">
      <c r="O500" s="66"/>
      <c r="P500" s="66"/>
      <c r="Q500" s="66"/>
      <c r="R500" s="67"/>
      <c r="S500" s="68"/>
      <c r="W500" s="66"/>
      <c r="X500" s="66"/>
      <c r="Y500" s="66"/>
      <c r="Z500" s="66"/>
      <c r="AA500" s="69"/>
      <c r="AD500" s="66"/>
      <c r="AE500" s="66"/>
      <c r="AF500" s="66"/>
      <c r="AG500" s="66"/>
      <c r="AH500" s="66"/>
      <c r="AI500" s="66"/>
      <c r="AJ500" s="69"/>
    </row>
    <row r="501">
      <c r="O501" s="66"/>
      <c r="P501" s="66"/>
      <c r="Q501" s="66"/>
      <c r="R501" s="67"/>
      <c r="S501" s="68"/>
      <c r="W501" s="66"/>
      <c r="X501" s="66"/>
      <c r="Y501" s="66"/>
      <c r="Z501" s="66"/>
      <c r="AA501" s="69"/>
      <c r="AD501" s="66"/>
      <c r="AE501" s="66"/>
      <c r="AF501" s="66"/>
      <c r="AG501" s="66"/>
      <c r="AH501" s="66"/>
      <c r="AI501" s="66"/>
      <c r="AJ501" s="69"/>
    </row>
    <row r="502">
      <c r="O502" s="66"/>
      <c r="P502" s="66"/>
      <c r="Q502" s="66"/>
      <c r="R502" s="67"/>
      <c r="S502" s="68"/>
      <c r="W502" s="66"/>
      <c r="X502" s="66"/>
      <c r="Y502" s="66"/>
      <c r="Z502" s="66"/>
      <c r="AA502" s="69"/>
      <c r="AD502" s="66"/>
      <c r="AE502" s="66"/>
      <c r="AF502" s="66"/>
      <c r="AG502" s="66"/>
      <c r="AH502" s="66"/>
      <c r="AI502" s="66"/>
      <c r="AJ502" s="69"/>
    </row>
    <row r="503">
      <c r="O503" s="66"/>
      <c r="P503" s="66"/>
      <c r="Q503" s="66"/>
      <c r="R503" s="67"/>
      <c r="S503" s="68"/>
      <c r="W503" s="66"/>
      <c r="X503" s="66"/>
      <c r="Y503" s="66"/>
      <c r="Z503" s="66"/>
      <c r="AA503" s="69"/>
      <c r="AD503" s="66"/>
      <c r="AE503" s="66"/>
      <c r="AF503" s="66"/>
      <c r="AG503" s="66"/>
      <c r="AH503" s="66"/>
      <c r="AI503" s="66"/>
      <c r="AJ503" s="69"/>
    </row>
    <row r="504">
      <c r="O504" s="66"/>
      <c r="P504" s="66"/>
      <c r="Q504" s="66"/>
      <c r="R504" s="67"/>
      <c r="S504" s="68"/>
      <c r="W504" s="66"/>
      <c r="X504" s="66"/>
      <c r="Y504" s="66"/>
      <c r="Z504" s="66"/>
      <c r="AA504" s="69"/>
      <c r="AD504" s="66"/>
      <c r="AE504" s="66"/>
      <c r="AF504" s="66"/>
      <c r="AG504" s="66"/>
      <c r="AH504" s="66"/>
      <c r="AI504" s="66"/>
      <c r="AJ504" s="69"/>
    </row>
    <row r="505">
      <c r="O505" s="66"/>
      <c r="P505" s="66"/>
      <c r="Q505" s="66"/>
      <c r="R505" s="67"/>
      <c r="S505" s="68"/>
      <c r="W505" s="66"/>
      <c r="X505" s="66"/>
      <c r="Y505" s="66"/>
      <c r="Z505" s="66"/>
      <c r="AA505" s="69"/>
      <c r="AD505" s="66"/>
      <c r="AE505" s="66"/>
      <c r="AF505" s="66"/>
      <c r="AG505" s="66"/>
      <c r="AH505" s="66"/>
      <c r="AI505" s="66"/>
      <c r="AJ505" s="69"/>
    </row>
    <row r="506">
      <c r="O506" s="66"/>
      <c r="P506" s="66"/>
      <c r="Q506" s="66"/>
      <c r="R506" s="67"/>
      <c r="S506" s="68"/>
      <c r="W506" s="66"/>
      <c r="X506" s="66"/>
      <c r="Y506" s="66"/>
      <c r="Z506" s="66"/>
      <c r="AA506" s="69"/>
      <c r="AD506" s="66"/>
      <c r="AE506" s="66"/>
      <c r="AF506" s="66"/>
      <c r="AG506" s="66"/>
      <c r="AH506" s="66"/>
      <c r="AI506" s="66"/>
      <c r="AJ506" s="69"/>
    </row>
    <row r="507">
      <c r="O507" s="66"/>
      <c r="P507" s="66"/>
      <c r="Q507" s="66"/>
      <c r="R507" s="67"/>
      <c r="S507" s="68"/>
      <c r="W507" s="66"/>
      <c r="X507" s="66"/>
      <c r="Y507" s="66"/>
      <c r="Z507" s="66"/>
      <c r="AA507" s="69"/>
      <c r="AD507" s="66"/>
      <c r="AE507" s="66"/>
      <c r="AF507" s="66"/>
      <c r="AG507" s="66"/>
      <c r="AH507" s="66"/>
      <c r="AI507" s="66"/>
      <c r="AJ507" s="69"/>
    </row>
    <row r="508">
      <c r="O508" s="66"/>
      <c r="P508" s="66"/>
      <c r="Q508" s="66"/>
      <c r="R508" s="67"/>
      <c r="S508" s="68"/>
      <c r="W508" s="66"/>
      <c r="X508" s="66"/>
      <c r="Y508" s="66"/>
      <c r="Z508" s="66"/>
      <c r="AA508" s="69"/>
      <c r="AD508" s="66"/>
      <c r="AE508" s="66"/>
      <c r="AF508" s="66"/>
      <c r="AG508" s="66"/>
      <c r="AH508" s="66"/>
      <c r="AI508" s="66"/>
      <c r="AJ508" s="69"/>
    </row>
    <row r="509">
      <c r="O509" s="66"/>
      <c r="P509" s="66"/>
      <c r="Q509" s="66"/>
      <c r="R509" s="67"/>
      <c r="S509" s="68"/>
      <c r="W509" s="66"/>
      <c r="X509" s="66"/>
      <c r="Y509" s="66"/>
      <c r="Z509" s="66"/>
      <c r="AA509" s="69"/>
      <c r="AD509" s="66"/>
      <c r="AE509" s="66"/>
      <c r="AF509" s="66"/>
      <c r="AG509" s="66"/>
      <c r="AH509" s="66"/>
      <c r="AI509" s="66"/>
      <c r="AJ509" s="69"/>
    </row>
    <row r="510">
      <c r="O510" s="66"/>
      <c r="P510" s="66"/>
      <c r="Q510" s="66"/>
      <c r="R510" s="67"/>
      <c r="S510" s="68"/>
      <c r="W510" s="66"/>
      <c r="X510" s="66"/>
      <c r="Y510" s="66"/>
      <c r="Z510" s="66"/>
      <c r="AA510" s="69"/>
      <c r="AD510" s="66"/>
      <c r="AE510" s="66"/>
      <c r="AF510" s="66"/>
      <c r="AG510" s="66"/>
      <c r="AH510" s="66"/>
      <c r="AI510" s="66"/>
      <c r="AJ510" s="69"/>
    </row>
    <row r="511">
      <c r="O511" s="66"/>
      <c r="P511" s="66"/>
      <c r="Q511" s="66"/>
      <c r="R511" s="67"/>
      <c r="S511" s="68"/>
      <c r="W511" s="66"/>
      <c r="X511" s="66"/>
      <c r="Y511" s="66"/>
      <c r="Z511" s="66"/>
      <c r="AA511" s="69"/>
      <c r="AD511" s="66"/>
      <c r="AE511" s="66"/>
      <c r="AF511" s="66"/>
      <c r="AG511" s="66"/>
      <c r="AH511" s="66"/>
      <c r="AI511" s="66"/>
      <c r="AJ511" s="69"/>
    </row>
    <row r="512">
      <c r="O512" s="66"/>
      <c r="P512" s="66"/>
      <c r="Q512" s="66"/>
      <c r="R512" s="67"/>
      <c r="S512" s="68"/>
      <c r="W512" s="66"/>
      <c r="X512" s="66"/>
      <c r="Y512" s="66"/>
      <c r="Z512" s="66"/>
      <c r="AA512" s="69"/>
      <c r="AD512" s="66"/>
      <c r="AE512" s="66"/>
      <c r="AF512" s="66"/>
      <c r="AG512" s="66"/>
      <c r="AH512" s="66"/>
      <c r="AI512" s="66"/>
      <c r="AJ512" s="69"/>
    </row>
    <row r="513">
      <c r="O513" s="66"/>
      <c r="P513" s="66"/>
      <c r="Q513" s="66"/>
      <c r="R513" s="67"/>
      <c r="S513" s="68"/>
      <c r="W513" s="66"/>
      <c r="X513" s="66"/>
      <c r="Y513" s="66"/>
      <c r="Z513" s="66"/>
      <c r="AA513" s="69"/>
      <c r="AD513" s="66"/>
      <c r="AE513" s="66"/>
      <c r="AF513" s="66"/>
      <c r="AG513" s="66"/>
      <c r="AH513" s="66"/>
      <c r="AI513" s="66"/>
      <c r="AJ513" s="69"/>
    </row>
    <row r="514">
      <c r="O514" s="66"/>
      <c r="P514" s="66"/>
      <c r="Q514" s="66"/>
      <c r="R514" s="67"/>
      <c r="S514" s="68"/>
      <c r="W514" s="66"/>
      <c r="X514" s="66"/>
      <c r="Y514" s="66"/>
      <c r="Z514" s="66"/>
      <c r="AA514" s="69"/>
      <c r="AD514" s="66"/>
      <c r="AE514" s="66"/>
      <c r="AF514" s="66"/>
      <c r="AG514" s="66"/>
      <c r="AH514" s="66"/>
      <c r="AI514" s="66"/>
      <c r="AJ514" s="69"/>
    </row>
    <row r="515">
      <c r="O515" s="66"/>
      <c r="P515" s="66"/>
      <c r="Q515" s="66"/>
      <c r="R515" s="67"/>
      <c r="S515" s="68"/>
      <c r="W515" s="66"/>
      <c r="X515" s="66"/>
      <c r="Y515" s="66"/>
      <c r="Z515" s="66"/>
      <c r="AA515" s="69"/>
      <c r="AD515" s="66"/>
      <c r="AE515" s="66"/>
      <c r="AF515" s="66"/>
      <c r="AG515" s="66"/>
      <c r="AH515" s="66"/>
      <c r="AI515" s="66"/>
      <c r="AJ515" s="69"/>
    </row>
    <row r="516">
      <c r="O516" s="66"/>
      <c r="P516" s="66"/>
      <c r="Q516" s="66"/>
      <c r="R516" s="67"/>
      <c r="S516" s="68"/>
      <c r="W516" s="66"/>
      <c r="X516" s="66"/>
      <c r="Y516" s="66"/>
      <c r="Z516" s="66"/>
      <c r="AA516" s="69"/>
      <c r="AD516" s="66"/>
      <c r="AE516" s="66"/>
      <c r="AF516" s="66"/>
      <c r="AG516" s="66"/>
      <c r="AH516" s="66"/>
      <c r="AI516" s="66"/>
      <c r="AJ516" s="69"/>
    </row>
    <row r="517">
      <c r="O517" s="66"/>
      <c r="P517" s="66"/>
      <c r="Q517" s="66"/>
      <c r="R517" s="67"/>
      <c r="S517" s="68"/>
      <c r="W517" s="66"/>
      <c r="X517" s="66"/>
      <c r="Y517" s="66"/>
      <c r="Z517" s="66"/>
      <c r="AA517" s="69"/>
      <c r="AD517" s="66"/>
      <c r="AE517" s="66"/>
      <c r="AF517" s="66"/>
      <c r="AG517" s="66"/>
      <c r="AH517" s="66"/>
      <c r="AI517" s="66"/>
      <c r="AJ517" s="69"/>
    </row>
    <row r="518">
      <c r="O518" s="66"/>
      <c r="P518" s="66"/>
      <c r="Q518" s="66"/>
      <c r="R518" s="67"/>
      <c r="S518" s="68"/>
      <c r="W518" s="66"/>
      <c r="X518" s="66"/>
      <c r="Y518" s="66"/>
      <c r="Z518" s="66"/>
      <c r="AA518" s="69"/>
      <c r="AD518" s="66"/>
      <c r="AE518" s="66"/>
      <c r="AF518" s="66"/>
      <c r="AG518" s="66"/>
      <c r="AH518" s="66"/>
      <c r="AI518" s="66"/>
      <c r="AJ518" s="69"/>
    </row>
    <row r="519">
      <c r="O519" s="66"/>
      <c r="P519" s="66"/>
      <c r="Q519" s="66"/>
      <c r="R519" s="67"/>
      <c r="S519" s="68"/>
      <c r="W519" s="66"/>
      <c r="X519" s="66"/>
      <c r="Y519" s="66"/>
      <c r="Z519" s="66"/>
      <c r="AA519" s="69"/>
      <c r="AD519" s="66"/>
      <c r="AE519" s="66"/>
      <c r="AF519" s="66"/>
      <c r="AG519" s="66"/>
      <c r="AH519" s="66"/>
      <c r="AI519" s="66"/>
      <c r="AJ519" s="69"/>
    </row>
    <row r="520">
      <c r="O520" s="66"/>
      <c r="P520" s="66"/>
      <c r="Q520" s="66"/>
      <c r="R520" s="67"/>
      <c r="S520" s="68"/>
      <c r="W520" s="66"/>
      <c r="X520" s="66"/>
      <c r="Y520" s="66"/>
      <c r="Z520" s="66"/>
      <c r="AA520" s="69"/>
      <c r="AD520" s="66"/>
      <c r="AE520" s="66"/>
      <c r="AF520" s="66"/>
      <c r="AG520" s="66"/>
      <c r="AH520" s="66"/>
      <c r="AI520" s="66"/>
      <c r="AJ520" s="69"/>
    </row>
    <row r="521">
      <c r="O521" s="66"/>
      <c r="P521" s="66"/>
      <c r="Q521" s="66"/>
      <c r="R521" s="67"/>
      <c r="S521" s="68"/>
      <c r="W521" s="66"/>
      <c r="X521" s="66"/>
      <c r="Y521" s="66"/>
      <c r="Z521" s="66"/>
      <c r="AA521" s="69"/>
      <c r="AD521" s="66"/>
      <c r="AE521" s="66"/>
      <c r="AF521" s="66"/>
      <c r="AG521" s="66"/>
      <c r="AH521" s="66"/>
      <c r="AI521" s="66"/>
      <c r="AJ521" s="69"/>
    </row>
    <row r="522">
      <c r="O522" s="66"/>
      <c r="P522" s="66"/>
      <c r="Q522" s="66"/>
      <c r="R522" s="67"/>
      <c r="S522" s="68"/>
      <c r="W522" s="66"/>
      <c r="X522" s="66"/>
      <c r="Y522" s="66"/>
      <c r="Z522" s="66"/>
      <c r="AA522" s="69"/>
      <c r="AD522" s="66"/>
      <c r="AE522" s="66"/>
      <c r="AF522" s="66"/>
      <c r="AG522" s="66"/>
      <c r="AH522" s="66"/>
      <c r="AI522" s="66"/>
      <c r="AJ522" s="69"/>
    </row>
    <row r="523">
      <c r="O523" s="66"/>
      <c r="P523" s="66"/>
      <c r="Q523" s="66"/>
      <c r="R523" s="67"/>
      <c r="S523" s="68"/>
      <c r="W523" s="66"/>
      <c r="X523" s="66"/>
      <c r="Y523" s="66"/>
      <c r="Z523" s="66"/>
      <c r="AA523" s="69"/>
      <c r="AD523" s="66"/>
      <c r="AE523" s="66"/>
      <c r="AF523" s="66"/>
      <c r="AG523" s="66"/>
      <c r="AH523" s="66"/>
      <c r="AI523" s="66"/>
      <c r="AJ523" s="69"/>
    </row>
    <row r="524">
      <c r="O524" s="66"/>
      <c r="P524" s="66"/>
      <c r="Q524" s="66"/>
      <c r="R524" s="67"/>
      <c r="S524" s="68"/>
      <c r="W524" s="66"/>
      <c r="X524" s="66"/>
      <c r="Y524" s="66"/>
      <c r="Z524" s="66"/>
      <c r="AA524" s="69"/>
      <c r="AD524" s="66"/>
      <c r="AE524" s="66"/>
      <c r="AF524" s="66"/>
      <c r="AG524" s="66"/>
      <c r="AH524" s="66"/>
      <c r="AI524" s="66"/>
      <c r="AJ524" s="69"/>
    </row>
    <row r="525">
      <c r="O525" s="66"/>
      <c r="P525" s="66"/>
      <c r="Q525" s="66"/>
      <c r="R525" s="67"/>
      <c r="S525" s="68"/>
      <c r="W525" s="66"/>
      <c r="X525" s="66"/>
      <c r="Y525" s="66"/>
      <c r="Z525" s="66"/>
      <c r="AA525" s="69"/>
      <c r="AD525" s="66"/>
      <c r="AE525" s="66"/>
      <c r="AF525" s="66"/>
      <c r="AG525" s="66"/>
      <c r="AH525" s="66"/>
      <c r="AI525" s="66"/>
      <c r="AJ525" s="69"/>
    </row>
    <row r="526">
      <c r="O526" s="66"/>
      <c r="P526" s="66"/>
      <c r="Q526" s="66"/>
      <c r="R526" s="67"/>
      <c r="S526" s="68"/>
      <c r="W526" s="66"/>
      <c r="X526" s="66"/>
      <c r="Y526" s="66"/>
      <c r="Z526" s="66"/>
      <c r="AA526" s="69"/>
      <c r="AD526" s="66"/>
      <c r="AE526" s="66"/>
      <c r="AF526" s="66"/>
      <c r="AG526" s="66"/>
      <c r="AH526" s="66"/>
      <c r="AI526" s="66"/>
      <c r="AJ526" s="69"/>
    </row>
    <row r="527">
      <c r="O527" s="66"/>
      <c r="P527" s="66"/>
      <c r="Q527" s="66"/>
      <c r="R527" s="67"/>
      <c r="S527" s="68"/>
      <c r="W527" s="66"/>
      <c r="X527" s="66"/>
      <c r="Y527" s="66"/>
      <c r="Z527" s="66"/>
      <c r="AA527" s="69"/>
      <c r="AD527" s="66"/>
      <c r="AE527" s="66"/>
      <c r="AF527" s="66"/>
      <c r="AG527" s="66"/>
      <c r="AH527" s="66"/>
      <c r="AI527" s="66"/>
      <c r="AJ527" s="69"/>
    </row>
    <row r="528">
      <c r="O528" s="66"/>
      <c r="P528" s="66"/>
      <c r="Q528" s="66"/>
      <c r="R528" s="67"/>
      <c r="S528" s="68"/>
      <c r="W528" s="66"/>
      <c r="X528" s="66"/>
      <c r="Y528" s="66"/>
      <c r="Z528" s="66"/>
      <c r="AA528" s="69"/>
      <c r="AD528" s="66"/>
      <c r="AE528" s="66"/>
      <c r="AF528" s="66"/>
      <c r="AG528" s="66"/>
      <c r="AH528" s="66"/>
      <c r="AI528" s="66"/>
      <c r="AJ528" s="69"/>
    </row>
    <row r="529">
      <c r="O529" s="66"/>
      <c r="P529" s="66"/>
      <c r="Q529" s="66"/>
      <c r="R529" s="67"/>
      <c r="S529" s="68"/>
      <c r="W529" s="66"/>
      <c r="X529" s="66"/>
      <c r="Y529" s="66"/>
      <c r="Z529" s="66"/>
      <c r="AA529" s="69"/>
      <c r="AD529" s="66"/>
      <c r="AE529" s="66"/>
      <c r="AF529" s="66"/>
      <c r="AG529" s="66"/>
      <c r="AH529" s="66"/>
      <c r="AI529" s="66"/>
      <c r="AJ529" s="69"/>
    </row>
    <row r="530">
      <c r="O530" s="66"/>
      <c r="P530" s="66"/>
      <c r="Q530" s="66"/>
      <c r="R530" s="67"/>
      <c r="S530" s="68"/>
      <c r="W530" s="66"/>
      <c r="X530" s="66"/>
      <c r="Y530" s="66"/>
      <c r="Z530" s="66"/>
      <c r="AA530" s="69"/>
      <c r="AD530" s="66"/>
      <c r="AE530" s="66"/>
      <c r="AF530" s="66"/>
      <c r="AG530" s="66"/>
      <c r="AH530" s="66"/>
      <c r="AI530" s="66"/>
      <c r="AJ530" s="69"/>
    </row>
    <row r="531">
      <c r="O531" s="66"/>
      <c r="P531" s="66"/>
      <c r="Q531" s="66"/>
      <c r="R531" s="67"/>
      <c r="S531" s="68"/>
      <c r="W531" s="66"/>
      <c r="X531" s="66"/>
      <c r="Y531" s="66"/>
      <c r="Z531" s="66"/>
      <c r="AA531" s="69"/>
      <c r="AD531" s="66"/>
      <c r="AE531" s="66"/>
      <c r="AF531" s="66"/>
      <c r="AG531" s="66"/>
      <c r="AH531" s="66"/>
      <c r="AI531" s="66"/>
      <c r="AJ531" s="69"/>
    </row>
    <row r="532">
      <c r="O532" s="66"/>
      <c r="P532" s="66"/>
      <c r="Q532" s="66"/>
      <c r="R532" s="67"/>
      <c r="S532" s="68"/>
      <c r="W532" s="66"/>
      <c r="X532" s="66"/>
      <c r="Y532" s="66"/>
      <c r="Z532" s="66"/>
      <c r="AA532" s="69"/>
      <c r="AD532" s="66"/>
      <c r="AE532" s="66"/>
      <c r="AF532" s="66"/>
      <c r="AG532" s="66"/>
      <c r="AH532" s="66"/>
      <c r="AI532" s="66"/>
      <c r="AJ532" s="69"/>
    </row>
    <row r="533">
      <c r="O533" s="66"/>
      <c r="P533" s="66"/>
      <c r="Q533" s="66"/>
      <c r="R533" s="67"/>
      <c r="S533" s="68"/>
      <c r="W533" s="66"/>
      <c r="X533" s="66"/>
      <c r="Y533" s="66"/>
      <c r="Z533" s="66"/>
      <c r="AA533" s="69"/>
      <c r="AD533" s="66"/>
      <c r="AE533" s="66"/>
      <c r="AF533" s="66"/>
      <c r="AG533" s="66"/>
      <c r="AH533" s="66"/>
      <c r="AI533" s="66"/>
      <c r="AJ533" s="69"/>
    </row>
    <row r="534">
      <c r="O534" s="66"/>
      <c r="P534" s="66"/>
      <c r="Q534" s="66"/>
      <c r="R534" s="67"/>
      <c r="S534" s="68"/>
      <c r="W534" s="66"/>
      <c r="X534" s="66"/>
      <c r="Y534" s="66"/>
      <c r="Z534" s="66"/>
      <c r="AA534" s="69"/>
      <c r="AD534" s="66"/>
      <c r="AE534" s="66"/>
      <c r="AF534" s="66"/>
      <c r="AG534" s="66"/>
      <c r="AH534" s="66"/>
      <c r="AI534" s="66"/>
      <c r="AJ534" s="69"/>
    </row>
    <row r="535">
      <c r="O535" s="66"/>
      <c r="P535" s="66"/>
      <c r="Q535" s="66"/>
      <c r="R535" s="67"/>
      <c r="S535" s="68"/>
      <c r="W535" s="66"/>
      <c r="X535" s="66"/>
      <c r="Y535" s="66"/>
      <c r="Z535" s="66"/>
      <c r="AA535" s="69"/>
      <c r="AD535" s="66"/>
      <c r="AE535" s="66"/>
      <c r="AF535" s="66"/>
      <c r="AG535" s="66"/>
      <c r="AH535" s="66"/>
      <c r="AI535" s="66"/>
      <c r="AJ535" s="69"/>
    </row>
    <row r="536">
      <c r="O536" s="66"/>
      <c r="P536" s="66"/>
      <c r="Q536" s="66"/>
      <c r="R536" s="67"/>
      <c r="S536" s="68"/>
      <c r="W536" s="66"/>
      <c r="X536" s="66"/>
      <c r="Y536" s="66"/>
      <c r="Z536" s="66"/>
      <c r="AA536" s="69"/>
      <c r="AD536" s="66"/>
      <c r="AE536" s="66"/>
      <c r="AF536" s="66"/>
      <c r="AG536" s="66"/>
      <c r="AH536" s="66"/>
      <c r="AI536" s="66"/>
      <c r="AJ536" s="69"/>
    </row>
    <row r="537">
      <c r="O537" s="66"/>
      <c r="P537" s="66"/>
      <c r="Q537" s="66"/>
      <c r="R537" s="67"/>
      <c r="S537" s="68"/>
      <c r="W537" s="66"/>
      <c r="X537" s="66"/>
      <c r="Y537" s="66"/>
      <c r="Z537" s="66"/>
      <c r="AA537" s="69"/>
      <c r="AD537" s="66"/>
      <c r="AE537" s="66"/>
      <c r="AF537" s="66"/>
      <c r="AG537" s="66"/>
      <c r="AH537" s="66"/>
      <c r="AI537" s="66"/>
      <c r="AJ537" s="69"/>
    </row>
    <row r="538">
      <c r="O538" s="66"/>
      <c r="P538" s="66"/>
      <c r="Q538" s="66"/>
      <c r="R538" s="67"/>
      <c r="S538" s="68"/>
      <c r="W538" s="66"/>
      <c r="X538" s="66"/>
      <c r="Y538" s="66"/>
      <c r="Z538" s="66"/>
      <c r="AA538" s="69"/>
      <c r="AD538" s="66"/>
      <c r="AE538" s="66"/>
      <c r="AF538" s="66"/>
      <c r="AG538" s="66"/>
      <c r="AH538" s="66"/>
      <c r="AI538" s="66"/>
      <c r="AJ538" s="69"/>
    </row>
    <row r="539">
      <c r="O539" s="66"/>
      <c r="P539" s="66"/>
      <c r="Q539" s="66"/>
      <c r="R539" s="67"/>
      <c r="S539" s="68"/>
      <c r="W539" s="66"/>
      <c r="X539" s="66"/>
      <c r="Y539" s="66"/>
      <c r="Z539" s="66"/>
      <c r="AA539" s="69"/>
      <c r="AD539" s="66"/>
      <c r="AE539" s="66"/>
      <c r="AF539" s="66"/>
      <c r="AG539" s="66"/>
      <c r="AH539" s="66"/>
      <c r="AI539" s="66"/>
      <c r="AJ539" s="69"/>
    </row>
    <row r="540">
      <c r="O540" s="66"/>
      <c r="P540" s="66"/>
      <c r="Q540" s="66"/>
      <c r="R540" s="67"/>
      <c r="S540" s="68"/>
      <c r="W540" s="66"/>
      <c r="X540" s="66"/>
      <c r="Y540" s="66"/>
      <c r="Z540" s="66"/>
      <c r="AA540" s="69"/>
      <c r="AD540" s="66"/>
      <c r="AE540" s="66"/>
      <c r="AF540" s="66"/>
      <c r="AG540" s="66"/>
      <c r="AH540" s="66"/>
      <c r="AI540" s="66"/>
      <c r="AJ540" s="69"/>
    </row>
    <row r="541">
      <c r="O541" s="66"/>
      <c r="P541" s="66"/>
      <c r="Q541" s="66"/>
      <c r="R541" s="67"/>
      <c r="S541" s="68"/>
      <c r="W541" s="66"/>
      <c r="X541" s="66"/>
      <c r="Y541" s="66"/>
      <c r="Z541" s="66"/>
      <c r="AA541" s="69"/>
      <c r="AD541" s="66"/>
      <c r="AE541" s="66"/>
      <c r="AF541" s="66"/>
      <c r="AG541" s="66"/>
      <c r="AH541" s="66"/>
      <c r="AI541" s="66"/>
      <c r="AJ541" s="69"/>
    </row>
    <row r="542">
      <c r="O542" s="66"/>
      <c r="P542" s="66"/>
      <c r="Q542" s="66"/>
      <c r="R542" s="67"/>
      <c r="S542" s="68"/>
      <c r="W542" s="66"/>
      <c r="X542" s="66"/>
      <c r="Y542" s="66"/>
      <c r="Z542" s="66"/>
      <c r="AA542" s="69"/>
      <c r="AD542" s="66"/>
      <c r="AE542" s="66"/>
      <c r="AF542" s="66"/>
      <c r="AG542" s="66"/>
      <c r="AH542" s="66"/>
      <c r="AI542" s="66"/>
      <c r="AJ542" s="69"/>
    </row>
    <row r="543">
      <c r="O543" s="66"/>
      <c r="P543" s="66"/>
      <c r="Q543" s="66"/>
      <c r="R543" s="67"/>
      <c r="S543" s="68"/>
      <c r="W543" s="66"/>
      <c r="X543" s="66"/>
      <c r="Y543" s="66"/>
      <c r="Z543" s="66"/>
      <c r="AA543" s="69"/>
      <c r="AD543" s="66"/>
      <c r="AE543" s="66"/>
      <c r="AF543" s="66"/>
      <c r="AG543" s="66"/>
      <c r="AH543" s="66"/>
      <c r="AI543" s="66"/>
      <c r="AJ543" s="69"/>
    </row>
    <row r="544">
      <c r="O544" s="66"/>
      <c r="P544" s="66"/>
      <c r="Q544" s="66"/>
      <c r="R544" s="67"/>
      <c r="S544" s="68"/>
      <c r="W544" s="66"/>
      <c r="X544" s="66"/>
      <c r="Y544" s="66"/>
      <c r="Z544" s="66"/>
      <c r="AA544" s="69"/>
      <c r="AD544" s="66"/>
      <c r="AE544" s="66"/>
      <c r="AF544" s="66"/>
      <c r="AG544" s="66"/>
      <c r="AH544" s="66"/>
      <c r="AI544" s="66"/>
      <c r="AJ544" s="69"/>
    </row>
    <row r="545">
      <c r="O545" s="66"/>
      <c r="P545" s="66"/>
      <c r="Q545" s="66"/>
      <c r="R545" s="67"/>
      <c r="S545" s="68"/>
      <c r="W545" s="66"/>
      <c r="X545" s="66"/>
      <c r="Y545" s="66"/>
      <c r="Z545" s="66"/>
      <c r="AA545" s="69"/>
      <c r="AD545" s="66"/>
      <c r="AE545" s="66"/>
      <c r="AF545" s="66"/>
      <c r="AG545" s="66"/>
      <c r="AH545" s="66"/>
      <c r="AI545" s="66"/>
      <c r="AJ545" s="69"/>
    </row>
    <row r="546">
      <c r="O546" s="66"/>
      <c r="P546" s="66"/>
      <c r="Q546" s="66"/>
      <c r="R546" s="67"/>
      <c r="S546" s="68"/>
      <c r="W546" s="66"/>
      <c r="X546" s="66"/>
      <c r="Y546" s="66"/>
      <c r="Z546" s="66"/>
      <c r="AA546" s="69"/>
      <c r="AD546" s="66"/>
      <c r="AE546" s="66"/>
      <c r="AF546" s="66"/>
      <c r="AG546" s="66"/>
      <c r="AH546" s="66"/>
      <c r="AI546" s="66"/>
      <c r="AJ546" s="69"/>
    </row>
    <row r="547">
      <c r="O547" s="66"/>
      <c r="P547" s="66"/>
      <c r="Q547" s="66"/>
      <c r="R547" s="67"/>
      <c r="S547" s="68"/>
      <c r="W547" s="66"/>
      <c r="X547" s="66"/>
      <c r="Y547" s="66"/>
      <c r="Z547" s="66"/>
      <c r="AA547" s="69"/>
      <c r="AD547" s="66"/>
      <c r="AE547" s="66"/>
      <c r="AF547" s="66"/>
      <c r="AG547" s="66"/>
      <c r="AH547" s="66"/>
      <c r="AI547" s="66"/>
      <c r="AJ547" s="69"/>
    </row>
    <row r="548">
      <c r="O548" s="66"/>
      <c r="P548" s="66"/>
      <c r="Q548" s="66"/>
      <c r="R548" s="67"/>
      <c r="S548" s="68"/>
      <c r="W548" s="66"/>
      <c r="X548" s="66"/>
      <c r="Y548" s="66"/>
      <c r="Z548" s="66"/>
      <c r="AA548" s="69"/>
      <c r="AD548" s="66"/>
      <c r="AE548" s="66"/>
      <c r="AF548" s="66"/>
      <c r="AG548" s="66"/>
      <c r="AH548" s="66"/>
      <c r="AI548" s="66"/>
      <c r="AJ548" s="69"/>
    </row>
    <row r="549">
      <c r="O549" s="66"/>
      <c r="P549" s="66"/>
      <c r="Q549" s="66"/>
      <c r="R549" s="67"/>
      <c r="S549" s="68"/>
      <c r="W549" s="66"/>
      <c r="X549" s="66"/>
      <c r="Y549" s="66"/>
      <c r="Z549" s="66"/>
      <c r="AA549" s="69"/>
      <c r="AD549" s="66"/>
      <c r="AE549" s="66"/>
      <c r="AF549" s="66"/>
      <c r="AG549" s="66"/>
      <c r="AH549" s="66"/>
      <c r="AI549" s="66"/>
      <c r="AJ549" s="69"/>
    </row>
    <row r="550">
      <c r="O550" s="66"/>
      <c r="P550" s="66"/>
      <c r="Q550" s="66"/>
      <c r="R550" s="67"/>
      <c r="S550" s="68"/>
      <c r="W550" s="66"/>
      <c r="X550" s="66"/>
      <c r="Y550" s="66"/>
      <c r="Z550" s="66"/>
      <c r="AA550" s="69"/>
      <c r="AD550" s="66"/>
      <c r="AE550" s="66"/>
      <c r="AF550" s="66"/>
      <c r="AG550" s="66"/>
      <c r="AH550" s="66"/>
      <c r="AI550" s="66"/>
      <c r="AJ550" s="69"/>
    </row>
    <row r="551">
      <c r="O551" s="66"/>
      <c r="P551" s="66"/>
      <c r="Q551" s="66"/>
      <c r="R551" s="67"/>
      <c r="S551" s="68"/>
      <c r="W551" s="66"/>
      <c r="X551" s="66"/>
      <c r="Y551" s="66"/>
      <c r="Z551" s="66"/>
      <c r="AA551" s="69"/>
      <c r="AD551" s="66"/>
      <c r="AE551" s="66"/>
      <c r="AF551" s="66"/>
      <c r="AG551" s="66"/>
      <c r="AH551" s="66"/>
      <c r="AI551" s="66"/>
      <c r="AJ551" s="69"/>
    </row>
    <row r="552">
      <c r="O552" s="66"/>
      <c r="P552" s="66"/>
      <c r="Q552" s="66"/>
      <c r="R552" s="67"/>
      <c r="S552" s="68"/>
      <c r="W552" s="66"/>
      <c r="X552" s="66"/>
      <c r="Y552" s="66"/>
      <c r="Z552" s="66"/>
      <c r="AA552" s="69"/>
      <c r="AD552" s="66"/>
      <c r="AE552" s="66"/>
      <c r="AF552" s="66"/>
      <c r="AG552" s="66"/>
      <c r="AH552" s="66"/>
      <c r="AI552" s="66"/>
      <c r="AJ552" s="69"/>
    </row>
    <row r="553">
      <c r="O553" s="66"/>
      <c r="P553" s="66"/>
      <c r="Q553" s="66"/>
      <c r="R553" s="67"/>
      <c r="S553" s="68"/>
      <c r="W553" s="66"/>
      <c r="X553" s="66"/>
      <c r="Y553" s="66"/>
      <c r="Z553" s="66"/>
      <c r="AA553" s="69"/>
      <c r="AD553" s="66"/>
      <c r="AE553" s="66"/>
      <c r="AF553" s="66"/>
      <c r="AG553" s="66"/>
      <c r="AH553" s="66"/>
      <c r="AI553" s="66"/>
      <c r="AJ553" s="69"/>
    </row>
    <row r="554">
      <c r="O554" s="66"/>
      <c r="P554" s="66"/>
      <c r="Q554" s="66"/>
      <c r="R554" s="67"/>
      <c r="S554" s="68"/>
      <c r="W554" s="66"/>
      <c r="X554" s="66"/>
      <c r="Y554" s="66"/>
      <c r="Z554" s="66"/>
      <c r="AA554" s="69"/>
      <c r="AD554" s="66"/>
      <c r="AE554" s="66"/>
      <c r="AF554" s="66"/>
      <c r="AG554" s="66"/>
      <c r="AH554" s="66"/>
      <c r="AI554" s="66"/>
      <c r="AJ554" s="69"/>
    </row>
    <row r="555">
      <c r="O555" s="66"/>
      <c r="P555" s="66"/>
      <c r="Q555" s="66"/>
      <c r="R555" s="67"/>
      <c r="S555" s="68"/>
      <c r="W555" s="66"/>
      <c r="X555" s="66"/>
      <c r="Y555" s="66"/>
      <c r="Z555" s="66"/>
      <c r="AA555" s="69"/>
      <c r="AD555" s="66"/>
      <c r="AE555" s="66"/>
      <c r="AF555" s="66"/>
      <c r="AG555" s="66"/>
      <c r="AH555" s="66"/>
      <c r="AI555" s="66"/>
      <c r="AJ555" s="69"/>
    </row>
    <row r="556">
      <c r="O556" s="66"/>
      <c r="P556" s="66"/>
      <c r="Q556" s="66"/>
      <c r="R556" s="67"/>
      <c r="S556" s="68"/>
      <c r="W556" s="66"/>
      <c r="X556" s="66"/>
      <c r="Y556" s="66"/>
      <c r="Z556" s="66"/>
      <c r="AA556" s="69"/>
      <c r="AD556" s="66"/>
      <c r="AE556" s="66"/>
      <c r="AF556" s="66"/>
      <c r="AG556" s="66"/>
      <c r="AH556" s="66"/>
      <c r="AI556" s="66"/>
      <c r="AJ556" s="69"/>
    </row>
    <row r="557">
      <c r="O557" s="66"/>
      <c r="P557" s="66"/>
      <c r="Q557" s="66"/>
      <c r="R557" s="67"/>
      <c r="S557" s="68"/>
      <c r="W557" s="66"/>
      <c r="X557" s="66"/>
      <c r="Y557" s="66"/>
      <c r="Z557" s="66"/>
      <c r="AA557" s="69"/>
      <c r="AD557" s="66"/>
      <c r="AE557" s="66"/>
      <c r="AF557" s="66"/>
      <c r="AG557" s="66"/>
      <c r="AH557" s="66"/>
      <c r="AI557" s="66"/>
      <c r="AJ557" s="69"/>
    </row>
    <row r="558">
      <c r="O558" s="66"/>
      <c r="P558" s="66"/>
      <c r="Q558" s="66"/>
      <c r="R558" s="67"/>
      <c r="S558" s="68"/>
      <c r="W558" s="66"/>
      <c r="X558" s="66"/>
      <c r="Y558" s="66"/>
      <c r="Z558" s="66"/>
      <c r="AA558" s="69"/>
      <c r="AD558" s="66"/>
      <c r="AE558" s="66"/>
      <c r="AF558" s="66"/>
      <c r="AG558" s="66"/>
      <c r="AH558" s="66"/>
      <c r="AI558" s="66"/>
      <c r="AJ558" s="69"/>
    </row>
    <row r="559">
      <c r="O559" s="66"/>
      <c r="P559" s="66"/>
      <c r="Q559" s="66"/>
      <c r="R559" s="67"/>
      <c r="S559" s="68"/>
      <c r="W559" s="66"/>
      <c r="X559" s="66"/>
      <c r="Y559" s="66"/>
      <c r="Z559" s="66"/>
      <c r="AA559" s="69"/>
      <c r="AD559" s="66"/>
      <c r="AE559" s="66"/>
      <c r="AF559" s="66"/>
      <c r="AG559" s="66"/>
      <c r="AH559" s="66"/>
      <c r="AI559" s="66"/>
      <c r="AJ559" s="69"/>
    </row>
    <row r="560">
      <c r="O560" s="66"/>
      <c r="P560" s="66"/>
      <c r="Q560" s="66"/>
      <c r="R560" s="67"/>
      <c r="S560" s="68"/>
      <c r="W560" s="66"/>
      <c r="X560" s="66"/>
      <c r="Y560" s="66"/>
      <c r="Z560" s="66"/>
      <c r="AA560" s="69"/>
      <c r="AD560" s="66"/>
      <c r="AE560" s="66"/>
      <c r="AF560" s="66"/>
      <c r="AG560" s="66"/>
      <c r="AH560" s="66"/>
      <c r="AI560" s="66"/>
      <c r="AJ560" s="69"/>
    </row>
    <row r="561">
      <c r="O561" s="66"/>
      <c r="P561" s="66"/>
      <c r="Q561" s="66"/>
      <c r="R561" s="67"/>
      <c r="S561" s="68"/>
      <c r="W561" s="66"/>
      <c r="X561" s="66"/>
      <c r="Y561" s="66"/>
      <c r="Z561" s="66"/>
      <c r="AA561" s="69"/>
      <c r="AD561" s="66"/>
      <c r="AE561" s="66"/>
      <c r="AF561" s="66"/>
      <c r="AG561" s="66"/>
      <c r="AH561" s="66"/>
      <c r="AI561" s="66"/>
      <c r="AJ561" s="69"/>
    </row>
    <row r="562">
      <c r="O562" s="66"/>
      <c r="P562" s="66"/>
      <c r="Q562" s="66"/>
      <c r="R562" s="67"/>
      <c r="S562" s="68"/>
      <c r="W562" s="66"/>
      <c r="X562" s="66"/>
      <c r="Y562" s="66"/>
      <c r="Z562" s="66"/>
      <c r="AA562" s="69"/>
      <c r="AD562" s="66"/>
      <c r="AE562" s="66"/>
      <c r="AF562" s="66"/>
      <c r="AG562" s="66"/>
      <c r="AH562" s="66"/>
      <c r="AI562" s="66"/>
      <c r="AJ562" s="69"/>
    </row>
    <row r="563">
      <c r="O563" s="66"/>
      <c r="P563" s="66"/>
      <c r="Q563" s="66"/>
      <c r="R563" s="67"/>
      <c r="S563" s="68"/>
      <c r="W563" s="66"/>
      <c r="X563" s="66"/>
      <c r="Y563" s="66"/>
      <c r="Z563" s="66"/>
      <c r="AA563" s="69"/>
      <c r="AD563" s="66"/>
      <c r="AE563" s="66"/>
      <c r="AF563" s="66"/>
      <c r="AG563" s="66"/>
      <c r="AH563" s="66"/>
      <c r="AI563" s="66"/>
      <c r="AJ563" s="69"/>
    </row>
    <row r="564">
      <c r="O564" s="66"/>
      <c r="P564" s="66"/>
      <c r="Q564" s="66"/>
      <c r="R564" s="67"/>
      <c r="S564" s="68"/>
      <c r="W564" s="66"/>
      <c r="X564" s="66"/>
      <c r="Y564" s="66"/>
      <c r="Z564" s="66"/>
      <c r="AA564" s="69"/>
      <c r="AD564" s="66"/>
      <c r="AE564" s="66"/>
      <c r="AF564" s="66"/>
      <c r="AG564" s="66"/>
      <c r="AH564" s="66"/>
      <c r="AI564" s="66"/>
      <c r="AJ564" s="69"/>
    </row>
    <row r="565">
      <c r="O565" s="66"/>
      <c r="P565" s="66"/>
      <c r="Q565" s="66"/>
      <c r="R565" s="67"/>
      <c r="S565" s="68"/>
      <c r="W565" s="66"/>
      <c r="X565" s="66"/>
      <c r="Y565" s="66"/>
      <c r="Z565" s="66"/>
      <c r="AA565" s="69"/>
      <c r="AD565" s="66"/>
      <c r="AE565" s="66"/>
      <c r="AF565" s="66"/>
      <c r="AG565" s="66"/>
      <c r="AH565" s="66"/>
      <c r="AI565" s="66"/>
      <c r="AJ565" s="69"/>
    </row>
    <row r="566">
      <c r="O566" s="66"/>
      <c r="P566" s="66"/>
      <c r="Q566" s="66"/>
      <c r="R566" s="67"/>
      <c r="S566" s="68"/>
      <c r="W566" s="66"/>
      <c r="X566" s="66"/>
      <c r="Y566" s="66"/>
      <c r="Z566" s="66"/>
      <c r="AA566" s="69"/>
      <c r="AD566" s="66"/>
      <c r="AE566" s="66"/>
      <c r="AF566" s="66"/>
      <c r="AG566" s="66"/>
      <c r="AH566" s="66"/>
      <c r="AI566" s="66"/>
      <c r="AJ566" s="69"/>
    </row>
    <row r="567">
      <c r="O567" s="66"/>
      <c r="P567" s="66"/>
      <c r="Q567" s="66"/>
      <c r="R567" s="67"/>
      <c r="S567" s="68"/>
      <c r="W567" s="66"/>
      <c r="X567" s="66"/>
      <c r="Y567" s="66"/>
      <c r="Z567" s="66"/>
      <c r="AA567" s="69"/>
      <c r="AD567" s="66"/>
      <c r="AE567" s="66"/>
      <c r="AF567" s="66"/>
      <c r="AG567" s="66"/>
      <c r="AH567" s="66"/>
      <c r="AI567" s="66"/>
      <c r="AJ567" s="69"/>
    </row>
    <row r="568">
      <c r="O568" s="66"/>
      <c r="P568" s="66"/>
      <c r="Q568" s="66"/>
      <c r="R568" s="67"/>
      <c r="S568" s="68"/>
      <c r="W568" s="66"/>
      <c r="X568" s="66"/>
      <c r="Y568" s="66"/>
      <c r="Z568" s="66"/>
      <c r="AA568" s="69"/>
      <c r="AD568" s="66"/>
      <c r="AE568" s="66"/>
      <c r="AF568" s="66"/>
      <c r="AG568" s="66"/>
      <c r="AH568" s="66"/>
      <c r="AI568" s="66"/>
      <c r="AJ568" s="69"/>
    </row>
    <row r="569">
      <c r="O569" s="66"/>
      <c r="P569" s="66"/>
      <c r="Q569" s="66"/>
      <c r="R569" s="67"/>
      <c r="S569" s="68"/>
      <c r="W569" s="66"/>
      <c r="X569" s="66"/>
      <c r="Y569" s="66"/>
      <c r="Z569" s="66"/>
      <c r="AA569" s="69"/>
      <c r="AD569" s="66"/>
      <c r="AE569" s="66"/>
      <c r="AF569" s="66"/>
      <c r="AG569" s="66"/>
      <c r="AH569" s="66"/>
      <c r="AI569" s="66"/>
      <c r="AJ569" s="69"/>
    </row>
    <row r="570">
      <c r="O570" s="66"/>
      <c r="P570" s="66"/>
      <c r="Q570" s="66"/>
      <c r="R570" s="67"/>
      <c r="S570" s="68"/>
      <c r="W570" s="66"/>
      <c r="X570" s="66"/>
      <c r="Y570" s="66"/>
      <c r="Z570" s="66"/>
      <c r="AA570" s="69"/>
      <c r="AD570" s="66"/>
      <c r="AE570" s="66"/>
      <c r="AF570" s="66"/>
      <c r="AG570" s="66"/>
      <c r="AH570" s="66"/>
      <c r="AI570" s="66"/>
      <c r="AJ570" s="69"/>
    </row>
    <row r="571">
      <c r="O571" s="66"/>
      <c r="P571" s="66"/>
      <c r="Q571" s="66"/>
      <c r="R571" s="67"/>
      <c r="S571" s="68"/>
      <c r="W571" s="66"/>
      <c r="X571" s="66"/>
      <c r="Y571" s="66"/>
      <c r="Z571" s="66"/>
      <c r="AA571" s="69"/>
      <c r="AD571" s="66"/>
      <c r="AE571" s="66"/>
      <c r="AF571" s="66"/>
      <c r="AG571" s="66"/>
      <c r="AH571" s="66"/>
      <c r="AI571" s="66"/>
      <c r="AJ571" s="69"/>
    </row>
    <row r="572">
      <c r="O572" s="66"/>
      <c r="P572" s="66"/>
      <c r="Q572" s="66"/>
      <c r="R572" s="67"/>
      <c r="S572" s="68"/>
      <c r="W572" s="66"/>
      <c r="X572" s="66"/>
      <c r="Y572" s="66"/>
      <c r="Z572" s="66"/>
      <c r="AA572" s="69"/>
      <c r="AD572" s="66"/>
      <c r="AE572" s="66"/>
      <c r="AF572" s="66"/>
      <c r="AG572" s="66"/>
      <c r="AH572" s="66"/>
      <c r="AI572" s="66"/>
      <c r="AJ572" s="69"/>
    </row>
    <row r="573">
      <c r="O573" s="66"/>
      <c r="P573" s="66"/>
      <c r="Q573" s="66"/>
      <c r="R573" s="67"/>
      <c r="S573" s="68"/>
      <c r="W573" s="66"/>
      <c r="X573" s="66"/>
      <c r="Y573" s="66"/>
      <c r="Z573" s="66"/>
      <c r="AA573" s="69"/>
      <c r="AD573" s="66"/>
      <c r="AE573" s="66"/>
      <c r="AF573" s="66"/>
      <c r="AG573" s="66"/>
      <c r="AH573" s="66"/>
      <c r="AI573" s="66"/>
      <c r="AJ573" s="69"/>
    </row>
    <row r="574">
      <c r="O574" s="66"/>
      <c r="P574" s="66"/>
      <c r="Q574" s="66"/>
      <c r="R574" s="67"/>
      <c r="S574" s="68"/>
      <c r="W574" s="66"/>
      <c r="X574" s="66"/>
      <c r="Y574" s="66"/>
      <c r="Z574" s="66"/>
      <c r="AA574" s="69"/>
      <c r="AD574" s="66"/>
      <c r="AE574" s="66"/>
      <c r="AF574" s="66"/>
      <c r="AG574" s="66"/>
      <c r="AH574" s="66"/>
      <c r="AI574" s="66"/>
      <c r="AJ574" s="69"/>
    </row>
    <row r="575">
      <c r="O575" s="66"/>
      <c r="P575" s="66"/>
      <c r="Q575" s="66"/>
      <c r="R575" s="67"/>
      <c r="S575" s="68"/>
      <c r="W575" s="66"/>
      <c r="X575" s="66"/>
      <c r="Y575" s="66"/>
      <c r="Z575" s="66"/>
      <c r="AA575" s="69"/>
      <c r="AD575" s="66"/>
      <c r="AE575" s="66"/>
      <c r="AF575" s="66"/>
      <c r="AG575" s="66"/>
      <c r="AH575" s="66"/>
      <c r="AI575" s="66"/>
      <c r="AJ575" s="69"/>
    </row>
    <row r="576">
      <c r="O576" s="66"/>
      <c r="P576" s="66"/>
      <c r="Q576" s="66"/>
      <c r="R576" s="67"/>
      <c r="S576" s="68"/>
      <c r="W576" s="66"/>
      <c r="X576" s="66"/>
      <c r="Y576" s="66"/>
      <c r="Z576" s="66"/>
      <c r="AA576" s="69"/>
      <c r="AD576" s="66"/>
      <c r="AE576" s="66"/>
      <c r="AF576" s="66"/>
      <c r="AG576" s="66"/>
      <c r="AH576" s="66"/>
      <c r="AI576" s="66"/>
      <c r="AJ576" s="69"/>
    </row>
    <row r="577">
      <c r="O577" s="66"/>
      <c r="P577" s="66"/>
      <c r="Q577" s="66"/>
      <c r="R577" s="67"/>
      <c r="S577" s="68"/>
      <c r="W577" s="66"/>
      <c r="X577" s="66"/>
      <c r="Y577" s="66"/>
      <c r="Z577" s="66"/>
      <c r="AA577" s="69"/>
      <c r="AD577" s="66"/>
      <c r="AE577" s="66"/>
      <c r="AF577" s="66"/>
      <c r="AG577" s="66"/>
      <c r="AH577" s="66"/>
      <c r="AI577" s="66"/>
      <c r="AJ577" s="69"/>
    </row>
    <row r="578">
      <c r="O578" s="66"/>
      <c r="P578" s="66"/>
      <c r="Q578" s="66"/>
      <c r="R578" s="67"/>
      <c r="S578" s="68"/>
      <c r="W578" s="66"/>
      <c r="X578" s="66"/>
      <c r="Y578" s="66"/>
      <c r="Z578" s="66"/>
      <c r="AA578" s="69"/>
      <c r="AD578" s="66"/>
      <c r="AE578" s="66"/>
      <c r="AF578" s="66"/>
      <c r="AG578" s="66"/>
      <c r="AH578" s="66"/>
      <c r="AI578" s="66"/>
      <c r="AJ578" s="69"/>
    </row>
    <row r="579">
      <c r="O579" s="66"/>
      <c r="P579" s="66"/>
      <c r="Q579" s="66"/>
      <c r="R579" s="67"/>
      <c r="S579" s="68"/>
      <c r="W579" s="66"/>
      <c r="X579" s="66"/>
      <c r="Y579" s="66"/>
      <c r="Z579" s="66"/>
      <c r="AA579" s="69"/>
      <c r="AD579" s="66"/>
      <c r="AE579" s="66"/>
      <c r="AF579" s="66"/>
      <c r="AG579" s="66"/>
      <c r="AH579" s="66"/>
      <c r="AI579" s="66"/>
      <c r="AJ579" s="69"/>
    </row>
    <row r="580">
      <c r="O580" s="66"/>
      <c r="P580" s="66"/>
      <c r="Q580" s="66"/>
      <c r="R580" s="67"/>
      <c r="S580" s="68"/>
      <c r="W580" s="66"/>
      <c r="X580" s="66"/>
      <c r="Y580" s="66"/>
      <c r="Z580" s="66"/>
      <c r="AA580" s="69"/>
      <c r="AD580" s="66"/>
      <c r="AE580" s="66"/>
      <c r="AF580" s="66"/>
      <c r="AG580" s="66"/>
      <c r="AH580" s="66"/>
      <c r="AI580" s="66"/>
      <c r="AJ580" s="69"/>
    </row>
    <row r="581">
      <c r="O581" s="66"/>
      <c r="P581" s="66"/>
      <c r="Q581" s="66"/>
      <c r="R581" s="67"/>
      <c r="S581" s="68"/>
      <c r="W581" s="66"/>
      <c r="X581" s="66"/>
      <c r="Y581" s="66"/>
      <c r="Z581" s="66"/>
      <c r="AA581" s="69"/>
      <c r="AD581" s="66"/>
      <c r="AE581" s="66"/>
      <c r="AF581" s="66"/>
      <c r="AG581" s="66"/>
      <c r="AH581" s="66"/>
      <c r="AI581" s="66"/>
      <c r="AJ581" s="69"/>
    </row>
    <row r="582">
      <c r="O582" s="66"/>
      <c r="P582" s="66"/>
      <c r="Q582" s="66"/>
      <c r="R582" s="67"/>
      <c r="S582" s="68"/>
      <c r="W582" s="66"/>
      <c r="X582" s="66"/>
      <c r="Y582" s="66"/>
      <c r="Z582" s="66"/>
      <c r="AA582" s="69"/>
      <c r="AD582" s="66"/>
      <c r="AE582" s="66"/>
      <c r="AF582" s="66"/>
      <c r="AG582" s="66"/>
      <c r="AH582" s="66"/>
      <c r="AI582" s="66"/>
      <c r="AJ582" s="69"/>
    </row>
    <row r="583">
      <c r="O583" s="66"/>
      <c r="P583" s="66"/>
      <c r="Q583" s="66"/>
      <c r="R583" s="67"/>
      <c r="S583" s="68"/>
      <c r="W583" s="66"/>
      <c r="X583" s="66"/>
      <c r="Y583" s="66"/>
      <c r="Z583" s="66"/>
      <c r="AA583" s="69"/>
      <c r="AD583" s="66"/>
      <c r="AE583" s="66"/>
      <c r="AF583" s="66"/>
      <c r="AG583" s="66"/>
      <c r="AH583" s="66"/>
      <c r="AI583" s="66"/>
      <c r="AJ583" s="69"/>
    </row>
    <row r="584">
      <c r="O584" s="66"/>
      <c r="P584" s="66"/>
      <c r="Q584" s="66"/>
      <c r="R584" s="67"/>
      <c r="S584" s="68"/>
      <c r="W584" s="66"/>
      <c r="X584" s="66"/>
      <c r="Y584" s="66"/>
      <c r="Z584" s="66"/>
      <c r="AA584" s="69"/>
      <c r="AD584" s="66"/>
      <c r="AE584" s="66"/>
      <c r="AF584" s="66"/>
      <c r="AG584" s="66"/>
      <c r="AH584" s="66"/>
      <c r="AI584" s="66"/>
      <c r="AJ584" s="69"/>
    </row>
    <row r="585">
      <c r="O585" s="66"/>
      <c r="P585" s="66"/>
      <c r="Q585" s="66"/>
      <c r="R585" s="67"/>
      <c r="S585" s="68"/>
      <c r="W585" s="66"/>
      <c r="X585" s="66"/>
      <c r="Y585" s="66"/>
      <c r="Z585" s="66"/>
      <c r="AA585" s="69"/>
      <c r="AD585" s="66"/>
      <c r="AE585" s="66"/>
      <c r="AF585" s="66"/>
      <c r="AG585" s="66"/>
      <c r="AH585" s="66"/>
      <c r="AI585" s="66"/>
      <c r="AJ585" s="69"/>
    </row>
    <row r="586">
      <c r="O586" s="66"/>
      <c r="P586" s="66"/>
      <c r="Q586" s="66"/>
      <c r="R586" s="67"/>
      <c r="S586" s="68"/>
      <c r="W586" s="66"/>
      <c r="X586" s="66"/>
      <c r="Y586" s="66"/>
      <c r="Z586" s="66"/>
      <c r="AA586" s="69"/>
      <c r="AD586" s="66"/>
      <c r="AE586" s="66"/>
      <c r="AF586" s="66"/>
      <c r="AG586" s="66"/>
      <c r="AH586" s="66"/>
      <c r="AI586" s="66"/>
      <c r="AJ586" s="69"/>
    </row>
    <row r="587">
      <c r="O587" s="66"/>
      <c r="P587" s="66"/>
      <c r="Q587" s="66"/>
      <c r="R587" s="67"/>
      <c r="S587" s="68"/>
      <c r="W587" s="66"/>
      <c r="X587" s="66"/>
      <c r="Y587" s="66"/>
      <c r="Z587" s="66"/>
      <c r="AA587" s="69"/>
      <c r="AD587" s="66"/>
      <c r="AE587" s="66"/>
      <c r="AF587" s="66"/>
      <c r="AG587" s="66"/>
      <c r="AH587" s="66"/>
      <c r="AI587" s="66"/>
      <c r="AJ587" s="69"/>
    </row>
    <row r="588">
      <c r="O588" s="66"/>
      <c r="P588" s="66"/>
      <c r="Q588" s="66"/>
      <c r="R588" s="67"/>
      <c r="S588" s="68"/>
      <c r="W588" s="66"/>
      <c r="X588" s="66"/>
      <c r="Y588" s="66"/>
      <c r="Z588" s="66"/>
      <c r="AA588" s="69"/>
      <c r="AD588" s="66"/>
      <c r="AE588" s="66"/>
      <c r="AF588" s="66"/>
      <c r="AG588" s="66"/>
      <c r="AH588" s="66"/>
      <c r="AI588" s="66"/>
      <c r="AJ588" s="69"/>
    </row>
    <row r="589">
      <c r="O589" s="66"/>
      <c r="P589" s="66"/>
      <c r="Q589" s="66"/>
      <c r="R589" s="67"/>
      <c r="S589" s="68"/>
      <c r="W589" s="66"/>
      <c r="X589" s="66"/>
      <c r="Y589" s="66"/>
      <c r="Z589" s="66"/>
      <c r="AA589" s="69"/>
      <c r="AD589" s="66"/>
      <c r="AE589" s="66"/>
      <c r="AF589" s="66"/>
      <c r="AG589" s="66"/>
      <c r="AH589" s="66"/>
      <c r="AI589" s="66"/>
      <c r="AJ589" s="69"/>
    </row>
    <row r="590">
      <c r="O590" s="66"/>
      <c r="P590" s="66"/>
      <c r="Q590" s="66"/>
      <c r="R590" s="67"/>
      <c r="S590" s="68"/>
      <c r="W590" s="66"/>
      <c r="X590" s="66"/>
      <c r="Y590" s="66"/>
      <c r="Z590" s="66"/>
      <c r="AA590" s="69"/>
      <c r="AD590" s="66"/>
      <c r="AE590" s="66"/>
      <c r="AF590" s="66"/>
      <c r="AG590" s="66"/>
      <c r="AH590" s="66"/>
      <c r="AI590" s="66"/>
      <c r="AJ590" s="69"/>
    </row>
    <row r="591">
      <c r="O591" s="66"/>
      <c r="P591" s="66"/>
      <c r="Q591" s="66"/>
      <c r="R591" s="67"/>
      <c r="S591" s="68"/>
      <c r="W591" s="66"/>
      <c r="X591" s="66"/>
      <c r="Y591" s="66"/>
      <c r="Z591" s="66"/>
      <c r="AA591" s="69"/>
      <c r="AD591" s="66"/>
      <c r="AE591" s="66"/>
      <c r="AF591" s="66"/>
      <c r="AG591" s="66"/>
      <c r="AH591" s="66"/>
      <c r="AI591" s="66"/>
      <c r="AJ591" s="69"/>
    </row>
    <row r="592">
      <c r="O592" s="66"/>
      <c r="P592" s="66"/>
      <c r="Q592" s="66"/>
      <c r="R592" s="67"/>
      <c r="S592" s="68"/>
      <c r="W592" s="66"/>
      <c r="X592" s="66"/>
      <c r="Y592" s="66"/>
      <c r="Z592" s="66"/>
      <c r="AA592" s="69"/>
      <c r="AD592" s="66"/>
      <c r="AE592" s="66"/>
      <c r="AF592" s="66"/>
      <c r="AG592" s="66"/>
      <c r="AH592" s="66"/>
      <c r="AI592" s="66"/>
      <c r="AJ592" s="69"/>
    </row>
    <row r="593">
      <c r="O593" s="66"/>
      <c r="P593" s="66"/>
      <c r="Q593" s="66"/>
      <c r="R593" s="67"/>
      <c r="S593" s="68"/>
      <c r="W593" s="66"/>
      <c r="X593" s="66"/>
      <c r="Y593" s="66"/>
      <c r="Z593" s="66"/>
      <c r="AA593" s="69"/>
      <c r="AD593" s="66"/>
      <c r="AE593" s="66"/>
      <c r="AF593" s="66"/>
      <c r="AG593" s="66"/>
      <c r="AH593" s="66"/>
      <c r="AI593" s="66"/>
      <c r="AJ593" s="69"/>
    </row>
    <row r="594">
      <c r="O594" s="66"/>
      <c r="P594" s="66"/>
      <c r="Q594" s="66"/>
      <c r="R594" s="67"/>
      <c r="S594" s="68"/>
      <c r="W594" s="66"/>
      <c r="X594" s="66"/>
      <c r="Y594" s="66"/>
      <c r="Z594" s="66"/>
      <c r="AA594" s="69"/>
      <c r="AD594" s="66"/>
      <c r="AE594" s="66"/>
      <c r="AF594" s="66"/>
      <c r="AG594" s="66"/>
      <c r="AH594" s="66"/>
      <c r="AI594" s="66"/>
      <c r="AJ594" s="69"/>
    </row>
    <row r="595">
      <c r="O595" s="66"/>
      <c r="P595" s="66"/>
      <c r="Q595" s="66"/>
      <c r="R595" s="67"/>
      <c r="S595" s="68"/>
      <c r="W595" s="66"/>
      <c r="X595" s="66"/>
      <c r="Y595" s="66"/>
      <c r="Z595" s="66"/>
      <c r="AA595" s="69"/>
      <c r="AD595" s="66"/>
      <c r="AE595" s="66"/>
      <c r="AF595" s="66"/>
      <c r="AG595" s="66"/>
      <c r="AH595" s="66"/>
      <c r="AI595" s="66"/>
      <c r="AJ595" s="69"/>
    </row>
    <row r="596">
      <c r="O596" s="66"/>
      <c r="P596" s="66"/>
      <c r="Q596" s="66"/>
      <c r="R596" s="67"/>
      <c r="S596" s="68"/>
      <c r="W596" s="66"/>
      <c r="X596" s="66"/>
      <c r="Y596" s="66"/>
      <c r="Z596" s="66"/>
      <c r="AA596" s="69"/>
      <c r="AD596" s="66"/>
      <c r="AE596" s="66"/>
      <c r="AF596" s="66"/>
      <c r="AG596" s="66"/>
      <c r="AH596" s="66"/>
      <c r="AI596" s="66"/>
      <c r="AJ596" s="69"/>
    </row>
    <row r="597">
      <c r="O597" s="66"/>
      <c r="P597" s="66"/>
      <c r="Q597" s="66"/>
      <c r="R597" s="67"/>
      <c r="S597" s="68"/>
      <c r="W597" s="66"/>
      <c r="X597" s="66"/>
      <c r="Y597" s="66"/>
      <c r="Z597" s="66"/>
      <c r="AA597" s="69"/>
      <c r="AD597" s="66"/>
      <c r="AE597" s="66"/>
      <c r="AF597" s="66"/>
      <c r="AG597" s="66"/>
      <c r="AH597" s="66"/>
      <c r="AI597" s="66"/>
      <c r="AJ597" s="69"/>
    </row>
    <row r="598">
      <c r="O598" s="66"/>
      <c r="P598" s="66"/>
      <c r="Q598" s="66"/>
      <c r="R598" s="67"/>
      <c r="S598" s="68"/>
      <c r="W598" s="66"/>
      <c r="X598" s="66"/>
      <c r="Y598" s="66"/>
      <c r="Z598" s="66"/>
      <c r="AA598" s="69"/>
      <c r="AD598" s="66"/>
      <c r="AE598" s="66"/>
      <c r="AF598" s="66"/>
      <c r="AG598" s="66"/>
      <c r="AH598" s="66"/>
      <c r="AI598" s="66"/>
      <c r="AJ598" s="69"/>
    </row>
    <row r="599">
      <c r="O599" s="66"/>
      <c r="P599" s="66"/>
      <c r="Q599" s="66"/>
      <c r="R599" s="67"/>
      <c r="S599" s="68"/>
      <c r="W599" s="66"/>
      <c r="X599" s="66"/>
      <c r="Y599" s="66"/>
      <c r="Z599" s="66"/>
      <c r="AA599" s="69"/>
      <c r="AD599" s="66"/>
      <c r="AE599" s="66"/>
      <c r="AF599" s="66"/>
      <c r="AG599" s="66"/>
      <c r="AH599" s="66"/>
      <c r="AI599" s="66"/>
      <c r="AJ599" s="69"/>
    </row>
    <row r="600">
      <c r="O600" s="66"/>
      <c r="P600" s="66"/>
      <c r="Q600" s="66"/>
      <c r="R600" s="67"/>
      <c r="S600" s="68"/>
      <c r="W600" s="66"/>
      <c r="X600" s="66"/>
      <c r="Y600" s="66"/>
      <c r="Z600" s="66"/>
      <c r="AA600" s="69"/>
      <c r="AD600" s="66"/>
      <c r="AE600" s="66"/>
      <c r="AF600" s="66"/>
      <c r="AG600" s="66"/>
      <c r="AH600" s="66"/>
      <c r="AI600" s="66"/>
      <c r="AJ600" s="69"/>
    </row>
    <row r="601">
      <c r="O601" s="66"/>
      <c r="P601" s="66"/>
      <c r="Q601" s="66"/>
      <c r="R601" s="67"/>
      <c r="S601" s="68"/>
      <c r="W601" s="66"/>
      <c r="X601" s="66"/>
      <c r="Y601" s="66"/>
      <c r="Z601" s="66"/>
      <c r="AA601" s="69"/>
      <c r="AD601" s="66"/>
      <c r="AE601" s="66"/>
      <c r="AF601" s="66"/>
      <c r="AG601" s="66"/>
      <c r="AH601" s="66"/>
      <c r="AI601" s="66"/>
      <c r="AJ601" s="69"/>
    </row>
    <row r="602">
      <c r="O602" s="66"/>
      <c r="P602" s="66"/>
      <c r="Q602" s="66"/>
      <c r="R602" s="67"/>
      <c r="S602" s="68"/>
      <c r="W602" s="66"/>
      <c r="X602" s="66"/>
      <c r="Y602" s="66"/>
      <c r="Z602" s="66"/>
      <c r="AA602" s="69"/>
      <c r="AD602" s="66"/>
      <c r="AE602" s="66"/>
      <c r="AF602" s="66"/>
      <c r="AG602" s="66"/>
      <c r="AH602" s="66"/>
      <c r="AI602" s="66"/>
      <c r="AJ602" s="69"/>
    </row>
    <row r="603">
      <c r="O603" s="66"/>
      <c r="P603" s="66"/>
      <c r="Q603" s="66"/>
      <c r="R603" s="67"/>
      <c r="S603" s="68"/>
      <c r="W603" s="66"/>
      <c r="X603" s="66"/>
      <c r="Y603" s="66"/>
      <c r="Z603" s="66"/>
      <c r="AA603" s="69"/>
      <c r="AD603" s="66"/>
      <c r="AE603" s="66"/>
      <c r="AF603" s="66"/>
      <c r="AG603" s="66"/>
      <c r="AH603" s="66"/>
      <c r="AI603" s="66"/>
      <c r="AJ603" s="69"/>
    </row>
    <row r="604">
      <c r="O604" s="66"/>
      <c r="P604" s="66"/>
      <c r="Q604" s="66"/>
      <c r="R604" s="67"/>
      <c r="S604" s="68"/>
      <c r="W604" s="66"/>
      <c r="X604" s="66"/>
      <c r="Y604" s="66"/>
      <c r="Z604" s="66"/>
      <c r="AA604" s="69"/>
      <c r="AD604" s="66"/>
      <c r="AE604" s="66"/>
      <c r="AF604" s="66"/>
      <c r="AG604" s="66"/>
      <c r="AH604" s="66"/>
      <c r="AI604" s="66"/>
      <c r="AJ604" s="69"/>
    </row>
    <row r="605">
      <c r="O605" s="66"/>
      <c r="P605" s="66"/>
      <c r="Q605" s="66"/>
      <c r="R605" s="67"/>
      <c r="S605" s="68"/>
      <c r="W605" s="66"/>
      <c r="X605" s="66"/>
      <c r="Y605" s="66"/>
      <c r="Z605" s="66"/>
      <c r="AA605" s="69"/>
      <c r="AD605" s="66"/>
      <c r="AE605" s="66"/>
      <c r="AF605" s="66"/>
      <c r="AG605" s="66"/>
      <c r="AH605" s="66"/>
      <c r="AI605" s="66"/>
      <c r="AJ605" s="69"/>
    </row>
    <row r="606">
      <c r="O606" s="66"/>
      <c r="P606" s="66"/>
      <c r="Q606" s="66"/>
      <c r="R606" s="67"/>
      <c r="S606" s="68"/>
      <c r="W606" s="66"/>
      <c r="X606" s="66"/>
      <c r="Y606" s="66"/>
      <c r="Z606" s="66"/>
      <c r="AA606" s="69"/>
      <c r="AD606" s="66"/>
      <c r="AE606" s="66"/>
      <c r="AF606" s="66"/>
      <c r="AG606" s="66"/>
      <c r="AH606" s="66"/>
      <c r="AI606" s="66"/>
      <c r="AJ606" s="69"/>
    </row>
    <row r="607">
      <c r="O607" s="66"/>
      <c r="P607" s="66"/>
      <c r="Q607" s="66"/>
      <c r="R607" s="67"/>
      <c r="S607" s="68"/>
      <c r="W607" s="66"/>
      <c r="X607" s="66"/>
      <c r="Y607" s="66"/>
      <c r="Z607" s="66"/>
      <c r="AA607" s="69"/>
      <c r="AD607" s="66"/>
      <c r="AE607" s="66"/>
      <c r="AF607" s="66"/>
      <c r="AG607" s="66"/>
      <c r="AH607" s="66"/>
      <c r="AI607" s="66"/>
      <c r="AJ607" s="69"/>
    </row>
    <row r="608">
      <c r="O608" s="66"/>
      <c r="P608" s="66"/>
      <c r="Q608" s="66"/>
      <c r="R608" s="67"/>
      <c r="S608" s="68"/>
      <c r="W608" s="66"/>
      <c r="X608" s="66"/>
      <c r="Y608" s="66"/>
      <c r="Z608" s="66"/>
      <c r="AA608" s="69"/>
      <c r="AD608" s="66"/>
      <c r="AE608" s="66"/>
      <c r="AF608" s="66"/>
      <c r="AG608" s="66"/>
      <c r="AH608" s="66"/>
      <c r="AI608" s="66"/>
      <c r="AJ608" s="69"/>
    </row>
    <row r="609">
      <c r="O609" s="66"/>
      <c r="P609" s="66"/>
      <c r="Q609" s="66"/>
      <c r="R609" s="67"/>
      <c r="S609" s="68"/>
      <c r="W609" s="66"/>
      <c r="X609" s="66"/>
      <c r="Y609" s="66"/>
      <c r="Z609" s="66"/>
      <c r="AA609" s="69"/>
      <c r="AD609" s="66"/>
      <c r="AE609" s="66"/>
      <c r="AF609" s="66"/>
      <c r="AG609" s="66"/>
      <c r="AH609" s="66"/>
      <c r="AI609" s="66"/>
      <c r="AJ609" s="69"/>
    </row>
    <row r="610">
      <c r="O610" s="66"/>
      <c r="P610" s="66"/>
      <c r="Q610" s="66"/>
      <c r="R610" s="67"/>
      <c r="S610" s="68"/>
      <c r="W610" s="66"/>
      <c r="X610" s="66"/>
      <c r="Y610" s="66"/>
      <c r="Z610" s="66"/>
      <c r="AA610" s="69"/>
      <c r="AD610" s="66"/>
      <c r="AE610" s="66"/>
      <c r="AF610" s="66"/>
      <c r="AG610" s="66"/>
      <c r="AH610" s="66"/>
      <c r="AI610" s="66"/>
      <c r="AJ610" s="69"/>
    </row>
    <row r="611">
      <c r="O611" s="66"/>
      <c r="P611" s="66"/>
      <c r="Q611" s="66"/>
      <c r="R611" s="67"/>
      <c r="S611" s="68"/>
      <c r="W611" s="66"/>
      <c r="X611" s="66"/>
      <c r="Y611" s="66"/>
      <c r="Z611" s="66"/>
      <c r="AA611" s="69"/>
      <c r="AD611" s="66"/>
      <c r="AE611" s="66"/>
      <c r="AF611" s="66"/>
      <c r="AG611" s="66"/>
      <c r="AH611" s="66"/>
      <c r="AI611" s="66"/>
      <c r="AJ611" s="69"/>
    </row>
    <row r="612">
      <c r="O612" s="66"/>
      <c r="P612" s="66"/>
      <c r="Q612" s="66"/>
      <c r="R612" s="67"/>
      <c r="S612" s="68"/>
      <c r="W612" s="66"/>
      <c r="X612" s="66"/>
      <c r="Y612" s="66"/>
      <c r="Z612" s="66"/>
      <c r="AA612" s="69"/>
      <c r="AD612" s="66"/>
      <c r="AE612" s="66"/>
      <c r="AF612" s="66"/>
      <c r="AG612" s="66"/>
      <c r="AH612" s="66"/>
      <c r="AI612" s="66"/>
      <c r="AJ612" s="69"/>
    </row>
    <row r="613">
      <c r="O613" s="66"/>
      <c r="P613" s="66"/>
      <c r="Q613" s="66"/>
      <c r="R613" s="67"/>
      <c r="S613" s="68"/>
      <c r="W613" s="66"/>
      <c r="X613" s="66"/>
      <c r="Y613" s="66"/>
      <c r="Z613" s="66"/>
      <c r="AA613" s="69"/>
      <c r="AD613" s="66"/>
      <c r="AE613" s="66"/>
      <c r="AF613" s="66"/>
      <c r="AG613" s="66"/>
      <c r="AH613" s="66"/>
      <c r="AI613" s="66"/>
      <c r="AJ613" s="69"/>
    </row>
    <row r="614">
      <c r="O614" s="66"/>
      <c r="P614" s="66"/>
      <c r="Q614" s="66"/>
      <c r="R614" s="67"/>
      <c r="S614" s="68"/>
      <c r="W614" s="66"/>
      <c r="X614" s="66"/>
      <c r="Y614" s="66"/>
      <c r="Z614" s="66"/>
      <c r="AA614" s="69"/>
      <c r="AD614" s="66"/>
      <c r="AE614" s="66"/>
      <c r="AF614" s="66"/>
      <c r="AG614" s="66"/>
      <c r="AH614" s="66"/>
      <c r="AI614" s="66"/>
      <c r="AJ614" s="69"/>
    </row>
    <row r="615">
      <c r="O615" s="66"/>
      <c r="P615" s="66"/>
      <c r="Q615" s="66"/>
      <c r="R615" s="67"/>
      <c r="S615" s="68"/>
      <c r="W615" s="66"/>
      <c r="X615" s="66"/>
      <c r="Y615" s="66"/>
      <c r="Z615" s="66"/>
      <c r="AA615" s="69"/>
      <c r="AD615" s="66"/>
      <c r="AE615" s="66"/>
      <c r="AF615" s="66"/>
      <c r="AG615" s="66"/>
      <c r="AH615" s="66"/>
      <c r="AI615" s="66"/>
      <c r="AJ615" s="69"/>
    </row>
    <row r="616">
      <c r="O616" s="66"/>
      <c r="P616" s="66"/>
      <c r="Q616" s="66"/>
      <c r="R616" s="67"/>
      <c r="S616" s="68"/>
      <c r="W616" s="66"/>
      <c r="X616" s="66"/>
      <c r="Y616" s="66"/>
      <c r="Z616" s="66"/>
      <c r="AA616" s="69"/>
      <c r="AD616" s="66"/>
      <c r="AE616" s="66"/>
      <c r="AF616" s="66"/>
      <c r="AG616" s="66"/>
      <c r="AH616" s="66"/>
      <c r="AI616" s="66"/>
      <c r="AJ616" s="69"/>
    </row>
    <row r="617">
      <c r="O617" s="66"/>
      <c r="P617" s="66"/>
      <c r="Q617" s="66"/>
      <c r="R617" s="67"/>
      <c r="S617" s="68"/>
      <c r="W617" s="66"/>
      <c r="X617" s="66"/>
      <c r="Y617" s="66"/>
      <c r="Z617" s="66"/>
      <c r="AA617" s="69"/>
      <c r="AD617" s="66"/>
      <c r="AE617" s="66"/>
      <c r="AF617" s="66"/>
      <c r="AG617" s="66"/>
      <c r="AH617" s="66"/>
      <c r="AI617" s="66"/>
      <c r="AJ617" s="69"/>
    </row>
    <row r="618">
      <c r="O618" s="66"/>
      <c r="P618" s="66"/>
      <c r="Q618" s="66"/>
      <c r="R618" s="67"/>
      <c r="S618" s="68"/>
      <c r="W618" s="66"/>
      <c r="X618" s="66"/>
      <c r="Y618" s="66"/>
      <c r="Z618" s="66"/>
      <c r="AA618" s="69"/>
      <c r="AD618" s="66"/>
      <c r="AE618" s="66"/>
      <c r="AF618" s="66"/>
      <c r="AG618" s="66"/>
      <c r="AH618" s="66"/>
      <c r="AI618" s="66"/>
      <c r="AJ618" s="69"/>
    </row>
    <row r="619">
      <c r="O619" s="66"/>
      <c r="P619" s="66"/>
      <c r="Q619" s="66"/>
      <c r="R619" s="67"/>
      <c r="S619" s="68"/>
      <c r="W619" s="66"/>
      <c r="X619" s="66"/>
      <c r="Y619" s="66"/>
      <c r="Z619" s="66"/>
      <c r="AA619" s="69"/>
      <c r="AD619" s="66"/>
      <c r="AE619" s="66"/>
      <c r="AF619" s="66"/>
      <c r="AG619" s="66"/>
      <c r="AH619" s="66"/>
      <c r="AI619" s="66"/>
      <c r="AJ619" s="69"/>
    </row>
    <row r="620">
      <c r="O620" s="66"/>
      <c r="P620" s="66"/>
      <c r="Q620" s="66"/>
      <c r="R620" s="67"/>
      <c r="S620" s="68"/>
      <c r="W620" s="66"/>
      <c r="X620" s="66"/>
      <c r="Y620" s="66"/>
      <c r="Z620" s="66"/>
      <c r="AA620" s="69"/>
      <c r="AD620" s="66"/>
      <c r="AE620" s="66"/>
      <c r="AF620" s="66"/>
      <c r="AG620" s="66"/>
      <c r="AH620" s="66"/>
      <c r="AI620" s="66"/>
      <c r="AJ620" s="69"/>
    </row>
    <row r="621">
      <c r="O621" s="66"/>
      <c r="P621" s="66"/>
      <c r="Q621" s="66"/>
      <c r="R621" s="67"/>
      <c r="S621" s="68"/>
      <c r="W621" s="66"/>
      <c r="X621" s="66"/>
      <c r="Y621" s="66"/>
      <c r="Z621" s="66"/>
      <c r="AA621" s="69"/>
      <c r="AD621" s="66"/>
      <c r="AE621" s="66"/>
      <c r="AF621" s="66"/>
      <c r="AG621" s="66"/>
      <c r="AH621" s="66"/>
      <c r="AI621" s="66"/>
      <c r="AJ621" s="69"/>
    </row>
    <row r="622">
      <c r="O622" s="66"/>
      <c r="P622" s="66"/>
      <c r="Q622" s="66"/>
      <c r="R622" s="67"/>
      <c r="S622" s="68"/>
      <c r="W622" s="66"/>
      <c r="X622" s="66"/>
      <c r="Y622" s="66"/>
      <c r="Z622" s="66"/>
      <c r="AA622" s="69"/>
      <c r="AD622" s="66"/>
      <c r="AE622" s="66"/>
      <c r="AF622" s="66"/>
      <c r="AG622" s="66"/>
      <c r="AH622" s="66"/>
      <c r="AI622" s="66"/>
      <c r="AJ622" s="69"/>
    </row>
    <row r="623">
      <c r="O623" s="66"/>
      <c r="P623" s="66"/>
      <c r="Q623" s="66"/>
      <c r="R623" s="67"/>
      <c r="S623" s="68"/>
      <c r="W623" s="66"/>
      <c r="X623" s="66"/>
      <c r="Y623" s="66"/>
      <c r="Z623" s="66"/>
      <c r="AA623" s="69"/>
      <c r="AD623" s="66"/>
      <c r="AE623" s="66"/>
      <c r="AF623" s="66"/>
      <c r="AG623" s="66"/>
      <c r="AH623" s="66"/>
      <c r="AI623" s="66"/>
      <c r="AJ623" s="69"/>
    </row>
    <row r="624">
      <c r="O624" s="66"/>
      <c r="P624" s="66"/>
      <c r="Q624" s="66"/>
      <c r="R624" s="67"/>
      <c r="S624" s="68"/>
      <c r="W624" s="66"/>
      <c r="X624" s="66"/>
      <c r="Y624" s="66"/>
      <c r="Z624" s="66"/>
      <c r="AA624" s="69"/>
      <c r="AD624" s="66"/>
      <c r="AE624" s="66"/>
      <c r="AF624" s="66"/>
      <c r="AG624" s="66"/>
      <c r="AH624" s="66"/>
      <c r="AI624" s="66"/>
      <c r="AJ624" s="69"/>
    </row>
    <row r="625">
      <c r="O625" s="66"/>
      <c r="P625" s="66"/>
      <c r="Q625" s="66"/>
      <c r="R625" s="67"/>
      <c r="S625" s="68"/>
      <c r="W625" s="66"/>
      <c r="X625" s="66"/>
      <c r="Y625" s="66"/>
      <c r="Z625" s="66"/>
      <c r="AA625" s="69"/>
      <c r="AD625" s="66"/>
      <c r="AE625" s="66"/>
      <c r="AF625" s="66"/>
      <c r="AG625" s="66"/>
      <c r="AH625" s="66"/>
      <c r="AI625" s="66"/>
      <c r="AJ625" s="69"/>
    </row>
    <row r="626">
      <c r="O626" s="66"/>
      <c r="P626" s="66"/>
      <c r="Q626" s="66"/>
      <c r="R626" s="67"/>
      <c r="S626" s="68"/>
      <c r="W626" s="66"/>
      <c r="X626" s="66"/>
      <c r="Y626" s="66"/>
      <c r="Z626" s="66"/>
      <c r="AA626" s="69"/>
      <c r="AD626" s="66"/>
      <c r="AE626" s="66"/>
      <c r="AF626" s="66"/>
      <c r="AG626" s="66"/>
      <c r="AH626" s="66"/>
      <c r="AI626" s="66"/>
      <c r="AJ626" s="69"/>
    </row>
    <row r="627">
      <c r="O627" s="66"/>
      <c r="P627" s="66"/>
      <c r="Q627" s="66"/>
      <c r="R627" s="67"/>
      <c r="S627" s="68"/>
      <c r="W627" s="66"/>
      <c r="X627" s="66"/>
      <c r="Y627" s="66"/>
      <c r="Z627" s="66"/>
      <c r="AA627" s="69"/>
      <c r="AD627" s="66"/>
      <c r="AE627" s="66"/>
      <c r="AF627" s="66"/>
      <c r="AG627" s="66"/>
      <c r="AH627" s="66"/>
      <c r="AI627" s="66"/>
      <c r="AJ627" s="69"/>
    </row>
    <row r="628">
      <c r="O628" s="66"/>
      <c r="P628" s="66"/>
      <c r="Q628" s="66"/>
      <c r="R628" s="67"/>
      <c r="S628" s="68"/>
      <c r="W628" s="66"/>
      <c r="X628" s="66"/>
      <c r="Y628" s="66"/>
      <c r="Z628" s="66"/>
      <c r="AA628" s="69"/>
      <c r="AD628" s="66"/>
      <c r="AE628" s="66"/>
      <c r="AF628" s="66"/>
      <c r="AG628" s="66"/>
      <c r="AH628" s="66"/>
      <c r="AI628" s="66"/>
      <c r="AJ628" s="69"/>
    </row>
    <row r="629">
      <c r="O629" s="66"/>
      <c r="P629" s="66"/>
      <c r="Q629" s="66"/>
      <c r="R629" s="67"/>
      <c r="S629" s="68"/>
      <c r="W629" s="66"/>
      <c r="X629" s="66"/>
      <c r="Y629" s="66"/>
      <c r="Z629" s="66"/>
      <c r="AA629" s="69"/>
      <c r="AD629" s="66"/>
      <c r="AE629" s="66"/>
      <c r="AF629" s="66"/>
      <c r="AG629" s="66"/>
      <c r="AH629" s="66"/>
      <c r="AI629" s="66"/>
      <c r="AJ629" s="69"/>
    </row>
    <row r="630">
      <c r="O630" s="66"/>
      <c r="P630" s="66"/>
      <c r="Q630" s="66"/>
      <c r="R630" s="67"/>
      <c r="S630" s="68"/>
      <c r="W630" s="66"/>
      <c r="X630" s="66"/>
      <c r="Y630" s="66"/>
      <c r="Z630" s="66"/>
      <c r="AA630" s="69"/>
      <c r="AD630" s="66"/>
      <c r="AE630" s="66"/>
      <c r="AF630" s="66"/>
      <c r="AG630" s="66"/>
      <c r="AH630" s="66"/>
      <c r="AI630" s="66"/>
      <c r="AJ630" s="69"/>
    </row>
    <row r="631">
      <c r="O631" s="66"/>
      <c r="P631" s="66"/>
      <c r="Q631" s="66"/>
      <c r="R631" s="67"/>
      <c r="S631" s="68"/>
      <c r="W631" s="66"/>
      <c r="X631" s="66"/>
      <c r="Y631" s="66"/>
      <c r="Z631" s="66"/>
      <c r="AA631" s="69"/>
      <c r="AD631" s="66"/>
      <c r="AE631" s="66"/>
      <c r="AF631" s="66"/>
      <c r="AG631" s="66"/>
      <c r="AH631" s="66"/>
      <c r="AI631" s="66"/>
      <c r="AJ631" s="69"/>
    </row>
    <row r="632">
      <c r="O632" s="66"/>
      <c r="P632" s="66"/>
      <c r="Q632" s="66"/>
      <c r="R632" s="67"/>
      <c r="S632" s="68"/>
      <c r="W632" s="66"/>
      <c r="X632" s="66"/>
      <c r="Y632" s="66"/>
      <c r="Z632" s="66"/>
      <c r="AA632" s="69"/>
      <c r="AD632" s="66"/>
      <c r="AE632" s="66"/>
      <c r="AF632" s="66"/>
      <c r="AG632" s="66"/>
      <c r="AH632" s="66"/>
      <c r="AI632" s="66"/>
      <c r="AJ632" s="69"/>
    </row>
    <row r="633">
      <c r="O633" s="66"/>
      <c r="P633" s="66"/>
      <c r="Q633" s="66"/>
      <c r="R633" s="67"/>
      <c r="S633" s="68"/>
      <c r="W633" s="66"/>
      <c r="X633" s="66"/>
      <c r="Y633" s="66"/>
      <c r="Z633" s="66"/>
      <c r="AA633" s="69"/>
      <c r="AD633" s="66"/>
      <c r="AE633" s="66"/>
      <c r="AF633" s="66"/>
      <c r="AG633" s="66"/>
      <c r="AH633" s="66"/>
      <c r="AI633" s="66"/>
      <c r="AJ633" s="69"/>
    </row>
    <row r="634">
      <c r="O634" s="66"/>
      <c r="P634" s="66"/>
      <c r="Q634" s="66"/>
      <c r="R634" s="67"/>
      <c r="S634" s="68"/>
      <c r="W634" s="66"/>
      <c r="X634" s="66"/>
      <c r="Y634" s="66"/>
      <c r="Z634" s="66"/>
      <c r="AA634" s="69"/>
      <c r="AD634" s="66"/>
      <c r="AE634" s="66"/>
      <c r="AF634" s="66"/>
      <c r="AG634" s="66"/>
      <c r="AH634" s="66"/>
      <c r="AI634" s="66"/>
      <c r="AJ634" s="69"/>
    </row>
    <row r="635">
      <c r="O635" s="66"/>
      <c r="P635" s="66"/>
      <c r="Q635" s="66"/>
      <c r="R635" s="67"/>
      <c r="S635" s="68"/>
      <c r="W635" s="66"/>
      <c r="X635" s="66"/>
      <c r="Y635" s="66"/>
      <c r="Z635" s="66"/>
      <c r="AA635" s="69"/>
      <c r="AD635" s="66"/>
      <c r="AE635" s="66"/>
      <c r="AF635" s="66"/>
      <c r="AG635" s="66"/>
      <c r="AH635" s="66"/>
      <c r="AI635" s="66"/>
      <c r="AJ635" s="69"/>
    </row>
    <row r="636">
      <c r="O636" s="66"/>
      <c r="P636" s="66"/>
      <c r="Q636" s="66"/>
      <c r="R636" s="67"/>
      <c r="S636" s="68"/>
      <c r="W636" s="66"/>
      <c r="X636" s="66"/>
      <c r="Y636" s="66"/>
      <c r="Z636" s="66"/>
      <c r="AA636" s="69"/>
      <c r="AD636" s="66"/>
      <c r="AE636" s="66"/>
      <c r="AF636" s="66"/>
      <c r="AG636" s="66"/>
      <c r="AH636" s="66"/>
      <c r="AI636" s="66"/>
      <c r="AJ636" s="69"/>
    </row>
    <row r="637">
      <c r="O637" s="66"/>
      <c r="P637" s="66"/>
      <c r="Q637" s="66"/>
      <c r="R637" s="67"/>
      <c r="S637" s="68"/>
      <c r="W637" s="66"/>
      <c r="X637" s="66"/>
      <c r="Y637" s="66"/>
      <c r="Z637" s="66"/>
      <c r="AA637" s="69"/>
      <c r="AD637" s="66"/>
      <c r="AE637" s="66"/>
      <c r="AF637" s="66"/>
      <c r="AG637" s="66"/>
      <c r="AH637" s="66"/>
      <c r="AI637" s="66"/>
      <c r="AJ637" s="69"/>
    </row>
    <row r="638">
      <c r="O638" s="66"/>
      <c r="P638" s="66"/>
      <c r="Q638" s="66"/>
      <c r="R638" s="67"/>
      <c r="S638" s="68"/>
      <c r="W638" s="66"/>
      <c r="X638" s="66"/>
      <c r="Y638" s="66"/>
      <c r="Z638" s="66"/>
      <c r="AA638" s="69"/>
      <c r="AD638" s="66"/>
      <c r="AE638" s="66"/>
      <c r="AF638" s="66"/>
      <c r="AG638" s="66"/>
      <c r="AH638" s="66"/>
      <c r="AI638" s="66"/>
      <c r="AJ638" s="69"/>
    </row>
    <row r="639">
      <c r="O639" s="66"/>
      <c r="P639" s="66"/>
      <c r="Q639" s="66"/>
      <c r="R639" s="67"/>
      <c r="S639" s="68"/>
      <c r="W639" s="66"/>
      <c r="X639" s="66"/>
      <c r="Y639" s="66"/>
      <c r="Z639" s="66"/>
      <c r="AA639" s="69"/>
      <c r="AD639" s="66"/>
      <c r="AE639" s="66"/>
      <c r="AF639" s="66"/>
      <c r="AG639" s="66"/>
      <c r="AH639" s="66"/>
      <c r="AI639" s="66"/>
      <c r="AJ639" s="69"/>
    </row>
    <row r="640">
      <c r="O640" s="66"/>
      <c r="P640" s="66"/>
      <c r="Q640" s="66"/>
      <c r="R640" s="67"/>
      <c r="S640" s="68"/>
      <c r="W640" s="66"/>
      <c r="X640" s="66"/>
      <c r="Y640" s="66"/>
      <c r="Z640" s="66"/>
      <c r="AA640" s="69"/>
      <c r="AD640" s="66"/>
      <c r="AE640" s="66"/>
      <c r="AF640" s="66"/>
      <c r="AG640" s="66"/>
      <c r="AH640" s="66"/>
      <c r="AI640" s="66"/>
      <c r="AJ640" s="69"/>
    </row>
    <row r="641">
      <c r="O641" s="66"/>
      <c r="P641" s="66"/>
      <c r="Q641" s="66"/>
      <c r="R641" s="67"/>
      <c r="S641" s="68"/>
      <c r="W641" s="66"/>
      <c r="X641" s="66"/>
      <c r="Y641" s="66"/>
      <c r="Z641" s="66"/>
      <c r="AA641" s="69"/>
      <c r="AD641" s="66"/>
      <c r="AE641" s="66"/>
      <c r="AF641" s="66"/>
      <c r="AG641" s="66"/>
      <c r="AH641" s="66"/>
      <c r="AI641" s="66"/>
      <c r="AJ641" s="69"/>
    </row>
    <row r="642">
      <c r="O642" s="66"/>
      <c r="P642" s="66"/>
      <c r="Q642" s="66"/>
      <c r="R642" s="67"/>
      <c r="S642" s="68"/>
      <c r="W642" s="66"/>
      <c r="X642" s="66"/>
      <c r="Y642" s="66"/>
      <c r="Z642" s="66"/>
      <c r="AA642" s="69"/>
      <c r="AD642" s="66"/>
      <c r="AE642" s="66"/>
      <c r="AF642" s="66"/>
      <c r="AG642" s="66"/>
      <c r="AH642" s="66"/>
      <c r="AI642" s="66"/>
      <c r="AJ642" s="69"/>
    </row>
    <row r="643">
      <c r="O643" s="66"/>
      <c r="P643" s="66"/>
      <c r="Q643" s="66"/>
      <c r="R643" s="67"/>
      <c r="S643" s="68"/>
      <c r="W643" s="66"/>
      <c r="X643" s="66"/>
      <c r="Y643" s="66"/>
      <c r="Z643" s="66"/>
      <c r="AA643" s="69"/>
      <c r="AD643" s="66"/>
      <c r="AE643" s="66"/>
      <c r="AF643" s="66"/>
      <c r="AG643" s="66"/>
      <c r="AH643" s="66"/>
      <c r="AI643" s="66"/>
      <c r="AJ643" s="69"/>
    </row>
    <row r="644">
      <c r="O644" s="66"/>
      <c r="P644" s="66"/>
      <c r="Q644" s="66"/>
      <c r="R644" s="67"/>
      <c r="S644" s="68"/>
      <c r="W644" s="66"/>
      <c r="X644" s="66"/>
      <c r="Y644" s="66"/>
      <c r="Z644" s="66"/>
      <c r="AA644" s="69"/>
      <c r="AD644" s="66"/>
      <c r="AE644" s="66"/>
      <c r="AF644" s="66"/>
      <c r="AG644" s="66"/>
      <c r="AH644" s="66"/>
      <c r="AI644" s="66"/>
      <c r="AJ644" s="69"/>
    </row>
    <row r="645">
      <c r="O645" s="66"/>
      <c r="P645" s="66"/>
      <c r="Q645" s="66"/>
      <c r="R645" s="67"/>
      <c r="S645" s="68"/>
      <c r="W645" s="66"/>
      <c r="X645" s="66"/>
      <c r="Y645" s="66"/>
      <c r="Z645" s="66"/>
      <c r="AA645" s="69"/>
      <c r="AD645" s="66"/>
      <c r="AE645" s="66"/>
      <c r="AF645" s="66"/>
      <c r="AG645" s="66"/>
      <c r="AH645" s="66"/>
      <c r="AI645" s="66"/>
      <c r="AJ645" s="69"/>
    </row>
    <row r="646">
      <c r="O646" s="66"/>
      <c r="P646" s="66"/>
      <c r="Q646" s="66"/>
      <c r="R646" s="67"/>
      <c r="S646" s="68"/>
      <c r="W646" s="66"/>
      <c r="X646" s="66"/>
      <c r="Y646" s="66"/>
      <c r="Z646" s="66"/>
      <c r="AA646" s="69"/>
      <c r="AD646" s="66"/>
      <c r="AE646" s="66"/>
      <c r="AF646" s="66"/>
      <c r="AG646" s="66"/>
      <c r="AH646" s="66"/>
      <c r="AI646" s="66"/>
      <c r="AJ646" s="69"/>
    </row>
    <row r="647">
      <c r="O647" s="66"/>
      <c r="P647" s="66"/>
      <c r="Q647" s="66"/>
      <c r="R647" s="67"/>
      <c r="S647" s="68"/>
      <c r="W647" s="66"/>
      <c r="X647" s="66"/>
      <c r="Y647" s="66"/>
      <c r="Z647" s="66"/>
      <c r="AA647" s="69"/>
      <c r="AD647" s="66"/>
      <c r="AE647" s="66"/>
      <c r="AF647" s="66"/>
      <c r="AG647" s="66"/>
      <c r="AH647" s="66"/>
      <c r="AI647" s="66"/>
      <c r="AJ647" s="69"/>
    </row>
    <row r="648">
      <c r="O648" s="66"/>
      <c r="P648" s="66"/>
      <c r="Q648" s="66"/>
      <c r="R648" s="67"/>
      <c r="S648" s="68"/>
      <c r="W648" s="66"/>
      <c r="X648" s="66"/>
      <c r="Y648" s="66"/>
      <c r="Z648" s="66"/>
      <c r="AA648" s="69"/>
      <c r="AD648" s="66"/>
      <c r="AE648" s="66"/>
      <c r="AF648" s="66"/>
      <c r="AG648" s="66"/>
      <c r="AH648" s="66"/>
      <c r="AI648" s="66"/>
      <c r="AJ648" s="69"/>
    </row>
    <row r="649">
      <c r="O649" s="66"/>
      <c r="P649" s="66"/>
      <c r="Q649" s="66"/>
      <c r="R649" s="67"/>
      <c r="S649" s="68"/>
      <c r="W649" s="66"/>
      <c r="X649" s="66"/>
      <c r="Y649" s="66"/>
      <c r="Z649" s="66"/>
      <c r="AA649" s="69"/>
      <c r="AD649" s="66"/>
      <c r="AE649" s="66"/>
      <c r="AF649" s="66"/>
      <c r="AG649" s="66"/>
      <c r="AH649" s="66"/>
      <c r="AI649" s="66"/>
      <c r="AJ649" s="69"/>
    </row>
    <row r="650">
      <c r="O650" s="66"/>
      <c r="P650" s="66"/>
      <c r="Q650" s="66"/>
      <c r="R650" s="67"/>
      <c r="S650" s="68"/>
      <c r="W650" s="66"/>
      <c r="X650" s="66"/>
      <c r="Y650" s="66"/>
      <c r="Z650" s="66"/>
      <c r="AA650" s="69"/>
      <c r="AD650" s="66"/>
      <c r="AE650" s="66"/>
      <c r="AF650" s="66"/>
      <c r="AG650" s="66"/>
      <c r="AH650" s="66"/>
      <c r="AI650" s="66"/>
      <c r="AJ650" s="69"/>
    </row>
    <row r="651">
      <c r="O651" s="66"/>
      <c r="P651" s="66"/>
      <c r="Q651" s="66"/>
      <c r="R651" s="67"/>
      <c r="S651" s="68"/>
      <c r="W651" s="66"/>
      <c r="X651" s="66"/>
      <c r="Y651" s="66"/>
      <c r="Z651" s="66"/>
      <c r="AA651" s="69"/>
      <c r="AD651" s="66"/>
      <c r="AE651" s="66"/>
      <c r="AF651" s="66"/>
      <c r="AG651" s="66"/>
      <c r="AH651" s="66"/>
      <c r="AI651" s="66"/>
      <c r="AJ651" s="69"/>
    </row>
    <row r="652">
      <c r="O652" s="66"/>
      <c r="P652" s="66"/>
      <c r="Q652" s="66"/>
      <c r="R652" s="67"/>
      <c r="S652" s="68"/>
      <c r="W652" s="66"/>
      <c r="X652" s="66"/>
      <c r="Y652" s="66"/>
      <c r="Z652" s="66"/>
      <c r="AA652" s="69"/>
      <c r="AD652" s="66"/>
      <c r="AE652" s="66"/>
      <c r="AF652" s="66"/>
      <c r="AG652" s="66"/>
      <c r="AH652" s="66"/>
      <c r="AI652" s="66"/>
      <c r="AJ652" s="69"/>
    </row>
    <row r="653">
      <c r="O653" s="66"/>
      <c r="P653" s="66"/>
      <c r="Q653" s="66"/>
      <c r="R653" s="67"/>
      <c r="S653" s="68"/>
      <c r="W653" s="66"/>
      <c r="X653" s="66"/>
      <c r="Y653" s="66"/>
      <c r="Z653" s="66"/>
      <c r="AA653" s="69"/>
      <c r="AD653" s="66"/>
      <c r="AE653" s="66"/>
      <c r="AF653" s="66"/>
      <c r="AG653" s="66"/>
      <c r="AH653" s="66"/>
      <c r="AI653" s="66"/>
      <c r="AJ653" s="69"/>
    </row>
    <row r="654">
      <c r="O654" s="66"/>
      <c r="P654" s="66"/>
      <c r="Q654" s="66"/>
      <c r="R654" s="67"/>
      <c r="S654" s="68"/>
      <c r="W654" s="66"/>
      <c r="X654" s="66"/>
      <c r="Y654" s="66"/>
      <c r="Z654" s="66"/>
      <c r="AA654" s="69"/>
      <c r="AD654" s="66"/>
      <c r="AE654" s="66"/>
      <c r="AF654" s="66"/>
      <c r="AG654" s="66"/>
      <c r="AH654" s="66"/>
      <c r="AI654" s="66"/>
      <c r="AJ654" s="69"/>
    </row>
    <row r="655">
      <c r="O655" s="66"/>
      <c r="P655" s="66"/>
      <c r="Q655" s="66"/>
      <c r="R655" s="67"/>
      <c r="S655" s="68"/>
      <c r="W655" s="66"/>
      <c r="X655" s="66"/>
      <c r="Y655" s="66"/>
      <c r="Z655" s="66"/>
      <c r="AA655" s="69"/>
      <c r="AD655" s="66"/>
      <c r="AE655" s="66"/>
      <c r="AF655" s="66"/>
      <c r="AG655" s="66"/>
      <c r="AH655" s="66"/>
      <c r="AI655" s="66"/>
      <c r="AJ655" s="69"/>
    </row>
    <row r="656">
      <c r="O656" s="66"/>
      <c r="P656" s="66"/>
      <c r="Q656" s="66"/>
      <c r="R656" s="67"/>
      <c r="S656" s="68"/>
      <c r="W656" s="66"/>
      <c r="X656" s="66"/>
      <c r="Y656" s="66"/>
      <c r="Z656" s="66"/>
      <c r="AA656" s="69"/>
      <c r="AD656" s="66"/>
      <c r="AE656" s="66"/>
      <c r="AF656" s="66"/>
      <c r="AG656" s="66"/>
      <c r="AH656" s="66"/>
      <c r="AI656" s="66"/>
      <c r="AJ656" s="69"/>
    </row>
    <row r="657">
      <c r="O657" s="66"/>
      <c r="P657" s="66"/>
      <c r="Q657" s="66"/>
      <c r="R657" s="67"/>
      <c r="S657" s="68"/>
      <c r="W657" s="66"/>
      <c r="X657" s="66"/>
      <c r="Y657" s="66"/>
      <c r="Z657" s="66"/>
      <c r="AA657" s="69"/>
      <c r="AD657" s="66"/>
      <c r="AE657" s="66"/>
      <c r="AF657" s="66"/>
      <c r="AG657" s="66"/>
      <c r="AH657" s="66"/>
      <c r="AI657" s="66"/>
      <c r="AJ657" s="69"/>
    </row>
    <row r="658">
      <c r="O658" s="66"/>
      <c r="P658" s="66"/>
      <c r="Q658" s="66"/>
      <c r="R658" s="67"/>
      <c r="S658" s="68"/>
      <c r="W658" s="66"/>
      <c r="X658" s="66"/>
      <c r="Y658" s="66"/>
      <c r="Z658" s="66"/>
      <c r="AA658" s="69"/>
      <c r="AD658" s="66"/>
      <c r="AE658" s="66"/>
      <c r="AF658" s="66"/>
      <c r="AG658" s="66"/>
      <c r="AH658" s="66"/>
      <c r="AI658" s="66"/>
      <c r="AJ658" s="69"/>
    </row>
    <row r="659">
      <c r="O659" s="66"/>
      <c r="P659" s="66"/>
      <c r="Q659" s="66"/>
      <c r="R659" s="67"/>
      <c r="S659" s="68"/>
      <c r="W659" s="66"/>
      <c r="X659" s="66"/>
      <c r="Y659" s="66"/>
      <c r="Z659" s="66"/>
      <c r="AA659" s="69"/>
      <c r="AD659" s="66"/>
      <c r="AE659" s="66"/>
      <c r="AF659" s="66"/>
      <c r="AG659" s="66"/>
      <c r="AH659" s="66"/>
      <c r="AI659" s="66"/>
      <c r="AJ659" s="69"/>
    </row>
    <row r="660">
      <c r="O660" s="66"/>
      <c r="P660" s="66"/>
      <c r="Q660" s="66"/>
      <c r="R660" s="67"/>
      <c r="S660" s="68"/>
      <c r="W660" s="66"/>
      <c r="X660" s="66"/>
      <c r="Y660" s="66"/>
      <c r="Z660" s="66"/>
      <c r="AA660" s="69"/>
      <c r="AD660" s="66"/>
      <c r="AE660" s="66"/>
      <c r="AF660" s="66"/>
      <c r="AG660" s="66"/>
      <c r="AH660" s="66"/>
      <c r="AI660" s="66"/>
      <c r="AJ660" s="69"/>
    </row>
    <row r="661">
      <c r="O661" s="66"/>
      <c r="P661" s="66"/>
      <c r="Q661" s="66"/>
      <c r="R661" s="67"/>
      <c r="S661" s="68"/>
      <c r="W661" s="66"/>
      <c r="X661" s="66"/>
      <c r="Y661" s="66"/>
      <c r="Z661" s="66"/>
      <c r="AA661" s="69"/>
      <c r="AD661" s="66"/>
      <c r="AE661" s="66"/>
      <c r="AF661" s="66"/>
      <c r="AG661" s="66"/>
      <c r="AH661" s="66"/>
      <c r="AI661" s="66"/>
      <c r="AJ661" s="69"/>
    </row>
    <row r="662">
      <c r="O662" s="66"/>
      <c r="P662" s="66"/>
      <c r="Q662" s="66"/>
      <c r="R662" s="67"/>
      <c r="S662" s="68"/>
      <c r="W662" s="66"/>
      <c r="X662" s="66"/>
      <c r="Y662" s="66"/>
      <c r="Z662" s="66"/>
      <c r="AA662" s="69"/>
      <c r="AD662" s="66"/>
      <c r="AE662" s="66"/>
      <c r="AF662" s="66"/>
      <c r="AG662" s="66"/>
      <c r="AH662" s="66"/>
      <c r="AI662" s="66"/>
      <c r="AJ662" s="69"/>
    </row>
    <row r="663">
      <c r="O663" s="66"/>
      <c r="P663" s="66"/>
      <c r="Q663" s="66"/>
      <c r="R663" s="67"/>
      <c r="S663" s="68"/>
      <c r="W663" s="66"/>
      <c r="X663" s="66"/>
      <c r="Y663" s="66"/>
      <c r="Z663" s="66"/>
      <c r="AA663" s="69"/>
      <c r="AD663" s="66"/>
      <c r="AE663" s="66"/>
      <c r="AF663" s="66"/>
      <c r="AG663" s="66"/>
      <c r="AH663" s="66"/>
      <c r="AI663" s="66"/>
      <c r="AJ663" s="69"/>
    </row>
    <row r="664">
      <c r="O664" s="66"/>
      <c r="P664" s="66"/>
      <c r="Q664" s="66"/>
      <c r="R664" s="67"/>
      <c r="S664" s="68"/>
      <c r="W664" s="66"/>
      <c r="X664" s="66"/>
      <c r="Y664" s="66"/>
      <c r="Z664" s="66"/>
      <c r="AA664" s="69"/>
      <c r="AD664" s="66"/>
      <c r="AE664" s="66"/>
      <c r="AF664" s="66"/>
      <c r="AG664" s="66"/>
      <c r="AH664" s="66"/>
      <c r="AI664" s="66"/>
      <c r="AJ664" s="69"/>
    </row>
    <row r="665">
      <c r="O665" s="66"/>
      <c r="P665" s="66"/>
      <c r="Q665" s="66"/>
      <c r="R665" s="67"/>
      <c r="S665" s="68"/>
      <c r="W665" s="66"/>
      <c r="X665" s="66"/>
      <c r="Y665" s="66"/>
      <c r="Z665" s="66"/>
      <c r="AA665" s="69"/>
      <c r="AD665" s="66"/>
      <c r="AE665" s="66"/>
      <c r="AF665" s="66"/>
      <c r="AG665" s="66"/>
      <c r="AH665" s="66"/>
      <c r="AI665" s="66"/>
      <c r="AJ665" s="69"/>
    </row>
    <row r="666">
      <c r="O666" s="66"/>
      <c r="P666" s="66"/>
      <c r="Q666" s="66"/>
      <c r="R666" s="67"/>
      <c r="S666" s="68"/>
      <c r="W666" s="66"/>
      <c r="X666" s="66"/>
      <c r="Y666" s="66"/>
      <c r="Z666" s="66"/>
      <c r="AA666" s="69"/>
      <c r="AD666" s="66"/>
      <c r="AE666" s="66"/>
      <c r="AF666" s="66"/>
      <c r="AG666" s="66"/>
      <c r="AH666" s="66"/>
      <c r="AI666" s="66"/>
      <c r="AJ666" s="69"/>
    </row>
    <row r="667">
      <c r="O667" s="66"/>
      <c r="P667" s="66"/>
      <c r="Q667" s="66"/>
      <c r="R667" s="67"/>
      <c r="S667" s="68"/>
      <c r="W667" s="66"/>
      <c r="X667" s="66"/>
      <c r="Y667" s="66"/>
      <c r="Z667" s="66"/>
      <c r="AA667" s="69"/>
      <c r="AD667" s="66"/>
      <c r="AE667" s="66"/>
      <c r="AF667" s="66"/>
      <c r="AG667" s="66"/>
      <c r="AH667" s="66"/>
      <c r="AI667" s="66"/>
      <c r="AJ667" s="69"/>
    </row>
    <row r="668">
      <c r="O668" s="66"/>
      <c r="P668" s="66"/>
      <c r="Q668" s="66"/>
      <c r="R668" s="67"/>
      <c r="S668" s="68"/>
      <c r="W668" s="66"/>
      <c r="X668" s="66"/>
      <c r="Y668" s="66"/>
      <c r="Z668" s="66"/>
      <c r="AA668" s="69"/>
      <c r="AD668" s="66"/>
      <c r="AE668" s="66"/>
      <c r="AF668" s="66"/>
      <c r="AG668" s="66"/>
      <c r="AH668" s="66"/>
      <c r="AI668" s="66"/>
      <c r="AJ668" s="69"/>
    </row>
    <row r="669">
      <c r="O669" s="66"/>
      <c r="P669" s="66"/>
      <c r="Q669" s="66"/>
      <c r="R669" s="67"/>
      <c r="S669" s="68"/>
      <c r="W669" s="66"/>
      <c r="X669" s="66"/>
      <c r="Y669" s="66"/>
      <c r="Z669" s="66"/>
      <c r="AA669" s="69"/>
      <c r="AD669" s="66"/>
      <c r="AE669" s="66"/>
      <c r="AF669" s="66"/>
      <c r="AG669" s="66"/>
      <c r="AH669" s="66"/>
      <c r="AI669" s="66"/>
      <c r="AJ669" s="69"/>
    </row>
    <row r="670">
      <c r="O670" s="66"/>
      <c r="P670" s="66"/>
      <c r="Q670" s="66"/>
      <c r="R670" s="67"/>
      <c r="S670" s="68"/>
      <c r="W670" s="66"/>
      <c r="X670" s="66"/>
      <c r="Y670" s="66"/>
      <c r="Z670" s="66"/>
      <c r="AA670" s="69"/>
      <c r="AD670" s="66"/>
      <c r="AE670" s="66"/>
      <c r="AF670" s="66"/>
      <c r="AG670" s="66"/>
      <c r="AH670" s="66"/>
      <c r="AI670" s="66"/>
      <c r="AJ670" s="69"/>
    </row>
    <row r="671">
      <c r="O671" s="66"/>
      <c r="P671" s="66"/>
      <c r="Q671" s="66"/>
      <c r="R671" s="67"/>
      <c r="S671" s="68"/>
      <c r="W671" s="66"/>
      <c r="X671" s="66"/>
      <c r="Y671" s="66"/>
      <c r="Z671" s="66"/>
      <c r="AA671" s="69"/>
      <c r="AD671" s="66"/>
      <c r="AE671" s="66"/>
      <c r="AF671" s="66"/>
      <c r="AG671" s="66"/>
      <c r="AH671" s="66"/>
      <c r="AI671" s="66"/>
      <c r="AJ671" s="69"/>
    </row>
    <row r="672">
      <c r="O672" s="66"/>
      <c r="P672" s="66"/>
      <c r="Q672" s="66"/>
      <c r="R672" s="67"/>
      <c r="S672" s="68"/>
      <c r="W672" s="66"/>
      <c r="X672" s="66"/>
      <c r="Y672" s="66"/>
      <c r="Z672" s="66"/>
      <c r="AA672" s="69"/>
      <c r="AD672" s="66"/>
      <c r="AE672" s="66"/>
      <c r="AF672" s="66"/>
      <c r="AG672" s="66"/>
      <c r="AH672" s="66"/>
      <c r="AI672" s="66"/>
      <c r="AJ672" s="69"/>
    </row>
    <row r="673">
      <c r="O673" s="66"/>
      <c r="P673" s="66"/>
      <c r="Q673" s="66"/>
      <c r="R673" s="67"/>
      <c r="S673" s="68"/>
      <c r="W673" s="66"/>
      <c r="X673" s="66"/>
      <c r="Y673" s="66"/>
      <c r="Z673" s="66"/>
      <c r="AA673" s="69"/>
      <c r="AD673" s="66"/>
      <c r="AE673" s="66"/>
      <c r="AF673" s="66"/>
      <c r="AG673" s="66"/>
      <c r="AH673" s="66"/>
      <c r="AI673" s="66"/>
      <c r="AJ673" s="69"/>
    </row>
    <row r="674">
      <c r="O674" s="66"/>
      <c r="P674" s="66"/>
      <c r="Q674" s="66"/>
      <c r="R674" s="67"/>
      <c r="S674" s="68"/>
      <c r="W674" s="66"/>
      <c r="X674" s="66"/>
      <c r="Y674" s="66"/>
      <c r="Z674" s="66"/>
      <c r="AA674" s="69"/>
      <c r="AD674" s="66"/>
      <c r="AE674" s="66"/>
      <c r="AF674" s="66"/>
      <c r="AG674" s="66"/>
      <c r="AH674" s="66"/>
      <c r="AI674" s="66"/>
      <c r="AJ674" s="69"/>
    </row>
    <row r="675">
      <c r="O675" s="66"/>
      <c r="P675" s="66"/>
      <c r="Q675" s="66"/>
      <c r="R675" s="67"/>
      <c r="S675" s="68"/>
      <c r="W675" s="66"/>
      <c r="X675" s="66"/>
      <c r="Y675" s="66"/>
      <c r="Z675" s="66"/>
      <c r="AA675" s="69"/>
      <c r="AD675" s="66"/>
      <c r="AE675" s="66"/>
      <c r="AF675" s="66"/>
      <c r="AG675" s="66"/>
      <c r="AH675" s="66"/>
      <c r="AI675" s="66"/>
      <c r="AJ675" s="69"/>
    </row>
    <row r="676">
      <c r="O676" s="66"/>
      <c r="P676" s="66"/>
      <c r="Q676" s="66"/>
      <c r="R676" s="67"/>
      <c r="S676" s="68"/>
      <c r="W676" s="66"/>
      <c r="X676" s="66"/>
      <c r="Y676" s="66"/>
      <c r="Z676" s="66"/>
      <c r="AA676" s="69"/>
      <c r="AD676" s="66"/>
      <c r="AE676" s="66"/>
      <c r="AF676" s="66"/>
      <c r="AG676" s="66"/>
      <c r="AH676" s="66"/>
      <c r="AI676" s="66"/>
      <c r="AJ676" s="69"/>
    </row>
    <row r="677">
      <c r="O677" s="66"/>
      <c r="P677" s="66"/>
      <c r="Q677" s="66"/>
      <c r="R677" s="67"/>
      <c r="S677" s="68"/>
      <c r="W677" s="66"/>
      <c r="X677" s="66"/>
      <c r="Y677" s="66"/>
      <c r="Z677" s="66"/>
      <c r="AA677" s="69"/>
      <c r="AD677" s="66"/>
      <c r="AE677" s="66"/>
      <c r="AF677" s="66"/>
      <c r="AG677" s="66"/>
      <c r="AH677" s="66"/>
      <c r="AI677" s="66"/>
      <c r="AJ677" s="69"/>
    </row>
    <row r="678">
      <c r="O678" s="66"/>
      <c r="P678" s="66"/>
      <c r="Q678" s="66"/>
      <c r="R678" s="67"/>
      <c r="S678" s="68"/>
      <c r="W678" s="66"/>
      <c r="X678" s="66"/>
      <c r="Y678" s="66"/>
      <c r="Z678" s="66"/>
      <c r="AA678" s="69"/>
      <c r="AD678" s="66"/>
      <c r="AE678" s="66"/>
      <c r="AF678" s="66"/>
      <c r="AG678" s="66"/>
      <c r="AH678" s="66"/>
      <c r="AI678" s="66"/>
      <c r="AJ678" s="69"/>
    </row>
    <row r="679">
      <c r="O679" s="66"/>
      <c r="P679" s="66"/>
      <c r="Q679" s="66"/>
      <c r="R679" s="67"/>
      <c r="S679" s="68"/>
      <c r="W679" s="66"/>
      <c r="X679" s="66"/>
      <c r="Y679" s="66"/>
      <c r="Z679" s="66"/>
      <c r="AA679" s="69"/>
      <c r="AD679" s="66"/>
      <c r="AE679" s="66"/>
      <c r="AF679" s="66"/>
      <c r="AG679" s="66"/>
      <c r="AH679" s="66"/>
      <c r="AI679" s="66"/>
      <c r="AJ679" s="69"/>
    </row>
    <row r="680">
      <c r="O680" s="66"/>
      <c r="P680" s="66"/>
      <c r="Q680" s="66"/>
      <c r="R680" s="67"/>
      <c r="S680" s="68"/>
      <c r="W680" s="66"/>
      <c r="X680" s="66"/>
      <c r="Y680" s="66"/>
      <c r="Z680" s="66"/>
      <c r="AA680" s="69"/>
      <c r="AD680" s="66"/>
      <c r="AE680" s="66"/>
      <c r="AF680" s="66"/>
      <c r="AG680" s="66"/>
      <c r="AH680" s="66"/>
      <c r="AI680" s="66"/>
      <c r="AJ680" s="69"/>
    </row>
    <row r="681">
      <c r="O681" s="66"/>
      <c r="P681" s="66"/>
      <c r="Q681" s="66"/>
      <c r="R681" s="67"/>
      <c r="S681" s="68"/>
      <c r="W681" s="66"/>
      <c r="X681" s="66"/>
      <c r="Y681" s="66"/>
      <c r="Z681" s="66"/>
      <c r="AA681" s="69"/>
      <c r="AD681" s="66"/>
      <c r="AE681" s="66"/>
      <c r="AF681" s="66"/>
      <c r="AG681" s="66"/>
      <c r="AH681" s="66"/>
      <c r="AI681" s="66"/>
      <c r="AJ681" s="69"/>
    </row>
    <row r="682">
      <c r="O682" s="66"/>
      <c r="P682" s="66"/>
      <c r="Q682" s="66"/>
      <c r="R682" s="67"/>
      <c r="S682" s="68"/>
      <c r="W682" s="66"/>
      <c r="X682" s="66"/>
      <c r="Y682" s="66"/>
      <c r="Z682" s="66"/>
      <c r="AA682" s="69"/>
      <c r="AD682" s="66"/>
      <c r="AE682" s="66"/>
      <c r="AF682" s="66"/>
      <c r="AG682" s="66"/>
      <c r="AH682" s="66"/>
      <c r="AI682" s="66"/>
      <c r="AJ682" s="69"/>
    </row>
    <row r="683">
      <c r="O683" s="66"/>
      <c r="P683" s="66"/>
      <c r="Q683" s="66"/>
      <c r="R683" s="67"/>
      <c r="S683" s="68"/>
      <c r="W683" s="66"/>
      <c r="X683" s="66"/>
      <c r="Y683" s="66"/>
      <c r="Z683" s="66"/>
      <c r="AA683" s="69"/>
      <c r="AD683" s="66"/>
      <c r="AE683" s="66"/>
      <c r="AF683" s="66"/>
      <c r="AG683" s="66"/>
      <c r="AH683" s="66"/>
      <c r="AI683" s="66"/>
      <c r="AJ683" s="69"/>
    </row>
    <row r="684">
      <c r="O684" s="66"/>
      <c r="P684" s="66"/>
      <c r="Q684" s="66"/>
      <c r="R684" s="67"/>
      <c r="S684" s="68"/>
      <c r="W684" s="66"/>
      <c r="X684" s="66"/>
      <c r="Y684" s="66"/>
      <c r="Z684" s="66"/>
      <c r="AA684" s="69"/>
      <c r="AD684" s="66"/>
      <c r="AE684" s="66"/>
      <c r="AF684" s="66"/>
      <c r="AG684" s="66"/>
      <c r="AH684" s="66"/>
      <c r="AI684" s="66"/>
      <c r="AJ684" s="69"/>
    </row>
    <row r="685">
      <c r="O685" s="66"/>
      <c r="P685" s="66"/>
      <c r="Q685" s="66"/>
      <c r="R685" s="67"/>
      <c r="S685" s="68"/>
      <c r="W685" s="66"/>
      <c r="X685" s="66"/>
      <c r="Y685" s="66"/>
      <c r="Z685" s="66"/>
      <c r="AA685" s="69"/>
      <c r="AD685" s="66"/>
      <c r="AE685" s="66"/>
      <c r="AF685" s="66"/>
      <c r="AG685" s="66"/>
      <c r="AH685" s="66"/>
      <c r="AI685" s="66"/>
      <c r="AJ685" s="69"/>
    </row>
    <row r="686">
      <c r="O686" s="66"/>
      <c r="P686" s="66"/>
      <c r="Q686" s="66"/>
      <c r="R686" s="67"/>
      <c r="S686" s="68"/>
      <c r="W686" s="66"/>
      <c r="X686" s="66"/>
      <c r="Y686" s="66"/>
      <c r="Z686" s="66"/>
      <c r="AA686" s="69"/>
      <c r="AD686" s="66"/>
      <c r="AE686" s="66"/>
      <c r="AF686" s="66"/>
      <c r="AG686" s="66"/>
      <c r="AH686" s="66"/>
      <c r="AI686" s="66"/>
      <c r="AJ686" s="69"/>
    </row>
    <row r="687">
      <c r="O687" s="66"/>
      <c r="P687" s="66"/>
      <c r="Q687" s="66"/>
      <c r="R687" s="67"/>
      <c r="S687" s="68"/>
      <c r="W687" s="66"/>
      <c r="X687" s="66"/>
      <c r="Y687" s="66"/>
      <c r="Z687" s="66"/>
      <c r="AA687" s="69"/>
      <c r="AD687" s="66"/>
      <c r="AE687" s="66"/>
      <c r="AF687" s="66"/>
      <c r="AG687" s="66"/>
      <c r="AH687" s="66"/>
      <c r="AI687" s="66"/>
      <c r="AJ687" s="69"/>
    </row>
    <row r="688">
      <c r="O688" s="66"/>
      <c r="P688" s="66"/>
      <c r="Q688" s="66"/>
      <c r="R688" s="67"/>
      <c r="S688" s="68"/>
      <c r="W688" s="66"/>
      <c r="X688" s="66"/>
      <c r="Y688" s="66"/>
      <c r="Z688" s="66"/>
      <c r="AA688" s="69"/>
      <c r="AD688" s="66"/>
      <c r="AE688" s="66"/>
      <c r="AF688" s="66"/>
      <c r="AG688" s="66"/>
      <c r="AH688" s="66"/>
      <c r="AI688" s="66"/>
      <c r="AJ688" s="69"/>
    </row>
    <row r="689">
      <c r="O689" s="66"/>
      <c r="P689" s="66"/>
      <c r="Q689" s="66"/>
      <c r="R689" s="67"/>
      <c r="S689" s="68"/>
      <c r="W689" s="66"/>
      <c r="X689" s="66"/>
      <c r="Y689" s="66"/>
      <c r="Z689" s="66"/>
      <c r="AA689" s="69"/>
      <c r="AD689" s="66"/>
      <c r="AE689" s="66"/>
      <c r="AF689" s="66"/>
      <c r="AG689" s="66"/>
      <c r="AH689" s="66"/>
      <c r="AI689" s="66"/>
      <c r="AJ689" s="69"/>
    </row>
    <row r="690">
      <c r="O690" s="66"/>
      <c r="P690" s="66"/>
      <c r="Q690" s="66"/>
      <c r="R690" s="67"/>
      <c r="S690" s="68"/>
      <c r="W690" s="66"/>
      <c r="X690" s="66"/>
      <c r="Y690" s="66"/>
      <c r="Z690" s="66"/>
      <c r="AA690" s="69"/>
      <c r="AD690" s="66"/>
      <c r="AE690" s="66"/>
      <c r="AF690" s="66"/>
      <c r="AG690" s="66"/>
      <c r="AH690" s="66"/>
      <c r="AI690" s="66"/>
      <c r="AJ690" s="69"/>
    </row>
    <row r="691">
      <c r="O691" s="66"/>
      <c r="P691" s="66"/>
      <c r="Q691" s="66"/>
      <c r="R691" s="67"/>
      <c r="S691" s="68"/>
      <c r="W691" s="66"/>
      <c r="X691" s="66"/>
      <c r="Y691" s="66"/>
      <c r="Z691" s="66"/>
      <c r="AA691" s="69"/>
      <c r="AD691" s="66"/>
      <c r="AE691" s="66"/>
      <c r="AF691" s="66"/>
      <c r="AG691" s="66"/>
      <c r="AH691" s="66"/>
      <c r="AI691" s="66"/>
      <c r="AJ691" s="69"/>
    </row>
    <row r="692">
      <c r="O692" s="66"/>
      <c r="P692" s="66"/>
      <c r="Q692" s="66"/>
      <c r="R692" s="67"/>
      <c r="S692" s="68"/>
      <c r="W692" s="66"/>
      <c r="X692" s="66"/>
      <c r="Y692" s="66"/>
      <c r="Z692" s="66"/>
      <c r="AA692" s="69"/>
      <c r="AD692" s="66"/>
      <c r="AE692" s="66"/>
      <c r="AF692" s="66"/>
      <c r="AG692" s="66"/>
      <c r="AH692" s="66"/>
      <c r="AI692" s="66"/>
      <c r="AJ692" s="69"/>
    </row>
    <row r="693">
      <c r="O693" s="66"/>
      <c r="P693" s="66"/>
      <c r="Q693" s="66"/>
      <c r="R693" s="67"/>
      <c r="S693" s="68"/>
      <c r="W693" s="66"/>
      <c r="X693" s="66"/>
      <c r="Y693" s="66"/>
      <c r="Z693" s="66"/>
      <c r="AA693" s="69"/>
      <c r="AD693" s="66"/>
      <c r="AE693" s="66"/>
      <c r="AF693" s="66"/>
      <c r="AG693" s="66"/>
      <c r="AH693" s="66"/>
      <c r="AI693" s="66"/>
      <c r="AJ693" s="69"/>
    </row>
    <row r="694">
      <c r="O694" s="66"/>
      <c r="P694" s="66"/>
      <c r="Q694" s="66"/>
      <c r="R694" s="67"/>
      <c r="S694" s="68"/>
      <c r="W694" s="66"/>
      <c r="X694" s="66"/>
      <c r="Y694" s="66"/>
      <c r="Z694" s="66"/>
      <c r="AA694" s="69"/>
      <c r="AD694" s="66"/>
      <c r="AE694" s="66"/>
      <c r="AF694" s="66"/>
      <c r="AG694" s="66"/>
      <c r="AH694" s="66"/>
      <c r="AI694" s="66"/>
      <c r="AJ694" s="69"/>
    </row>
    <row r="695">
      <c r="O695" s="66"/>
      <c r="P695" s="66"/>
      <c r="Q695" s="66"/>
      <c r="R695" s="67"/>
      <c r="S695" s="68"/>
      <c r="W695" s="66"/>
      <c r="X695" s="66"/>
      <c r="Y695" s="66"/>
      <c r="Z695" s="66"/>
      <c r="AA695" s="69"/>
      <c r="AD695" s="66"/>
      <c r="AE695" s="66"/>
      <c r="AF695" s="66"/>
      <c r="AG695" s="66"/>
      <c r="AH695" s="66"/>
      <c r="AI695" s="66"/>
      <c r="AJ695" s="69"/>
    </row>
    <row r="696">
      <c r="O696" s="66"/>
      <c r="P696" s="66"/>
      <c r="Q696" s="66"/>
      <c r="R696" s="67"/>
      <c r="S696" s="68"/>
      <c r="W696" s="66"/>
      <c r="X696" s="66"/>
      <c r="Y696" s="66"/>
      <c r="Z696" s="66"/>
      <c r="AA696" s="69"/>
      <c r="AD696" s="66"/>
      <c r="AE696" s="66"/>
      <c r="AF696" s="66"/>
      <c r="AG696" s="66"/>
      <c r="AH696" s="66"/>
      <c r="AI696" s="66"/>
      <c r="AJ696" s="69"/>
    </row>
    <row r="697">
      <c r="O697" s="66"/>
      <c r="P697" s="66"/>
      <c r="Q697" s="66"/>
      <c r="R697" s="67"/>
      <c r="S697" s="68"/>
      <c r="W697" s="66"/>
      <c r="X697" s="66"/>
      <c r="Y697" s="66"/>
      <c r="Z697" s="66"/>
      <c r="AA697" s="69"/>
      <c r="AD697" s="66"/>
      <c r="AE697" s="66"/>
      <c r="AF697" s="66"/>
      <c r="AG697" s="66"/>
      <c r="AH697" s="66"/>
      <c r="AI697" s="66"/>
      <c r="AJ697" s="69"/>
    </row>
    <row r="698">
      <c r="O698" s="66"/>
      <c r="P698" s="66"/>
      <c r="Q698" s="66"/>
      <c r="R698" s="67"/>
      <c r="S698" s="68"/>
      <c r="W698" s="66"/>
      <c r="X698" s="66"/>
      <c r="Y698" s="66"/>
      <c r="Z698" s="66"/>
      <c r="AA698" s="69"/>
      <c r="AD698" s="66"/>
      <c r="AE698" s="66"/>
      <c r="AF698" s="66"/>
      <c r="AG698" s="66"/>
      <c r="AH698" s="66"/>
      <c r="AI698" s="66"/>
      <c r="AJ698" s="69"/>
    </row>
    <row r="699">
      <c r="O699" s="66"/>
      <c r="P699" s="66"/>
      <c r="Q699" s="66"/>
      <c r="R699" s="67"/>
      <c r="S699" s="68"/>
      <c r="W699" s="66"/>
      <c r="X699" s="66"/>
      <c r="Y699" s="66"/>
      <c r="Z699" s="66"/>
      <c r="AA699" s="69"/>
      <c r="AD699" s="66"/>
      <c r="AE699" s="66"/>
      <c r="AF699" s="66"/>
      <c r="AG699" s="66"/>
      <c r="AH699" s="66"/>
      <c r="AI699" s="66"/>
      <c r="AJ699" s="69"/>
    </row>
    <row r="700">
      <c r="O700" s="66"/>
      <c r="P700" s="66"/>
      <c r="Q700" s="66"/>
      <c r="R700" s="67"/>
      <c r="S700" s="68"/>
      <c r="W700" s="66"/>
      <c r="X700" s="66"/>
      <c r="Y700" s="66"/>
      <c r="Z700" s="66"/>
      <c r="AA700" s="69"/>
      <c r="AD700" s="66"/>
      <c r="AE700" s="66"/>
      <c r="AF700" s="66"/>
      <c r="AG700" s="66"/>
      <c r="AH700" s="66"/>
      <c r="AI700" s="66"/>
      <c r="AJ700" s="69"/>
    </row>
    <row r="701">
      <c r="O701" s="66"/>
      <c r="P701" s="66"/>
      <c r="Q701" s="66"/>
      <c r="R701" s="67"/>
      <c r="S701" s="68"/>
      <c r="W701" s="66"/>
      <c r="X701" s="66"/>
      <c r="Y701" s="66"/>
      <c r="Z701" s="66"/>
      <c r="AA701" s="69"/>
      <c r="AD701" s="66"/>
      <c r="AE701" s="66"/>
      <c r="AF701" s="66"/>
      <c r="AG701" s="66"/>
      <c r="AH701" s="66"/>
      <c r="AI701" s="66"/>
      <c r="AJ701" s="69"/>
    </row>
    <row r="702">
      <c r="O702" s="66"/>
      <c r="P702" s="66"/>
      <c r="Q702" s="66"/>
      <c r="R702" s="67"/>
      <c r="S702" s="68"/>
      <c r="W702" s="66"/>
      <c r="X702" s="66"/>
      <c r="Y702" s="66"/>
      <c r="Z702" s="66"/>
      <c r="AA702" s="69"/>
      <c r="AD702" s="66"/>
      <c r="AE702" s="66"/>
      <c r="AF702" s="66"/>
      <c r="AG702" s="66"/>
      <c r="AH702" s="66"/>
      <c r="AI702" s="66"/>
      <c r="AJ702" s="69"/>
    </row>
    <row r="703">
      <c r="O703" s="66"/>
      <c r="P703" s="66"/>
      <c r="Q703" s="66"/>
      <c r="R703" s="67"/>
      <c r="S703" s="68"/>
      <c r="W703" s="66"/>
      <c r="X703" s="66"/>
      <c r="Y703" s="66"/>
      <c r="Z703" s="66"/>
      <c r="AA703" s="69"/>
      <c r="AD703" s="66"/>
      <c r="AE703" s="66"/>
      <c r="AF703" s="66"/>
      <c r="AG703" s="66"/>
      <c r="AH703" s="66"/>
      <c r="AI703" s="66"/>
      <c r="AJ703" s="69"/>
    </row>
    <row r="704">
      <c r="O704" s="66"/>
      <c r="P704" s="66"/>
      <c r="Q704" s="66"/>
      <c r="R704" s="67"/>
      <c r="S704" s="68"/>
      <c r="W704" s="66"/>
      <c r="X704" s="66"/>
      <c r="Y704" s="66"/>
      <c r="Z704" s="66"/>
      <c r="AA704" s="69"/>
      <c r="AD704" s="66"/>
      <c r="AE704" s="66"/>
      <c r="AF704" s="66"/>
      <c r="AG704" s="66"/>
      <c r="AH704" s="66"/>
      <c r="AI704" s="66"/>
      <c r="AJ704" s="69"/>
    </row>
    <row r="705">
      <c r="O705" s="66"/>
      <c r="P705" s="66"/>
      <c r="Q705" s="66"/>
      <c r="R705" s="67"/>
      <c r="S705" s="68"/>
      <c r="W705" s="66"/>
      <c r="X705" s="66"/>
      <c r="Y705" s="66"/>
      <c r="Z705" s="66"/>
      <c r="AA705" s="69"/>
      <c r="AD705" s="66"/>
      <c r="AE705" s="66"/>
      <c r="AF705" s="66"/>
      <c r="AG705" s="66"/>
      <c r="AH705" s="66"/>
      <c r="AI705" s="66"/>
      <c r="AJ705" s="69"/>
    </row>
    <row r="706">
      <c r="O706" s="66"/>
      <c r="P706" s="66"/>
      <c r="Q706" s="66"/>
      <c r="R706" s="67"/>
      <c r="S706" s="68"/>
      <c r="W706" s="66"/>
      <c r="X706" s="66"/>
      <c r="Y706" s="66"/>
      <c r="Z706" s="66"/>
      <c r="AA706" s="69"/>
      <c r="AD706" s="66"/>
      <c r="AE706" s="66"/>
      <c r="AF706" s="66"/>
      <c r="AG706" s="66"/>
      <c r="AH706" s="66"/>
      <c r="AI706" s="66"/>
      <c r="AJ706" s="69"/>
    </row>
    <row r="707">
      <c r="O707" s="66"/>
      <c r="P707" s="66"/>
      <c r="Q707" s="66"/>
      <c r="R707" s="67"/>
      <c r="S707" s="68"/>
      <c r="W707" s="66"/>
      <c r="X707" s="66"/>
      <c r="Y707" s="66"/>
      <c r="Z707" s="66"/>
      <c r="AA707" s="69"/>
      <c r="AD707" s="66"/>
      <c r="AE707" s="66"/>
      <c r="AF707" s="66"/>
      <c r="AG707" s="66"/>
      <c r="AH707" s="66"/>
      <c r="AI707" s="66"/>
      <c r="AJ707" s="69"/>
    </row>
    <row r="708">
      <c r="O708" s="66"/>
      <c r="P708" s="66"/>
      <c r="Q708" s="66"/>
      <c r="R708" s="67"/>
      <c r="S708" s="68"/>
      <c r="W708" s="66"/>
      <c r="X708" s="66"/>
      <c r="Y708" s="66"/>
      <c r="Z708" s="66"/>
      <c r="AA708" s="69"/>
      <c r="AD708" s="66"/>
      <c r="AE708" s="66"/>
      <c r="AF708" s="66"/>
      <c r="AG708" s="66"/>
      <c r="AH708" s="66"/>
      <c r="AI708" s="66"/>
      <c r="AJ708" s="69"/>
    </row>
    <row r="709">
      <c r="O709" s="66"/>
      <c r="P709" s="66"/>
      <c r="Q709" s="66"/>
      <c r="R709" s="67"/>
      <c r="S709" s="68"/>
      <c r="W709" s="66"/>
      <c r="X709" s="66"/>
      <c r="Y709" s="66"/>
      <c r="Z709" s="66"/>
      <c r="AA709" s="69"/>
      <c r="AD709" s="66"/>
      <c r="AE709" s="66"/>
      <c r="AF709" s="66"/>
      <c r="AG709" s="66"/>
      <c r="AH709" s="66"/>
      <c r="AI709" s="66"/>
      <c r="AJ709" s="69"/>
    </row>
    <row r="710">
      <c r="O710" s="66"/>
      <c r="P710" s="66"/>
      <c r="Q710" s="66"/>
      <c r="R710" s="67"/>
      <c r="S710" s="68"/>
      <c r="W710" s="66"/>
      <c r="X710" s="66"/>
      <c r="Y710" s="66"/>
      <c r="Z710" s="66"/>
      <c r="AA710" s="69"/>
      <c r="AD710" s="66"/>
      <c r="AE710" s="66"/>
      <c r="AF710" s="66"/>
      <c r="AG710" s="66"/>
      <c r="AH710" s="66"/>
      <c r="AI710" s="66"/>
      <c r="AJ710" s="69"/>
    </row>
    <row r="711">
      <c r="O711" s="66"/>
      <c r="P711" s="66"/>
      <c r="Q711" s="66"/>
      <c r="R711" s="67"/>
      <c r="S711" s="68"/>
      <c r="W711" s="66"/>
      <c r="X711" s="66"/>
      <c r="Y711" s="66"/>
      <c r="Z711" s="66"/>
      <c r="AA711" s="69"/>
      <c r="AD711" s="66"/>
      <c r="AE711" s="66"/>
      <c r="AF711" s="66"/>
      <c r="AG711" s="66"/>
      <c r="AH711" s="66"/>
      <c r="AI711" s="66"/>
      <c r="AJ711" s="69"/>
    </row>
    <row r="712">
      <c r="O712" s="66"/>
      <c r="P712" s="66"/>
      <c r="Q712" s="66"/>
      <c r="R712" s="67"/>
      <c r="S712" s="68"/>
      <c r="W712" s="66"/>
      <c r="X712" s="66"/>
      <c r="Y712" s="66"/>
      <c r="Z712" s="66"/>
      <c r="AA712" s="69"/>
      <c r="AD712" s="66"/>
      <c r="AE712" s="66"/>
      <c r="AF712" s="66"/>
      <c r="AG712" s="66"/>
      <c r="AH712" s="66"/>
      <c r="AI712" s="66"/>
      <c r="AJ712" s="69"/>
    </row>
    <row r="713">
      <c r="O713" s="66"/>
      <c r="P713" s="66"/>
      <c r="Q713" s="66"/>
      <c r="R713" s="67"/>
      <c r="S713" s="68"/>
      <c r="W713" s="66"/>
      <c r="X713" s="66"/>
      <c r="Y713" s="66"/>
      <c r="Z713" s="66"/>
      <c r="AA713" s="69"/>
      <c r="AD713" s="66"/>
      <c r="AE713" s="66"/>
      <c r="AF713" s="66"/>
      <c r="AG713" s="66"/>
      <c r="AH713" s="66"/>
      <c r="AI713" s="66"/>
      <c r="AJ713" s="69"/>
    </row>
    <row r="714">
      <c r="O714" s="66"/>
      <c r="P714" s="66"/>
      <c r="Q714" s="66"/>
      <c r="R714" s="67"/>
      <c r="S714" s="68"/>
      <c r="W714" s="66"/>
      <c r="X714" s="66"/>
      <c r="Y714" s="66"/>
      <c r="Z714" s="66"/>
      <c r="AA714" s="69"/>
      <c r="AD714" s="66"/>
      <c r="AE714" s="66"/>
      <c r="AF714" s="66"/>
      <c r="AG714" s="66"/>
      <c r="AH714" s="66"/>
      <c r="AI714" s="66"/>
      <c r="AJ714" s="69"/>
    </row>
    <row r="715">
      <c r="O715" s="66"/>
      <c r="P715" s="66"/>
      <c r="Q715" s="66"/>
      <c r="R715" s="67"/>
      <c r="S715" s="68"/>
      <c r="W715" s="66"/>
      <c r="X715" s="66"/>
      <c r="Y715" s="66"/>
      <c r="Z715" s="66"/>
      <c r="AA715" s="69"/>
      <c r="AD715" s="66"/>
      <c r="AE715" s="66"/>
      <c r="AF715" s="66"/>
      <c r="AG715" s="66"/>
      <c r="AH715" s="66"/>
      <c r="AI715" s="66"/>
      <c r="AJ715" s="69"/>
    </row>
    <row r="716">
      <c r="O716" s="66"/>
      <c r="P716" s="66"/>
      <c r="Q716" s="66"/>
      <c r="R716" s="67"/>
      <c r="S716" s="68"/>
      <c r="W716" s="66"/>
      <c r="X716" s="66"/>
      <c r="Y716" s="66"/>
      <c r="Z716" s="66"/>
      <c r="AA716" s="69"/>
      <c r="AD716" s="66"/>
      <c r="AE716" s="66"/>
      <c r="AF716" s="66"/>
      <c r="AG716" s="66"/>
      <c r="AH716" s="66"/>
      <c r="AI716" s="66"/>
      <c r="AJ716" s="69"/>
    </row>
    <row r="717">
      <c r="O717" s="66"/>
      <c r="P717" s="66"/>
      <c r="Q717" s="66"/>
      <c r="R717" s="67"/>
      <c r="S717" s="68"/>
      <c r="W717" s="66"/>
      <c r="X717" s="66"/>
      <c r="Y717" s="66"/>
      <c r="Z717" s="66"/>
      <c r="AA717" s="69"/>
      <c r="AD717" s="66"/>
      <c r="AE717" s="66"/>
      <c r="AF717" s="66"/>
      <c r="AG717" s="66"/>
      <c r="AH717" s="66"/>
      <c r="AI717" s="66"/>
      <c r="AJ717" s="69"/>
    </row>
    <row r="718">
      <c r="O718" s="66"/>
      <c r="P718" s="66"/>
      <c r="Q718" s="66"/>
      <c r="R718" s="67"/>
      <c r="S718" s="68"/>
      <c r="W718" s="66"/>
      <c r="X718" s="66"/>
      <c r="Y718" s="66"/>
      <c r="Z718" s="66"/>
      <c r="AA718" s="69"/>
      <c r="AD718" s="66"/>
      <c r="AE718" s="66"/>
      <c r="AF718" s="66"/>
      <c r="AG718" s="66"/>
      <c r="AH718" s="66"/>
      <c r="AI718" s="66"/>
      <c r="AJ718" s="69"/>
    </row>
    <row r="719">
      <c r="O719" s="66"/>
      <c r="P719" s="66"/>
      <c r="Q719" s="66"/>
      <c r="R719" s="67"/>
      <c r="S719" s="68"/>
      <c r="W719" s="66"/>
      <c r="X719" s="66"/>
      <c r="Y719" s="66"/>
      <c r="Z719" s="66"/>
      <c r="AA719" s="69"/>
      <c r="AD719" s="66"/>
      <c r="AE719" s="66"/>
      <c r="AF719" s="66"/>
      <c r="AG719" s="66"/>
      <c r="AH719" s="66"/>
      <c r="AI719" s="66"/>
      <c r="AJ719" s="69"/>
    </row>
    <row r="720">
      <c r="O720" s="66"/>
      <c r="P720" s="66"/>
      <c r="Q720" s="66"/>
      <c r="R720" s="67"/>
      <c r="S720" s="68"/>
      <c r="W720" s="66"/>
      <c r="X720" s="66"/>
      <c r="Y720" s="66"/>
      <c r="Z720" s="66"/>
      <c r="AA720" s="69"/>
      <c r="AD720" s="66"/>
      <c r="AE720" s="66"/>
      <c r="AF720" s="66"/>
      <c r="AG720" s="66"/>
      <c r="AH720" s="66"/>
      <c r="AI720" s="66"/>
      <c r="AJ720" s="69"/>
    </row>
    <row r="721">
      <c r="O721" s="66"/>
      <c r="P721" s="66"/>
      <c r="Q721" s="66"/>
      <c r="R721" s="67"/>
      <c r="S721" s="68"/>
      <c r="W721" s="66"/>
      <c r="X721" s="66"/>
      <c r="Y721" s="66"/>
      <c r="Z721" s="66"/>
      <c r="AA721" s="69"/>
      <c r="AD721" s="66"/>
      <c r="AE721" s="66"/>
      <c r="AF721" s="66"/>
      <c r="AG721" s="66"/>
      <c r="AH721" s="66"/>
      <c r="AI721" s="66"/>
      <c r="AJ721" s="69"/>
    </row>
    <row r="722">
      <c r="O722" s="66"/>
      <c r="P722" s="66"/>
      <c r="Q722" s="66"/>
      <c r="R722" s="67"/>
      <c r="S722" s="68"/>
      <c r="W722" s="66"/>
      <c r="X722" s="66"/>
      <c r="Y722" s="66"/>
      <c r="Z722" s="66"/>
      <c r="AA722" s="69"/>
      <c r="AD722" s="66"/>
      <c r="AE722" s="66"/>
      <c r="AF722" s="66"/>
      <c r="AG722" s="66"/>
      <c r="AH722" s="66"/>
      <c r="AI722" s="66"/>
      <c r="AJ722" s="69"/>
    </row>
    <row r="723">
      <c r="O723" s="66"/>
      <c r="P723" s="66"/>
      <c r="Q723" s="66"/>
      <c r="R723" s="67"/>
      <c r="S723" s="68"/>
      <c r="W723" s="66"/>
      <c r="X723" s="66"/>
      <c r="Y723" s="66"/>
      <c r="Z723" s="66"/>
      <c r="AA723" s="69"/>
      <c r="AD723" s="66"/>
      <c r="AE723" s="66"/>
      <c r="AF723" s="66"/>
      <c r="AG723" s="66"/>
      <c r="AH723" s="66"/>
      <c r="AI723" s="66"/>
      <c r="AJ723" s="69"/>
    </row>
    <row r="724">
      <c r="O724" s="66"/>
      <c r="P724" s="66"/>
      <c r="Q724" s="66"/>
      <c r="R724" s="67"/>
      <c r="S724" s="68"/>
      <c r="W724" s="66"/>
      <c r="X724" s="66"/>
      <c r="Y724" s="66"/>
      <c r="Z724" s="66"/>
      <c r="AA724" s="69"/>
      <c r="AD724" s="66"/>
      <c r="AE724" s="66"/>
      <c r="AF724" s="66"/>
      <c r="AG724" s="66"/>
      <c r="AH724" s="66"/>
      <c r="AI724" s="66"/>
      <c r="AJ724" s="69"/>
    </row>
    <row r="725">
      <c r="O725" s="66"/>
      <c r="P725" s="66"/>
      <c r="Q725" s="66"/>
      <c r="R725" s="67"/>
      <c r="S725" s="68"/>
      <c r="W725" s="66"/>
      <c r="X725" s="66"/>
      <c r="Y725" s="66"/>
      <c r="Z725" s="66"/>
      <c r="AA725" s="69"/>
      <c r="AD725" s="66"/>
      <c r="AE725" s="66"/>
      <c r="AF725" s="66"/>
      <c r="AG725" s="66"/>
      <c r="AH725" s="66"/>
      <c r="AI725" s="66"/>
      <c r="AJ725" s="69"/>
    </row>
    <row r="726">
      <c r="O726" s="66"/>
      <c r="P726" s="66"/>
      <c r="Q726" s="66"/>
      <c r="R726" s="67"/>
      <c r="S726" s="68"/>
      <c r="W726" s="66"/>
      <c r="X726" s="66"/>
      <c r="Y726" s="66"/>
      <c r="Z726" s="66"/>
      <c r="AA726" s="69"/>
      <c r="AD726" s="66"/>
      <c r="AE726" s="66"/>
      <c r="AF726" s="66"/>
      <c r="AG726" s="66"/>
      <c r="AH726" s="66"/>
      <c r="AI726" s="66"/>
      <c r="AJ726" s="69"/>
    </row>
    <row r="727">
      <c r="O727" s="66"/>
      <c r="P727" s="66"/>
      <c r="Q727" s="66"/>
      <c r="R727" s="67"/>
      <c r="S727" s="68"/>
      <c r="W727" s="66"/>
      <c r="X727" s="66"/>
      <c r="Y727" s="66"/>
      <c r="Z727" s="66"/>
      <c r="AA727" s="69"/>
      <c r="AD727" s="66"/>
      <c r="AE727" s="66"/>
      <c r="AF727" s="66"/>
      <c r="AG727" s="66"/>
      <c r="AH727" s="66"/>
      <c r="AI727" s="66"/>
      <c r="AJ727" s="69"/>
    </row>
    <row r="728">
      <c r="O728" s="66"/>
      <c r="P728" s="66"/>
      <c r="Q728" s="66"/>
      <c r="R728" s="67"/>
      <c r="S728" s="68"/>
      <c r="W728" s="66"/>
      <c r="X728" s="66"/>
      <c r="Y728" s="66"/>
      <c r="Z728" s="66"/>
      <c r="AA728" s="69"/>
      <c r="AD728" s="66"/>
      <c r="AE728" s="66"/>
      <c r="AF728" s="66"/>
      <c r="AG728" s="66"/>
      <c r="AH728" s="66"/>
      <c r="AI728" s="66"/>
      <c r="AJ728" s="69"/>
    </row>
    <row r="729">
      <c r="O729" s="66"/>
      <c r="P729" s="66"/>
      <c r="Q729" s="66"/>
      <c r="R729" s="67"/>
      <c r="S729" s="68"/>
      <c r="W729" s="66"/>
      <c r="X729" s="66"/>
      <c r="Y729" s="66"/>
      <c r="Z729" s="66"/>
      <c r="AA729" s="69"/>
      <c r="AD729" s="66"/>
      <c r="AE729" s="66"/>
      <c r="AF729" s="66"/>
      <c r="AG729" s="66"/>
      <c r="AH729" s="66"/>
      <c r="AI729" s="66"/>
      <c r="AJ729" s="69"/>
    </row>
    <row r="730">
      <c r="O730" s="66"/>
      <c r="P730" s="66"/>
      <c r="Q730" s="66"/>
      <c r="R730" s="67"/>
      <c r="S730" s="68"/>
      <c r="W730" s="66"/>
      <c r="X730" s="66"/>
      <c r="Y730" s="66"/>
      <c r="Z730" s="66"/>
      <c r="AA730" s="69"/>
      <c r="AD730" s="66"/>
      <c r="AE730" s="66"/>
      <c r="AF730" s="66"/>
      <c r="AG730" s="66"/>
      <c r="AH730" s="66"/>
      <c r="AI730" s="66"/>
      <c r="AJ730" s="69"/>
    </row>
    <row r="731">
      <c r="O731" s="66"/>
      <c r="P731" s="66"/>
      <c r="Q731" s="66"/>
      <c r="R731" s="67"/>
      <c r="S731" s="68"/>
      <c r="W731" s="66"/>
      <c r="X731" s="66"/>
      <c r="Y731" s="66"/>
      <c r="Z731" s="66"/>
      <c r="AA731" s="69"/>
      <c r="AD731" s="66"/>
      <c r="AE731" s="66"/>
      <c r="AF731" s="66"/>
      <c r="AG731" s="66"/>
      <c r="AH731" s="66"/>
      <c r="AI731" s="66"/>
      <c r="AJ731" s="69"/>
    </row>
    <row r="732">
      <c r="O732" s="66"/>
      <c r="P732" s="66"/>
      <c r="Q732" s="66"/>
      <c r="R732" s="67"/>
      <c r="S732" s="68"/>
      <c r="W732" s="66"/>
      <c r="X732" s="66"/>
      <c r="Y732" s="66"/>
      <c r="Z732" s="66"/>
      <c r="AA732" s="69"/>
      <c r="AD732" s="66"/>
      <c r="AE732" s="66"/>
      <c r="AF732" s="66"/>
      <c r="AG732" s="66"/>
      <c r="AH732" s="66"/>
      <c r="AI732" s="66"/>
      <c r="AJ732" s="69"/>
    </row>
    <row r="733">
      <c r="O733" s="66"/>
      <c r="P733" s="66"/>
      <c r="Q733" s="66"/>
      <c r="R733" s="67"/>
      <c r="S733" s="68"/>
      <c r="W733" s="66"/>
      <c r="X733" s="66"/>
      <c r="Y733" s="66"/>
      <c r="Z733" s="66"/>
      <c r="AA733" s="69"/>
      <c r="AD733" s="66"/>
      <c r="AE733" s="66"/>
      <c r="AF733" s="66"/>
      <c r="AG733" s="66"/>
      <c r="AH733" s="66"/>
      <c r="AI733" s="66"/>
      <c r="AJ733" s="69"/>
    </row>
    <row r="734">
      <c r="O734" s="66"/>
      <c r="P734" s="66"/>
      <c r="Q734" s="66"/>
      <c r="R734" s="67"/>
      <c r="S734" s="68"/>
      <c r="W734" s="66"/>
      <c r="X734" s="66"/>
      <c r="Y734" s="66"/>
      <c r="Z734" s="66"/>
      <c r="AA734" s="69"/>
      <c r="AD734" s="66"/>
      <c r="AE734" s="66"/>
      <c r="AF734" s="66"/>
      <c r="AG734" s="66"/>
      <c r="AH734" s="66"/>
      <c r="AI734" s="66"/>
      <c r="AJ734" s="69"/>
    </row>
    <row r="735">
      <c r="O735" s="66"/>
      <c r="P735" s="66"/>
      <c r="Q735" s="66"/>
      <c r="R735" s="67"/>
      <c r="S735" s="68"/>
      <c r="W735" s="66"/>
      <c r="X735" s="66"/>
      <c r="Y735" s="66"/>
      <c r="Z735" s="66"/>
      <c r="AA735" s="69"/>
      <c r="AD735" s="66"/>
      <c r="AE735" s="66"/>
      <c r="AF735" s="66"/>
      <c r="AG735" s="66"/>
      <c r="AH735" s="66"/>
      <c r="AI735" s="66"/>
      <c r="AJ735" s="69"/>
    </row>
    <row r="736">
      <c r="O736" s="66"/>
      <c r="P736" s="66"/>
      <c r="Q736" s="66"/>
      <c r="R736" s="67"/>
      <c r="S736" s="68"/>
      <c r="W736" s="66"/>
      <c r="X736" s="66"/>
      <c r="Y736" s="66"/>
      <c r="Z736" s="66"/>
      <c r="AA736" s="69"/>
      <c r="AD736" s="66"/>
      <c r="AE736" s="66"/>
      <c r="AF736" s="66"/>
      <c r="AG736" s="66"/>
      <c r="AH736" s="66"/>
      <c r="AI736" s="66"/>
      <c r="AJ736" s="69"/>
    </row>
    <row r="737">
      <c r="O737" s="66"/>
      <c r="P737" s="66"/>
      <c r="Q737" s="66"/>
      <c r="R737" s="67"/>
      <c r="S737" s="68"/>
      <c r="W737" s="66"/>
      <c r="X737" s="66"/>
      <c r="Y737" s="66"/>
      <c r="Z737" s="66"/>
      <c r="AA737" s="69"/>
      <c r="AD737" s="66"/>
      <c r="AE737" s="66"/>
      <c r="AF737" s="66"/>
      <c r="AG737" s="66"/>
      <c r="AH737" s="66"/>
      <c r="AI737" s="66"/>
      <c r="AJ737" s="69"/>
    </row>
    <row r="738">
      <c r="O738" s="66"/>
      <c r="P738" s="66"/>
      <c r="Q738" s="66"/>
      <c r="R738" s="67"/>
      <c r="S738" s="68"/>
      <c r="W738" s="66"/>
      <c r="X738" s="66"/>
      <c r="Y738" s="66"/>
      <c r="Z738" s="66"/>
      <c r="AA738" s="69"/>
      <c r="AD738" s="66"/>
      <c r="AE738" s="66"/>
      <c r="AF738" s="66"/>
      <c r="AG738" s="66"/>
      <c r="AH738" s="66"/>
      <c r="AI738" s="66"/>
      <c r="AJ738" s="69"/>
    </row>
    <row r="739">
      <c r="O739" s="66"/>
      <c r="P739" s="66"/>
      <c r="Q739" s="66"/>
      <c r="R739" s="67"/>
      <c r="S739" s="68"/>
      <c r="W739" s="66"/>
      <c r="X739" s="66"/>
      <c r="Y739" s="66"/>
      <c r="Z739" s="66"/>
      <c r="AA739" s="69"/>
      <c r="AD739" s="66"/>
      <c r="AE739" s="66"/>
      <c r="AF739" s="66"/>
      <c r="AG739" s="66"/>
      <c r="AH739" s="66"/>
      <c r="AI739" s="66"/>
      <c r="AJ739" s="69"/>
    </row>
    <row r="740">
      <c r="O740" s="66"/>
      <c r="P740" s="66"/>
      <c r="Q740" s="66"/>
      <c r="R740" s="67"/>
      <c r="S740" s="68"/>
      <c r="W740" s="66"/>
      <c r="X740" s="66"/>
      <c r="Y740" s="66"/>
      <c r="Z740" s="66"/>
      <c r="AA740" s="69"/>
      <c r="AD740" s="66"/>
      <c r="AE740" s="66"/>
      <c r="AF740" s="66"/>
      <c r="AG740" s="66"/>
      <c r="AH740" s="66"/>
      <c r="AI740" s="66"/>
      <c r="AJ740" s="69"/>
    </row>
    <row r="741">
      <c r="O741" s="66"/>
      <c r="P741" s="66"/>
      <c r="Q741" s="66"/>
      <c r="R741" s="67"/>
      <c r="S741" s="68"/>
      <c r="W741" s="66"/>
      <c r="X741" s="66"/>
      <c r="Y741" s="66"/>
      <c r="Z741" s="66"/>
      <c r="AA741" s="69"/>
      <c r="AD741" s="66"/>
      <c r="AE741" s="66"/>
      <c r="AF741" s="66"/>
      <c r="AG741" s="66"/>
      <c r="AH741" s="66"/>
      <c r="AI741" s="66"/>
      <c r="AJ741" s="69"/>
    </row>
    <row r="742">
      <c r="O742" s="66"/>
      <c r="P742" s="66"/>
      <c r="Q742" s="66"/>
      <c r="R742" s="67"/>
      <c r="S742" s="68"/>
      <c r="W742" s="66"/>
      <c r="X742" s="66"/>
      <c r="Y742" s="66"/>
      <c r="Z742" s="66"/>
      <c r="AA742" s="69"/>
      <c r="AD742" s="66"/>
      <c r="AE742" s="66"/>
      <c r="AF742" s="66"/>
      <c r="AG742" s="66"/>
      <c r="AH742" s="66"/>
      <c r="AI742" s="66"/>
      <c r="AJ742" s="69"/>
    </row>
    <row r="743">
      <c r="O743" s="66"/>
      <c r="P743" s="66"/>
      <c r="Q743" s="66"/>
      <c r="R743" s="67"/>
      <c r="S743" s="68"/>
      <c r="W743" s="66"/>
      <c r="X743" s="66"/>
      <c r="Y743" s="66"/>
      <c r="Z743" s="66"/>
      <c r="AA743" s="69"/>
      <c r="AD743" s="66"/>
      <c r="AE743" s="66"/>
      <c r="AF743" s="66"/>
      <c r="AG743" s="66"/>
      <c r="AH743" s="66"/>
      <c r="AI743" s="66"/>
      <c r="AJ743" s="69"/>
    </row>
    <row r="744">
      <c r="O744" s="66"/>
      <c r="P744" s="66"/>
      <c r="Q744" s="66"/>
      <c r="R744" s="67"/>
      <c r="S744" s="68"/>
      <c r="W744" s="66"/>
      <c r="X744" s="66"/>
      <c r="Y744" s="66"/>
      <c r="Z744" s="66"/>
      <c r="AA744" s="69"/>
      <c r="AD744" s="66"/>
      <c r="AE744" s="66"/>
      <c r="AF744" s="66"/>
      <c r="AG744" s="66"/>
      <c r="AH744" s="66"/>
      <c r="AI744" s="66"/>
      <c r="AJ744" s="69"/>
    </row>
    <row r="745">
      <c r="O745" s="66"/>
      <c r="P745" s="66"/>
      <c r="Q745" s="66"/>
      <c r="R745" s="67"/>
      <c r="S745" s="68"/>
      <c r="W745" s="66"/>
      <c r="X745" s="66"/>
      <c r="Y745" s="66"/>
      <c r="Z745" s="66"/>
      <c r="AA745" s="69"/>
      <c r="AD745" s="66"/>
      <c r="AE745" s="66"/>
      <c r="AF745" s="66"/>
      <c r="AG745" s="66"/>
      <c r="AH745" s="66"/>
      <c r="AI745" s="66"/>
      <c r="AJ745" s="69"/>
    </row>
    <row r="746">
      <c r="O746" s="66"/>
      <c r="P746" s="66"/>
      <c r="Q746" s="66"/>
      <c r="R746" s="67"/>
      <c r="S746" s="68"/>
      <c r="W746" s="66"/>
      <c r="X746" s="66"/>
      <c r="Y746" s="66"/>
      <c r="Z746" s="66"/>
      <c r="AA746" s="69"/>
      <c r="AD746" s="66"/>
      <c r="AE746" s="66"/>
      <c r="AF746" s="66"/>
      <c r="AG746" s="66"/>
      <c r="AH746" s="66"/>
      <c r="AI746" s="66"/>
      <c r="AJ746" s="69"/>
    </row>
    <row r="747">
      <c r="O747" s="66"/>
      <c r="P747" s="66"/>
      <c r="Q747" s="66"/>
      <c r="R747" s="67"/>
      <c r="S747" s="68"/>
      <c r="W747" s="66"/>
      <c r="X747" s="66"/>
      <c r="Y747" s="66"/>
      <c r="Z747" s="66"/>
      <c r="AA747" s="69"/>
      <c r="AD747" s="66"/>
      <c r="AE747" s="66"/>
      <c r="AF747" s="66"/>
      <c r="AG747" s="66"/>
      <c r="AH747" s="66"/>
      <c r="AI747" s="66"/>
      <c r="AJ747" s="69"/>
    </row>
    <row r="748">
      <c r="O748" s="66"/>
      <c r="P748" s="66"/>
      <c r="Q748" s="66"/>
      <c r="R748" s="67"/>
      <c r="S748" s="68"/>
      <c r="W748" s="66"/>
      <c r="X748" s="66"/>
      <c r="Y748" s="66"/>
      <c r="Z748" s="66"/>
      <c r="AA748" s="69"/>
      <c r="AD748" s="66"/>
      <c r="AE748" s="66"/>
      <c r="AF748" s="66"/>
      <c r="AG748" s="66"/>
      <c r="AH748" s="66"/>
      <c r="AI748" s="66"/>
      <c r="AJ748" s="69"/>
    </row>
    <row r="749">
      <c r="O749" s="66"/>
      <c r="P749" s="66"/>
      <c r="Q749" s="66"/>
      <c r="R749" s="67"/>
      <c r="S749" s="68"/>
      <c r="W749" s="66"/>
      <c r="X749" s="66"/>
      <c r="Y749" s="66"/>
      <c r="Z749" s="66"/>
      <c r="AA749" s="69"/>
      <c r="AD749" s="66"/>
      <c r="AE749" s="66"/>
      <c r="AF749" s="66"/>
      <c r="AG749" s="66"/>
      <c r="AH749" s="66"/>
      <c r="AI749" s="66"/>
      <c r="AJ749" s="69"/>
    </row>
    <row r="750">
      <c r="O750" s="66"/>
      <c r="P750" s="66"/>
      <c r="Q750" s="66"/>
      <c r="R750" s="67"/>
      <c r="S750" s="68"/>
      <c r="W750" s="66"/>
      <c r="X750" s="66"/>
      <c r="Y750" s="66"/>
      <c r="Z750" s="66"/>
      <c r="AA750" s="69"/>
      <c r="AD750" s="66"/>
      <c r="AE750" s="66"/>
      <c r="AF750" s="66"/>
      <c r="AG750" s="66"/>
      <c r="AH750" s="66"/>
      <c r="AI750" s="66"/>
      <c r="AJ750" s="69"/>
    </row>
    <row r="751">
      <c r="O751" s="66"/>
      <c r="P751" s="66"/>
      <c r="Q751" s="66"/>
      <c r="R751" s="67"/>
      <c r="S751" s="68"/>
      <c r="W751" s="66"/>
      <c r="X751" s="66"/>
      <c r="Y751" s="66"/>
      <c r="Z751" s="66"/>
      <c r="AA751" s="69"/>
      <c r="AD751" s="66"/>
      <c r="AE751" s="66"/>
      <c r="AF751" s="66"/>
      <c r="AG751" s="66"/>
      <c r="AH751" s="66"/>
      <c r="AI751" s="66"/>
      <c r="AJ751" s="69"/>
    </row>
    <row r="752">
      <c r="O752" s="66"/>
      <c r="P752" s="66"/>
      <c r="Q752" s="66"/>
      <c r="R752" s="67"/>
      <c r="S752" s="68"/>
      <c r="W752" s="66"/>
      <c r="X752" s="66"/>
      <c r="Y752" s="66"/>
      <c r="Z752" s="66"/>
      <c r="AA752" s="69"/>
      <c r="AD752" s="66"/>
      <c r="AE752" s="66"/>
      <c r="AF752" s="66"/>
      <c r="AG752" s="66"/>
      <c r="AH752" s="66"/>
      <c r="AI752" s="66"/>
      <c r="AJ752" s="69"/>
    </row>
    <row r="753">
      <c r="O753" s="66"/>
      <c r="P753" s="66"/>
      <c r="Q753" s="66"/>
      <c r="R753" s="67"/>
      <c r="S753" s="68"/>
      <c r="W753" s="66"/>
      <c r="X753" s="66"/>
      <c r="Y753" s="66"/>
      <c r="Z753" s="66"/>
      <c r="AA753" s="69"/>
      <c r="AD753" s="66"/>
      <c r="AE753" s="66"/>
      <c r="AF753" s="66"/>
      <c r="AG753" s="66"/>
      <c r="AH753" s="66"/>
      <c r="AI753" s="66"/>
      <c r="AJ753" s="69"/>
    </row>
    <row r="754">
      <c r="O754" s="66"/>
      <c r="P754" s="66"/>
      <c r="Q754" s="66"/>
      <c r="R754" s="67"/>
      <c r="S754" s="68"/>
      <c r="W754" s="66"/>
      <c r="X754" s="66"/>
      <c r="Y754" s="66"/>
      <c r="Z754" s="66"/>
      <c r="AA754" s="69"/>
      <c r="AD754" s="66"/>
      <c r="AE754" s="66"/>
      <c r="AF754" s="66"/>
      <c r="AG754" s="66"/>
      <c r="AH754" s="66"/>
      <c r="AI754" s="66"/>
      <c r="AJ754" s="69"/>
    </row>
    <row r="755">
      <c r="O755" s="66"/>
      <c r="P755" s="66"/>
      <c r="Q755" s="66"/>
      <c r="R755" s="67"/>
      <c r="S755" s="68"/>
      <c r="W755" s="66"/>
      <c r="X755" s="66"/>
      <c r="Y755" s="66"/>
      <c r="Z755" s="66"/>
      <c r="AA755" s="69"/>
      <c r="AD755" s="66"/>
      <c r="AE755" s="66"/>
      <c r="AF755" s="66"/>
      <c r="AG755" s="66"/>
      <c r="AH755" s="66"/>
      <c r="AI755" s="66"/>
      <c r="AJ755" s="69"/>
    </row>
    <row r="756">
      <c r="O756" s="66"/>
      <c r="P756" s="66"/>
      <c r="Q756" s="66"/>
      <c r="R756" s="67"/>
      <c r="S756" s="68"/>
      <c r="W756" s="66"/>
      <c r="X756" s="66"/>
      <c r="Y756" s="66"/>
      <c r="Z756" s="66"/>
      <c r="AA756" s="69"/>
      <c r="AD756" s="66"/>
      <c r="AE756" s="66"/>
      <c r="AF756" s="66"/>
      <c r="AG756" s="66"/>
      <c r="AH756" s="66"/>
      <c r="AI756" s="66"/>
      <c r="AJ756" s="69"/>
    </row>
    <row r="757">
      <c r="O757" s="66"/>
      <c r="P757" s="66"/>
      <c r="Q757" s="66"/>
      <c r="R757" s="67"/>
      <c r="S757" s="68"/>
      <c r="W757" s="66"/>
      <c r="X757" s="66"/>
      <c r="Y757" s="66"/>
      <c r="Z757" s="66"/>
      <c r="AA757" s="69"/>
      <c r="AD757" s="66"/>
      <c r="AE757" s="66"/>
      <c r="AF757" s="66"/>
      <c r="AG757" s="66"/>
      <c r="AH757" s="66"/>
      <c r="AI757" s="66"/>
      <c r="AJ757" s="69"/>
    </row>
    <row r="758">
      <c r="O758" s="66"/>
      <c r="P758" s="66"/>
      <c r="Q758" s="66"/>
      <c r="R758" s="67"/>
      <c r="S758" s="68"/>
      <c r="W758" s="66"/>
      <c r="X758" s="66"/>
      <c r="Y758" s="66"/>
      <c r="Z758" s="66"/>
      <c r="AA758" s="69"/>
      <c r="AD758" s="66"/>
      <c r="AE758" s="66"/>
      <c r="AF758" s="66"/>
      <c r="AG758" s="66"/>
      <c r="AH758" s="66"/>
      <c r="AI758" s="66"/>
      <c r="AJ758" s="69"/>
    </row>
    <row r="759">
      <c r="O759" s="66"/>
      <c r="P759" s="66"/>
      <c r="Q759" s="66"/>
      <c r="R759" s="67"/>
      <c r="S759" s="68"/>
      <c r="W759" s="66"/>
      <c r="X759" s="66"/>
      <c r="Y759" s="66"/>
      <c r="Z759" s="66"/>
      <c r="AA759" s="69"/>
      <c r="AD759" s="66"/>
      <c r="AE759" s="66"/>
      <c r="AF759" s="66"/>
      <c r="AG759" s="66"/>
      <c r="AH759" s="66"/>
      <c r="AI759" s="66"/>
      <c r="AJ759" s="69"/>
    </row>
    <row r="760">
      <c r="O760" s="66"/>
      <c r="P760" s="66"/>
      <c r="Q760" s="66"/>
      <c r="R760" s="67"/>
      <c r="S760" s="68"/>
      <c r="W760" s="66"/>
      <c r="X760" s="66"/>
      <c r="Y760" s="66"/>
      <c r="Z760" s="66"/>
      <c r="AA760" s="69"/>
      <c r="AD760" s="66"/>
      <c r="AE760" s="66"/>
      <c r="AF760" s="66"/>
      <c r="AG760" s="66"/>
      <c r="AH760" s="66"/>
      <c r="AI760" s="66"/>
      <c r="AJ760" s="69"/>
    </row>
    <row r="761">
      <c r="O761" s="66"/>
      <c r="P761" s="66"/>
      <c r="Q761" s="66"/>
      <c r="R761" s="67"/>
      <c r="S761" s="68"/>
      <c r="W761" s="66"/>
      <c r="X761" s="66"/>
      <c r="Y761" s="66"/>
      <c r="Z761" s="66"/>
      <c r="AA761" s="69"/>
      <c r="AD761" s="66"/>
      <c r="AE761" s="66"/>
      <c r="AF761" s="66"/>
      <c r="AG761" s="66"/>
      <c r="AH761" s="66"/>
      <c r="AI761" s="66"/>
      <c r="AJ761" s="69"/>
    </row>
    <row r="762">
      <c r="O762" s="66"/>
      <c r="P762" s="66"/>
      <c r="Q762" s="66"/>
      <c r="R762" s="67"/>
      <c r="S762" s="68"/>
      <c r="W762" s="66"/>
      <c r="X762" s="66"/>
      <c r="Y762" s="66"/>
      <c r="Z762" s="66"/>
      <c r="AA762" s="69"/>
      <c r="AD762" s="66"/>
      <c r="AE762" s="66"/>
      <c r="AF762" s="66"/>
      <c r="AG762" s="66"/>
      <c r="AH762" s="66"/>
      <c r="AI762" s="66"/>
      <c r="AJ762" s="69"/>
    </row>
    <row r="763">
      <c r="O763" s="66"/>
      <c r="P763" s="66"/>
      <c r="Q763" s="66"/>
      <c r="R763" s="67"/>
      <c r="S763" s="68"/>
      <c r="W763" s="66"/>
      <c r="X763" s="66"/>
      <c r="Y763" s="66"/>
      <c r="Z763" s="66"/>
      <c r="AA763" s="69"/>
      <c r="AD763" s="66"/>
      <c r="AE763" s="66"/>
      <c r="AF763" s="66"/>
      <c r="AG763" s="66"/>
      <c r="AH763" s="66"/>
      <c r="AI763" s="66"/>
      <c r="AJ763" s="69"/>
    </row>
    <row r="764">
      <c r="O764" s="66"/>
      <c r="P764" s="66"/>
      <c r="Q764" s="66"/>
      <c r="R764" s="67"/>
      <c r="S764" s="68"/>
      <c r="W764" s="66"/>
      <c r="X764" s="66"/>
      <c r="Y764" s="66"/>
      <c r="Z764" s="66"/>
      <c r="AA764" s="69"/>
      <c r="AD764" s="66"/>
      <c r="AE764" s="66"/>
      <c r="AF764" s="66"/>
      <c r="AG764" s="66"/>
      <c r="AH764" s="66"/>
      <c r="AI764" s="66"/>
      <c r="AJ764" s="69"/>
    </row>
    <row r="765">
      <c r="O765" s="66"/>
      <c r="P765" s="66"/>
      <c r="Q765" s="66"/>
      <c r="R765" s="67"/>
      <c r="S765" s="68"/>
      <c r="W765" s="66"/>
      <c r="X765" s="66"/>
      <c r="Y765" s="66"/>
      <c r="Z765" s="66"/>
      <c r="AA765" s="69"/>
      <c r="AD765" s="66"/>
      <c r="AE765" s="66"/>
      <c r="AF765" s="66"/>
      <c r="AG765" s="66"/>
      <c r="AH765" s="66"/>
      <c r="AI765" s="66"/>
      <c r="AJ765" s="69"/>
    </row>
    <row r="766">
      <c r="O766" s="66"/>
      <c r="P766" s="66"/>
      <c r="Q766" s="66"/>
      <c r="R766" s="67"/>
      <c r="S766" s="68"/>
      <c r="W766" s="66"/>
      <c r="X766" s="66"/>
      <c r="Y766" s="66"/>
      <c r="Z766" s="66"/>
      <c r="AA766" s="69"/>
      <c r="AD766" s="66"/>
      <c r="AE766" s="66"/>
      <c r="AF766" s="66"/>
      <c r="AG766" s="66"/>
      <c r="AH766" s="66"/>
      <c r="AI766" s="66"/>
      <c r="AJ766" s="69"/>
    </row>
    <row r="767">
      <c r="O767" s="66"/>
      <c r="P767" s="66"/>
      <c r="Q767" s="66"/>
      <c r="R767" s="67"/>
      <c r="S767" s="68"/>
      <c r="W767" s="66"/>
      <c r="X767" s="66"/>
      <c r="Y767" s="66"/>
      <c r="Z767" s="66"/>
      <c r="AA767" s="69"/>
      <c r="AD767" s="66"/>
      <c r="AE767" s="66"/>
      <c r="AF767" s="66"/>
      <c r="AG767" s="66"/>
      <c r="AH767" s="66"/>
      <c r="AI767" s="66"/>
      <c r="AJ767" s="69"/>
    </row>
    <row r="768">
      <c r="O768" s="66"/>
      <c r="P768" s="66"/>
      <c r="Q768" s="66"/>
      <c r="R768" s="67"/>
      <c r="S768" s="68"/>
      <c r="W768" s="66"/>
      <c r="X768" s="66"/>
      <c r="Y768" s="66"/>
      <c r="Z768" s="66"/>
      <c r="AA768" s="69"/>
      <c r="AD768" s="66"/>
      <c r="AE768" s="66"/>
      <c r="AF768" s="66"/>
      <c r="AG768" s="66"/>
      <c r="AH768" s="66"/>
      <c r="AI768" s="66"/>
      <c r="AJ768" s="69"/>
    </row>
    <row r="769">
      <c r="O769" s="66"/>
      <c r="P769" s="66"/>
      <c r="Q769" s="66"/>
      <c r="R769" s="67"/>
      <c r="S769" s="68"/>
      <c r="W769" s="66"/>
      <c r="X769" s="66"/>
      <c r="Y769" s="66"/>
      <c r="Z769" s="66"/>
      <c r="AA769" s="69"/>
      <c r="AD769" s="66"/>
      <c r="AE769" s="66"/>
      <c r="AF769" s="66"/>
      <c r="AG769" s="66"/>
      <c r="AH769" s="66"/>
      <c r="AI769" s="66"/>
      <c r="AJ769" s="69"/>
    </row>
    <row r="770">
      <c r="O770" s="66"/>
      <c r="P770" s="66"/>
      <c r="Q770" s="66"/>
      <c r="R770" s="67"/>
      <c r="S770" s="68"/>
      <c r="W770" s="66"/>
      <c r="X770" s="66"/>
      <c r="Y770" s="66"/>
      <c r="Z770" s="66"/>
      <c r="AA770" s="69"/>
      <c r="AD770" s="66"/>
      <c r="AE770" s="66"/>
      <c r="AF770" s="66"/>
      <c r="AG770" s="66"/>
      <c r="AH770" s="66"/>
      <c r="AI770" s="66"/>
      <c r="AJ770" s="69"/>
    </row>
    <row r="771">
      <c r="O771" s="66"/>
      <c r="P771" s="66"/>
      <c r="Q771" s="66"/>
      <c r="R771" s="67"/>
      <c r="S771" s="68"/>
      <c r="W771" s="66"/>
      <c r="X771" s="66"/>
      <c r="Y771" s="66"/>
      <c r="Z771" s="66"/>
      <c r="AA771" s="69"/>
      <c r="AD771" s="66"/>
      <c r="AE771" s="66"/>
      <c r="AF771" s="66"/>
      <c r="AG771" s="66"/>
      <c r="AH771" s="66"/>
      <c r="AI771" s="66"/>
      <c r="AJ771" s="69"/>
    </row>
    <row r="772">
      <c r="O772" s="66"/>
      <c r="P772" s="66"/>
      <c r="Q772" s="66"/>
      <c r="R772" s="67"/>
      <c r="S772" s="68"/>
      <c r="W772" s="66"/>
      <c r="X772" s="66"/>
      <c r="Y772" s="66"/>
      <c r="Z772" s="66"/>
      <c r="AA772" s="69"/>
      <c r="AD772" s="66"/>
      <c r="AE772" s="66"/>
      <c r="AF772" s="66"/>
      <c r="AG772" s="66"/>
      <c r="AH772" s="66"/>
      <c r="AI772" s="66"/>
      <c r="AJ772" s="69"/>
    </row>
    <row r="773">
      <c r="O773" s="66"/>
      <c r="P773" s="66"/>
      <c r="Q773" s="66"/>
      <c r="R773" s="67"/>
      <c r="S773" s="68"/>
      <c r="W773" s="66"/>
      <c r="X773" s="66"/>
      <c r="Y773" s="66"/>
      <c r="Z773" s="66"/>
      <c r="AA773" s="69"/>
      <c r="AD773" s="66"/>
      <c r="AE773" s="66"/>
      <c r="AF773" s="66"/>
      <c r="AG773" s="66"/>
      <c r="AH773" s="66"/>
      <c r="AI773" s="66"/>
      <c r="AJ773" s="69"/>
    </row>
    <row r="774">
      <c r="O774" s="66"/>
      <c r="P774" s="66"/>
      <c r="Q774" s="66"/>
      <c r="R774" s="67"/>
      <c r="S774" s="68"/>
      <c r="W774" s="66"/>
      <c r="X774" s="66"/>
      <c r="Y774" s="66"/>
      <c r="Z774" s="66"/>
      <c r="AA774" s="69"/>
      <c r="AD774" s="66"/>
      <c r="AE774" s="66"/>
      <c r="AF774" s="66"/>
      <c r="AG774" s="66"/>
      <c r="AH774" s="66"/>
      <c r="AI774" s="66"/>
      <c r="AJ774" s="69"/>
    </row>
    <row r="775">
      <c r="O775" s="66"/>
      <c r="P775" s="66"/>
      <c r="Q775" s="66"/>
      <c r="R775" s="67"/>
      <c r="S775" s="68"/>
      <c r="W775" s="66"/>
      <c r="X775" s="66"/>
      <c r="Y775" s="66"/>
      <c r="Z775" s="66"/>
      <c r="AA775" s="69"/>
      <c r="AD775" s="66"/>
      <c r="AE775" s="66"/>
      <c r="AF775" s="66"/>
      <c r="AG775" s="66"/>
      <c r="AH775" s="66"/>
      <c r="AI775" s="66"/>
      <c r="AJ775" s="69"/>
    </row>
    <row r="776">
      <c r="O776" s="66"/>
      <c r="P776" s="66"/>
      <c r="Q776" s="66"/>
      <c r="R776" s="67"/>
      <c r="S776" s="68"/>
      <c r="W776" s="66"/>
      <c r="X776" s="66"/>
      <c r="Y776" s="66"/>
      <c r="Z776" s="66"/>
      <c r="AA776" s="69"/>
      <c r="AD776" s="66"/>
      <c r="AE776" s="66"/>
      <c r="AF776" s="66"/>
      <c r="AG776" s="66"/>
      <c r="AH776" s="66"/>
      <c r="AI776" s="66"/>
      <c r="AJ776" s="69"/>
    </row>
    <row r="777">
      <c r="O777" s="66"/>
      <c r="P777" s="66"/>
      <c r="Q777" s="66"/>
      <c r="R777" s="67"/>
      <c r="S777" s="68"/>
      <c r="W777" s="66"/>
      <c r="X777" s="66"/>
      <c r="Y777" s="66"/>
      <c r="Z777" s="66"/>
      <c r="AA777" s="69"/>
      <c r="AD777" s="66"/>
      <c r="AE777" s="66"/>
      <c r="AF777" s="66"/>
      <c r="AG777" s="66"/>
      <c r="AH777" s="66"/>
      <c r="AI777" s="66"/>
      <c r="AJ777" s="69"/>
    </row>
    <row r="778">
      <c r="O778" s="66"/>
      <c r="P778" s="66"/>
      <c r="Q778" s="66"/>
      <c r="R778" s="67"/>
      <c r="S778" s="68"/>
      <c r="W778" s="66"/>
      <c r="X778" s="66"/>
      <c r="Y778" s="66"/>
      <c r="Z778" s="66"/>
      <c r="AA778" s="69"/>
      <c r="AD778" s="66"/>
      <c r="AE778" s="66"/>
      <c r="AF778" s="66"/>
      <c r="AG778" s="66"/>
      <c r="AH778" s="66"/>
      <c r="AI778" s="66"/>
      <c r="AJ778" s="69"/>
    </row>
    <row r="779">
      <c r="O779" s="66"/>
      <c r="P779" s="66"/>
      <c r="Q779" s="66"/>
      <c r="R779" s="67"/>
      <c r="S779" s="68"/>
      <c r="W779" s="66"/>
      <c r="X779" s="66"/>
      <c r="Y779" s="66"/>
      <c r="Z779" s="66"/>
      <c r="AA779" s="69"/>
      <c r="AD779" s="66"/>
      <c r="AE779" s="66"/>
      <c r="AF779" s="66"/>
      <c r="AG779" s="66"/>
      <c r="AH779" s="66"/>
      <c r="AI779" s="66"/>
      <c r="AJ779" s="69"/>
    </row>
    <row r="780">
      <c r="O780" s="66"/>
      <c r="P780" s="66"/>
      <c r="Q780" s="66"/>
      <c r="R780" s="67"/>
      <c r="S780" s="68"/>
      <c r="W780" s="66"/>
      <c r="X780" s="66"/>
      <c r="Y780" s="66"/>
      <c r="Z780" s="66"/>
      <c r="AA780" s="69"/>
      <c r="AD780" s="66"/>
      <c r="AE780" s="66"/>
      <c r="AF780" s="66"/>
      <c r="AG780" s="66"/>
      <c r="AH780" s="66"/>
      <c r="AI780" s="66"/>
      <c r="AJ780" s="69"/>
    </row>
    <row r="781">
      <c r="O781" s="66"/>
      <c r="P781" s="66"/>
      <c r="Q781" s="66"/>
      <c r="R781" s="67"/>
      <c r="S781" s="68"/>
      <c r="W781" s="66"/>
      <c r="X781" s="66"/>
      <c r="Y781" s="66"/>
      <c r="Z781" s="66"/>
      <c r="AA781" s="69"/>
      <c r="AD781" s="66"/>
      <c r="AE781" s="66"/>
      <c r="AF781" s="66"/>
      <c r="AG781" s="66"/>
      <c r="AH781" s="66"/>
      <c r="AI781" s="66"/>
      <c r="AJ781" s="69"/>
    </row>
    <row r="782">
      <c r="O782" s="66"/>
      <c r="P782" s="66"/>
      <c r="Q782" s="66"/>
      <c r="R782" s="67"/>
      <c r="S782" s="68"/>
      <c r="W782" s="66"/>
      <c r="X782" s="66"/>
      <c r="Y782" s="66"/>
      <c r="Z782" s="66"/>
      <c r="AA782" s="69"/>
      <c r="AD782" s="66"/>
      <c r="AE782" s="66"/>
      <c r="AF782" s="66"/>
      <c r="AG782" s="66"/>
      <c r="AH782" s="66"/>
      <c r="AI782" s="66"/>
      <c r="AJ782" s="69"/>
    </row>
    <row r="783">
      <c r="O783" s="66"/>
      <c r="P783" s="66"/>
      <c r="Q783" s="66"/>
      <c r="R783" s="67"/>
      <c r="S783" s="68"/>
      <c r="W783" s="66"/>
      <c r="X783" s="66"/>
      <c r="Y783" s="66"/>
      <c r="Z783" s="66"/>
      <c r="AA783" s="69"/>
      <c r="AD783" s="66"/>
      <c r="AE783" s="66"/>
      <c r="AF783" s="66"/>
      <c r="AG783" s="66"/>
      <c r="AH783" s="66"/>
      <c r="AI783" s="66"/>
      <c r="AJ783" s="69"/>
    </row>
    <row r="784">
      <c r="O784" s="66"/>
      <c r="P784" s="66"/>
      <c r="Q784" s="66"/>
      <c r="R784" s="67"/>
      <c r="S784" s="68"/>
      <c r="W784" s="66"/>
      <c r="X784" s="66"/>
      <c r="Y784" s="66"/>
      <c r="Z784" s="66"/>
      <c r="AA784" s="69"/>
      <c r="AD784" s="66"/>
      <c r="AE784" s="66"/>
      <c r="AF784" s="66"/>
      <c r="AG784" s="66"/>
      <c r="AH784" s="66"/>
      <c r="AI784" s="66"/>
      <c r="AJ784" s="69"/>
    </row>
    <row r="785">
      <c r="O785" s="66"/>
      <c r="P785" s="66"/>
      <c r="Q785" s="66"/>
      <c r="R785" s="67"/>
      <c r="S785" s="68"/>
      <c r="W785" s="66"/>
      <c r="X785" s="66"/>
      <c r="Y785" s="66"/>
      <c r="Z785" s="66"/>
      <c r="AA785" s="69"/>
      <c r="AD785" s="66"/>
      <c r="AE785" s="66"/>
      <c r="AF785" s="66"/>
      <c r="AG785" s="66"/>
      <c r="AH785" s="66"/>
      <c r="AI785" s="66"/>
      <c r="AJ785" s="69"/>
    </row>
    <row r="786">
      <c r="O786" s="66"/>
      <c r="P786" s="66"/>
      <c r="Q786" s="66"/>
      <c r="R786" s="67"/>
      <c r="S786" s="68"/>
      <c r="W786" s="66"/>
      <c r="X786" s="66"/>
      <c r="Y786" s="66"/>
      <c r="Z786" s="66"/>
      <c r="AA786" s="69"/>
      <c r="AD786" s="66"/>
      <c r="AE786" s="66"/>
      <c r="AF786" s="66"/>
      <c r="AG786" s="66"/>
      <c r="AH786" s="66"/>
      <c r="AI786" s="66"/>
      <c r="AJ786" s="69"/>
    </row>
    <row r="787">
      <c r="O787" s="66"/>
      <c r="P787" s="66"/>
      <c r="Q787" s="66"/>
      <c r="R787" s="67"/>
      <c r="S787" s="68"/>
      <c r="W787" s="66"/>
      <c r="X787" s="66"/>
      <c r="Y787" s="66"/>
      <c r="Z787" s="66"/>
      <c r="AA787" s="69"/>
      <c r="AD787" s="66"/>
      <c r="AE787" s="66"/>
      <c r="AF787" s="66"/>
      <c r="AG787" s="66"/>
      <c r="AH787" s="66"/>
      <c r="AI787" s="66"/>
      <c r="AJ787" s="69"/>
    </row>
    <row r="788">
      <c r="O788" s="66"/>
      <c r="P788" s="66"/>
      <c r="Q788" s="66"/>
      <c r="R788" s="67"/>
      <c r="S788" s="68"/>
      <c r="W788" s="66"/>
      <c r="X788" s="66"/>
      <c r="Y788" s="66"/>
      <c r="Z788" s="66"/>
      <c r="AA788" s="69"/>
      <c r="AD788" s="66"/>
      <c r="AE788" s="66"/>
      <c r="AF788" s="66"/>
      <c r="AG788" s="66"/>
      <c r="AH788" s="66"/>
      <c r="AI788" s="66"/>
      <c r="AJ788" s="69"/>
    </row>
    <row r="789">
      <c r="O789" s="66"/>
      <c r="P789" s="66"/>
      <c r="Q789" s="66"/>
      <c r="R789" s="67"/>
      <c r="S789" s="68"/>
      <c r="W789" s="66"/>
      <c r="X789" s="66"/>
      <c r="Y789" s="66"/>
      <c r="Z789" s="66"/>
      <c r="AA789" s="69"/>
      <c r="AD789" s="66"/>
      <c r="AE789" s="66"/>
      <c r="AF789" s="66"/>
      <c r="AG789" s="66"/>
      <c r="AH789" s="66"/>
      <c r="AI789" s="66"/>
      <c r="AJ789" s="69"/>
    </row>
    <row r="790">
      <c r="O790" s="66"/>
      <c r="P790" s="66"/>
      <c r="Q790" s="66"/>
      <c r="R790" s="67"/>
      <c r="S790" s="68"/>
      <c r="W790" s="66"/>
      <c r="X790" s="66"/>
      <c r="Y790" s="66"/>
      <c r="Z790" s="66"/>
      <c r="AA790" s="69"/>
      <c r="AD790" s="66"/>
      <c r="AE790" s="66"/>
      <c r="AF790" s="66"/>
      <c r="AG790" s="66"/>
      <c r="AH790" s="66"/>
      <c r="AI790" s="66"/>
      <c r="AJ790" s="69"/>
    </row>
    <row r="791">
      <c r="O791" s="66"/>
      <c r="P791" s="66"/>
      <c r="Q791" s="66"/>
      <c r="R791" s="67"/>
      <c r="S791" s="68"/>
      <c r="W791" s="66"/>
      <c r="X791" s="66"/>
      <c r="Y791" s="66"/>
      <c r="Z791" s="66"/>
      <c r="AA791" s="69"/>
      <c r="AD791" s="66"/>
      <c r="AE791" s="66"/>
      <c r="AF791" s="66"/>
      <c r="AG791" s="66"/>
      <c r="AH791" s="66"/>
      <c r="AI791" s="66"/>
      <c r="AJ791" s="69"/>
    </row>
    <row r="792">
      <c r="O792" s="66"/>
      <c r="P792" s="66"/>
      <c r="Q792" s="66"/>
      <c r="R792" s="67"/>
      <c r="S792" s="68"/>
      <c r="W792" s="66"/>
      <c r="X792" s="66"/>
      <c r="Y792" s="66"/>
      <c r="Z792" s="66"/>
      <c r="AA792" s="69"/>
      <c r="AD792" s="66"/>
      <c r="AE792" s="66"/>
      <c r="AF792" s="66"/>
      <c r="AG792" s="66"/>
      <c r="AH792" s="66"/>
      <c r="AI792" s="66"/>
      <c r="AJ792" s="69"/>
    </row>
    <row r="793">
      <c r="O793" s="66"/>
      <c r="P793" s="66"/>
      <c r="Q793" s="66"/>
      <c r="R793" s="67"/>
      <c r="S793" s="68"/>
      <c r="W793" s="66"/>
      <c r="X793" s="66"/>
      <c r="Y793" s="66"/>
      <c r="Z793" s="66"/>
      <c r="AA793" s="69"/>
      <c r="AD793" s="66"/>
      <c r="AE793" s="66"/>
      <c r="AF793" s="66"/>
      <c r="AG793" s="66"/>
      <c r="AH793" s="66"/>
      <c r="AI793" s="66"/>
      <c r="AJ793" s="69"/>
    </row>
    <row r="794">
      <c r="O794" s="66"/>
      <c r="P794" s="66"/>
      <c r="Q794" s="66"/>
      <c r="R794" s="67"/>
      <c r="S794" s="68"/>
      <c r="W794" s="66"/>
      <c r="X794" s="66"/>
      <c r="Y794" s="66"/>
      <c r="Z794" s="66"/>
      <c r="AA794" s="69"/>
      <c r="AD794" s="66"/>
      <c r="AE794" s="66"/>
      <c r="AF794" s="66"/>
      <c r="AG794" s="66"/>
      <c r="AH794" s="66"/>
      <c r="AI794" s="66"/>
      <c r="AJ794" s="69"/>
    </row>
    <row r="795">
      <c r="O795" s="66"/>
      <c r="P795" s="66"/>
      <c r="Q795" s="66"/>
      <c r="R795" s="67"/>
      <c r="S795" s="68"/>
      <c r="W795" s="66"/>
      <c r="X795" s="66"/>
      <c r="Y795" s="66"/>
      <c r="Z795" s="66"/>
      <c r="AA795" s="69"/>
      <c r="AD795" s="66"/>
      <c r="AE795" s="66"/>
      <c r="AF795" s="66"/>
      <c r="AG795" s="66"/>
      <c r="AH795" s="66"/>
      <c r="AI795" s="66"/>
      <c r="AJ795" s="69"/>
    </row>
    <row r="796">
      <c r="O796" s="66"/>
      <c r="P796" s="66"/>
      <c r="Q796" s="66"/>
      <c r="R796" s="67"/>
      <c r="S796" s="68"/>
      <c r="W796" s="66"/>
      <c r="X796" s="66"/>
      <c r="Y796" s="66"/>
      <c r="Z796" s="66"/>
      <c r="AA796" s="69"/>
      <c r="AD796" s="66"/>
      <c r="AE796" s="66"/>
      <c r="AF796" s="66"/>
      <c r="AG796" s="66"/>
      <c r="AH796" s="66"/>
      <c r="AI796" s="66"/>
      <c r="AJ796" s="69"/>
    </row>
    <row r="797">
      <c r="O797" s="66"/>
      <c r="P797" s="66"/>
      <c r="Q797" s="66"/>
      <c r="R797" s="67"/>
      <c r="S797" s="68"/>
      <c r="W797" s="66"/>
      <c r="X797" s="66"/>
      <c r="Y797" s="66"/>
      <c r="Z797" s="66"/>
      <c r="AA797" s="69"/>
      <c r="AD797" s="66"/>
      <c r="AE797" s="66"/>
      <c r="AF797" s="66"/>
      <c r="AG797" s="66"/>
      <c r="AH797" s="66"/>
      <c r="AI797" s="66"/>
      <c r="AJ797" s="69"/>
    </row>
    <row r="798">
      <c r="O798" s="66"/>
      <c r="P798" s="66"/>
      <c r="Q798" s="66"/>
      <c r="R798" s="67"/>
      <c r="S798" s="68"/>
      <c r="W798" s="66"/>
      <c r="X798" s="66"/>
      <c r="Y798" s="66"/>
      <c r="Z798" s="66"/>
      <c r="AA798" s="69"/>
      <c r="AD798" s="66"/>
      <c r="AE798" s="66"/>
      <c r="AF798" s="66"/>
      <c r="AG798" s="66"/>
      <c r="AH798" s="66"/>
      <c r="AI798" s="66"/>
      <c r="AJ798" s="69"/>
    </row>
    <row r="799">
      <c r="O799" s="66"/>
      <c r="P799" s="66"/>
      <c r="Q799" s="66"/>
      <c r="R799" s="67"/>
      <c r="S799" s="68"/>
      <c r="W799" s="66"/>
      <c r="X799" s="66"/>
      <c r="Y799" s="66"/>
      <c r="Z799" s="66"/>
      <c r="AA799" s="69"/>
      <c r="AD799" s="66"/>
      <c r="AE799" s="66"/>
      <c r="AF799" s="66"/>
      <c r="AG799" s="66"/>
      <c r="AH799" s="66"/>
      <c r="AI799" s="66"/>
      <c r="AJ799" s="69"/>
    </row>
    <row r="800">
      <c r="O800" s="66"/>
      <c r="P800" s="66"/>
      <c r="Q800" s="66"/>
      <c r="R800" s="67"/>
      <c r="S800" s="68"/>
      <c r="W800" s="66"/>
      <c r="X800" s="66"/>
      <c r="Y800" s="66"/>
      <c r="Z800" s="66"/>
      <c r="AA800" s="69"/>
      <c r="AD800" s="66"/>
      <c r="AE800" s="66"/>
      <c r="AF800" s="66"/>
      <c r="AG800" s="66"/>
      <c r="AH800" s="66"/>
      <c r="AI800" s="66"/>
      <c r="AJ800" s="69"/>
    </row>
    <row r="801">
      <c r="O801" s="66"/>
      <c r="P801" s="66"/>
      <c r="Q801" s="66"/>
      <c r="R801" s="67"/>
      <c r="S801" s="68"/>
      <c r="W801" s="66"/>
      <c r="X801" s="66"/>
      <c r="Y801" s="66"/>
      <c r="Z801" s="66"/>
      <c r="AA801" s="69"/>
      <c r="AD801" s="66"/>
      <c r="AE801" s="66"/>
      <c r="AF801" s="66"/>
      <c r="AG801" s="66"/>
      <c r="AH801" s="66"/>
      <c r="AI801" s="66"/>
      <c r="AJ801" s="69"/>
    </row>
    <row r="802">
      <c r="O802" s="66"/>
      <c r="P802" s="66"/>
      <c r="Q802" s="66"/>
      <c r="R802" s="67"/>
      <c r="S802" s="68"/>
      <c r="W802" s="66"/>
      <c r="X802" s="66"/>
      <c r="Y802" s="66"/>
      <c r="Z802" s="66"/>
      <c r="AA802" s="69"/>
      <c r="AD802" s="66"/>
      <c r="AE802" s="66"/>
      <c r="AF802" s="66"/>
      <c r="AG802" s="66"/>
      <c r="AH802" s="66"/>
      <c r="AI802" s="66"/>
      <c r="AJ802" s="69"/>
    </row>
    <row r="803">
      <c r="O803" s="66"/>
      <c r="P803" s="66"/>
      <c r="Q803" s="66"/>
      <c r="R803" s="67"/>
      <c r="S803" s="68"/>
      <c r="W803" s="66"/>
      <c r="X803" s="66"/>
      <c r="Y803" s="66"/>
      <c r="Z803" s="66"/>
      <c r="AA803" s="69"/>
      <c r="AD803" s="66"/>
      <c r="AE803" s="66"/>
      <c r="AF803" s="66"/>
      <c r="AG803" s="66"/>
      <c r="AH803" s="66"/>
      <c r="AI803" s="66"/>
      <c r="AJ803" s="69"/>
    </row>
    <row r="804">
      <c r="O804" s="66"/>
      <c r="P804" s="66"/>
      <c r="Q804" s="66"/>
      <c r="R804" s="67"/>
      <c r="S804" s="68"/>
      <c r="W804" s="66"/>
      <c r="X804" s="66"/>
      <c r="Y804" s="66"/>
      <c r="Z804" s="66"/>
      <c r="AA804" s="69"/>
      <c r="AD804" s="66"/>
      <c r="AE804" s="66"/>
      <c r="AF804" s="66"/>
      <c r="AG804" s="66"/>
      <c r="AH804" s="66"/>
      <c r="AI804" s="66"/>
      <c r="AJ804" s="69"/>
    </row>
    <row r="805">
      <c r="O805" s="66"/>
      <c r="P805" s="66"/>
      <c r="Q805" s="66"/>
      <c r="R805" s="67"/>
      <c r="S805" s="68"/>
      <c r="W805" s="66"/>
      <c r="X805" s="66"/>
      <c r="Y805" s="66"/>
      <c r="Z805" s="66"/>
      <c r="AA805" s="69"/>
      <c r="AD805" s="66"/>
      <c r="AE805" s="66"/>
      <c r="AF805" s="66"/>
      <c r="AG805" s="66"/>
      <c r="AH805" s="66"/>
      <c r="AI805" s="66"/>
      <c r="AJ805" s="69"/>
    </row>
    <row r="806">
      <c r="O806" s="66"/>
      <c r="P806" s="66"/>
      <c r="Q806" s="66"/>
      <c r="R806" s="67"/>
      <c r="S806" s="68"/>
      <c r="W806" s="66"/>
      <c r="X806" s="66"/>
      <c r="Y806" s="66"/>
      <c r="Z806" s="66"/>
      <c r="AA806" s="69"/>
      <c r="AD806" s="66"/>
      <c r="AE806" s="66"/>
      <c r="AF806" s="66"/>
      <c r="AG806" s="66"/>
      <c r="AH806" s="66"/>
      <c r="AI806" s="66"/>
      <c r="AJ806" s="69"/>
    </row>
    <row r="807">
      <c r="O807" s="66"/>
      <c r="P807" s="66"/>
      <c r="Q807" s="66"/>
      <c r="R807" s="67"/>
      <c r="S807" s="68"/>
      <c r="W807" s="66"/>
      <c r="X807" s="66"/>
      <c r="Y807" s="66"/>
      <c r="Z807" s="66"/>
      <c r="AA807" s="69"/>
      <c r="AD807" s="66"/>
      <c r="AE807" s="66"/>
      <c r="AF807" s="66"/>
      <c r="AG807" s="66"/>
      <c r="AH807" s="66"/>
      <c r="AI807" s="66"/>
      <c r="AJ807" s="69"/>
    </row>
    <row r="808">
      <c r="O808" s="66"/>
      <c r="P808" s="66"/>
      <c r="Q808" s="66"/>
      <c r="R808" s="67"/>
      <c r="S808" s="68"/>
      <c r="W808" s="66"/>
      <c r="X808" s="66"/>
      <c r="Y808" s="66"/>
      <c r="Z808" s="66"/>
      <c r="AA808" s="69"/>
      <c r="AD808" s="66"/>
      <c r="AE808" s="66"/>
      <c r="AF808" s="66"/>
      <c r="AG808" s="66"/>
      <c r="AH808" s="66"/>
      <c r="AI808" s="66"/>
      <c r="AJ808" s="69"/>
    </row>
    <row r="809">
      <c r="O809" s="66"/>
      <c r="P809" s="66"/>
      <c r="Q809" s="66"/>
      <c r="R809" s="67"/>
      <c r="S809" s="68"/>
      <c r="W809" s="66"/>
      <c r="X809" s="66"/>
      <c r="Y809" s="66"/>
      <c r="Z809" s="66"/>
      <c r="AA809" s="69"/>
      <c r="AD809" s="66"/>
      <c r="AE809" s="66"/>
      <c r="AF809" s="66"/>
      <c r="AG809" s="66"/>
      <c r="AH809" s="66"/>
      <c r="AI809" s="66"/>
      <c r="AJ809" s="69"/>
    </row>
    <row r="810">
      <c r="O810" s="66"/>
      <c r="P810" s="66"/>
      <c r="Q810" s="66"/>
      <c r="R810" s="67"/>
      <c r="S810" s="68"/>
      <c r="W810" s="66"/>
      <c r="X810" s="66"/>
      <c r="Y810" s="66"/>
      <c r="Z810" s="66"/>
      <c r="AA810" s="69"/>
      <c r="AD810" s="66"/>
      <c r="AE810" s="66"/>
      <c r="AF810" s="66"/>
      <c r="AG810" s="66"/>
      <c r="AH810" s="66"/>
      <c r="AI810" s="66"/>
      <c r="AJ810" s="69"/>
    </row>
    <row r="811">
      <c r="O811" s="66"/>
      <c r="P811" s="66"/>
      <c r="Q811" s="66"/>
      <c r="R811" s="67"/>
      <c r="S811" s="68"/>
      <c r="W811" s="66"/>
      <c r="X811" s="66"/>
      <c r="Y811" s="66"/>
      <c r="Z811" s="66"/>
      <c r="AA811" s="69"/>
      <c r="AD811" s="66"/>
      <c r="AE811" s="66"/>
      <c r="AF811" s="66"/>
      <c r="AG811" s="66"/>
      <c r="AH811" s="66"/>
      <c r="AI811" s="66"/>
      <c r="AJ811" s="69"/>
    </row>
    <row r="812">
      <c r="O812" s="66"/>
      <c r="P812" s="66"/>
      <c r="Q812" s="66"/>
      <c r="R812" s="67"/>
      <c r="S812" s="68"/>
      <c r="W812" s="66"/>
      <c r="X812" s="66"/>
      <c r="Y812" s="66"/>
      <c r="Z812" s="66"/>
      <c r="AA812" s="69"/>
      <c r="AD812" s="66"/>
      <c r="AE812" s="66"/>
      <c r="AF812" s="66"/>
      <c r="AG812" s="66"/>
      <c r="AH812" s="66"/>
      <c r="AI812" s="66"/>
      <c r="AJ812" s="69"/>
    </row>
    <row r="813">
      <c r="O813" s="66"/>
      <c r="P813" s="66"/>
      <c r="Q813" s="66"/>
      <c r="R813" s="67"/>
      <c r="S813" s="68"/>
      <c r="W813" s="66"/>
      <c r="X813" s="66"/>
      <c r="Y813" s="66"/>
      <c r="Z813" s="66"/>
      <c r="AA813" s="69"/>
      <c r="AD813" s="66"/>
      <c r="AE813" s="66"/>
      <c r="AF813" s="66"/>
      <c r="AG813" s="66"/>
      <c r="AH813" s="66"/>
      <c r="AI813" s="66"/>
      <c r="AJ813" s="69"/>
    </row>
    <row r="814">
      <c r="O814" s="66"/>
      <c r="P814" s="66"/>
      <c r="Q814" s="66"/>
      <c r="R814" s="67"/>
      <c r="S814" s="68"/>
      <c r="W814" s="66"/>
      <c r="X814" s="66"/>
      <c r="Y814" s="66"/>
      <c r="Z814" s="66"/>
      <c r="AA814" s="69"/>
      <c r="AD814" s="66"/>
      <c r="AE814" s="66"/>
      <c r="AF814" s="66"/>
      <c r="AG814" s="66"/>
      <c r="AH814" s="66"/>
      <c r="AI814" s="66"/>
      <c r="AJ814" s="69"/>
    </row>
    <row r="815">
      <c r="O815" s="66"/>
      <c r="P815" s="66"/>
      <c r="Q815" s="66"/>
      <c r="R815" s="67"/>
      <c r="S815" s="68"/>
      <c r="W815" s="66"/>
      <c r="X815" s="66"/>
      <c r="Y815" s="66"/>
      <c r="Z815" s="66"/>
      <c r="AA815" s="69"/>
      <c r="AD815" s="66"/>
      <c r="AE815" s="66"/>
      <c r="AF815" s="66"/>
      <c r="AG815" s="66"/>
      <c r="AH815" s="66"/>
      <c r="AI815" s="66"/>
      <c r="AJ815" s="69"/>
    </row>
    <row r="816">
      <c r="O816" s="66"/>
      <c r="P816" s="66"/>
      <c r="Q816" s="66"/>
      <c r="R816" s="67"/>
      <c r="S816" s="68"/>
      <c r="W816" s="66"/>
      <c r="X816" s="66"/>
      <c r="Y816" s="66"/>
      <c r="Z816" s="66"/>
      <c r="AA816" s="69"/>
      <c r="AD816" s="66"/>
      <c r="AE816" s="66"/>
      <c r="AF816" s="66"/>
      <c r="AG816" s="66"/>
      <c r="AH816" s="66"/>
      <c r="AI816" s="66"/>
      <c r="AJ816" s="69"/>
    </row>
    <row r="817">
      <c r="O817" s="66"/>
      <c r="P817" s="66"/>
      <c r="Q817" s="66"/>
      <c r="R817" s="67"/>
      <c r="S817" s="68"/>
      <c r="W817" s="66"/>
      <c r="X817" s="66"/>
      <c r="Y817" s="66"/>
      <c r="Z817" s="66"/>
      <c r="AA817" s="69"/>
      <c r="AD817" s="66"/>
      <c r="AE817" s="66"/>
      <c r="AF817" s="66"/>
      <c r="AG817" s="66"/>
      <c r="AH817" s="66"/>
      <c r="AI817" s="66"/>
      <c r="AJ817" s="69"/>
    </row>
    <row r="818">
      <c r="O818" s="66"/>
      <c r="P818" s="66"/>
      <c r="Q818" s="66"/>
      <c r="R818" s="67"/>
      <c r="S818" s="68"/>
      <c r="W818" s="66"/>
      <c r="X818" s="66"/>
      <c r="Y818" s="66"/>
      <c r="Z818" s="66"/>
      <c r="AA818" s="69"/>
      <c r="AD818" s="66"/>
      <c r="AE818" s="66"/>
      <c r="AF818" s="66"/>
      <c r="AG818" s="66"/>
      <c r="AH818" s="66"/>
      <c r="AI818" s="66"/>
      <c r="AJ818" s="69"/>
    </row>
    <row r="819">
      <c r="O819" s="66"/>
      <c r="P819" s="66"/>
      <c r="Q819" s="66"/>
      <c r="R819" s="67"/>
      <c r="S819" s="68"/>
      <c r="W819" s="66"/>
      <c r="X819" s="66"/>
      <c r="Y819" s="66"/>
      <c r="Z819" s="66"/>
      <c r="AA819" s="69"/>
      <c r="AD819" s="66"/>
      <c r="AE819" s="66"/>
      <c r="AF819" s="66"/>
      <c r="AG819" s="66"/>
      <c r="AH819" s="66"/>
      <c r="AI819" s="66"/>
      <c r="AJ819" s="69"/>
    </row>
    <row r="820">
      <c r="O820" s="66"/>
      <c r="P820" s="66"/>
      <c r="Q820" s="66"/>
      <c r="R820" s="67"/>
      <c r="S820" s="68"/>
      <c r="W820" s="66"/>
      <c r="X820" s="66"/>
      <c r="Y820" s="66"/>
      <c r="Z820" s="66"/>
      <c r="AA820" s="69"/>
      <c r="AD820" s="66"/>
      <c r="AE820" s="66"/>
      <c r="AF820" s="66"/>
      <c r="AG820" s="66"/>
      <c r="AH820" s="66"/>
      <c r="AI820" s="66"/>
      <c r="AJ820" s="69"/>
    </row>
    <row r="821">
      <c r="O821" s="66"/>
      <c r="P821" s="66"/>
      <c r="Q821" s="66"/>
      <c r="R821" s="67"/>
      <c r="S821" s="68"/>
      <c r="W821" s="66"/>
      <c r="X821" s="66"/>
      <c r="Y821" s="66"/>
      <c r="Z821" s="66"/>
      <c r="AA821" s="69"/>
      <c r="AD821" s="66"/>
      <c r="AE821" s="66"/>
      <c r="AF821" s="66"/>
      <c r="AG821" s="66"/>
      <c r="AH821" s="66"/>
      <c r="AI821" s="66"/>
      <c r="AJ821" s="69"/>
    </row>
    <row r="822">
      <c r="O822" s="66"/>
      <c r="P822" s="66"/>
      <c r="Q822" s="66"/>
      <c r="R822" s="67"/>
      <c r="S822" s="68"/>
      <c r="W822" s="66"/>
      <c r="X822" s="66"/>
      <c r="Y822" s="66"/>
      <c r="Z822" s="66"/>
      <c r="AA822" s="69"/>
      <c r="AD822" s="66"/>
      <c r="AE822" s="66"/>
      <c r="AF822" s="66"/>
      <c r="AG822" s="66"/>
      <c r="AH822" s="66"/>
      <c r="AI822" s="66"/>
      <c r="AJ822" s="69"/>
    </row>
    <row r="823">
      <c r="O823" s="66"/>
      <c r="P823" s="66"/>
      <c r="Q823" s="66"/>
      <c r="R823" s="67"/>
      <c r="S823" s="68"/>
      <c r="W823" s="66"/>
      <c r="X823" s="66"/>
      <c r="Y823" s="66"/>
      <c r="Z823" s="66"/>
      <c r="AA823" s="69"/>
      <c r="AD823" s="66"/>
      <c r="AE823" s="66"/>
      <c r="AF823" s="66"/>
      <c r="AG823" s="66"/>
      <c r="AH823" s="66"/>
      <c r="AI823" s="66"/>
      <c r="AJ823" s="69"/>
    </row>
    <row r="824">
      <c r="O824" s="66"/>
      <c r="P824" s="66"/>
      <c r="Q824" s="66"/>
      <c r="R824" s="67"/>
      <c r="S824" s="68"/>
      <c r="W824" s="66"/>
      <c r="X824" s="66"/>
      <c r="Y824" s="66"/>
      <c r="Z824" s="66"/>
      <c r="AA824" s="69"/>
      <c r="AD824" s="66"/>
      <c r="AE824" s="66"/>
      <c r="AF824" s="66"/>
      <c r="AG824" s="66"/>
      <c r="AH824" s="66"/>
      <c r="AI824" s="66"/>
      <c r="AJ824" s="69"/>
    </row>
    <row r="825">
      <c r="O825" s="66"/>
      <c r="P825" s="66"/>
      <c r="Q825" s="66"/>
      <c r="R825" s="67"/>
      <c r="S825" s="68"/>
      <c r="W825" s="66"/>
      <c r="X825" s="66"/>
      <c r="Y825" s="66"/>
      <c r="Z825" s="66"/>
      <c r="AA825" s="69"/>
      <c r="AD825" s="66"/>
      <c r="AE825" s="66"/>
      <c r="AF825" s="66"/>
      <c r="AG825" s="66"/>
      <c r="AH825" s="66"/>
      <c r="AI825" s="66"/>
      <c r="AJ825" s="69"/>
    </row>
    <row r="826">
      <c r="O826" s="66"/>
      <c r="P826" s="66"/>
      <c r="Q826" s="66"/>
      <c r="R826" s="67"/>
      <c r="S826" s="68"/>
      <c r="W826" s="66"/>
      <c r="X826" s="66"/>
      <c r="Y826" s="66"/>
      <c r="Z826" s="66"/>
      <c r="AA826" s="69"/>
      <c r="AD826" s="66"/>
      <c r="AE826" s="66"/>
      <c r="AF826" s="66"/>
      <c r="AG826" s="66"/>
      <c r="AH826" s="66"/>
      <c r="AI826" s="66"/>
      <c r="AJ826" s="69"/>
    </row>
    <row r="827">
      <c r="O827" s="66"/>
      <c r="P827" s="66"/>
      <c r="Q827" s="66"/>
      <c r="R827" s="67"/>
      <c r="S827" s="68"/>
      <c r="W827" s="66"/>
      <c r="X827" s="66"/>
      <c r="Y827" s="66"/>
      <c r="Z827" s="66"/>
      <c r="AA827" s="69"/>
      <c r="AD827" s="66"/>
      <c r="AE827" s="66"/>
      <c r="AF827" s="66"/>
      <c r="AG827" s="66"/>
      <c r="AH827" s="66"/>
      <c r="AI827" s="66"/>
      <c r="AJ827" s="69"/>
    </row>
    <row r="828">
      <c r="O828" s="66"/>
      <c r="P828" s="66"/>
      <c r="Q828" s="66"/>
      <c r="R828" s="67"/>
      <c r="S828" s="68"/>
      <c r="W828" s="66"/>
      <c r="X828" s="66"/>
      <c r="Y828" s="66"/>
      <c r="Z828" s="66"/>
      <c r="AA828" s="69"/>
      <c r="AD828" s="66"/>
      <c r="AE828" s="66"/>
      <c r="AF828" s="66"/>
      <c r="AG828" s="66"/>
      <c r="AH828" s="66"/>
      <c r="AI828" s="66"/>
      <c r="AJ828" s="69"/>
    </row>
    <row r="829">
      <c r="O829" s="66"/>
      <c r="P829" s="66"/>
      <c r="Q829" s="66"/>
      <c r="R829" s="67"/>
      <c r="S829" s="68"/>
      <c r="W829" s="66"/>
      <c r="X829" s="66"/>
      <c r="Y829" s="66"/>
      <c r="Z829" s="66"/>
      <c r="AA829" s="69"/>
      <c r="AD829" s="66"/>
      <c r="AE829" s="66"/>
      <c r="AF829" s="66"/>
      <c r="AG829" s="66"/>
      <c r="AH829" s="66"/>
      <c r="AI829" s="66"/>
      <c r="AJ829" s="69"/>
    </row>
    <row r="830">
      <c r="O830" s="66"/>
      <c r="P830" s="66"/>
      <c r="Q830" s="66"/>
      <c r="R830" s="67"/>
      <c r="S830" s="68"/>
      <c r="W830" s="66"/>
      <c r="X830" s="66"/>
      <c r="Y830" s="66"/>
      <c r="Z830" s="66"/>
      <c r="AA830" s="69"/>
      <c r="AD830" s="66"/>
      <c r="AE830" s="66"/>
      <c r="AF830" s="66"/>
      <c r="AG830" s="66"/>
      <c r="AH830" s="66"/>
      <c r="AI830" s="66"/>
      <c r="AJ830" s="69"/>
    </row>
    <row r="831">
      <c r="O831" s="66"/>
      <c r="P831" s="66"/>
      <c r="Q831" s="66"/>
      <c r="R831" s="67"/>
      <c r="S831" s="68"/>
      <c r="W831" s="66"/>
      <c r="X831" s="66"/>
      <c r="Y831" s="66"/>
      <c r="Z831" s="66"/>
      <c r="AA831" s="69"/>
      <c r="AD831" s="66"/>
      <c r="AE831" s="66"/>
      <c r="AF831" s="66"/>
      <c r="AG831" s="66"/>
      <c r="AH831" s="66"/>
      <c r="AI831" s="66"/>
      <c r="AJ831" s="69"/>
    </row>
    <row r="832">
      <c r="O832" s="66"/>
      <c r="P832" s="66"/>
      <c r="Q832" s="66"/>
      <c r="R832" s="67"/>
      <c r="S832" s="68"/>
      <c r="W832" s="66"/>
      <c r="X832" s="66"/>
      <c r="Y832" s="66"/>
      <c r="Z832" s="66"/>
      <c r="AA832" s="69"/>
      <c r="AD832" s="66"/>
      <c r="AE832" s="66"/>
      <c r="AF832" s="66"/>
      <c r="AG832" s="66"/>
      <c r="AH832" s="66"/>
      <c r="AI832" s="66"/>
      <c r="AJ832" s="69"/>
    </row>
    <row r="833">
      <c r="O833" s="66"/>
      <c r="P833" s="66"/>
      <c r="Q833" s="66"/>
      <c r="R833" s="67"/>
      <c r="S833" s="68"/>
      <c r="W833" s="66"/>
      <c r="X833" s="66"/>
      <c r="Y833" s="66"/>
      <c r="Z833" s="66"/>
      <c r="AA833" s="69"/>
      <c r="AD833" s="66"/>
      <c r="AE833" s="66"/>
      <c r="AF833" s="66"/>
      <c r="AG833" s="66"/>
      <c r="AH833" s="66"/>
      <c r="AI833" s="66"/>
      <c r="AJ833" s="69"/>
    </row>
    <row r="834">
      <c r="O834" s="66"/>
      <c r="P834" s="66"/>
      <c r="Q834" s="66"/>
      <c r="R834" s="67"/>
      <c r="S834" s="68"/>
      <c r="W834" s="66"/>
      <c r="X834" s="66"/>
      <c r="Y834" s="66"/>
      <c r="Z834" s="66"/>
      <c r="AA834" s="69"/>
      <c r="AD834" s="66"/>
      <c r="AE834" s="66"/>
      <c r="AF834" s="66"/>
      <c r="AG834" s="66"/>
      <c r="AH834" s="66"/>
      <c r="AI834" s="66"/>
      <c r="AJ834" s="69"/>
    </row>
    <row r="835">
      <c r="O835" s="66"/>
      <c r="P835" s="66"/>
      <c r="Q835" s="66"/>
      <c r="R835" s="67"/>
      <c r="S835" s="68"/>
      <c r="W835" s="66"/>
      <c r="X835" s="66"/>
      <c r="Y835" s="66"/>
      <c r="Z835" s="66"/>
      <c r="AA835" s="69"/>
      <c r="AD835" s="66"/>
      <c r="AE835" s="66"/>
      <c r="AF835" s="66"/>
      <c r="AG835" s="66"/>
      <c r="AH835" s="66"/>
      <c r="AI835" s="66"/>
      <c r="AJ835" s="69"/>
    </row>
    <row r="836">
      <c r="O836" s="66"/>
      <c r="P836" s="66"/>
      <c r="Q836" s="66"/>
      <c r="R836" s="67"/>
      <c r="S836" s="68"/>
      <c r="W836" s="66"/>
      <c r="X836" s="66"/>
      <c r="Y836" s="66"/>
      <c r="Z836" s="66"/>
      <c r="AA836" s="69"/>
      <c r="AD836" s="66"/>
      <c r="AE836" s="66"/>
      <c r="AF836" s="66"/>
      <c r="AG836" s="66"/>
      <c r="AH836" s="66"/>
      <c r="AI836" s="66"/>
      <c r="AJ836" s="69"/>
    </row>
    <row r="837">
      <c r="O837" s="66"/>
      <c r="P837" s="66"/>
      <c r="Q837" s="66"/>
      <c r="R837" s="67"/>
      <c r="S837" s="68"/>
      <c r="W837" s="66"/>
      <c r="X837" s="66"/>
      <c r="Y837" s="66"/>
      <c r="Z837" s="66"/>
      <c r="AA837" s="69"/>
      <c r="AD837" s="66"/>
      <c r="AE837" s="66"/>
      <c r="AF837" s="66"/>
      <c r="AG837" s="66"/>
      <c r="AH837" s="66"/>
      <c r="AI837" s="66"/>
      <c r="AJ837" s="69"/>
    </row>
    <row r="838">
      <c r="O838" s="66"/>
      <c r="P838" s="66"/>
      <c r="Q838" s="66"/>
      <c r="R838" s="67"/>
      <c r="S838" s="68"/>
      <c r="W838" s="66"/>
      <c r="X838" s="66"/>
      <c r="Y838" s="66"/>
      <c r="Z838" s="66"/>
      <c r="AA838" s="69"/>
      <c r="AD838" s="66"/>
      <c r="AE838" s="66"/>
      <c r="AF838" s="66"/>
      <c r="AG838" s="66"/>
      <c r="AH838" s="66"/>
      <c r="AI838" s="66"/>
      <c r="AJ838" s="69"/>
    </row>
    <row r="839">
      <c r="O839" s="66"/>
      <c r="P839" s="66"/>
      <c r="Q839" s="66"/>
      <c r="R839" s="67"/>
      <c r="S839" s="68"/>
      <c r="W839" s="66"/>
      <c r="X839" s="66"/>
      <c r="Y839" s="66"/>
      <c r="Z839" s="66"/>
      <c r="AA839" s="69"/>
      <c r="AD839" s="66"/>
      <c r="AE839" s="66"/>
      <c r="AF839" s="66"/>
      <c r="AG839" s="66"/>
      <c r="AH839" s="66"/>
      <c r="AI839" s="66"/>
      <c r="AJ839" s="69"/>
    </row>
    <row r="840">
      <c r="O840" s="66"/>
      <c r="P840" s="66"/>
      <c r="Q840" s="66"/>
      <c r="R840" s="67"/>
      <c r="S840" s="68"/>
      <c r="W840" s="66"/>
      <c r="X840" s="66"/>
      <c r="Y840" s="66"/>
      <c r="Z840" s="66"/>
      <c r="AA840" s="69"/>
      <c r="AD840" s="66"/>
      <c r="AE840" s="66"/>
      <c r="AF840" s="66"/>
      <c r="AG840" s="66"/>
      <c r="AH840" s="66"/>
      <c r="AI840" s="66"/>
      <c r="AJ840" s="69"/>
    </row>
    <row r="841">
      <c r="O841" s="66"/>
      <c r="P841" s="66"/>
      <c r="Q841" s="66"/>
      <c r="R841" s="67"/>
      <c r="S841" s="68"/>
      <c r="W841" s="66"/>
      <c r="X841" s="66"/>
      <c r="Y841" s="66"/>
      <c r="Z841" s="66"/>
      <c r="AA841" s="69"/>
      <c r="AD841" s="66"/>
      <c r="AE841" s="66"/>
      <c r="AF841" s="66"/>
      <c r="AG841" s="66"/>
      <c r="AH841" s="66"/>
      <c r="AI841" s="66"/>
      <c r="AJ841" s="69"/>
    </row>
    <row r="842">
      <c r="O842" s="66"/>
      <c r="P842" s="66"/>
      <c r="Q842" s="66"/>
      <c r="R842" s="67"/>
      <c r="S842" s="68"/>
      <c r="W842" s="66"/>
      <c r="X842" s="66"/>
      <c r="Y842" s="66"/>
      <c r="Z842" s="66"/>
      <c r="AA842" s="69"/>
      <c r="AD842" s="66"/>
      <c r="AE842" s="66"/>
      <c r="AF842" s="66"/>
      <c r="AG842" s="66"/>
      <c r="AH842" s="66"/>
      <c r="AI842" s="66"/>
      <c r="AJ842" s="69"/>
    </row>
    <row r="843">
      <c r="O843" s="66"/>
      <c r="P843" s="66"/>
      <c r="Q843" s="66"/>
      <c r="R843" s="67"/>
      <c r="S843" s="68"/>
      <c r="W843" s="66"/>
      <c r="X843" s="66"/>
      <c r="Y843" s="66"/>
      <c r="Z843" s="66"/>
      <c r="AA843" s="69"/>
      <c r="AD843" s="66"/>
      <c r="AE843" s="66"/>
      <c r="AF843" s="66"/>
      <c r="AG843" s="66"/>
      <c r="AH843" s="66"/>
      <c r="AI843" s="66"/>
      <c r="AJ843" s="69"/>
    </row>
    <row r="844">
      <c r="O844" s="66"/>
      <c r="P844" s="66"/>
      <c r="Q844" s="66"/>
      <c r="R844" s="67"/>
      <c r="S844" s="68"/>
      <c r="W844" s="66"/>
      <c r="X844" s="66"/>
      <c r="Y844" s="66"/>
      <c r="Z844" s="66"/>
      <c r="AA844" s="69"/>
      <c r="AD844" s="66"/>
      <c r="AE844" s="66"/>
      <c r="AF844" s="66"/>
      <c r="AG844" s="66"/>
      <c r="AH844" s="66"/>
      <c r="AI844" s="66"/>
      <c r="AJ844" s="69"/>
    </row>
    <row r="845">
      <c r="O845" s="66"/>
      <c r="P845" s="66"/>
      <c r="Q845" s="66"/>
      <c r="R845" s="67"/>
      <c r="S845" s="68"/>
      <c r="W845" s="66"/>
      <c r="X845" s="66"/>
      <c r="Y845" s="66"/>
      <c r="Z845" s="66"/>
      <c r="AA845" s="69"/>
      <c r="AD845" s="66"/>
      <c r="AE845" s="66"/>
      <c r="AF845" s="66"/>
      <c r="AG845" s="66"/>
      <c r="AH845" s="66"/>
      <c r="AI845" s="66"/>
      <c r="AJ845" s="69"/>
    </row>
    <row r="846">
      <c r="O846" s="66"/>
      <c r="P846" s="66"/>
      <c r="Q846" s="66"/>
      <c r="R846" s="67"/>
      <c r="S846" s="68"/>
      <c r="W846" s="66"/>
      <c r="X846" s="66"/>
      <c r="Y846" s="66"/>
      <c r="Z846" s="66"/>
      <c r="AA846" s="69"/>
      <c r="AD846" s="66"/>
      <c r="AE846" s="66"/>
      <c r="AF846" s="66"/>
      <c r="AG846" s="66"/>
      <c r="AH846" s="66"/>
      <c r="AI846" s="66"/>
      <c r="AJ846" s="69"/>
    </row>
    <row r="847">
      <c r="O847" s="66"/>
      <c r="P847" s="66"/>
      <c r="Q847" s="66"/>
      <c r="R847" s="67"/>
      <c r="S847" s="68"/>
      <c r="W847" s="66"/>
      <c r="X847" s="66"/>
      <c r="Y847" s="66"/>
      <c r="Z847" s="66"/>
      <c r="AA847" s="69"/>
      <c r="AD847" s="66"/>
      <c r="AE847" s="66"/>
      <c r="AF847" s="66"/>
      <c r="AG847" s="66"/>
      <c r="AH847" s="66"/>
      <c r="AI847" s="66"/>
      <c r="AJ847" s="69"/>
    </row>
    <row r="848">
      <c r="O848" s="66"/>
      <c r="P848" s="66"/>
      <c r="Q848" s="66"/>
      <c r="R848" s="67"/>
      <c r="S848" s="68"/>
      <c r="W848" s="66"/>
      <c r="X848" s="66"/>
      <c r="Y848" s="66"/>
      <c r="Z848" s="66"/>
      <c r="AA848" s="69"/>
      <c r="AD848" s="66"/>
      <c r="AE848" s="66"/>
      <c r="AF848" s="66"/>
      <c r="AG848" s="66"/>
      <c r="AH848" s="66"/>
      <c r="AI848" s="66"/>
      <c r="AJ848" s="69"/>
    </row>
    <row r="849">
      <c r="O849" s="66"/>
      <c r="P849" s="66"/>
      <c r="Q849" s="66"/>
      <c r="R849" s="67"/>
      <c r="S849" s="68"/>
      <c r="W849" s="66"/>
      <c r="X849" s="66"/>
      <c r="Y849" s="66"/>
      <c r="Z849" s="66"/>
      <c r="AA849" s="69"/>
      <c r="AD849" s="66"/>
      <c r="AE849" s="66"/>
      <c r="AF849" s="66"/>
      <c r="AG849" s="66"/>
      <c r="AH849" s="66"/>
      <c r="AI849" s="66"/>
      <c r="AJ849" s="69"/>
    </row>
    <row r="850">
      <c r="O850" s="66"/>
      <c r="P850" s="66"/>
      <c r="Q850" s="66"/>
      <c r="R850" s="67"/>
      <c r="S850" s="68"/>
      <c r="W850" s="66"/>
      <c r="X850" s="66"/>
      <c r="Y850" s="66"/>
      <c r="Z850" s="66"/>
      <c r="AA850" s="69"/>
      <c r="AD850" s="66"/>
      <c r="AE850" s="66"/>
      <c r="AF850" s="66"/>
      <c r="AG850" s="66"/>
      <c r="AH850" s="66"/>
      <c r="AI850" s="66"/>
      <c r="AJ850" s="69"/>
    </row>
    <row r="851">
      <c r="O851" s="66"/>
      <c r="P851" s="66"/>
      <c r="Q851" s="66"/>
      <c r="R851" s="67"/>
      <c r="S851" s="68"/>
      <c r="W851" s="66"/>
      <c r="X851" s="66"/>
      <c r="Y851" s="66"/>
      <c r="Z851" s="66"/>
      <c r="AA851" s="69"/>
      <c r="AD851" s="66"/>
      <c r="AE851" s="66"/>
      <c r="AF851" s="66"/>
      <c r="AG851" s="66"/>
      <c r="AH851" s="66"/>
      <c r="AI851" s="66"/>
      <c r="AJ851" s="69"/>
    </row>
    <row r="852">
      <c r="O852" s="66"/>
      <c r="P852" s="66"/>
      <c r="Q852" s="66"/>
      <c r="R852" s="67"/>
      <c r="S852" s="68"/>
      <c r="W852" s="66"/>
      <c r="X852" s="66"/>
      <c r="Y852" s="66"/>
      <c r="Z852" s="66"/>
      <c r="AA852" s="69"/>
      <c r="AD852" s="66"/>
      <c r="AE852" s="66"/>
      <c r="AF852" s="66"/>
      <c r="AG852" s="66"/>
      <c r="AH852" s="66"/>
      <c r="AI852" s="66"/>
      <c r="AJ852" s="69"/>
    </row>
    <row r="853">
      <c r="O853" s="66"/>
      <c r="P853" s="66"/>
      <c r="Q853" s="66"/>
      <c r="R853" s="67"/>
      <c r="S853" s="68"/>
      <c r="W853" s="66"/>
      <c r="X853" s="66"/>
      <c r="Y853" s="66"/>
      <c r="Z853" s="66"/>
      <c r="AA853" s="69"/>
      <c r="AD853" s="66"/>
      <c r="AE853" s="66"/>
      <c r="AF853" s="66"/>
      <c r="AG853" s="66"/>
      <c r="AH853" s="66"/>
      <c r="AI853" s="66"/>
      <c r="AJ853" s="69"/>
    </row>
    <row r="854">
      <c r="O854" s="66"/>
      <c r="P854" s="66"/>
      <c r="Q854" s="66"/>
      <c r="R854" s="67"/>
      <c r="S854" s="68"/>
      <c r="W854" s="66"/>
      <c r="X854" s="66"/>
      <c r="Y854" s="66"/>
      <c r="Z854" s="66"/>
      <c r="AA854" s="69"/>
      <c r="AD854" s="66"/>
      <c r="AE854" s="66"/>
      <c r="AF854" s="66"/>
      <c r="AG854" s="66"/>
      <c r="AH854" s="66"/>
      <c r="AI854" s="66"/>
      <c r="AJ854" s="69"/>
    </row>
    <row r="855">
      <c r="O855" s="66"/>
      <c r="P855" s="66"/>
      <c r="Q855" s="66"/>
      <c r="R855" s="67"/>
      <c r="S855" s="68"/>
      <c r="W855" s="66"/>
      <c r="X855" s="66"/>
      <c r="Y855" s="66"/>
      <c r="Z855" s="66"/>
      <c r="AA855" s="69"/>
      <c r="AD855" s="66"/>
      <c r="AE855" s="66"/>
      <c r="AF855" s="66"/>
      <c r="AG855" s="66"/>
      <c r="AH855" s="66"/>
      <c r="AI855" s="66"/>
      <c r="AJ855" s="69"/>
    </row>
    <row r="856">
      <c r="O856" s="66"/>
      <c r="P856" s="66"/>
      <c r="Q856" s="66"/>
      <c r="R856" s="67"/>
      <c r="S856" s="68"/>
      <c r="W856" s="66"/>
      <c r="X856" s="66"/>
      <c r="Y856" s="66"/>
      <c r="Z856" s="66"/>
      <c r="AA856" s="69"/>
      <c r="AD856" s="66"/>
      <c r="AE856" s="66"/>
      <c r="AF856" s="66"/>
      <c r="AG856" s="66"/>
      <c r="AH856" s="66"/>
      <c r="AI856" s="66"/>
      <c r="AJ856" s="69"/>
    </row>
    <row r="857">
      <c r="O857" s="66"/>
      <c r="P857" s="66"/>
      <c r="Q857" s="66"/>
      <c r="R857" s="67"/>
      <c r="S857" s="68"/>
      <c r="W857" s="66"/>
      <c r="X857" s="66"/>
      <c r="Y857" s="66"/>
      <c r="Z857" s="66"/>
      <c r="AA857" s="69"/>
      <c r="AD857" s="66"/>
      <c r="AE857" s="66"/>
      <c r="AF857" s="66"/>
      <c r="AG857" s="66"/>
      <c r="AH857" s="66"/>
      <c r="AI857" s="66"/>
      <c r="AJ857" s="69"/>
    </row>
    <row r="858">
      <c r="O858" s="66"/>
      <c r="P858" s="66"/>
      <c r="Q858" s="66"/>
      <c r="R858" s="67"/>
      <c r="S858" s="68"/>
      <c r="W858" s="66"/>
      <c r="X858" s="66"/>
      <c r="Y858" s="66"/>
      <c r="Z858" s="66"/>
      <c r="AA858" s="69"/>
      <c r="AD858" s="66"/>
      <c r="AE858" s="66"/>
      <c r="AF858" s="66"/>
      <c r="AG858" s="66"/>
      <c r="AH858" s="66"/>
      <c r="AI858" s="66"/>
      <c r="AJ858" s="69"/>
    </row>
    <row r="859">
      <c r="O859" s="66"/>
      <c r="P859" s="66"/>
      <c r="Q859" s="66"/>
      <c r="R859" s="67"/>
      <c r="S859" s="68"/>
      <c r="W859" s="66"/>
      <c r="X859" s="66"/>
      <c r="Y859" s="66"/>
      <c r="Z859" s="66"/>
      <c r="AA859" s="69"/>
      <c r="AD859" s="66"/>
      <c r="AE859" s="66"/>
      <c r="AF859" s="66"/>
      <c r="AG859" s="66"/>
      <c r="AH859" s="66"/>
      <c r="AI859" s="66"/>
      <c r="AJ859" s="69"/>
    </row>
    <row r="860">
      <c r="O860" s="66"/>
      <c r="P860" s="66"/>
      <c r="Q860" s="66"/>
      <c r="R860" s="67"/>
      <c r="S860" s="68"/>
      <c r="W860" s="66"/>
      <c r="X860" s="66"/>
      <c r="Y860" s="66"/>
      <c r="Z860" s="66"/>
      <c r="AA860" s="69"/>
      <c r="AD860" s="66"/>
      <c r="AE860" s="66"/>
      <c r="AF860" s="66"/>
      <c r="AG860" s="66"/>
      <c r="AH860" s="66"/>
      <c r="AI860" s="66"/>
      <c r="AJ860" s="69"/>
    </row>
    <row r="861">
      <c r="O861" s="66"/>
      <c r="P861" s="66"/>
      <c r="Q861" s="66"/>
      <c r="R861" s="67"/>
      <c r="S861" s="68"/>
      <c r="W861" s="66"/>
      <c r="X861" s="66"/>
      <c r="Y861" s="66"/>
      <c r="Z861" s="66"/>
      <c r="AA861" s="69"/>
      <c r="AD861" s="66"/>
      <c r="AE861" s="66"/>
      <c r="AF861" s="66"/>
      <c r="AG861" s="66"/>
      <c r="AH861" s="66"/>
      <c r="AI861" s="66"/>
      <c r="AJ861" s="69"/>
    </row>
    <row r="862">
      <c r="O862" s="66"/>
      <c r="P862" s="66"/>
      <c r="Q862" s="66"/>
      <c r="R862" s="67"/>
      <c r="S862" s="68"/>
      <c r="W862" s="66"/>
      <c r="X862" s="66"/>
      <c r="Y862" s="66"/>
      <c r="Z862" s="66"/>
      <c r="AA862" s="69"/>
      <c r="AD862" s="66"/>
      <c r="AE862" s="66"/>
      <c r="AF862" s="66"/>
      <c r="AG862" s="66"/>
      <c r="AH862" s="66"/>
      <c r="AI862" s="66"/>
      <c r="AJ862" s="69"/>
    </row>
    <row r="863">
      <c r="O863" s="66"/>
      <c r="P863" s="66"/>
      <c r="Q863" s="66"/>
      <c r="R863" s="67"/>
      <c r="S863" s="68"/>
      <c r="W863" s="66"/>
      <c r="X863" s="66"/>
      <c r="Y863" s="66"/>
      <c r="Z863" s="66"/>
      <c r="AA863" s="69"/>
      <c r="AD863" s="66"/>
      <c r="AE863" s="66"/>
      <c r="AF863" s="66"/>
      <c r="AG863" s="66"/>
      <c r="AH863" s="66"/>
      <c r="AI863" s="66"/>
      <c r="AJ863" s="69"/>
    </row>
    <row r="864">
      <c r="O864" s="66"/>
      <c r="P864" s="66"/>
      <c r="Q864" s="66"/>
      <c r="R864" s="67"/>
      <c r="S864" s="68"/>
      <c r="W864" s="66"/>
      <c r="X864" s="66"/>
      <c r="Y864" s="66"/>
      <c r="Z864" s="66"/>
      <c r="AA864" s="69"/>
      <c r="AD864" s="66"/>
      <c r="AE864" s="66"/>
      <c r="AF864" s="66"/>
      <c r="AG864" s="66"/>
      <c r="AH864" s="66"/>
      <c r="AI864" s="66"/>
      <c r="AJ864" s="69"/>
    </row>
    <row r="865">
      <c r="O865" s="66"/>
      <c r="P865" s="66"/>
      <c r="Q865" s="66"/>
      <c r="R865" s="67"/>
      <c r="S865" s="68"/>
      <c r="W865" s="66"/>
      <c r="X865" s="66"/>
      <c r="Y865" s="66"/>
      <c r="Z865" s="66"/>
      <c r="AA865" s="69"/>
      <c r="AD865" s="66"/>
      <c r="AE865" s="66"/>
      <c r="AF865" s="66"/>
      <c r="AG865" s="66"/>
      <c r="AH865" s="66"/>
      <c r="AI865" s="66"/>
      <c r="AJ865" s="69"/>
    </row>
    <row r="866">
      <c r="O866" s="66"/>
      <c r="P866" s="66"/>
      <c r="Q866" s="66"/>
      <c r="R866" s="67"/>
      <c r="S866" s="68"/>
      <c r="W866" s="66"/>
      <c r="X866" s="66"/>
      <c r="Y866" s="66"/>
      <c r="Z866" s="66"/>
      <c r="AA866" s="69"/>
      <c r="AD866" s="66"/>
      <c r="AE866" s="66"/>
      <c r="AF866" s="66"/>
      <c r="AG866" s="66"/>
      <c r="AH866" s="66"/>
      <c r="AI866" s="66"/>
      <c r="AJ866" s="69"/>
    </row>
    <row r="867">
      <c r="O867" s="66"/>
      <c r="P867" s="66"/>
      <c r="Q867" s="66"/>
      <c r="R867" s="67"/>
      <c r="S867" s="68"/>
      <c r="W867" s="66"/>
      <c r="X867" s="66"/>
      <c r="Y867" s="66"/>
      <c r="Z867" s="66"/>
      <c r="AA867" s="69"/>
      <c r="AD867" s="66"/>
      <c r="AE867" s="66"/>
      <c r="AF867" s="66"/>
      <c r="AG867" s="66"/>
      <c r="AH867" s="66"/>
      <c r="AI867" s="66"/>
      <c r="AJ867" s="69"/>
    </row>
    <row r="868">
      <c r="O868" s="66"/>
      <c r="P868" s="66"/>
      <c r="Q868" s="66"/>
      <c r="R868" s="67"/>
      <c r="S868" s="68"/>
      <c r="W868" s="66"/>
      <c r="X868" s="66"/>
      <c r="Y868" s="66"/>
      <c r="Z868" s="66"/>
      <c r="AA868" s="69"/>
      <c r="AD868" s="66"/>
      <c r="AE868" s="66"/>
      <c r="AF868" s="66"/>
      <c r="AG868" s="66"/>
      <c r="AH868" s="66"/>
      <c r="AI868" s="66"/>
      <c r="AJ868" s="69"/>
    </row>
    <row r="869">
      <c r="O869" s="66"/>
      <c r="P869" s="66"/>
      <c r="Q869" s="66"/>
      <c r="R869" s="67"/>
      <c r="S869" s="68"/>
      <c r="W869" s="66"/>
      <c r="X869" s="66"/>
      <c r="Y869" s="66"/>
      <c r="Z869" s="66"/>
      <c r="AA869" s="69"/>
      <c r="AD869" s="66"/>
      <c r="AE869" s="66"/>
      <c r="AF869" s="66"/>
      <c r="AG869" s="66"/>
      <c r="AH869" s="66"/>
      <c r="AI869" s="66"/>
      <c r="AJ869" s="69"/>
    </row>
    <row r="870">
      <c r="O870" s="66"/>
      <c r="P870" s="66"/>
      <c r="Q870" s="66"/>
      <c r="R870" s="67"/>
      <c r="S870" s="68"/>
      <c r="W870" s="66"/>
      <c r="X870" s="66"/>
      <c r="Y870" s="66"/>
      <c r="Z870" s="66"/>
      <c r="AA870" s="69"/>
      <c r="AD870" s="66"/>
      <c r="AE870" s="66"/>
      <c r="AF870" s="66"/>
      <c r="AG870" s="66"/>
      <c r="AH870" s="66"/>
      <c r="AI870" s="66"/>
      <c r="AJ870" s="69"/>
    </row>
    <row r="871">
      <c r="O871" s="66"/>
      <c r="P871" s="66"/>
      <c r="Q871" s="66"/>
      <c r="R871" s="67"/>
      <c r="S871" s="68"/>
      <c r="W871" s="66"/>
      <c r="X871" s="66"/>
      <c r="Y871" s="66"/>
      <c r="Z871" s="66"/>
      <c r="AA871" s="69"/>
      <c r="AD871" s="66"/>
      <c r="AE871" s="66"/>
      <c r="AF871" s="66"/>
      <c r="AG871" s="66"/>
      <c r="AH871" s="66"/>
      <c r="AI871" s="66"/>
      <c r="AJ871" s="69"/>
    </row>
    <row r="872">
      <c r="O872" s="66"/>
      <c r="P872" s="66"/>
      <c r="Q872" s="66"/>
      <c r="R872" s="67"/>
      <c r="S872" s="68"/>
      <c r="W872" s="66"/>
      <c r="X872" s="66"/>
      <c r="Y872" s="66"/>
      <c r="Z872" s="66"/>
      <c r="AA872" s="69"/>
      <c r="AD872" s="66"/>
      <c r="AE872" s="66"/>
      <c r="AF872" s="66"/>
      <c r="AG872" s="66"/>
      <c r="AH872" s="66"/>
      <c r="AI872" s="66"/>
      <c r="AJ872" s="69"/>
    </row>
    <row r="873">
      <c r="O873" s="66"/>
      <c r="P873" s="66"/>
      <c r="Q873" s="66"/>
      <c r="R873" s="67"/>
      <c r="S873" s="68"/>
      <c r="W873" s="66"/>
      <c r="X873" s="66"/>
      <c r="Y873" s="66"/>
      <c r="Z873" s="66"/>
      <c r="AA873" s="69"/>
      <c r="AD873" s="66"/>
      <c r="AE873" s="66"/>
      <c r="AF873" s="66"/>
      <c r="AG873" s="66"/>
      <c r="AH873" s="66"/>
      <c r="AI873" s="66"/>
      <c r="AJ873" s="69"/>
    </row>
    <row r="874">
      <c r="O874" s="66"/>
      <c r="P874" s="66"/>
      <c r="Q874" s="66"/>
      <c r="R874" s="67"/>
      <c r="S874" s="68"/>
      <c r="W874" s="66"/>
      <c r="X874" s="66"/>
      <c r="Y874" s="66"/>
      <c r="Z874" s="66"/>
      <c r="AA874" s="69"/>
      <c r="AD874" s="66"/>
      <c r="AE874" s="66"/>
      <c r="AF874" s="66"/>
      <c r="AG874" s="66"/>
      <c r="AH874" s="66"/>
      <c r="AI874" s="66"/>
      <c r="AJ874" s="69"/>
    </row>
    <row r="875">
      <c r="O875" s="66"/>
      <c r="P875" s="66"/>
      <c r="Q875" s="66"/>
      <c r="R875" s="67"/>
      <c r="S875" s="68"/>
      <c r="W875" s="66"/>
      <c r="X875" s="66"/>
      <c r="Y875" s="66"/>
      <c r="Z875" s="66"/>
      <c r="AA875" s="69"/>
      <c r="AD875" s="66"/>
      <c r="AE875" s="66"/>
      <c r="AF875" s="66"/>
      <c r="AG875" s="66"/>
      <c r="AH875" s="66"/>
      <c r="AI875" s="66"/>
      <c r="AJ875" s="69"/>
    </row>
    <row r="876">
      <c r="O876" s="66"/>
      <c r="P876" s="66"/>
      <c r="Q876" s="66"/>
      <c r="R876" s="67"/>
      <c r="S876" s="68"/>
      <c r="W876" s="66"/>
      <c r="X876" s="66"/>
      <c r="Y876" s="66"/>
      <c r="Z876" s="66"/>
      <c r="AA876" s="69"/>
      <c r="AD876" s="66"/>
      <c r="AE876" s="66"/>
      <c r="AF876" s="66"/>
      <c r="AG876" s="66"/>
      <c r="AH876" s="66"/>
      <c r="AI876" s="66"/>
      <c r="AJ876" s="69"/>
    </row>
    <row r="877">
      <c r="O877" s="66"/>
      <c r="P877" s="66"/>
      <c r="Q877" s="66"/>
      <c r="R877" s="67"/>
      <c r="S877" s="68"/>
      <c r="W877" s="66"/>
      <c r="X877" s="66"/>
      <c r="Y877" s="66"/>
      <c r="Z877" s="66"/>
      <c r="AA877" s="69"/>
      <c r="AD877" s="66"/>
      <c r="AE877" s="66"/>
      <c r="AF877" s="66"/>
      <c r="AG877" s="66"/>
      <c r="AH877" s="66"/>
      <c r="AI877" s="66"/>
      <c r="AJ877" s="69"/>
    </row>
    <row r="878">
      <c r="O878" s="66"/>
      <c r="P878" s="66"/>
      <c r="Q878" s="66"/>
      <c r="R878" s="67"/>
      <c r="S878" s="68"/>
      <c r="W878" s="66"/>
      <c r="X878" s="66"/>
      <c r="Y878" s="66"/>
      <c r="Z878" s="66"/>
      <c r="AA878" s="69"/>
      <c r="AD878" s="66"/>
      <c r="AE878" s="66"/>
      <c r="AF878" s="66"/>
      <c r="AG878" s="66"/>
      <c r="AH878" s="66"/>
      <c r="AI878" s="66"/>
      <c r="AJ878" s="69"/>
    </row>
    <row r="879">
      <c r="O879" s="66"/>
      <c r="P879" s="66"/>
      <c r="Q879" s="66"/>
      <c r="R879" s="67"/>
      <c r="S879" s="68"/>
      <c r="W879" s="66"/>
      <c r="X879" s="66"/>
      <c r="Y879" s="66"/>
      <c r="Z879" s="66"/>
      <c r="AA879" s="69"/>
      <c r="AD879" s="66"/>
      <c r="AE879" s="66"/>
      <c r="AF879" s="66"/>
      <c r="AG879" s="66"/>
      <c r="AH879" s="66"/>
      <c r="AI879" s="66"/>
      <c r="AJ879" s="69"/>
    </row>
    <row r="880">
      <c r="O880" s="66"/>
      <c r="P880" s="66"/>
      <c r="Q880" s="66"/>
      <c r="R880" s="67"/>
      <c r="S880" s="68"/>
      <c r="W880" s="66"/>
      <c r="X880" s="66"/>
      <c r="Y880" s="66"/>
      <c r="Z880" s="66"/>
      <c r="AA880" s="69"/>
      <c r="AD880" s="66"/>
      <c r="AE880" s="66"/>
      <c r="AF880" s="66"/>
      <c r="AG880" s="66"/>
      <c r="AH880" s="66"/>
      <c r="AI880" s="66"/>
      <c r="AJ880" s="69"/>
    </row>
    <row r="881">
      <c r="O881" s="66"/>
      <c r="P881" s="66"/>
      <c r="Q881" s="66"/>
      <c r="R881" s="67"/>
      <c r="S881" s="68"/>
      <c r="W881" s="66"/>
      <c r="X881" s="66"/>
      <c r="Y881" s="66"/>
      <c r="Z881" s="66"/>
      <c r="AA881" s="69"/>
      <c r="AD881" s="66"/>
      <c r="AE881" s="66"/>
      <c r="AF881" s="66"/>
      <c r="AG881" s="66"/>
      <c r="AH881" s="66"/>
      <c r="AI881" s="66"/>
      <c r="AJ881" s="69"/>
    </row>
    <row r="882">
      <c r="O882" s="66"/>
      <c r="P882" s="66"/>
      <c r="Q882" s="66"/>
      <c r="R882" s="67"/>
      <c r="S882" s="68"/>
      <c r="W882" s="66"/>
      <c r="X882" s="66"/>
      <c r="Y882" s="66"/>
      <c r="Z882" s="66"/>
      <c r="AA882" s="69"/>
      <c r="AD882" s="66"/>
      <c r="AE882" s="66"/>
      <c r="AF882" s="66"/>
      <c r="AG882" s="66"/>
      <c r="AH882" s="66"/>
      <c r="AI882" s="66"/>
      <c r="AJ882" s="69"/>
    </row>
    <row r="883">
      <c r="O883" s="66"/>
      <c r="P883" s="66"/>
      <c r="Q883" s="66"/>
      <c r="R883" s="67"/>
      <c r="S883" s="68"/>
      <c r="W883" s="66"/>
      <c r="X883" s="66"/>
      <c r="Y883" s="66"/>
      <c r="Z883" s="66"/>
      <c r="AA883" s="69"/>
      <c r="AD883" s="66"/>
      <c r="AE883" s="66"/>
      <c r="AF883" s="66"/>
      <c r="AG883" s="66"/>
      <c r="AH883" s="66"/>
      <c r="AI883" s="66"/>
      <c r="AJ883" s="69"/>
    </row>
    <row r="884">
      <c r="O884" s="66"/>
      <c r="P884" s="66"/>
      <c r="Q884" s="66"/>
      <c r="R884" s="67"/>
      <c r="S884" s="68"/>
      <c r="W884" s="66"/>
      <c r="X884" s="66"/>
      <c r="Y884" s="66"/>
      <c r="Z884" s="66"/>
      <c r="AA884" s="69"/>
      <c r="AD884" s="66"/>
      <c r="AE884" s="66"/>
      <c r="AF884" s="66"/>
      <c r="AG884" s="66"/>
      <c r="AH884" s="66"/>
      <c r="AI884" s="66"/>
      <c r="AJ884" s="69"/>
    </row>
    <row r="885">
      <c r="O885" s="66"/>
      <c r="P885" s="66"/>
      <c r="Q885" s="66"/>
      <c r="R885" s="67"/>
      <c r="S885" s="68"/>
      <c r="W885" s="66"/>
      <c r="X885" s="66"/>
      <c r="Y885" s="66"/>
      <c r="Z885" s="66"/>
      <c r="AA885" s="69"/>
      <c r="AD885" s="66"/>
      <c r="AE885" s="66"/>
      <c r="AF885" s="66"/>
      <c r="AG885" s="66"/>
      <c r="AH885" s="66"/>
      <c r="AI885" s="66"/>
      <c r="AJ885" s="69"/>
    </row>
    <row r="886">
      <c r="O886" s="66"/>
      <c r="P886" s="66"/>
      <c r="Q886" s="66"/>
      <c r="R886" s="67"/>
      <c r="S886" s="68"/>
      <c r="W886" s="66"/>
      <c r="X886" s="66"/>
      <c r="Y886" s="66"/>
      <c r="Z886" s="66"/>
      <c r="AA886" s="69"/>
      <c r="AD886" s="66"/>
      <c r="AE886" s="66"/>
      <c r="AF886" s="66"/>
      <c r="AG886" s="66"/>
      <c r="AH886" s="66"/>
      <c r="AI886" s="66"/>
      <c r="AJ886" s="69"/>
    </row>
    <row r="887">
      <c r="O887" s="66"/>
      <c r="P887" s="66"/>
      <c r="Q887" s="66"/>
      <c r="R887" s="67"/>
      <c r="S887" s="68"/>
      <c r="W887" s="66"/>
      <c r="X887" s="66"/>
      <c r="Y887" s="66"/>
      <c r="Z887" s="66"/>
      <c r="AA887" s="69"/>
      <c r="AD887" s="66"/>
      <c r="AE887" s="66"/>
      <c r="AF887" s="66"/>
      <c r="AG887" s="66"/>
      <c r="AH887" s="66"/>
      <c r="AI887" s="66"/>
      <c r="AJ887" s="69"/>
    </row>
    <row r="888">
      <c r="O888" s="66"/>
      <c r="P888" s="66"/>
      <c r="Q888" s="66"/>
      <c r="R888" s="67"/>
      <c r="S888" s="68"/>
      <c r="W888" s="66"/>
      <c r="X888" s="66"/>
      <c r="Y888" s="66"/>
      <c r="Z888" s="66"/>
      <c r="AA888" s="69"/>
      <c r="AD888" s="66"/>
      <c r="AE888" s="66"/>
      <c r="AF888" s="66"/>
      <c r="AG888" s="66"/>
      <c r="AH888" s="66"/>
      <c r="AI888" s="66"/>
      <c r="AJ888" s="69"/>
    </row>
    <row r="889">
      <c r="O889" s="66"/>
      <c r="P889" s="66"/>
      <c r="Q889" s="66"/>
      <c r="R889" s="67"/>
      <c r="S889" s="68"/>
      <c r="W889" s="66"/>
      <c r="X889" s="66"/>
      <c r="Y889" s="66"/>
      <c r="Z889" s="66"/>
      <c r="AA889" s="69"/>
      <c r="AD889" s="66"/>
      <c r="AE889" s="66"/>
      <c r="AF889" s="66"/>
      <c r="AG889" s="66"/>
      <c r="AH889" s="66"/>
      <c r="AI889" s="66"/>
      <c r="AJ889" s="69"/>
    </row>
    <row r="890">
      <c r="O890" s="66"/>
      <c r="P890" s="66"/>
      <c r="Q890" s="66"/>
      <c r="R890" s="67"/>
      <c r="S890" s="68"/>
      <c r="W890" s="66"/>
      <c r="X890" s="66"/>
      <c r="Y890" s="66"/>
      <c r="Z890" s="66"/>
      <c r="AA890" s="69"/>
      <c r="AD890" s="66"/>
      <c r="AE890" s="66"/>
      <c r="AF890" s="66"/>
      <c r="AG890" s="66"/>
      <c r="AH890" s="66"/>
      <c r="AI890" s="66"/>
      <c r="AJ890" s="69"/>
    </row>
    <row r="891">
      <c r="O891" s="66"/>
      <c r="P891" s="66"/>
      <c r="Q891" s="66"/>
      <c r="R891" s="67"/>
      <c r="S891" s="68"/>
      <c r="W891" s="66"/>
      <c r="X891" s="66"/>
      <c r="Y891" s="66"/>
      <c r="Z891" s="66"/>
      <c r="AA891" s="69"/>
      <c r="AD891" s="66"/>
      <c r="AE891" s="66"/>
      <c r="AF891" s="66"/>
      <c r="AG891" s="66"/>
      <c r="AH891" s="66"/>
      <c r="AI891" s="66"/>
      <c r="AJ891" s="69"/>
    </row>
    <row r="892">
      <c r="O892" s="66"/>
      <c r="P892" s="66"/>
      <c r="Q892" s="66"/>
      <c r="R892" s="67"/>
      <c r="S892" s="68"/>
      <c r="W892" s="66"/>
      <c r="X892" s="66"/>
      <c r="Y892" s="66"/>
      <c r="Z892" s="66"/>
      <c r="AA892" s="69"/>
      <c r="AD892" s="66"/>
      <c r="AE892" s="66"/>
      <c r="AF892" s="66"/>
      <c r="AG892" s="66"/>
      <c r="AH892" s="66"/>
      <c r="AI892" s="66"/>
      <c r="AJ892" s="69"/>
    </row>
    <row r="893">
      <c r="O893" s="66"/>
      <c r="P893" s="66"/>
      <c r="Q893" s="66"/>
      <c r="R893" s="67"/>
      <c r="S893" s="68"/>
      <c r="W893" s="66"/>
      <c r="X893" s="66"/>
      <c r="Y893" s="66"/>
      <c r="Z893" s="66"/>
      <c r="AA893" s="69"/>
      <c r="AD893" s="66"/>
      <c r="AE893" s="66"/>
      <c r="AF893" s="66"/>
      <c r="AG893" s="66"/>
      <c r="AH893" s="66"/>
      <c r="AI893" s="66"/>
      <c r="AJ893" s="69"/>
    </row>
    <row r="894">
      <c r="O894" s="66"/>
      <c r="P894" s="66"/>
      <c r="Q894" s="66"/>
      <c r="R894" s="67"/>
      <c r="S894" s="68"/>
      <c r="W894" s="66"/>
      <c r="X894" s="66"/>
      <c r="Y894" s="66"/>
      <c r="Z894" s="66"/>
      <c r="AA894" s="69"/>
      <c r="AD894" s="66"/>
      <c r="AE894" s="66"/>
      <c r="AF894" s="66"/>
      <c r="AG894" s="66"/>
      <c r="AH894" s="66"/>
      <c r="AI894" s="66"/>
      <c r="AJ894" s="69"/>
    </row>
    <row r="895">
      <c r="O895" s="66"/>
      <c r="P895" s="66"/>
      <c r="Q895" s="66"/>
      <c r="R895" s="67"/>
      <c r="S895" s="68"/>
      <c r="W895" s="66"/>
      <c r="X895" s="66"/>
      <c r="Y895" s="66"/>
      <c r="Z895" s="66"/>
      <c r="AA895" s="69"/>
      <c r="AD895" s="66"/>
      <c r="AE895" s="66"/>
      <c r="AF895" s="66"/>
      <c r="AG895" s="66"/>
      <c r="AH895" s="66"/>
      <c r="AI895" s="66"/>
      <c r="AJ895" s="69"/>
    </row>
    <row r="896">
      <c r="O896" s="66"/>
      <c r="P896" s="66"/>
      <c r="Q896" s="66"/>
      <c r="R896" s="67"/>
      <c r="S896" s="68"/>
      <c r="W896" s="66"/>
      <c r="X896" s="66"/>
      <c r="Y896" s="66"/>
      <c r="Z896" s="66"/>
      <c r="AA896" s="69"/>
      <c r="AD896" s="66"/>
      <c r="AE896" s="66"/>
      <c r="AF896" s="66"/>
      <c r="AG896" s="66"/>
      <c r="AH896" s="66"/>
      <c r="AI896" s="66"/>
      <c r="AJ896" s="69"/>
    </row>
    <row r="897">
      <c r="O897" s="66"/>
      <c r="P897" s="66"/>
      <c r="Q897" s="66"/>
      <c r="R897" s="67"/>
      <c r="S897" s="68"/>
      <c r="W897" s="66"/>
      <c r="X897" s="66"/>
      <c r="Y897" s="66"/>
      <c r="Z897" s="66"/>
      <c r="AA897" s="69"/>
      <c r="AD897" s="66"/>
      <c r="AE897" s="66"/>
      <c r="AF897" s="66"/>
      <c r="AG897" s="66"/>
      <c r="AH897" s="66"/>
      <c r="AI897" s="66"/>
      <c r="AJ897" s="69"/>
    </row>
    <row r="898">
      <c r="O898" s="66"/>
      <c r="P898" s="66"/>
      <c r="Q898" s="66"/>
      <c r="R898" s="67"/>
      <c r="S898" s="68"/>
      <c r="W898" s="66"/>
      <c r="X898" s="66"/>
      <c r="Y898" s="66"/>
      <c r="Z898" s="66"/>
      <c r="AA898" s="69"/>
      <c r="AD898" s="66"/>
      <c r="AE898" s="66"/>
      <c r="AF898" s="66"/>
      <c r="AG898" s="66"/>
      <c r="AH898" s="66"/>
      <c r="AI898" s="66"/>
      <c r="AJ898" s="69"/>
    </row>
    <row r="899">
      <c r="O899" s="66"/>
      <c r="P899" s="66"/>
      <c r="Q899" s="66"/>
      <c r="R899" s="67"/>
      <c r="S899" s="68"/>
      <c r="W899" s="66"/>
      <c r="X899" s="66"/>
      <c r="Y899" s="66"/>
      <c r="Z899" s="66"/>
      <c r="AA899" s="69"/>
      <c r="AD899" s="66"/>
      <c r="AE899" s="66"/>
      <c r="AF899" s="66"/>
      <c r="AG899" s="66"/>
      <c r="AH899" s="66"/>
      <c r="AI899" s="66"/>
      <c r="AJ899" s="69"/>
    </row>
    <row r="900">
      <c r="O900" s="66"/>
      <c r="P900" s="66"/>
      <c r="Q900" s="66"/>
      <c r="R900" s="67"/>
      <c r="S900" s="68"/>
      <c r="W900" s="66"/>
      <c r="X900" s="66"/>
      <c r="Y900" s="66"/>
      <c r="Z900" s="66"/>
      <c r="AA900" s="69"/>
      <c r="AD900" s="66"/>
      <c r="AE900" s="66"/>
      <c r="AF900" s="66"/>
      <c r="AG900" s="66"/>
      <c r="AH900" s="66"/>
      <c r="AI900" s="66"/>
      <c r="AJ900" s="69"/>
    </row>
    <row r="901">
      <c r="O901" s="66"/>
      <c r="P901" s="66"/>
      <c r="Q901" s="66"/>
      <c r="R901" s="67"/>
      <c r="S901" s="68"/>
      <c r="W901" s="66"/>
      <c r="X901" s="66"/>
      <c r="Y901" s="66"/>
      <c r="Z901" s="66"/>
      <c r="AA901" s="69"/>
      <c r="AD901" s="66"/>
      <c r="AE901" s="66"/>
      <c r="AF901" s="66"/>
      <c r="AG901" s="66"/>
      <c r="AH901" s="66"/>
      <c r="AI901" s="66"/>
      <c r="AJ901" s="69"/>
    </row>
    <row r="902">
      <c r="O902" s="66"/>
      <c r="P902" s="66"/>
      <c r="Q902" s="66"/>
      <c r="R902" s="67"/>
      <c r="S902" s="68"/>
      <c r="W902" s="66"/>
      <c r="X902" s="66"/>
      <c r="Y902" s="66"/>
      <c r="Z902" s="66"/>
      <c r="AA902" s="69"/>
      <c r="AD902" s="66"/>
      <c r="AE902" s="66"/>
      <c r="AF902" s="66"/>
      <c r="AG902" s="66"/>
      <c r="AH902" s="66"/>
      <c r="AI902" s="66"/>
      <c r="AJ902" s="69"/>
    </row>
    <row r="903">
      <c r="O903" s="66"/>
      <c r="P903" s="66"/>
      <c r="Q903" s="66"/>
      <c r="R903" s="67"/>
      <c r="S903" s="68"/>
      <c r="W903" s="66"/>
      <c r="X903" s="66"/>
      <c r="Y903" s="66"/>
      <c r="Z903" s="66"/>
      <c r="AA903" s="69"/>
      <c r="AD903" s="66"/>
      <c r="AE903" s="66"/>
      <c r="AF903" s="66"/>
      <c r="AG903" s="66"/>
      <c r="AH903" s="66"/>
      <c r="AI903" s="66"/>
      <c r="AJ903" s="69"/>
    </row>
    <row r="904">
      <c r="O904" s="66"/>
      <c r="P904" s="66"/>
      <c r="Q904" s="66"/>
      <c r="R904" s="67"/>
      <c r="S904" s="68"/>
      <c r="W904" s="66"/>
      <c r="X904" s="66"/>
      <c r="Y904" s="66"/>
      <c r="Z904" s="66"/>
      <c r="AA904" s="69"/>
      <c r="AD904" s="66"/>
      <c r="AE904" s="66"/>
      <c r="AF904" s="66"/>
      <c r="AG904" s="66"/>
      <c r="AH904" s="66"/>
      <c r="AI904" s="66"/>
      <c r="AJ904" s="69"/>
    </row>
    <row r="905">
      <c r="O905" s="66"/>
      <c r="P905" s="66"/>
      <c r="Q905" s="66"/>
      <c r="R905" s="67"/>
      <c r="S905" s="68"/>
      <c r="W905" s="66"/>
      <c r="X905" s="66"/>
      <c r="Y905" s="66"/>
      <c r="Z905" s="66"/>
      <c r="AA905" s="69"/>
      <c r="AD905" s="66"/>
      <c r="AE905" s="66"/>
      <c r="AF905" s="66"/>
      <c r="AG905" s="66"/>
      <c r="AH905" s="66"/>
      <c r="AI905" s="66"/>
      <c r="AJ905" s="69"/>
    </row>
    <row r="906">
      <c r="O906" s="66"/>
      <c r="P906" s="66"/>
      <c r="Q906" s="66"/>
      <c r="R906" s="67"/>
      <c r="S906" s="68"/>
      <c r="W906" s="66"/>
      <c r="X906" s="66"/>
      <c r="Y906" s="66"/>
      <c r="Z906" s="66"/>
      <c r="AA906" s="69"/>
      <c r="AD906" s="66"/>
      <c r="AE906" s="66"/>
      <c r="AF906" s="66"/>
      <c r="AG906" s="66"/>
      <c r="AH906" s="66"/>
      <c r="AI906" s="66"/>
      <c r="AJ906" s="69"/>
    </row>
    <row r="907">
      <c r="O907" s="66"/>
      <c r="P907" s="66"/>
      <c r="Q907" s="66"/>
      <c r="R907" s="67"/>
      <c r="S907" s="68"/>
      <c r="W907" s="66"/>
      <c r="X907" s="66"/>
      <c r="Y907" s="66"/>
      <c r="Z907" s="66"/>
      <c r="AA907" s="69"/>
      <c r="AD907" s="66"/>
      <c r="AE907" s="66"/>
      <c r="AF907" s="66"/>
      <c r="AG907" s="66"/>
      <c r="AH907" s="66"/>
      <c r="AI907" s="66"/>
      <c r="AJ907" s="69"/>
    </row>
    <row r="908">
      <c r="O908" s="66"/>
      <c r="P908" s="66"/>
      <c r="Q908" s="66"/>
      <c r="R908" s="67"/>
      <c r="S908" s="68"/>
      <c r="W908" s="66"/>
      <c r="X908" s="66"/>
      <c r="Y908" s="66"/>
      <c r="Z908" s="66"/>
      <c r="AA908" s="69"/>
      <c r="AD908" s="66"/>
      <c r="AE908" s="66"/>
      <c r="AF908" s="66"/>
      <c r="AG908" s="66"/>
      <c r="AH908" s="66"/>
      <c r="AI908" s="66"/>
      <c r="AJ908" s="69"/>
    </row>
    <row r="909">
      <c r="O909" s="66"/>
      <c r="P909" s="66"/>
      <c r="Q909" s="66"/>
      <c r="R909" s="67"/>
      <c r="S909" s="68"/>
      <c r="W909" s="66"/>
      <c r="X909" s="66"/>
      <c r="Y909" s="66"/>
      <c r="Z909" s="66"/>
      <c r="AA909" s="69"/>
      <c r="AD909" s="66"/>
      <c r="AE909" s="66"/>
      <c r="AF909" s="66"/>
      <c r="AG909" s="66"/>
      <c r="AH909" s="66"/>
      <c r="AI909" s="66"/>
      <c r="AJ909" s="69"/>
    </row>
    <row r="910">
      <c r="O910" s="66"/>
      <c r="P910" s="66"/>
      <c r="Q910" s="66"/>
      <c r="R910" s="67"/>
      <c r="S910" s="68"/>
      <c r="W910" s="66"/>
      <c r="X910" s="66"/>
      <c r="Y910" s="66"/>
      <c r="Z910" s="66"/>
      <c r="AA910" s="69"/>
      <c r="AD910" s="66"/>
      <c r="AE910" s="66"/>
      <c r="AF910" s="66"/>
      <c r="AG910" s="66"/>
      <c r="AH910" s="66"/>
      <c r="AI910" s="66"/>
      <c r="AJ910" s="69"/>
    </row>
    <row r="911">
      <c r="O911" s="66"/>
      <c r="P911" s="66"/>
      <c r="Q911" s="66"/>
      <c r="R911" s="67"/>
      <c r="S911" s="68"/>
      <c r="W911" s="66"/>
      <c r="X911" s="66"/>
      <c r="Y911" s="66"/>
      <c r="Z911" s="66"/>
      <c r="AA911" s="69"/>
      <c r="AD911" s="66"/>
      <c r="AE911" s="66"/>
      <c r="AF911" s="66"/>
      <c r="AG911" s="66"/>
      <c r="AH911" s="66"/>
      <c r="AI911" s="66"/>
      <c r="AJ911" s="69"/>
    </row>
    <row r="912">
      <c r="O912" s="66"/>
      <c r="P912" s="66"/>
      <c r="Q912" s="66"/>
      <c r="R912" s="67"/>
      <c r="S912" s="68"/>
      <c r="W912" s="66"/>
      <c r="X912" s="66"/>
      <c r="Y912" s="66"/>
      <c r="Z912" s="66"/>
      <c r="AA912" s="69"/>
      <c r="AD912" s="66"/>
      <c r="AE912" s="66"/>
      <c r="AF912" s="66"/>
      <c r="AG912" s="66"/>
      <c r="AH912" s="66"/>
      <c r="AI912" s="66"/>
      <c r="AJ912" s="69"/>
    </row>
    <row r="913">
      <c r="O913" s="66"/>
      <c r="P913" s="66"/>
      <c r="Q913" s="66"/>
      <c r="R913" s="67"/>
      <c r="S913" s="68"/>
      <c r="W913" s="66"/>
      <c r="X913" s="66"/>
      <c r="Y913" s="66"/>
      <c r="Z913" s="66"/>
      <c r="AA913" s="69"/>
      <c r="AD913" s="66"/>
      <c r="AE913" s="66"/>
      <c r="AF913" s="66"/>
      <c r="AG913" s="66"/>
      <c r="AH913" s="66"/>
      <c r="AI913" s="66"/>
      <c r="AJ913" s="69"/>
    </row>
    <row r="914">
      <c r="O914" s="66"/>
      <c r="P914" s="66"/>
      <c r="Q914" s="66"/>
      <c r="R914" s="67"/>
      <c r="S914" s="68"/>
      <c r="W914" s="66"/>
      <c r="X914" s="66"/>
      <c r="Y914" s="66"/>
      <c r="Z914" s="66"/>
      <c r="AA914" s="69"/>
      <c r="AD914" s="66"/>
      <c r="AE914" s="66"/>
      <c r="AF914" s="66"/>
      <c r="AG914" s="66"/>
      <c r="AH914" s="66"/>
      <c r="AI914" s="66"/>
      <c r="AJ914" s="69"/>
    </row>
    <row r="915">
      <c r="O915" s="66"/>
      <c r="P915" s="66"/>
      <c r="Q915" s="66"/>
      <c r="R915" s="67"/>
      <c r="S915" s="68"/>
      <c r="W915" s="66"/>
      <c r="X915" s="66"/>
      <c r="Y915" s="66"/>
      <c r="Z915" s="66"/>
      <c r="AA915" s="69"/>
      <c r="AD915" s="66"/>
      <c r="AE915" s="66"/>
      <c r="AF915" s="66"/>
      <c r="AG915" s="66"/>
      <c r="AH915" s="66"/>
      <c r="AI915" s="66"/>
      <c r="AJ915" s="69"/>
    </row>
    <row r="916">
      <c r="O916" s="66"/>
      <c r="P916" s="66"/>
      <c r="Q916" s="66"/>
      <c r="R916" s="67"/>
      <c r="S916" s="68"/>
      <c r="W916" s="66"/>
      <c r="X916" s="66"/>
      <c r="Y916" s="66"/>
      <c r="Z916" s="66"/>
      <c r="AA916" s="69"/>
      <c r="AD916" s="66"/>
      <c r="AE916" s="66"/>
      <c r="AF916" s="66"/>
      <c r="AG916" s="66"/>
      <c r="AH916" s="66"/>
      <c r="AI916" s="66"/>
      <c r="AJ916" s="69"/>
    </row>
    <row r="917">
      <c r="O917" s="66"/>
      <c r="P917" s="66"/>
      <c r="Q917" s="66"/>
      <c r="R917" s="67"/>
      <c r="S917" s="68"/>
      <c r="W917" s="66"/>
      <c r="X917" s="66"/>
      <c r="Y917" s="66"/>
      <c r="Z917" s="66"/>
      <c r="AA917" s="69"/>
      <c r="AD917" s="66"/>
      <c r="AE917" s="66"/>
      <c r="AF917" s="66"/>
      <c r="AG917" s="66"/>
      <c r="AH917" s="66"/>
      <c r="AI917" s="66"/>
      <c r="AJ917" s="69"/>
    </row>
    <row r="918">
      <c r="O918" s="66"/>
      <c r="P918" s="66"/>
      <c r="Q918" s="66"/>
      <c r="R918" s="67"/>
      <c r="S918" s="68"/>
      <c r="W918" s="66"/>
      <c r="X918" s="66"/>
      <c r="Y918" s="66"/>
      <c r="Z918" s="66"/>
      <c r="AA918" s="69"/>
      <c r="AD918" s="66"/>
      <c r="AE918" s="66"/>
      <c r="AF918" s="66"/>
      <c r="AG918" s="66"/>
      <c r="AH918" s="66"/>
      <c r="AI918" s="66"/>
      <c r="AJ918" s="69"/>
    </row>
    <row r="919">
      <c r="O919" s="66"/>
      <c r="P919" s="66"/>
      <c r="Q919" s="66"/>
      <c r="R919" s="67"/>
      <c r="S919" s="68"/>
      <c r="W919" s="66"/>
      <c r="X919" s="66"/>
      <c r="Y919" s="66"/>
      <c r="Z919" s="66"/>
      <c r="AA919" s="69"/>
      <c r="AD919" s="66"/>
      <c r="AE919" s="66"/>
      <c r="AF919" s="66"/>
      <c r="AG919" s="66"/>
      <c r="AH919" s="66"/>
      <c r="AI919" s="66"/>
      <c r="AJ919" s="69"/>
    </row>
    <row r="920">
      <c r="O920" s="66"/>
      <c r="P920" s="66"/>
      <c r="Q920" s="66"/>
      <c r="R920" s="67"/>
      <c r="S920" s="68"/>
      <c r="W920" s="66"/>
      <c r="X920" s="66"/>
      <c r="Y920" s="66"/>
      <c r="Z920" s="66"/>
      <c r="AA920" s="69"/>
      <c r="AD920" s="66"/>
      <c r="AE920" s="66"/>
      <c r="AF920" s="66"/>
      <c r="AG920" s="66"/>
      <c r="AH920" s="66"/>
      <c r="AI920" s="66"/>
      <c r="AJ920" s="69"/>
    </row>
    <row r="921">
      <c r="O921" s="66"/>
      <c r="P921" s="66"/>
      <c r="Q921" s="66"/>
      <c r="R921" s="67"/>
      <c r="S921" s="68"/>
      <c r="W921" s="66"/>
      <c r="X921" s="66"/>
      <c r="Y921" s="66"/>
      <c r="Z921" s="66"/>
      <c r="AA921" s="69"/>
      <c r="AD921" s="66"/>
      <c r="AE921" s="66"/>
      <c r="AF921" s="66"/>
      <c r="AG921" s="66"/>
      <c r="AH921" s="66"/>
      <c r="AI921" s="66"/>
      <c r="AJ921" s="69"/>
    </row>
    <row r="922">
      <c r="O922" s="66"/>
      <c r="P922" s="66"/>
      <c r="Q922" s="66"/>
      <c r="R922" s="67"/>
      <c r="S922" s="68"/>
      <c r="W922" s="66"/>
      <c r="X922" s="66"/>
      <c r="Y922" s="66"/>
      <c r="Z922" s="66"/>
      <c r="AA922" s="69"/>
      <c r="AD922" s="66"/>
      <c r="AE922" s="66"/>
      <c r="AF922" s="66"/>
      <c r="AG922" s="66"/>
      <c r="AH922" s="66"/>
      <c r="AI922" s="66"/>
      <c r="AJ922" s="69"/>
    </row>
    <row r="923">
      <c r="O923" s="66"/>
      <c r="P923" s="66"/>
      <c r="Q923" s="66"/>
      <c r="R923" s="67"/>
      <c r="S923" s="68"/>
      <c r="W923" s="66"/>
      <c r="X923" s="66"/>
      <c r="Y923" s="66"/>
      <c r="Z923" s="66"/>
      <c r="AA923" s="69"/>
      <c r="AD923" s="66"/>
      <c r="AE923" s="66"/>
      <c r="AF923" s="66"/>
      <c r="AG923" s="66"/>
      <c r="AH923" s="66"/>
      <c r="AI923" s="66"/>
      <c r="AJ923" s="69"/>
    </row>
    <row r="924">
      <c r="O924" s="66"/>
      <c r="P924" s="66"/>
      <c r="Q924" s="66"/>
      <c r="R924" s="67"/>
      <c r="S924" s="68"/>
      <c r="W924" s="66"/>
      <c r="X924" s="66"/>
      <c r="Y924" s="66"/>
      <c r="Z924" s="66"/>
      <c r="AA924" s="69"/>
      <c r="AD924" s="66"/>
      <c r="AE924" s="66"/>
      <c r="AF924" s="66"/>
      <c r="AG924" s="66"/>
      <c r="AH924" s="66"/>
      <c r="AI924" s="66"/>
      <c r="AJ924" s="69"/>
    </row>
    <row r="925">
      <c r="O925" s="66"/>
      <c r="P925" s="66"/>
      <c r="Q925" s="66"/>
      <c r="R925" s="67"/>
      <c r="S925" s="68"/>
      <c r="W925" s="66"/>
      <c r="X925" s="66"/>
      <c r="Y925" s="66"/>
      <c r="Z925" s="66"/>
      <c r="AA925" s="69"/>
      <c r="AD925" s="66"/>
      <c r="AE925" s="66"/>
      <c r="AF925" s="66"/>
      <c r="AG925" s="66"/>
      <c r="AH925" s="66"/>
      <c r="AI925" s="66"/>
      <c r="AJ925" s="69"/>
    </row>
    <row r="926">
      <c r="O926" s="66"/>
      <c r="P926" s="66"/>
      <c r="Q926" s="66"/>
      <c r="R926" s="67"/>
      <c r="S926" s="68"/>
      <c r="W926" s="66"/>
      <c r="X926" s="66"/>
      <c r="Y926" s="66"/>
      <c r="Z926" s="66"/>
      <c r="AA926" s="69"/>
      <c r="AD926" s="66"/>
      <c r="AE926" s="66"/>
      <c r="AF926" s="66"/>
      <c r="AG926" s="66"/>
      <c r="AH926" s="66"/>
      <c r="AI926" s="66"/>
      <c r="AJ926" s="69"/>
    </row>
    <row r="927">
      <c r="O927" s="66"/>
      <c r="P927" s="66"/>
      <c r="Q927" s="66"/>
      <c r="R927" s="67"/>
      <c r="S927" s="68"/>
      <c r="W927" s="66"/>
      <c r="X927" s="66"/>
      <c r="Y927" s="66"/>
      <c r="Z927" s="66"/>
      <c r="AA927" s="69"/>
      <c r="AD927" s="66"/>
      <c r="AE927" s="66"/>
      <c r="AF927" s="66"/>
      <c r="AG927" s="66"/>
      <c r="AH927" s="66"/>
      <c r="AI927" s="66"/>
      <c r="AJ927" s="69"/>
    </row>
    <row r="928">
      <c r="O928" s="66"/>
      <c r="P928" s="66"/>
      <c r="Q928" s="66"/>
      <c r="R928" s="67"/>
      <c r="S928" s="68"/>
      <c r="W928" s="66"/>
      <c r="X928" s="66"/>
      <c r="Y928" s="66"/>
      <c r="Z928" s="66"/>
      <c r="AA928" s="69"/>
      <c r="AD928" s="66"/>
      <c r="AE928" s="66"/>
      <c r="AF928" s="66"/>
      <c r="AG928" s="66"/>
      <c r="AH928" s="66"/>
      <c r="AI928" s="66"/>
      <c r="AJ928" s="69"/>
    </row>
    <row r="929">
      <c r="O929" s="66"/>
      <c r="P929" s="66"/>
      <c r="Q929" s="66"/>
      <c r="R929" s="67"/>
      <c r="S929" s="68"/>
      <c r="W929" s="66"/>
      <c r="X929" s="66"/>
      <c r="Y929" s="66"/>
      <c r="Z929" s="66"/>
      <c r="AA929" s="69"/>
      <c r="AD929" s="66"/>
      <c r="AE929" s="66"/>
      <c r="AF929" s="66"/>
      <c r="AG929" s="66"/>
      <c r="AH929" s="66"/>
      <c r="AI929" s="66"/>
      <c r="AJ929" s="69"/>
    </row>
    <row r="930">
      <c r="O930" s="66"/>
      <c r="P930" s="66"/>
      <c r="Q930" s="66"/>
      <c r="R930" s="67"/>
      <c r="S930" s="68"/>
      <c r="W930" s="66"/>
      <c r="X930" s="66"/>
      <c r="Y930" s="66"/>
      <c r="Z930" s="66"/>
      <c r="AA930" s="69"/>
      <c r="AD930" s="66"/>
      <c r="AE930" s="66"/>
      <c r="AF930" s="66"/>
      <c r="AG930" s="66"/>
      <c r="AH930" s="66"/>
      <c r="AI930" s="66"/>
      <c r="AJ930" s="69"/>
    </row>
    <row r="931">
      <c r="O931" s="66"/>
      <c r="P931" s="66"/>
      <c r="Q931" s="66"/>
      <c r="R931" s="67"/>
      <c r="S931" s="68"/>
      <c r="W931" s="66"/>
      <c r="X931" s="66"/>
      <c r="Y931" s="66"/>
      <c r="Z931" s="66"/>
      <c r="AA931" s="69"/>
      <c r="AD931" s="66"/>
      <c r="AE931" s="66"/>
      <c r="AF931" s="66"/>
      <c r="AG931" s="66"/>
      <c r="AH931" s="66"/>
      <c r="AI931" s="66"/>
      <c r="AJ931" s="69"/>
    </row>
    <row r="932">
      <c r="O932" s="66"/>
      <c r="P932" s="66"/>
      <c r="Q932" s="66"/>
      <c r="R932" s="67"/>
      <c r="S932" s="68"/>
      <c r="W932" s="66"/>
      <c r="X932" s="66"/>
      <c r="Y932" s="66"/>
      <c r="Z932" s="66"/>
      <c r="AA932" s="69"/>
      <c r="AD932" s="66"/>
      <c r="AE932" s="66"/>
      <c r="AF932" s="66"/>
      <c r="AG932" s="66"/>
      <c r="AH932" s="66"/>
      <c r="AI932" s="66"/>
      <c r="AJ932" s="69"/>
    </row>
    <row r="933">
      <c r="O933" s="66"/>
      <c r="P933" s="66"/>
      <c r="Q933" s="66"/>
      <c r="R933" s="67"/>
      <c r="S933" s="68"/>
      <c r="W933" s="66"/>
      <c r="X933" s="66"/>
      <c r="Y933" s="66"/>
      <c r="Z933" s="66"/>
      <c r="AA933" s="69"/>
      <c r="AD933" s="66"/>
      <c r="AE933" s="66"/>
      <c r="AF933" s="66"/>
      <c r="AG933" s="66"/>
      <c r="AH933" s="66"/>
      <c r="AI933" s="66"/>
      <c r="AJ933" s="69"/>
    </row>
    <row r="934">
      <c r="O934" s="66"/>
      <c r="P934" s="66"/>
      <c r="Q934" s="66"/>
      <c r="R934" s="67"/>
      <c r="S934" s="68"/>
      <c r="W934" s="66"/>
      <c r="X934" s="66"/>
      <c r="Y934" s="66"/>
      <c r="Z934" s="66"/>
      <c r="AA934" s="69"/>
      <c r="AD934" s="66"/>
      <c r="AE934" s="66"/>
      <c r="AF934" s="66"/>
      <c r="AG934" s="66"/>
      <c r="AH934" s="66"/>
      <c r="AI934" s="66"/>
      <c r="AJ934" s="69"/>
    </row>
    <row r="935">
      <c r="O935" s="66"/>
      <c r="P935" s="66"/>
      <c r="Q935" s="66"/>
      <c r="R935" s="67"/>
      <c r="S935" s="68"/>
      <c r="W935" s="66"/>
      <c r="X935" s="66"/>
      <c r="Y935" s="66"/>
      <c r="Z935" s="66"/>
      <c r="AA935" s="69"/>
      <c r="AD935" s="66"/>
      <c r="AE935" s="66"/>
      <c r="AF935" s="66"/>
      <c r="AG935" s="66"/>
      <c r="AH935" s="66"/>
      <c r="AI935" s="66"/>
      <c r="AJ935" s="69"/>
    </row>
    <row r="936">
      <c r="O936" s="66"/>
      <c r="P936" s="66"/>
      <c r="Q936" s="66"/>
      <c r="R936" s="67"/>
      <c r="S936" s="68"/>
      <c r="W936" s="66"/>
      <c r="X936" s="66"/>
      <c r="Y936" s="66"/>
      <c r="Z936" s="66"/>
      <c r="AA936" s="69"/>
      <c r="AD936" s="66"/>
      <c r="AE936" s="66"/>
      <c r="AF936" s="66"/>
      <c r="AG936" s="66"/>
      <c r="AH936" s="66"/>
      <c r="AI936" s="66"/>
      <c r="AJ936" s="69"/>
    </row>
    <row r="937">
      <c r="O937" s="66"/>
      <c r="P937" s="66"/>
      <c r="Q937" s="66"/>
      <c r="R937" s="67"/>
      <c r="S937" s="68"/>
      <c r="W937" s="66"/>
      <c r="X937" s="66"/>
      <c r="Y937" s="66"/>
      <c r="Z937" s="66"/>
      <c r="AA937" s="69"/>
      <c r="AD937" s="66"/>
      <c r="AE937" s="66"/>
      <c r="AF937" s="66"/>
      <c r="AG937" s="66"/>
      <c r="AH937" s="66"/>
      <c r="AI937" s="66"/>
      <c r="AJ937" s="69"/>
    </row>
    <row r="938">
      <c r="O938" s="66"/>
      <c r="P938" s="66"/>
      <c r="Q938" s="66"/>
      <c r="R938" s="67"/>
      <c r="S938" s="68"/>
      <c r="W938" s="66"/>
      <c r="X938" s="66"/>
      <c r="Y938" s="66"/>
      <c r="Z938" s="66"/>
      <c r="AA938" s="69"/>
      <c r="AD938" s="66"/>
      <c r="AE938" s="66"/>
      <c r="AF938" s="66"/>
      <c r="AG938" s="66"/>
      <c r="AH938" s="66"/>
      <c r="AI938" s="66"/>
      <c r="AJ938" s="69"/>
    </row>
    <row r="939">
      <c r="O939" s="66"/>
      <c r="P939" s="66"/>
      <c r="Q939" s="66"/>
      <c r="R939" s="67"/>
      <c r="S939" s="68"/>
      <c r="W939" s="66"/>
      <c r="X939" s="66"/>
      <c r="Y939" s="66"/>
      <c r="Z939" s="66"/>
      <c r="AA939" s="69"/>
      <c r="AD939" s="66"/>
      <c r="AE939" s="66"/>
      <c r="AF939" s="66"/>
      <c r="AG939" s="66"/>
      <c r="AH939" s="66"/>
      <c r="AI939" s="66"/>
      <c r="AJ939" s="69"/>
    </row>
    <row r="940">
      <c r="O940" s="66"/>
      <c r="P940" s="66"/>
      <c r="Q940" s="66"/>
      <c r="R940" s="67"/>
      <c r="S940" s="68"/>
      <c r="W940" s="66"/>
      <c r="X940" s="66"/>
      <c r="Y940" s="66"/>
      <c r="Z940" s="66"/>
      <c r="AA940" s="69"/>
      <c r="AD940" s="66"/>
      <c r="AE940" s="66"/>
      <c r="AF940" s="66"/>
      <c r="AG940" s="66"/>
      <c r="AH940" s="66"/>
      <c r="AI940" s="66"/>
      <c r="AJ940" s="69"/>
    </row>
    <row r="941">
      <c r="O941" s="66"/>
      <c r="P941" s="66"/>
      <c r="Q941" s="66"/>
      <c r="R941" s="67"/>
      <c r="S941" s="68"/>
      <c r="W941" s="66"/>
      <c r="X941" s="66"/>
      <c r="Y941" s="66"/>
      <c r="Z941" s="66"/>
      <c r="AA941" s="69"/>
      <c r="AD941" s="66"/>
      <c r="AE941" s="66"/>
      <c r="AF941" s="66"/>
      <c r="AG941" s="66"/>
      <c r="AH941" s="66"/>
      <c r="AI941" s="66"/>
      <c r="AJ941" s="69"/>
    </row>
    <row r="942">
      <c r="O942" s="66"/>
      <c r="P942" s="66"/>
      <c r="Q942" s="66"/>
      <c r="R942" s="67"/>
      <c r="S942" s="68"/>
      <c r="W942" s="66"/>
      <c r="X942" s="66"/>
      <c r="Y942" s="66"/>
      <c r="Z942" s="66"/>
      <c r="AA942" s="69"/>
      <c r="AD942" s="66"/>
      <c r="AE942" s="66"/>
      <c r="AF942" s="66"/>
      <c r="AG942" s="66"/>
      <c r="AH942" s="66"/>
      <c r="AI942" s="66"/>
      <c r="AJ942" s="69"/>
    </row>
    <row r="943">
      <c r="O943" s="66"/>
      <c r="P943" s="66"/>
      <c r="Q943" s="66"/>
      <c r="R943" s="67"/>
      <c r="S943" s="68"/>
      <c r="W943" s="66"/>
      <c r="X943" s="66"/>
      <c r="Y943" s="66"/>
      <c r="Z943" s="66"/>
      <c r="AA943" s="69"/>
      <c r="AD943" s="66"/>
      <c r="AE943" s="66"/>
      <c r="AF943" s="66"/>
      <c r="AG943" s="66"/>
      <c r="AH943" s="66"/>
      <c r="AI943" s="66"/>
      <c r="AJ943" s="69"/>
    </row>
    <row r="944">
      <c r="O944" s="66"/>
      <c r="P944" s="66"/>
      <c r="Q944" s="66"/>
      <c r="R944" s="67"/>
      <c r="S944" s="68"/>
      <c r="W944" s="66"/>
      <c r="X944" s="66"/>
      <c r="Y944" s="66"/>
      <c r="Z944" s="66"/>
      <c r="AA944" s="69"/>
      <c r="AD944" s="66"/>
      <c r="AE944" s="66"/>
      <c r="AF944" s="66"/>
      <c r="AG944" s="66"/>
      <c r="AH944" s="66"/>
      <c r="AI944" s="66"/>
      <c r="AJ944" s="69"/>
    </row>
    <row r="945">
      <c r="O945" s="66"/>
      <c r="P945" s="66"/>
      <c r="Q945" s="66"/>
      <c r="R945" s="67"/>
      <c r="S945" s="68"/>
      <c r="W945" s="66"/>
      <c r="X945" s="66"/>
      <c r="Y945" s="66"/>
      <c r="Z945" s="66"/>
      <c r="AA945" s="69"/>
      <c r="AD945" s="66"/>
      <c r="AE945" s="66"/>
      <c r="AF945" s="66"/>
      <c r="AG945" s="66"/>
      <c r="AH945" s="66"/>
      <c r="AI945" s="66"/>
      <c r="AJ945" s="69"/>
    </row>
    <row r="946">
      <c r="O946" s="66"/>
      <c r="P946" s="66"/>
      <c r="Q946" s="66"/>
      <c r="R946" s="67"/>
      <c r="S946" s="68"/>
      <c r="W946" s="66"/>
      <c r="X946" s="66"/>
      <c r="Y946" s="66"/>
      <c r="Z946" s="66"/>
      <c r="AA946" s="69"/>
      <c r="AD946" s="66"/>
      <c r="AE946" s="66"/>
      <c r="AF946" s="66"/>
      <c r="AG946" s="66"/>
      <c r="AH946" s="66"/>
      <c r="AI946" s="66"/>
      <c r="AJ946" s="69"/>
    </row>
    <row r="947">
      <c r="O947" s="66"/>
      <c r="P947" s="66"/>
      <c r="Q947" s="66"/>
      <c r="R947" s="67"/>
      <c r="S947" s="68"/>
      <c r="W947" s="66"/>
      <c r="X947" s="66"/>
      <c r="Y947" s="66"/>
      <c r="Z947" s="66"/>
      <c r="AA947" s="69"/>
      <c r="AD947" s="66"/>
      <c r="AE947" s="66"/>
      <c r="AF947" s="66"/>
      <c r="AG947" s="66"/>
      <c r="AH947" s="66"/>
      <c r="AI947" s="66"/>
      <c r="AJ947" s="69"/>
    </row>
    <row r="948">
      <c r="O948" s="66"/>
      <c r="P948" s="66"/>
      <c r="Q948" s="66"/>
      <c r="R948" s="67"/>
      <c r="S948" s="68"/>
      <c r="W948" s="66"/>
      <c r="X948" s="66"/>
      <c r="Y948" s="66"/>
      <c r="Z948" s="66"/>
      <c r="AA948" s="69"/>
      <c r="AD948" s="66"/>
      <c r="AE948" s="66"/>
      <c r="AF948" s="66"/>
      <c r="AG948" s="66"/>
      <c r="AH948" s="66"/>
      <c r="AI948" s="66"/>
      <c r="AJ948" s="69"/>
    </row>
    <row r="949">
      <c r="O949" s="66"/>
      <c r="P949" s="66"/>
      <c r="Q949" s="66"/>
      <c r="R949" s="67"/>
      <c r="S949" s="68"/>
      <c r="W949" s="66"/>
      <c r="X949" s="66"/>
      <c r="Y949" s="66"/>
      <c r="Z949" s="66"/>
      <c r="AA949" s="69"/>
      <c r="AD949" s="66"/>
      <c r="AE949" s="66"/>
      <c r="AF949" s="66"/>
      <c r="AG949" s="66"/>
      <c r="AH949" s="66"/>
      <c r="AI949" s="66"/>
      <c r="AJ949" s="69"/>
    </row>
    <row r="950">
      <c r="O950" s="66"/>
      <c r="P950" s="66"/>
      <c r="Q950" s="66"/>
      <c r="R950" s="67"/>
      <c r="S950" s="68"/>
      <c r="W950" s="66"/>
      <c r="X950" s="66"/>
      <c r="Y950" s="66"/>
      <c r="Z950" s="66"/>
      <c r="AA950" s="69"/>
      <c r="AD950" s="66"/>
      <c r="AE950" s="66"/>
      <c r="AF950" s="66"/>
      <c r="AG950" s="66"/>
      <c r="AH950" s="66"/>
      <c r="AI950" s="66"/>
      <c r="AJ950" s="69"/>
    </row>
    <row r="951">
      <c r="O951" s="66"/>
      <c r="P951" s="66"/>
      <c r="Q951" s="66"/>
      <c r="R951" s="67"/>
      <c r="S951" s="68"/>
      <c r="W951" s="66"/>
      <c r="X951" s="66"/>
      <c r="Y951" s="66"/>
      <c r="Z951" s="66"/>
      <c r="AA951" s="69"/>
      <c r="AD951" s="66"/>
      <c r="AE951" s="66"/>
      <c r="AF951" s="66"/>
      <c r="AG951" s="66"/>
      <c r="AH951" s="66"/>
      <c r="AI951" s="66"/>
      <c r="AJ951" s="69"/>
    </row>
    <row r="952">
      <c r="O952" s="66"/>
      <c r="P952" s="66"/>
      <c r="Q952" s="66"/>
      <c r="R952" s="67"/>
      <c r="S952" s="68"/>
      <c r="W952" s="66"/>
      <c r="X952" s="66"/>
      <c r="Y952" s="66"/>
      <c r="Z952" s="66"/>
      <c r="AA952" s="69"/>
      <c r="AD952" s="66"/>
      <c r="AE952" s="66"/>
      <c r="AF952" s="66"/>
      <c r="AG952" s="66"/>
      <c r="AH952" s="66"/>
      <c r="AI952" s="66"/>
      <c r="AJ952" s="69"/>
    </row>
    <row r="953">
      <c r="O953" s="66"/>
      <c r="P953" s="66"/>
      <c r="Q953" s="66"/>
      <c r="R953" s="67"/>
      <c r="S953" s="68"/>
      <c r="W953" s="66"/>
      <c r="X953" s="66"/>
      <c r="Y953" s="66"/>
      <c r="Z953" s="66"/>
      <c r="AA953" s="69"/>
      <c r="AD953" s="66"/>
      <c r="AE953" s="66"/>
      <c r="AF953" s="66"/>
      <c r="AG953" s="66"/>
      <c r="AH953" s="66"/>
      <c r="AI953" s="66"/>
      <c r="AJ953" s="69"/>
    </row>
    <row r="954">
      <c r="O954" s="66"/>
      <c r="P954" s="66"/>
      <c r="Q954" s="66"/>
      <c r="R954" s="67"/>
      <c r="S954" s="68"/>
      <c r="W954" s="66"/>
      <c r="X954" s="66"/>
      <c r="Y954" s="66"/>
      <c r="Z954" s="66"/>
      <c r="AA954" s="69"/>
      <c r="AD954" s="66"/>
      <c r="AE954" s="66"/>
      <c r="AF954" s="66"/>
      <c r="AG954" s="66"/>
      <c r="AH954" s="66"/>
      <c r="AI954" s="66"/>
      <c r="AJ954" s="69"/>
    </row>
    <row r="955">
      <c r="O955" s="66"/>
      <c r="P955" s="66"/>
      <c r="Q955" s="66"/>
      <c r="R955" s="67"/>
      <c r="S955" s="68"/>
      <c r="W955" s="66"/>
      <c r="X955" s="66"/>
      <c r="Y955" s="66"/>
      <c r="Z955" s="66"/>
      <c r="AA955" s="69"/>
      <c r="AD955" s="66"/>
      <c r="AE955" s="66"/>
      <c r="AF955" s="66"/>
      <c r="AG955" s="66"/>
      <c r="AH955" s="66"/>
      <c r="AI955" s="66"/>
      <c r="AJ955" s="69"/>
    </row>
    <row r="956">
      <c r="O956" s="66"/>
      <c r="P956" s="66"/>
      <c r="Q956" s="66"/>
      <c r="R956" s="67"/>
      <c r="S956" s="68"/>
      <c r="W956" s="66"/>
      <c r="X956" s="66"/>
      <c r="Y956" s="66"/>
      <c r="Z956" s="66"/>
      <c r="AA956" s="69"/>
      <c r="AD956" s="66"/>
      <c r="AE956" s="66"/>
      <c r="AF956" s="66"/>
      <c r="AG956" s="66"/>
      <c r="AH956" s="66"/>
      <c r="AI956" s="66"/>
      <c r="AJ956" s="69"/>
    </row>
    <row r="957">
      <c r="O957" s="66"/>
      <c r="P957" s="66"/>
      <c r="Q957" s="66"/>
      <c r="R957" s="67"/>
      <c r="S957" s="68"/>
      <c r="W957" s="66"/>
      <c r="X957" s="66"/>
      <c r="Y957" s="66"/>
      <c r="Z957" s="66"/>
      <c r="AA957" s="69"/>
      <c r="AD957" s="66"/>
      <c r="AE957" s="66"/>
      <c r="AF957" s="66"/>
      <c r="AG957" s="66"/>
      <c r="AH957" s="66"/>
      <c r="AI957" s="66"/>
      <c r="AJ957" s="69"/>
    </row>
    <row r="958">
      <c r="O958" s="66"/>
      <c r="P958" s="66"/>
      <c r="Q958" s="66"/>
      <c r="R958" s="67"/>
      <c r="S958" s="68"/>
      <c r="W958" s="66"/>
      <c r="X958" s="66"/>
      <c r="Y958" s="66"/>
      <c r="Z958" s="66"/>
      <c r="AA958" s="69"/>
      <c r="AD958" s="66"/>
      <c r="AE958" s="66"/>
      <c r="AF958" s="66"/>
      <c r="AG958" s="66"/>
      <c r="AH958" s="66"/>
      <c r="AI958" s="66"/>
      <c r="AJ958" s="69"/>
    </row>
    <row r="959">
      <c r="O959" s="66"/>
      <c r="P959" s="66"/>
      <c r="Q959" s="66"/>
      <c r="R959" s="67"/>
      <c r="S959" s="68"/>
      <c r="W959" s="66"/>
      <c r="X959" s="66"/>
      <c r="Y959" s="66"/>
      <c r="Z959" s="66"/>
      <c r="AA959" s="69"/>
      <c r="AD959" s="66"/>
      <c r="AE959" s="66"/>
      <c r="AF959" s="66"/>
      <c r="AG959" s="66"/>
      <c r="AH959" s="66"/>
      <c r="AI959" s="66"/>
      <c r="AJ959" s="69"/>
    </row>
    <row r="960">
      <c r="O960" s="66"/>
      <c r="P960" s="66"/>
      <c r="Q960" s="66"/>
      <c r="R960" s="67"/>
      <c r="S960" s="68"/>
      <c r="W960" s="66"/>
      <c r="X960" s="66"/>
      <c r="Y960" s="66"/>
      <c r="Z960" s="66"/>
      <c r="AA960" s="69"/>
      <c r="AD960" s="66"/>
      <c r="AE960" s="66"/>
      <c r="AF960" s="66"/>
      <c r="AG960" s="66"/>
      <c r="AH960" s="66"/>
      <c r="AI960" s="66"/>
      <c r="AJ960" s="69"/>
    </row>
    <row r="961">
      <c r="O961" s="66"/>
      <c r="P961" s="66"/>
      <c r="Q961" s="66"/>
      <c r="R961" s="67"/>
      <c r="S961" s="68"/>
      <c r="W961" s="66"/>
      <c r="X961" s="66"/>
      <c r="Y961" s="66"/>
      <c r="Z961" s="66"/>
      <c r="AA961" s="69"/>
      <c r="AD961" s="66"/>
      <c r="AE961" s="66"/>
      <c r="AF961" s="66"/>
      <c r="AG961" s="66"/>
      <c r="AH961" s="66"/>
      <c r="AI961" s="66"/>
      <c r="AJ961" s="69"/>
    </row>
    <row r="962">
      <c r="O962" s="66"/>
      <c r="P962" s="66"/>
      <c r="Q962" s="66"/>
      <c r="R962" s="67"/>
      <c r="S962" s="68"/>
      <c r="W962" s="66"/>
      <c r="X962" s="66"/>
      <c r="Y962" s="66"/>
      <c r="Z962" s="66"/>
      <c r="AA962" s="69"/>
      <c r="AD962" s="66"/>
      <c r="AE962" s="66"/>
      <c r="AF962" s="66"/>
      <c r="AG962" s="66"/>
      <c r="AH962" s="66"/>
      <c r="AI962" s="66"/>
      <c r="AJ962" s="69"/>
    </row>
    <row r="963">
      <c r="O963" s="66"/>
      <c r="P963" s="66"/>
      <c r="Q963" s="66"/>
      <c r="R963" s="67"/>
      <c r="S963" s="68"/>
      <c r="W963" s="66"/>
      <c r="X963" s="66"/>
      <c r="Y963" s="66"/>
      <c r="Z963" s="66"/>
      <c r="AA963" s="69"/>
      <c r="AD963" s="66"/>
      <c r="AE963" s="66"/>
      <c r="AF963" s="66"/>
      <c r="AG963" s="66"/>
      <c r="AH963" s="66"/>
      <c r="AI963" s="66"/>
      <c r="AJ963" s="69"/>
    </row>
    <row r="964">
      <c r="O964" s="66"/>
      <c r="P964" s="66"/>
      <c r="Q964" s="66"/>
      <c r="R964" s="67"/>
      <c r="S964" s="68"/>
      <c r="W964" s="66"/>
      <c r="X964" s="66"/>
      <c r="Y964" s="66"/>
      <c r="Z964" s="66"/>
      <c r="AA964" s="69"/>
      <c r="AD964" s="66"/>
      <c r="AE964" s="66"/>
      <c r="AF964" s="66"/>
      <c r="AG964" s="66"/>
      <c r="AH964" s="66"/>
      <c r="AI964" s="66"/>
      <c r="AJ964" s="69"/>
    </row>
    <row r="965">
      <c r="O965" s="66"/>
      <c r="P965" s="66"/>
      <c r="Q965" s="66"/>
      <c r="R965" s="67"/>
      <c r="S965" s="68"/>
      <c r="W965" s="66"/>
      <c r="X965" s="66"/>
      <c r="Y965" s="66"/>
      <c r="Z965" s="66"/>
      <c r="AA965" s="69"/>
      <c r="AD965" s="66"/>
      <c r="AE965" s="66"/>
      <c r="AF965" s="66"/>
      <c r="AG965" s="66"/>
      <c r="AH965" s="66"/>
      <c r="AI965" s="66"/>
      <c r="AJ965" s="69"/>
    </row>
    <row r="966">
      <c r="O966" s="66"/>
      <c r="P966" s="66"/>
      <c r="Q966" s="66"/>
      <c r="R966" s="67"/>
      <c r="S966" s="68"/>
      <c r="W966" s="66"/>
      <c r="X966" s="66"/>
      <c r="Y966" s="66"/>
      <c r="Z966" s="66"/>
      <c r="AA966" s="69"/>
      <c r="AD966" s="66"/>
      <c r="AE966" s="66"/>
      <c r="AF966" s="66"/>
      <c r="AG966" s="66"/>
      <c r="AH966" s="66"/>
      <c r="AI966" s="66"/>
      <c r="AJ966" s="69"/>
    </row>
    <row r="967">
      <c r="O967" s="66"/>
      <c r="P967" s="66"/>
      <c r="Q967" s="66"/>
      <c r="R967" s="67"/>
      <c r="S967" s="68"/>
      <c r="W967" s="66"/>
      <c r="X967" s="66"/>
      <c r="Y967" s="66"/>
      <c r="Z967" s="66"/>
      <c r="AA967" s="69"/>
      <c r="AD967" s="66"/>
      <c r="AE967" s="66"/>
      <c r="AF967" s="66"/>
      <c r="AG967" s="66"/>
      <c r="AH967" s="66"/>
      <c r="AI967" s="66"/>
      <c r="AJ967" s="69"/>
    </row>
    <row r="968">
      <c r="O968" s="66"/>
      <c r="P968" s="66"/>
      <c r="Q968" s="66"/>
      <c r="R968" s="67"/>
      <c r="S968" s="68"/>
      <c r="W968" s="66"/>
      <c r="X968" s="66"/>
      <c r="Y968" s="66"/>
      <c r="Z968" s="66"/>
      <c r="AA968" s="69"/>
      <c r="AD968" s="66"/>
      <c r="AE968" s="66"/>
      <c r="AF968" s="66"/>
      <c r="AG968" s="66"/>
      <c r="AH968" s="66"/>
      <c r="AI968" s="66"/>
      <c r="AJ968" s="69"/>
    </row>
    <row r="969">
      <c r="O969" s="66"/>
      <c r="P969" s="66"/>
      <c r="Q969" s="66"/>
      <c r="R969" s="67"/>
      <c r="S969" s="68"/>
      <c r="W969" s="66"/>
      <c r="X969" s="66"/>
      <c r="Y969" s="66"/>
      <c r="Z969" s="66"/>
      <c r="AA969" s="69"/>
      <c r="AD969" s="66"/>
      <c r="AE969" s="66"/>
      <c r="AF969" s="66"/>
      <c r="AG969" s="66"/>
      <c r="AH969" s="66"/>
      <c r="AI969" s="66"/>
      <c r="AJ969" s="69"/>
    </row>
    <row r="970">
      <c r="O970" s="66"/>
      <c r="P970" s="66"/>
      <c r="Q970" s="66"/>
      <c r="R970" s="67"/>
      <c r="S970" s="68"/>
      <c r="W970" s="66"/>
      <c r="X970" s="66"/>
      <c r="Y970" s="66"/>
      <c r="Z970" s="66"/>
      <c r="AA970" s="69"/>
      <c r="AD970" s="66"/>
      <c r="AE970" s="66"/>
      <c r="AF970" s="66"/>
      <c r="AG970" s="66"/>
      <c r="AH970" s="66"/>
      <c r="AI970" s="66"/>
      <c r="AJ970" s="69"/>
    </row>
    <row r="971">
      <c r="O971" s="66"/>
      <c r="P971" s="66"/>
      <c r="Q971" s="66"/>
      <c r="R971" s="67"/>
      <c r="S971" s="68"/>
      <c r="W971" s="66"/>
      <c r="X971" s="66"/>
      <c r="Y971" s="66"/>
      <c r="Z971" s="66"/>
      <c r="AA971" s="69"/>
      <c r="AD971" s="66"/>
      <c r="AE971" s="66"/>
      <c r="AF971" s="66"/>
      <c r="AG971" s="66"/>
      <c r="AH971" s="66"/>
      <c r="AI971" s="66"/>
      <c r="AJ971" s="69"/>
    </row>
    <row r="972">
      <c r="O972" s="66"/>
      <c r="P972" s="66"/>
      <c r="Q972" s="66"/>
      <c r="R972" s="67"/>
      <c r="S972" s="68"/>
      <c r="W972" s="66"/>
      <c r="X972" s="66"/>
      <c r="Y972" s="66"/>
      <c r="Z972" s="66"/>
      <c r="AA972" s="69"/>
      <c r="AD972" s="66"/>
      <c r="AE972" s="66"/>
      <c r="AF972" s="66"/>
      <c r="AG972" s="66"/>
      <c r="AH972" s="66"/>
      <c r="AI972" s="66"/>
      <c r="AJ972" s="69"/>
    </row>
    <row r="973">
      <c r="O973" s="66"/>
      <c r="P973" s="66"/>
      <c r="Q973" s="66"/>
      <c r="R973" s="67"/>
      <c r="S973" s="68"/>
      <c r="W973" s="66"/>
      <c r="X973" s="66"/>
      <c r="Y973" s="66"/>
      <c r="Z973" s="66"/>
      <c r="AA973" s="69"/>
      <c r="AD973" s="66"/>
      <c r="AE973" s="66"/>
      <c r="AF973" s="66"/>
      <c r="AG973" s="66"/>
      <c r="AH973" s="66"/>
      <c r="AI973" s="66"/>
      <c r="AJ973" s="69"/>
    </row>
    <row r="974">
      <c r="O974" s="66"/>
      <c r="P974" s="66"/>
      <c r="Q974" s="66"/>
      <c r="R974" s="67"/>
      <c r="S974" s="68"/>
      <c r="W974" s="66"/>
      <c r="X974" s="66"/>
      <c r="Y974" s="66"/>
      <c r="Z974" s="66"/>
      <c r="AA974" s="69"/>
      <c r="AD974" s="66"/>
      <c r="AE974" s="66"/>
      <c r="AF974" s="66"/>
      <c r="AG974" s="66"/>
      <c r="AH974" s="66"/>
      <c r="AI974" s="66"/>
      <c r="AJ974" s="69"/>
    </row>
    <row r="975">
      <c r="O975" s="66"/>
      <c r="P975" s="66"/>
      <c r="Q975" s="66"/>
      <c r="R975" s="67"/>
      <c r="S975" s="68"/>
      <c r="W975" s="66"/>
      <c r="X975" s="66"/>
      <c r="Y975" s="66"/>
      <c r="Z975" s="66"/>
      <c r="AA975" s="69"/>
      <c r="AD975" s="66"/>
      <c r="AE975" s="66"/>
      <c r="AF975" s="66"/>
      <c r="AG975" s="66"/>
      <c r="AH975" s="66"/>
      <c r="AI975" s="66"/>
      <c r="AJ975" s="69"/>
    </row>
    <row r="976">
      <c r="O976" s="66"/>
      <c r="P976" s="66"/>
      <c r="Q976" s="66"/>
      <c r="R976" s="67"/>
      <c r="S976" s="68"/>
      <c r="W976" s="66"/>
      <c r="X976" s="66"/>
      <c r="Y976" s="66"/>
      <c r="Z976" s="66"/>
      <c r="AA976" s="69"/>
      <c r="AD976" s="66"/>
      <c r="AE976" s="66"/>
      <c r="AF976" s="66"/>
      <c r="AG976" s="66"/>
      <c r="AH976" s="66"/>
      <c r="AI976" s="66"/>
      <c r="AJ976" s="69"/>
    </row>
    <row r="977">
      <c r="O977" s="66"/>
      <c r="P977" s="66"/>
      <c r="Q977" s="66"/>
      <c r="R977" s="67"/>
      <c r="S977" s="68"/>
      <c r="W977" s="66"/>
      <c r="X977" s="66"/>
      <c r="Y977" s="66"/>
      <c r="Z977" s="66"/>
      <c r="AA977" s="69"/>
      <c r="AD977" s="66"/>
      <c r="AE977" s="66"/>
      <c r="AF977" s="66"/>
      <c r="AG977" s="66"/>
      <c r="AH977" s="66"/>
      <c r="AI977" s="66"/>
      <c r="AJ977" s="69"/>
    </row>
    <row r="978">
      <c r="O978" s="66"/>
      <c r="P978" s="66"/>
      <c r="Q978" s="66"/>
      <c r="R978" s="67"/>
      <c r="S978" s="68"/>
      <c r="W978" s="66"/>
      <c r="X978" s="66"/>
      <c r="Y978" s="66"/>
      <c r="Z978" s="66"/>
      <c r="AA978" s="69"/>
      <c r="AD978" s="66"/>
      <c r="AE978" s="66"/>
      <c r="AF978" s="66"/>
      <c r="AG978" s="66"/>
      <c r="AH978" s="66"/>
      <c r="AI978" s="66"/>
      <c r="AJ978" s="69"/>
    </row>
    <row r="979">
      <c r="O979" s="66"/>
      <c r="P979" s="66"/>
      <c r="Q979" s="66"/>
      <c r="R979" s="67"/>
      <c r="S979" s="68"/>
      <c r="W979" s="66"/>
      <c r="X979" s="66"/>
      <c r="Y979" s="66"/>
      <c r="Z979" s="66"/>
      <c r="AA979" s="69"/>
      <c r="AD979" s="66"/>
      <c r="AE979" s="66"/>
      <c r="AF979" s="66"/>
      <c r="AG979" s="66"/>
      <c r="AH979" s="66"/>
      <c r="AI979" s="66"/>
      <c r="AJ979" s="69"/>
    </row>
    <row r="980">
      <c r="O980" s="66"/>
      <c r="P980" s="66"/>
      <c r="Q980" s="66"/>
      <c r="R980" s="67"/>
      <c r="S980" s="68"/>
      <c r="W980" s="66"/>
      <c r="X980" s="66"/>
      <c r="Y980" s="66"/>
      <c r="Z980" s="66"/>
      <c r="AA980" s="69"/>
      <c r="AD980" s="66"/>
      <c r="AE980" s="66"/>
      <c r="AF980" s="66"/>
      <c r="AG980" s="66"/>
      <c r="AH980" s="66"/>
      <c r="AI980" s="66"/>
      <c r="AJ980" s="69"/>
    </row>
    <row r="981">
      <c r="O981" s="66"/>
      <c r="P981" s="66"/>
      <c r="Q981" s="66"/>
      <c r="R981" s="67"/>
      <c r="S981" s="68"/>
      <c r="W981" s="66"/>
      <c r="X981" s="66"/>
      <c r="Y981" s="66"/>
      <c r="Z981" s="66"/>
      <c r="AA981" s="69"/>
      <c r="AD981" s="66"/>
      <c r="AE981" s="66"/>
      <c r="AF981" s="66"/>
      <c r="AG981" s="66"/>
      <c r="AH981" s="66"/>
      <c r="AI981" s="66"/>
      <c r="AJ981" s="69"/>
    </row>
    <row r="982">
      <c r="O982" s="66"/>
      <c r="P982" s="66"/>
      <c r="Q982" s="66"/>
      <c r="R982" s="67"/>
      <c r="S982" s="68"/>
      <c r="W982" s="66"/>
      <c r="X982" s="66"/>
      <c r="Y982" s="66"/>
      <c r="Z982" s="66"/>
      <c r="AA982" s="69"/>
      <c r="AD982" s="66"/>
      <c r="AE982" s="66"/>
      <c r="AF982" s="66"/>
      <c r="AG982" s="66"/>
      <c r="AH982" s="66"/>
      <c r="AI982" s="66"/>
      <c r="AJ982" s="69"/>
    </row>
    <row r="983">
      <c r="O983" s="66"/>
      <c r="P983" s="66"/>
      <c r="Q983" s="66"/>
      <c r="R983" s="67"/>
      <c r="S983" s="68"/>
      <c r="W983" s="66"/>
      <c r="X983" s="66"/>
      <c r="Y983" s="66"/>
      <c r="Z983" s="66"/>
      <c r="AA983" s="69"/>
      <c r="AD983" s="66"/>
      <c r="AE983" s="66"/>
      <c r="AF983" s="66"/>
      <c r="AG983" s="66"/>
      <c r="AH983" s="66"/>
      <c r="AI983" s="66"/>
      <c r="AJ983" s="69"/>
    </row>
    <row r="984">
      <c r="O984" s="66"/>
      <c r="P984" s="66"/>
      <c r="Q984" s="66"/>
      <c r="R984" s="67"/>
      <c r="S984" s="68"/>
      <c r="W984" s="66"/>
      <c r="X984" s="66"/>
      <c r="Y984" s="66"/>
      <c r="Z984" s="66"/>
      <c r="AA984" s="69"/>
      <c r="AD984" s="66"/>
      <c r="AE984" s="66"/>
      <c r="AF984" s="66"/>
      <c r="AG984" s="66"/>
      <c r="AH984" s="66"/>
      <c r="AI984" s="66"/>
      <c r="AJ984" s="69"/>
    </row>
    <row r="985">
      <c r="O985" s="66"/>
      <c r="P985" s="66"/>
      <c r="Q985" s="66"/>
      <c r="R985" s="67"/>
      <c r="S985" s="68"/>
      <c r="W985" s="66"/>
      <c r="X985" s="66"/>
      <c r="Y985" s="66"/>
      <c r="Z985" s="66"/>
      <c r="AA985" s="69"/>
      <c r="AD985" s="66"/>
      <c r="AE985" s="66"/>
      <c r="AF985" s="66"/>
      <c r="AG985" s="66"/>
      <c r="AH985" s="66"/>
      <c r="AI985" s="66"/>
      <c r="AJ985" s="69"/>
    </row>
    <row r="986">
      <c r="O986" s="66"/>
      <c r="P986" s="66"/>
      <c r="Q986" s="66"/>
      <c r="R986" s="67"/>
      <c r="S986" s="68"/>
      <c r="W986" s="66"/>
      <c r="X986" s="66"/>
      <c r="Y986" s="66"/>
      <c r="Z986" s="66"/>
      <c r="AA986" s="69"/>
      <c r="AD986" s="66"/>
      <c r="AE986" s="66"/>
      <c r="AF986" s="66"/>
      <c r="AG986" s="66"/>
      <c r="AH986" s="66"/>
      <c r="AI986" s="66"/>
      <c r="AJ986" s="69"/>
    </row>
    <row r="987">
      <c r="O987" s="66"/>
      <c r="P987" s="66"/>
      <c r="Q987" s="66"/>
      <c r="R987" s="67"/>
      <c r="S987" s="68"/>
      <c r="W987" s="66"/>
      <c r="X987" s="66"/>
      <c r="Y987" s="66"/>
      <c r="Z987" s="66"/>
      <c r="AA987" s="69"/>
      <c r="AD987" s="66"/>
      <c r="AE987" s="66"/>
      <c r="AF987" s="66"/>
      <c r="AG987" s="66"/>
      <c r="AH987" s="66"/>
      <c r="AI987" s="66"/>
      <c r="AJ987" s="69"/>
    </row>
    <row r="988">
      <c r="O988" s="66"/>
      <c r="P988" s="66"/>
      <c r="Q988" s="66"/>
      <c r="R988" s="67"/>
      <c r="S988" s="68"/>
      <c r="W988" s="66"/>
      <c r="X988" s="66"/>
      <c r="Y988" s="66"/>
      <c r="Z988" s="66"/>
      <c r="AA988" s="69"/>
      <c r="AD988" s="66"/>
      <c r="AE988" s="66"/>
      <c r="AF988" s="66"/>
      <c r="AG988" s="66"/>
      <c r="AH988" s="66"/>
      <c r="AI988" s="66"/>
      <c r="AJ988" s="69"/>
    </row>
    <row r="989">
      <c r="O989" s="66"/>
      <c r="P989" s="66"/>
      <c r="Q989" s="66"/>
      <c r="R989" s="67"/>
      <c r="S989" s="68"/>
      <c r="W989" s="66"/>
      <c r="X989" s="66"/>
      <c r="Y989" s="66"/>
      <c r="Z989" s="66"/>
      <c r="AA989" s="69"/>
      <c r="AD989" s="66"/>
      <c r="AE989" s="66"/>
      <c r="AF989" s="66"/>
      <c r="AG989" s="66"/>
      <c r="AH989" s="66"/>
      <c r="AI989" s="66"/>
      <c r="AJ989" s="69"/>
    </row>
    <row r="990">
      <c r="O990" s="66"/>
      <c r="P990" s="66"/>
      <c r="Q990" s="66"/>
      <c r="R990" s="67"/>
      <c r="S990" s="68"/>
      <c r="W990" s="66"/>
      <c r="X990" s="66"/>
      <c r="Y990" s="66"/>
      <c r="Z990" s="66"/>
      <c r="AA990" s="69"/>
      <c r="AD990" s="66"/>
      <c r="AE990" s="66"/>
      <c r="AF990" s="66"/>
      <c r="AG990" s="66"/>
      <c r="AH990" s="66"/>
      <c r="AI990" s="66"/>
      <c r="AJ990" s="69"/>
    </row>
    <row r="991">
      <c r="O991" s="66"/>
      <c r="P991" s="66"/>
      <c r="Q991" s="66"/>
      <c r="R991" s="67"/>
      <c r="S991" s="68"/>
      <c r="W991" s="66"/>
      <c r="X991" s="66"/>
      <c r="Y991" s="66"/>
      <c r="Z991" s="66"/>
      <c r="AA991" s="69"/>
      <c r="AD991" s="66"/>
      <c r="AE991" s="66"/>
      <c r="AF991" s="66"/>
      <c r="AG991" s="66"/>
      <c r="AH991" s="66"/>
      <c r="AI991" s="66"/>
      <c r="AJ991" s="69"/>
    </row>
    <row r="992">
      <c r="O992" s="66"/>
      <c r="P992" s="66"/>
      <c r="Q992" s="66"/>
      <c r="R992" s="67"/>
      <c r="S992" s="68"/>
      <c r="W992" s="66"/>
      <c r="X992" s="66"/>
      <c r="Y992" s="66"/>
      <c r="Z992" s="66"/>
      <c r="AA992" s="69"/>
      <c r="AD992" s="66"/>
      <c r="AE992" s="66"/>
      <c r="AF992" s="66"/>
      <c r="AG992" s="66"/>
      <c r="AH992" s="66"/>
      <c r="AI992" s="66"/>
      <c r="AJ992" s="69"/>
    </row>
    <row r="993">
      <c r="O993" s="66"/>
      <c r="P993" s="66"/>
      <c r="Q993" s="66"/>
      <c r="R993" s="67"/>
      <c r="S993" s="68"/>
      <c r="W993" s="66"/>
      <c r="X993" s="66"/>
      <c r="Y993" s="66"/>
      <c r="Z993" s="66"/>
      <c r="AA993" s="69"/>
      <c r="AD993" s="66"/>
      <c r="AE993" s="66"/>
      <c r="AF993" s="66"/>
      <c r="AG993" s="66"/>
      <c r="AH993" s="66"/>
      <c r="AI993" s="66"/>
      <c r="AJ993" s="69"/>
    </row>
    <row r="994">
      <c r="O994" s="66"/>
      <c r="P994" s="66"/>
      <c r="Q994" s="66"/>
      <c r="R994" s="67"/>
      <c r="S994" s="68"/>
      <c r="W994" s="66"/>
      <c r="X994" s="66"/>
      <c r="Y994" s="66"/>
      <c r="Z994" s="66"/>
      <c r="AA994" s="69"/>
      <c r="AD994" s="66"/>
      <c r="AE994" s="66"/>
      <c r="AF994" s="66"/>
      <c r="AG994" s="66"/>
      <c r="AH994" s="66"/>
      <c r="AI994" s="66"/>
      <c r="AJ994" s="69"/>
    </row>
    <row r="995">
      <c r="O995" s="66"/>
      <c r="P995" s="66"/>
      <c r="Q995" s="66"/>
      <c r="R995" s="67"/>
      <c r="S995" s="68"/>
      <c r="W995" s="66"/>
      <c r="X995" s="66"/>
      <c r="Y995" s="66"/>
      <c r="Z995" s="66"/>
      <c r="AA995" s="69"/>
      <c r="AD995" s="66"/>
      <c r="AE995" s="66"/>
      <c r="AF995" s="66"/>
      <c r="AG995" s="66"/>
      <c r="AH995" s="66"/>
      <c r="AI995" s="66"/>
      <c r="AJ995" s="69"/>
    </row>
    <row r="996">
      <c r="O996" s="66"/>
      <c r="P996" s="66"/>
      <c r="Q996" s="66"/>
      <c r="R996" s="67"/>
      <c r="S996" s="68"/>
      <c r="W996" s="66"/>
      <c r="X996" s="66"/>
      <c r="Y996" s="66"/>
      <c r="Z996" s="66"/>
      <c r="AA996" s="69"/>
      <c r="AD996" s="66"/>
      <c r="AE996" s="66"/>
      <c r="AF996" s="66"/>
      <c r="AG996" s="66"/>
      <c r="AH996" s="66"/>
      <c r="AI996" s="66"/>
      <c r="AJ996" s="69"/>
    </row>
    <row r="997">
      <c r="O997" s="66"/>
      <c r="P997" s="66"/>
      <c r="Q997" s="66"/>
      <c r="R997" s="67"/>
      <c r="S997" s="68"/>
      <c r="W997" s="66"/>
      <c r="X997" s="66"/>
      <c r="Y997" s="66"/>
      <c r="Z997" s="66"/>
      <c r="AA997" s="69"/>
      <c r="AD997" s="66"/>
      <c r="AE997" s="66"/>
      <c r="AF997" s="66"/>
      <c r="AG997" s="66"/>
      <c r="AH997" s="66"/>
      <c r="AI997" s="66"/>
      <c r="AJ997" s="69"/>
    </row>
    <row r="998">
      <c r="O998" s="66"/>
      <c r="P998" s="66"/>
      <c r="Q998" s="66"/>
      <c r="R998" s="67"/>
      <c r="S998" s="68"/>
      <c r="W998" s="66"/>
      <c r="X998" s="66"/>
      <c r="Y998" s="66"/>
      <c r="Z998" s="66"/>
      <c r="AA998" s="69"/>
      <c r="AD998" s="66"/>
      <c r="AE998" s="66"/>
      <c r="AF998" s="66"/>
      <c r="AG998" s="66"/>
      <c r="AH998" s="66"/>
      <c r="AI998" s="66"/>
      <c r="AJ998" s="69"/>
    </row>
    <row r="999">
      <c r="O999" s="66"/>
      <c r="P999" s="66"/>
      <c r="Q999" s="66"/>
      <c r="R999" s="67"/>
      <c r="S999" s="68"/>
      <c r="W999" s="66"/>
      <c r="X999" s="66"/>
      <c r="Y999" s="66"/>
      <c r="Z999" s="66"/>
      <c r="AA999" s="69"/>
      <c r="AD999" s="66"/>
      <c r="AE999" s="66"/>
      <c r="AF999" s="66"/>
      <c r="AG999" s="66"/>
      <c r="AH999" s="66"/>
      <c r="AI999" s="66"/>
      <c r="AJ999" s="69"/>
    </row>
    <row r="1000">
      <c r="O1000" s="66"/>
      <c r="P1000" s="66"/>
      <c r="Q1000" s="66"/>
      <c r="R1000" s="67"/>
      <c r="S1000" s="68"/>
      <c r="W1000" s="66"/>
      <c r="X1000" s="66"/>
      <c r="Y1000" s="66"/>
      <c r="Z1000" s="66"/>
      <c r="AA1000" s="69"/>
      <c r="AD1000" s="66"/>
      <c r="AE1000" s="66"/>
      <c r="AF1000" s="66"/>
      <c r="AG1000" s="66"/>
      <c r="AH1000" s="66"/>
      <c r="AI1000" s="66"/>
      <c r="AJ1000" s="69"/>
    </row>
  </sheetData>
  <mergeCells count="7">
    <mergeCell ref="W4:AA4"/>
    <mergeCell ref="R6:R7"/>
    <mergeCell ref="S6:S7"/>
    <mergeCell ref="R8:R10"/>
    <mergeCell ref="S8:S10"/>
    <mergeCell ref="R11:R13"/>
    <mergeCell ref="S11:S13"/>
  </mergeCells>
  <hyperlinks>
    <hyperlink r:id="rId4" location="gid=1041844825" ref="A5"/>
    <hyperlink r:id="rId5" ref="A13"/>
    <hyperlink r:id="rId6" ref="A16"/>
    <hyperlink r:id="rId7" ref="A17"/>
    <hyperlink r:id="rId8" ref="A18"/>
    <hyperlink r:id="rId9" location="gid=1041844825" ref="A20"/>
    <hyperlink r:id="rId10" location="gid=588422368" ref="A26"/>
  </hyperlinks>
  <printOptions horizontalCentered="1"/>
  <pageMargins bottom="0.75" footer="0.0" header="0.0" left="0.7" right="0.7" top="0.75"/>
  <pageSetup fitToHeight="0" cellComments="atEnd" orientation="landscape" pageOrder="overThenDown"/>
  <drawing r:id="rId1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D9D9"/>
    <outlinePr summaryBelow="0" summaryRight="0"/>
  </sheetPr>
  <sheetViews>
    <sheetView workbookViewId="0">
      <pane xSplit="6.0" ySplit="2.0" topLeftCell="G3" activePane="bottomRight" state="frozen"/>
      <selection activeCell="G1" sqref="G1" pane="topRight"/>
      <selection activeCell="A3" sqref="A3" pane="bottomLeft"/>
      <selection activeCell="G3" sqref="G3" pane="bottomRight"/>
    </sheetView>
  </sheetViews>
  <sheetFormatPr customHeight="1" defaultColWidth="14.43" defaultRowHeight="15.75" outlineLevelCol="1" outlineLevelRow="1"/>
  <cols>
    <col customWidth="1" min="1" max="1" width="31.29"/>
    <col customWidth="1" min="2" max="2" width="7.0"/>
    <col customWidth="1" min="3" max="3" width="9.57"/>
    <col customWidth="1" min="4" max="4" width="11.29"/>
    <col customWidth="1" min="5" max="5" width="15.29"/>
    <col collapsed="1" customWidth="1" min="6" max="6" width="5.0"/>
    <col customWidth="1" hidden="1" min="7" max="37" width="8.14" outlineLevel="1"/>
    <col customWidth="1" hidden="1" min="38" max="38" width="7.14" outlineLevel="1"/>
    <col customWidth="1" min="39" max="39" width="3.71"/>
    <col customWidth="1" min="40" max="69" width="8.0" outlineLevel="1"/>
    <col customWidth="1" min="70" max="70" width="7.14" outlineLevel="1"/>
    <col collapsed="1" customWidth="1" min="71" max="71" width="3.71"/>
    <col customWidth="1" hidden="1" min="72" max="73" width="7.29" outlineLevel="1"/>
    <col customWidth="1" hidden="1" min="74" max="74" width="9.86" outlineLevel="1"/>
    <col customWidth="1" hidden="1" min="75" max="102" width="7.29" outlineLevel="1"/>
    <col customWidth="1" hidden="1" min="103" max="103" width="3.29" outlineLevel="1"/>
    <col collapsed="1" customWidth="1" min="104" max="104" width="3.71"/>
    <col customWidth="1" hidden="1" min="105" max="114" width="10.71" outlineLevel="1"/>
    <col customWidth="1" hidden="1" min="115" max="115" width="10.57" outlineLevel="1"/>
    <col customWidth="1" hidden="1" min="116" max="135" width="10.71" outlineLevel="1"/>
    <col customWidth="1" hidden="1" min="136" max="136" width="4.14" outlineLevel="1"/>
    <col customWidth="1" min="137" max="137" width="3.71"/>
    <col customWidth="1" min="138" max="147" width="10.71"/>
    <col customWidth="1" min="148" max="148" width="10.57"/>
    <col customWidth="1" min="149" max="167" width="10.71"/>
    <col customWidth="1" min="168" max="168" width="2.14"/>
    <col customWidth="1" min="169" max="169" width="3.71"/>
    <col customWidth="1" min="170" max="179" width="10.71" outlineLevel="1"/>
    <col customWidth="1" min="180" max="180" width="10.57" outlineLevel="1"/>
    <col customWidth="1" min="181" max="200" width="10.71" outlineLevel="1"/>
    <col customWidth="1" min="201" max="201" width="2.14" outlineLevel="1"/>
    <col customWidth="1" min="202" max="202" width="3.71" outlineLevel="1"/>
    <col customWidth="1" min="203" max="203" width="10.57" outlineLevel="1"/>
    <col customWidth="1" min="204" max="213" width="7.86" outlineLevel="1"/>
  </cols>
  <sheetData>
    <row r="1" ht="49.5" customHeight="1">
      <c r="A1" s="99" t="s">
        <v>109</v>
      </c>
      <c r="B1" s="100"/>
      <c r="C1" s="100"/>
      <c r="D1" s="100"/>
      <c r="E1" s="100"/>
      <c r="F1" s="100"/>
      <c r="G1" s="100">
        <v>44317.0</v>
      </c>
      <c r="H1" s="100">
        <v>44318.0</v>
      </c>
      <c r="I1" s="100">
        <v>44319.0</v>
      </c>
      <c r="J1" s="100">
        <v>44320.0</v>
      </c>
      <c r="K1" s="100">
        <v>44321.0</v>
      </c>
      <c r="L1" s="100">
        <v>44322.0</v>
      </c>
      <c r="M1" s="100">
        <v>44323.0</v>
      </c>
      <c r="N1" s="100">
        <v>44324.0</v>
      </c>
      <c r="O1" s="100">
        <v>44325.0</v>
      </c>
      <c r="P1" s="100">
        <v>44326.0</v>
      </c>
      <c r="Q1" s="100">
        <v>44327.0</v>
      </c>
      <c r="R1" s="100">
        <v>44328.0</v>
      </c>
      <c r="S1" s="100">
        <v>44329.0</v>
      </c>
      <c r="T1" s="100">
        <v>44330.0</v>
      </c>
      <c r="U1" s="100">
        <v>44331.0</v>
      </c>
      <c r="V1" s="100">
        <v>44332.0</v>
      </c>
      <c r="W1" s="100">
        <v>44333.0</v>
      </c>
      <c r="X1" s="100">
        <v>44334.0</v>
      </c>
      <c r="Y1" s="100">
        <v>44335.0</v>
      </c>
      <c r="Z1" s="100">
        <v>44336.0</v>
      </c>
      <c r="AA1" s="100">
        <v>44337.0</v>
      </c>
      <c r="AB1" s="100">
        <v>44338.0</v>
      </c>
      <c r="AC1" s="100">
        <v>44339.0</v>
      </c>
      <c r="AD1" s="100">
        <v>44340.0</v>
      </c>
      <c r="AE1" s="100">
        <v>44341.0</v>
      </c>
      <c r="AF1" s="100">
        <v>44342.0</v>
      </c>
      <c r="AG1" s="100">
        <v>44343.0</v>
      </c>
      <c r="AH1" s="100">
        <v>44344.0</v>
      </c>
      <c r="AI1" s="100">
        <v>44345.0</v>
      </c>
      <c r="AJ1" s="100">
        <v>44346.0</v>
      </c>
      <c r="AK1" s="100">
        <v>44347.0</v>
      </c>
      <c r="AL1" s="100"/>
      <c r="AM1" s="100"/>
      <c r="AN1" s="100">
        <v>44348.0</v>
      </c>
      <c r="AO1" s="100">
        <v>44349.0</v>
      </c>
      <c r="AP1" s="100">
        <v>44350.0</v>
      </c>
      <c r="AQ1" s="100">
        <v>44351.0</v>
      </c>
      <c r="AR1" s="100">
        <v>44352.0</v>
      </c>
      <c r="AS1" s="100">
        <v>44353.0</v>
      </c>
      <c r="AT1" s="100">
        <v>44354.0</v>
      </c>
      <c r="AU1" s="100">
        <v>44355.0</v>
      </c>
      <c r="AV1" s="100">
        <v>44356.0</v>
      </c>
      <c r="AW1" s="100">
        <v>44357.0</v>
      </c>
      <c r="AX1" s="100">
        <v>44358.0</v>
      </c>
      <c r="AY1" s="100">
        <v>44359.0</v>
      </c>
      <c r="AZ1" s="100">
        <v>44360.0</v>
      </c>
      <c r="BA1" s="100">
        <v>44361.0</v>
      </c>
      <c r="BB1" s="100">
        <v>44362.0</v>
      </c>
      <c r="BC1" s="100">
        <v>44363.0</v>
      </c>
      <c r="BD1" s="100">
        <v>44364.0</v>
      </c>
      <c r="BE1" s="100">
        <v>44365.0</v>
      </c>
      <c r="BF1" s="100">
        <v>44366.0</v>
      </c>
      <c r="BG1" s="100">
        <v>44367.0</v>
      </c>
      <c r="BH1" s="100">
        <v>44368.0</v>
      </c>
      <c r="BI1" s="100">
        <v>44369.0</v>
      </c>
      <c r="BJ1" s="100">
        <v>44370.0</v>
      </c>
      <c r="BK1" s="100">
        <v>44371.0</v>
      </c>
      <c r="BL1" s="100">
        <v>44372.0</v>
      </c>
      <c r="BM1" s="100">
        <v>44373.0</v>
      </c>
      <c r="BN1" s="100">
        <v>44374.0</v>
      </c>
      <c r="BO1" s="100">
        <v>44375.0</v>
      </c>
      <c r="BP1" s="100">
        <v>44376.0</v>
      </c>
      <c r="BQ1" s="100">
        <v>44377.0</v>
      </c>
      <c r="BR1" s="100"/>
      <c r="BS1" s="100"/>
      <c r="BT1" s="100">
        <v>44378.0</v>
      </c>
      <c r="BU1" s="100">
        <v>44379.0</v>
      </c>
      <c r="BV1" s="100">
        <v>44380.0</v>
      </c>
      <c r="BW1" s="100">
        <v>44381.0</v>
      </c>
      <c r="BX1" s="100">
        <v>44382.0</v>
      </c>
      <c r="BY1" s="100">
        <v>44383.0</v>
      </c>
      <c r="BZ1" s="100">
        <v>44384.0</v>
      </c>
      <c r="CA1" s="100">
        <v>44385.0</v>
      </c>
      <c r="CB1" s="100">
        <v>44386.0</v>
      </c>
      <c r="CC1" s="100">
        <v>44387.0</v>
      </c>
      <c r="CD1" s="100">
        <v>44388.0</v>
      </c>
      <c r="CE1" s="100">
        <v>44389.0</v>
      </c>
      <c r="CF1" s="100">
        <v>44390.0</v>
      </c>
      <c r="CG1" s="100">
        <v>44391.0</v>
      </c>
      <c r="CH1" s="100">
        <v>44392.0</v>
      </c>
      <c r="CI1" s="100">
        <v>44393.0</v>
      </c>
      <c r="CJ1" s="100">
        <v>44394.0</v>
      </c>
      <c r="CK1" s="100">
        <v>44395.0</v>
      </c>
      <c r="CL1" s="100">
        <v>44396.0</v>
      </c>
      <c r="CM1" s="100">
        <v>44397.0</v>
      </c>
      <c r="CN1" s="100">
        <v>44398.0</v>
      </c>
      <c r="CO1" s="100">
        <v>44399.0</v>
      </c>
      <c r="CP1" s="100">
        <v>44400.0</v>
      </c>
      <c r="CQ1" s="100">
        <v>44401.0</v>
      </c>
      <c r="CR1" s="100">
        <v>44402.0</v>
      </c>
      <c r="CS1" s="100">
        <v>44403.0</v>
      </c>
      <c r="CT1" s="100">
        <v>44404.0</v>
      </c>
      <c r="CU1" s="100">
        <v>44405.0</v>
      </c>
      <c r="CV1" s="100">
        <v>44406.0</v>
      </c>
      <c r="CW1" s="100">
        <v>44407.0</v>
      </c>
      <c r="CX1" s="100">
        <v>44408.0</v>
      </c>
      <c r="CY1" s="100"/>
      <c r="CZ1" s="100"/>
      <c r="DA1" s="100">
        <v>44409.0</v>
      </c>
      <c r="DB1" s="100">
        <v>44410.0</v>
      </c>
      <c r="DC1" s="100">
        <v>44411.0</v>
      </c>
      <c r="DD1" s="100">
        <v>44412.0</v>
      </c>
      <c r="DE1" s="100">
        <v>44413.0</v>
      </c>
      <c r="DF1" s="100">
        <v>44414.0</v>
      </c>
      <c r="DG1" s="100">
        <v>44415.0</v>
      </c>
      <c r="DH1" s="100">
        <v>44416.0</v>
      </c>
      <c r="DI1" s="100">
        <v>44417.0</v>
      </c>
      <c r="DJ1" s="100">
        <v>44418.0</v>
      </c>
      <c r="DK1" s="100">
        <v>44419.0</v>
      </c>
      <c r="DL1" s="100">
        <v>44420.0</v>
      </c>
      <c r="DM1" s="100">
        <v>44421.0</v>
      </c>
      <c r="DN1" s="100">
        <v>44422.0</v>
      </c>
      <c r="DO1" s="100">
        <v>44423.0</v>
      </c>
      <c r="DP1" s="100">
        <v>44424.0</v>
      </c>
      <c r="DQ1" s="100">
        <v>44425.0</v>
      </c>
      <c r="DR1" s="100">
        <v>44426.0</v>
      </c>
      <c r="DS1" s="100">
        <v>44427.0</v>
      </c>
      <c r="DT1" s="100">
        <v>44428.0</v>
      </c>
      <c r="DU1" s="100">
        <v>44429.0</v>
      </c>
      <c r="DV1" s="100">
        <v>44430.0</v>
      </c>
      <c r="DW1" s="100">
        <v>44431.0</v>
      </c>
      <c r="DX1" s="100">
        <v>44432.0</v>
      </c>
      <c r="DY1" s="100">
        <v>44433.0</v>
      </c>
      <c r="DZ1" s="100">
        <v>44434.0</v>
      </c>
      <c r="EA1" s="100">
        <v>44435.0</v>
      </c>
      <c r="EB1" s="100">
        <v>44436.0</v>
      </c>
      <c r="EC1" s="100">
        <v>44437.0</v>
      </c>
      <c r="ED1" s="100">
        <v>44438.0</v>
      </c>
      <c r="EE1" s="100">
        <v>44439.0</v>
      </c>
      <c r="EF1" s="100"/>
      <c r="EG1" s="100"/>
      <c r="EH1" s="100">
        <v>44440.0</v>
      </c>
      <c r="EI1" s="100">
        <v>44441.0</v>
      </c>
      <c r="EJ1" s="100">
        <v>44442.0</v>
      </c>
      <c r="EK1" s="100">
        <v>44443.0</v>
      </c>
      <c r="EL1" s="100">
        <v>44444.0</v>
      </c>
      <c r="EM1" s="100">
        <v>44445.0</v>
      </c>
      <c r="EN1" s="100">
        <v>44446.0</v>
      </c>
      <c r="EO1" s="100">
        <v>44447.0</v>
      </c>
      <c r="EP1" s="100">
        <v>44448.0</v>
      </c>
      <c r="EQ1" s="100">
        <v>44449.0</v>
      </c>
      <c r="ER1" s="100">
        <v>44450.0</v>
      </c>
      <c r="ES1" s="100">
        <v>44451.0</v>
      </c>
      <c r="ET1" s="100">
        <v>44452.0</v>
      </c>
      <c r="EU1" s="100">
        <v>44453.0</v>
      </c>
      <c r="EV1" s="100">
        <v>44454.0</v>
      </c>
      <c r="EW1" s="100">
        <v>44455.0</v>
      </c>
      <c r="EX1" s="100">
        <v>44456.0</v>
      </c>
      <c r="EY1" s="100">
        <v>44457.0</v>
      </c>
      <c r="EZ1" s="100">
        <v>44458.0</v>
      </c>
      <c r="FA1" s="100">
        <v>44459.0</v>
      </c>
      <c r="FB1" s="100">
        <v>44460.0</v>
      </c>
      <c r="FC1" s="100">
        <v>44461.0</v>
      </c>
      <c r="FD1" s="100">
        <v>44462.0</v>
      </c>
      <c r="FE1" s="100">
        <v>44463.0</v>
      </c>
      <c r="FF1" s="100">
        <v>44464.0</v>
      </c>
      <c r="FG1" s="100">
        <v>44465.0</v>
      </c>
      <c r="FH1" s="100">
        <v>44466.0</v>
      </c>
      <c r="FI1" s="100">
        <v>44467.0</v>
      </c>
      <c r="FJ1" s="100">
        <v>44468.0</v>
      </c>
      <c r="FK1" s="100">
        <v>44469.0</v>
      </c>
      <c r="FL1" s="100"/>
      <c r="FM1" s="100"/>
      <c r="FN1" s="100">
        <v>44470.0</v>
      </c>
      <c r="FO1" s="100">
        <v>44471.0</v>
      </c>
      <c r="FP1" s="100">
        <v>44472.0</v>
      </c>
      <c r="FQ1" s="100">
        <v>44473.0</v>
      </c>
      <c r="FR1" s="100">
        <v>44474.0</v>
      </c>
      <c r="FS1" s="100">
        <v>44475.0</v>
      </c>
      <c r="FT1" s="100">
        <v>44476.0</v>
      </c>
      <c r="FU1" s="100">
        <v>44477.0</v>
      </c>
      <c r="FV1" s="100">
        <v>44478.0</v>
      </c>
      <c r="FW1" s="100">
        <v>44479.0</v>
      </c>
      <c r="FX1" s="100">
        <v>44480.0</v>
      </c>
      <c r="FY1" s="100">
        <v>44481.0</v>
      </c>
      <c r="FZ1" s="100">
        <v>44482.0</v>
      </c>
      <c r="GA1" s="100">
        <v>44483.0</v>
      </c>
      <c r="GB1" s="100">
        <v>44484.0</v>
      </c>
      <c r="GC1" s="100">
        <v>44485.0</v>
      </c>
      <c r="GD1" s="100">
        <v>44486.0</v>
      </c>
      <c r="GE1" s="100">
        <v>44487.0</v>
      </c>
      <c r="GF1" s="100">
        <v>44488.0</v>
      </c>
      <c r="GG1" s="100">
        <v>44489.0</v>
      </c>
      <c r="GH1" s="100">
        <v>44490.0</v>
      </c>
      <c r="GI1" s="100">
        <v>44491.0</v>
      </c>
      <c r="GJ1" s="100">
        <v>44492.0</v>
      </c>
      <c r="GK1" s="100">
        <v>44493.0</v>
      </c>
      <c r="GL1" s="100">
        <v>44494.0</v>
      </c>
      <c r="GM1" s="100">
        <v>44495.0</v>
      </c>
      <c r="GN1" s="100">
        <v>44496.0</v>
      </c>
      <c r="GO1" s="100">
        <v>44497.0</v>
      </c>
      <c r="GP1" s="100">
        <v>44498.0</v>
      </c>
      <c r="GQ1" s="100">
        <v>44499.0</v>
      </c>
      <c r="GR1" s="100">
        <v>44500.0</v>
      </c>
      <c r="GS1" s="100"/>
      <c r="GT1" s="100"/>
      <c r="GU1" s="100">
        <v>44501.0</v>
      </c>
      <c r="GV1" s="100"/>
      <c r="GW1" s="100"/>
      <c r="GX1" s="100"/>
      <c r="GY1" s="100"/>
      <c r="GZ1" s="100"/>
      <c r="HA1" s="100"/>
      <c r="HB1" s="100"/>
      <c r="HC1" s="100"/>
      <c r="HD1" s="100"/>
      <c r="HE1" s="100"/>
    </row>
    <row r="2" ht="16.5" customHeight="1">
      <c r="A2" s="101" t="s">
        <v>233</v>
      </c>
      <c r="B2" s="102" t="s">
        <v>87</v>
      </c>
      <c r="C2" s="103" t="s">
        <v>234</v>
      </c>
      <c r="D2" s="102" t="s">
        <v>96</v>
      </c>
      <c r="E2" s="101" t="s">
        <v>235</v>
      </c>
      <c r="F2" s="104" t="s">
        <v>236</v>
      </c>
      <c r="G2" s="15" t="s">
        <v>237</v>
      </c>
      <c r="H2" s="15" t="s">
        <v>238</v>
      </c>
      <c r="I2" s="15" t="s">
        <v>239</v>
      </c>
      <c r="J2" s="15" t="s">
        <v>240</v>
      </c>
      <c r="K2" s="15" t="s">
        <v>241</v>
      </c>
      <c r="L2" s="15" t="s">
        <v>242</v>
      </c>
      <c r="M2" s="15" t="s">
        <v>243</v>
      </c>
      <c r="N2" s="15" t="s">
        <v>237</v>
      </c>
      <c r="O2" s="15" t="s">
        <v>238</v>
      </c>
      <c r="P2" s="15" t="s">
        <v>239</v>
      </c>
      <c r="Q2" s="15" t="s">
        <v>240</v>
      </c>
      <c r="R2" s="15" t="s">
        <v>241</v>
      </c>
      <c r="S2" s="15" t="s">
        <v>242</v>
      </c>
      <c r="T2" s="15" t="s">
        <v>243</v>
      </c>
      <c r="U2" s="15" t="s">
        <v>237</v>
      </c>
      <c r="V2" s="15" t="s">
        <v>238</v>
      </c>
      <c r="W2" s="15" t="s">
        <v>239</v>
      </c>
      <c r="X2" s="15" t="s">
        <v>240</v>
      </c>
      <c r="Y2" s="15" t="s">
        <v>241</v>
      </c>
      <c r="Z2" s="15" t="s">
        <v>242</v>
      </c>
      <c r="AA2" s="15" t="s">
        <v>243</v>
      </c>
      <c r="AB2" s="15" t="s">
        <v>237</v>
      </c>
      <c r="AC2" s="15" t="s">
        <v>238</v>
      </c>
      <c r="AD2" s="15" t="s">
        <v>239</v>
      </c>
      <c r="AE2" s="15" t="s">
        <v>240</v>
      </c>
      <c r="AF2" s="15" t="s">
        <v>241</v>
      </c>
      <c r="AG2" s="15" t="s">
        <v>242</v>
      </c>
      <c r="AH2" s="15" t="s">
        <v>243</v>
      </c>
      <c r="AI2" s="15" t="s">
        <v>237</v>
      </c>
      <c r="AJ2" s="15" t="s">
        <v>238</v>
      </c>
      <c r="AK2" s="66" t="s">
        <v>239</v>
      </c>
      <c r="AL2" s="53" t="s">
        <v>244</v>
      </c>
      <c r="AM2" s="48"/>
      <c r="AN2" s="15" t="str">
        <f t="shared" ref="AN2:BQ2" si="1">TEXT(AN$1,"ddd")
</f>
        <v>Tue</v>
      </c>
      <c r="AO2" s="15" t="str">
        <f t="shared" si="1"/>
        <v>Wed</v>
      </c>
      <c r="AP2" s="15" t="str">
        <f t="shared" si="1"/>
        <v>Thu</v>
      </c>
      <c r="AQ2" s="15" t="str">
        <f t="shared" si="1"/>
        <v>Fri</v>
      </c>
      <c r="AR2" s="15" t="str">
        <f t="shared" si="1"/>
        <v>Sat</v>
      </c>
      <c r="AS2" s="15" t="str">
        <f t="shared" si="1"/>
        <v>Sun</v>
      </c>
      <c r="AT2" s="15" t="str">
        <f t="shared" si="1"/>
        <v>Mon</v>
      </c>
      <c r="AU2" s="15" t="str">
        <f t="shared" si="1"/>
        <v>Tue</v>
      </c>
      <c r="AV2" s="15" t="str">
        <f t="shared" si="1"/>
        <v>Wed</v>
      </c>
      <c r="AW2" s="15" t="str">
        <f t="shared" si="1"/>
        <v>Thu</v>
      </c>
      <c r="AX2" s="15" t="str">
        <f t="shared" si="1"/>
        <v>Fri</v>
      </c>
      <c r="AY2" s="15" t="str">
        <f t="shared" si="1"/>
        <v>Sat</v>
      </c>
      <c r="AZ2" s="15" t="str">
        <f t="shared" si="1"/>
        <v>Sun</v>
      </c>
      <c r="BA2" s="15" t="str">
        <f t="shared" si="1"/>
        <v>Mon</v>
      </c>
      <c r="BB2" s="15" t="str">
        <f t="shared" si="1"/>
        <v>Tue</v>
      </c>
      <c r="BC2" s="15" t="str">
        <f t="shared" si="1"/>
        <v>Wed</v>
      </c>
      <c r="BD2" s="15" t="str">
        <f t="shared" si="1"/>
        <v>Thu</v>
      </c>
      <c r="BE2" s="15" t="str">
        <f t="shared" si="1"/>
        <v>Fri</v>
      </c>
      <c r="BF2" s="15" t="str">
        <f t="shared" si="1"/>
        <v>Sat</v>
      </c>
      <c r="BG2" s="15" t="str">
        <f t="shared" si="1"/>
        <v>Sun</v>
      </c>
      <c r="BH2" s="15" t="str">
        <f t="shared" si="1"/>
        <v>Mon</v>
      </c>
      <c r="BI2" s="15" t="str">
        <f t="shared" si="1"/>
        <v>Tue</v>
      </c>
      <c r="BJ2" s="15" t="str">
        <f t="shared" si="1"/>
        <v>Wed</v>
      </c>
      <c r="BK2" s="15" t="str">
        <f t="shared" si="1"/>
        <v>Thu</v>
      </c>
      <c r="BL2" s="15" t="str">
        <f t="shared" si="1"/>
        <v>Fri</v>
      </c>
      <c r="BM2" s="15" t="str">
        <f t="shared" si="1"/>
        <v>Sat</v>
      </c>
      <c r="BN2" s="15" t="str">
        <f t="shared" si="1"/>
        <v>Sun</v>
      </c>
      <c r="BO2" s="15" t="str">
        <f t="shared" si="1"/>
        <v>Mon</v>
      </c>
      <c r="BP2" s="15" t="str">
        <f t="shared" si="1"/>
        <v>Tue</v>
      </c>
      <c r="BQ2" s="15" t="str">
        <f t="shared" si="1"/>
        <v>Wed</v>
      </c>
      <c r="BR2" s="53" t="s">
        <v>244</v>
      </c>
      <c r="BS2" s="48"/>
      <c r="BT2" s="15" t="str">
        <f t="shared" ref="BT2:CX2" si="2">TEXT(BT$1,"ddd")
</f>
        <v>Thu</v>
      </c>
      <c r="BU2" s="15" t="str">
        <f t="shared" si="2"/>
        <v>Fri</v>
      </c>
      <c r="BV2" s="15" t="str">
        <f t="shared" si="2"/>
        <v>Sat</v>
      </c>
      <c r="BW2" s="15" t="str">
        <f t="shared" si="2"/>
        <v>Sun</v>
      </c>
      <c r="BX2" s="15" t="str">
        <f t="shared" si="2"/>
        <v>Mon</v>
      </c>
      <c r="BY2" s="15" t="str">
        <f t="shared" si="2"/>
        <v>Tue</v>
      </c>
      <c r="BZ2" s="15" t="str">
        <f t="shared" si="2"/>
        <v>Wed</v>
      </c>
      <c r="CA2" s="15" t="str">
        <f t="shared" si="2"/>
        <v>Thu</v>
      </c>
      <c r="CB2" s="15" t="str">
        <f t="shared" si="2"/>
        <v>Fri</v>
      </c>
      <c r="CC2" s="15" t="str">
        <f t="shared" si="2"/>
        <v>Sat</v>
      </c>
      <c r="CD2" s="15" t="str">
        <f t="shared" si="2"/>
        <v>Sun</v>
      </c>
      <c r="CE2" s="15" t="str">
        <f t="shared" si="2"/>
        <v>Mon</v>
      </c>
      <c r="CF2" s="15" t="str">
        <f t="shared" si="2"/>
        <v>Tue</v>
      </c>
      <c r="CG2" s="15" t="str">
        <f t="shared" si="2"/>
        <v>Wed</v>
      </c>
      <c r="CH2" s="15" t="str">
        <f t="shared" si="2"/>
        <v>Thu</v>
      </c>
      <c r="CI2" s="15" t="str">
        <f t="shared" si="2"/>
        <v>Fri</v>
      </c>
      <c r="CJ2" s="15" t="str">
        <f t="shared" si="2"/>
        <v>Sat</v>
      </c>
      <c r="CK2" s="15" t="str">
        <f t="shared" si="2"/>
        <v>Sun</v>
      </c>
      <c r="CL2" s="15" t="str">
        <f t="shared" si="2"/>
        <v>Mon</v>
      </c>
      <c r="CM2" s="15" t="str">
        <f t="shared" si="2"/>
        <v>Tue</v>
      </c>
      <c r="CN2" s="15" t="str">
        <f t="shared" si="2"/>
        <v>Wed</v>
      </c>
      <c r="CO2" s="15" t="str">
        <f t="shared" si="2"/>
        <v>Thu</v>
      </c>
      <c r="CP2" s="15" t="str">
        <f t="shared" si="2"/>
        <v>Fri</v>
      </c>
      <c r="CQ2" s="15" t="str">
        <f t="shared" si="2"/>
        <v>Sat</v>
      </c>
      <c r="CR2" s="15" t="str">
        <f t="shared" si="2"/>
        <v>Sun</v>
      </c>
      <c r="CS2" s="15" t="str">
        <f t="shared" si="2"/>
        <v>Mon</v>
      </c>
      <c r="CT2" s="15" t="str">
        <f t="shared" si="2"/>
        <v>Tue</v>
      </c>
      <c r="CU2" s="15" t="str">
        <f t="shared" si="2"/>
        <v>Wed</v>
      </c>
      <c r="CV2" s="15" t="str">
        <f t="shared" si="2"/>
        <v>Thu</v>
      </c>
      <c r="CW2" s="15" t="str">
        <f t="shared" si="2"/>
        <v>Fri</v>
      </c>
      <c r="CX2" s="15" t="str">
        <f t="shared" si="2"/>
        <v>Sat</v>
      </c>
      <c r="CY2" s="105"/>
      <c r="CZ2" s="48"/>
      <c r="DA2" s="15" t="str">
        <f t="shared" ref="DA2:EE2" si="3">TEXT(DA$1,"ddd")
</f>
        <v>Sun</v>
      </c>
      <c r="DB2" s="15" t="str">
        <f t="shared" si="3"/>
        <v>Mon</v>
      </c>
      <c r="DC2" s="15" t="str">
        <f t="shared" si="3"/>
        <v>Tue</v>
      </c>
      <c r="DD2" s="15" t="str">
        <f t="shared" si="3"/>
        <v>Wed</v>
      </c>
      <c r="DE2" s="15" t="str">
        <f t="shared" si="3"/>
        <v>Thu</v>
      </c>
      <c r="DF2" s="15" t="str">
        <f t="shared" si="3"/>
        <v>Fri</v>
      </c>
      <c r="DG2" s="15" t="str">
        <f t="shared" si="3"/>
        <v>Sat</v>
      </c>
      <c r="DH2" s="15" t="str">
        <f t="shared" si="3"/>
        <v>Sun</v>
      </c>
      <c r="DI2" s="15" t="str">
        <f t="shared" si="3"/>
        <v>Mon</v>
      </c>
      <c r="DJ2" s="15" t="str">
        <f t="shared" si="3"/>
        <v>Tue</v>
      </c>
      <c r="DK2" s="15" t="str">
        <f t="shared" si="3"/>
        <v>Wed</v>
      </c>
      <c r="DL2" s="15" t="str">
        <f t="shared" si="3"/>
        <v>Thu</v>
      </c>
      <c r="DM2" s="15" t="str">
        <f t="shared" si="3"/>
        <v>Fri</v>
      </c>
      <c r="DN2" s="15" t="str">
        <f t="shared" si="3"/>
        <v>Sat</v>
      </c>
      <c r="DO2" s="15" t="str">
        <f t="shared" si="3"/>
        <v>Sun</v>
      </c>
      <c r="DP2" s="15" t="str">
        <f t="shared" si="3"/>
        <v>Mon</v>
      </c>
      <c r="DQ2" s="15" t="str">
        <f t="shared" si="3"/>
        <v>Tue</v>
      </c>
      <c r="DR2" s="15" t="str">
        <f t="shared" si="3"/>
        <v>Wed</v>
      </c>
      <c r="DS2" s="15" t="str">
        <f t="shared" si="3"/>
        <v>Thu</v>
      </c>
      <c r="DT2" s="15" t="str">
        <f t="shared" si="3"/>
        <v>Fri</v>
      </c>
      <c r="DU2" s="15" t="str">
        <f t="shared" si="3"/>
        <v>Sat</v>
      </c>
      <c r="DV2" s="15" t="str">
        <f t="shared" si="3"/>
        <v>Sun</v>
      </c>
      <c r="DW2" s="15" t="str">
        <f t="shared" si="3"/>
        <v>Mon</v>
      </c>
      <c r="DX2" s="15" t="str">
        <f t="shared" si="3"/>
        <v>Tue</v>
      </c>
      <c r="DY2" s="15" t="str">
        <f t="shared" si="3"/>
        <v>Wed</v>
      </c>
      <c r="DZ2" s="15" t="str">
        <f t="shared" si="3"/>
        <v>Thu</v>
      </c>
      <c r="EA2" s="15" t="str">
        <f t="shared" si="3"/>
        <v>Fri</v>
      </c>
      <c r="EB2" s="15" t="str">
        <f t="shared" si="3"/>
        <v>Sat</v>
      </c>
      <c r="EC2" s="15" t="str">
        <f t="shared" si="3"/>
        <v>Sun</v>
      </c>
      <c r="ED2" s="15" t="str">
        <f t="shared" si="3"/>
        <v>Mon</v>
      </c>
      <c r="EE2" s="15" t="str">
        <f t="shared" si="3"/>
        <v>Tue</v>
      </c>
      <c r="EF2" s="105"/>
      <c r="EG2" s="48"/>
      <c r="EH2" s="15" t="str">
        <f t="shared" ref="EH2:FK2" si="4">TEXT(EH$1,"ddd")
</f>
        <v>Wed</v>
      </c>
      <c r="EI2" s="15" t="str">
        <f t="shared" si="4"/>
        <v>Thu</v>
      </c>
      <c r="EJ2" s="15" t="str">
        <f t="shared" si="4"/>
        <v>Fri</v>
      </c>
      <c r="EK2" s="15" t="str">
        <f t="shared" si="4"/>
        <v>Sat</v>
      </c>
      <c r="EL2" s="15" t="str">
        <f t="shared" si="4"/>
        <v>Sun</v>
      </c>
      <c r="EM2" s="15" t="str">
        <f t="shared" si="4"/>
        <v>Mon</v>
      </c>
      <c r="EN2" s="15" t="str">
        <f t="shared" si="4"/>
        <v>Tue</v>
      </c>
      <c r="EO2" s="15" t="str">
        <f t="shared" si="4"/>
        <v>Wed</v>
      </c>
      <c r="EP2" s="15" t="str">
        <f t="shared" si="4"/>
        <v>Thu</v>
      </c>
      <c r="EQ2" s="15" t="str">
        <f t="shared" si="4"/>
        <v>Fri</v>
      </c>
      <c r="ER2" s="15" t="str">
        <f t="shared" si="4"/>
        <v>Sat</v>
      </c>
      <c r="ES2" s="15" t="str">
        <f t="shared" si="4"/>
        <v>Sun</v>
      </c>
      <c r="ET2" s="15" t="str">
        <f t="shared" si="4"/>
        <v>Mon</v>
      </c>
      <c r="EU2" s="15" t="str">
        <f t="shared" si="4"/>
        <v>Tue</v>
      </c>
      <c r="EV2" s="15" t="str">
        <f t="shared" si="4"/>
        <v>Wed</v>
      </c>
      <c r="EW2" s="15" t="str">
        <f t="shared" si="4"/>
        <v>Thu</v>
      </c>
      <c r="EX2" s="15" t="str">
        <f t="shared" si="4"/>
        <v>Fri</v>
      </c>
      <c r="EY2" s="15" t="str">
        <f t="shared" si="4"/>
        <v>Sat</v>
      </c>
      <c r="EZ2" s="15" t="str">
        <f t="shared" si="4"/>
        <v>Sun</v>
      </c>
      <c r="FA2" s="15" t="str">
        <f t="shared" si="4"/>
        <v>Mon</v>
      </c>
      <c r="FB2" s="15" t="str">
        <f t="shared" si="4"/>
        <v>Tue</v>
      </c>
      <c r="FC2" s="15" t="str">
        <f t="shared" si="4"/>
        <v>Wed</v>
      </c>
      <c r="FD2" s="15" t="str">
        <f t="shared" si="4"/>
        <v>Thu</v>
      </c>
      <c r="FE2" s="15" t="str">
        <f t="shared" si="4"/>
        <v>Fri</v>
      </c>
      <c r="FF2" s="15" t="str">
        <f t="shared" si="4"/>
        <v>Sat</v>
      </c>
      <c r="FG2" s="15" t="str">
        <f t="shared" si="4"/>
        <v>Sun</v>
      </c>
      <c r="FH2" s="15" t="str">
        <f t="shared" si="4"/>
        <v>Mon</v>
      </c>
      <c r="FI2" s="15" t="str">
        <f t="shared" si="4"/>
        <v>Tue</v>
      </c>
      <c r="FJ2" s="15" t="str">
        <f t="shared" si="4"/>
        <v>Wed</v>
      </c>
      <c r="FK2" s="15" t="str">
        <f t="shared" si="4"/>
        <v>Thu</v>
      </c>
      <c r="FL2" s="105"/>
      <c r="FM2" s="48"/>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05"/>
      <c r="GT2" s="48"/>
      <c r="GU2" s="15"/>
      <c r="GV2" s="15"/>
      <c r="GW2" s="15"/>
      <c r="GX2" s="15"/>
      <c r="GY2" s="15"/>
      <c r="GZ2" s="15"/>
      <c r="HA2" s="15"/>
      <c r="HB2" s="15"/>
      <c r="HC2" s="15"/>
      <c r="HD2" s="15"/>
      <c r="HE2" s="15"/>
    </row>
    <row r="3" ht="16.5" customHeight="1">
      <c r="A3" s="106" t="s">
        <v>161</v>
      </c>
      <c r="B3" s="106" t="str">
        <f>iferror(vlookup(A3,'SoS - Agents Info'!A:H,5,false),"")</f>
        <v>FR</v>
      </c>
      <c r="C3" s="107" t="str">
        <f>iferror(vlookup(A3,'SoS - Agents Info'!A:AQ,43,false),"")</f>
        <v>JM</v>
      </c>
      <c r="D3" s="108" t="str">
        <f>iferror(vlookup(A3,'SoS - Agents Info'!A:H,6,false),"")</f>
        <v>WD</v>
      </c>
      <c r="E3" s="108" t="str">
        <f>iferror(vlookup(A3,'SoS - Agents Info'!A:H,7,false),"")</f>
        <v>08:00-17:00</v>
      </c>
      <c r="F3" s="109">
        <f>IFERROR(__xludf.DUMMYFUNCTION("sum(COUNTIFS(Filter(FILTER('Shiftplan SoS'!G$3:GU166,'Shiftplan SoS'!$G$1:$GU$1&lt;=today()),'Shiftplan SoS'!$A$3:$A166=A3),""&gt;0"",(Filter(FILTER('Shiftplan SoS'!G$3:GU166,'Shiftplan SoS'!$G$1:$GU$1&lt;=today()),'Shiftplan SoS'!$A$3:$A166=A3)),""&lt;12""))"),85.0)</f>
        <v>85</v>
      </c>
      <c r="G3" s="53">
        <v>8.0</v>
      </c>
      <c r="H3" s="53">
        <v>8.0</v>
      </c>
      <c r="I3" s="53">
        <v>8.0</v>
      </c>
      <c r="J3" s="53" t="s">
        <v>165</v>
      </c>
      <c r="K3" s="53">
        <v>8.0</v>
      </c>
      <c r="L3" s="53">
        <v>8.0</v>
      </c>
      <c r="M3" s="53" t="s">
        <v>165</v>
      </c>
      <c r="N3" s="53">
        <v>8.0</v>
      </c>
      <c r="O3" s="53">
        <v>8.0</v>
      </c>
      <c r="P3" s="53">
        <v>8.0</v>
      </c>
      <c r="Q3" s="53" t="s">
        <v>165</v>
      </c>
      <c r="R3" s="53">
        <v>8.0</v>
      </c>
      <c r="S3" s="53">
        <v>8.0</v>
      </c>
      <c r="T3" s="53" t="s">
        <v>165</v>
      </c>
      <c r="U3" s="53">
        <v>8.0</v>
      </c>
      <c r="V3" s="53">
        <v>8.0</v>
      </c>
      <c r="W3" s="53">
        <v>8.0</v>
      </c>
      <c r="X3" s="53" t="s">
        <v>165</v>
      </c>
      <c r="Y3" s="53">
        <v>8.0</v>
      </c>
      <c r="Z3" s="53">
        <v>8.0</v>
      </c>
      <c r="AA3" s="53" t="s">
        <v>165</v>
      </c>
      <c r="AB3" s="53">
        <v>8.0</v>
      </c>
      <c r="AC3" s="53">
        <v>8.0</v>
      </c>
      <c r="AD3" s="53">
        <v>8.0</v>
      </c>
      <c r="AE3" s="53" t="s">
        <v>165</v>
      </c>
      <c r="AF3" s="53">
        <v>8.0</v>
      </c>
      <c r="AG3" s="53">
        <v>8.0</v>
      </c>
      <c r="AH3" s="53" t="s">
        <v>165</v>
      </c>
      <c r="AI3" s="110">
        <v>8.0</v>
      </c>
      <c r="AJ3" s="110">
        <v>8.0</v>
      </c>
      <c r="AK3" s="111" t="s">
        <v>171</v>
      </c>
      <c r="AL3" s="105">
        <f t="shared" ref="AL3:AL60" si="5">sum(G3:AK3)</f>
        <v>176</v>
      </c>
      <c r="AM3" s="48"/>
      <c r="AN3" s="53" t="s">
        <v>165</v>
      </c>
      <c r="AO3" s="53">
        <v>8.0</v>
      </c>
      <c r="AP3" s="53">
        <v>8.0</v>
      </c>
      <c r="AQ3" s="53" t="s">
        <v>165</v>
      </c>
      <c r="AR3" s="53">
        <v>8.0</v>
      </c>
      <c r="AS3" s="53">
        <v>8.0</v>
      </c>
      <c r="AT3" s="53">
        <v>8.0</v>
      </c>
      <c r="AU3" s="53" t="s">
        <v>165</v>
      </c>
      <c r="AV3" s="53">
        <v>8.0</v>
      </c>
      <c r="AW3" s="53">
        <v>8.0</v>
      </c>
      <c r="AX3" s="53" t="s">
        <v>165</v>
      </c>
      <c r="AY3" s="53">
        <v>8.0</v>
      </c>
      <c r="AZ3" s="53">
        <v>8.0</v>
      </c>
      <c r="BA3" s="110">
        <v>8.0</v>
      </c>
      <c r="BB3" s="53" t="s">
        <v>165</v>
      </c>
      <c r="BC3" s="110">
        <v>8.0</v>
      </c>
      <c r="BD3" s="110">
        <v>8.0</v>
      </c>
      <c r="BE3" s="53" t="s">
        <v>165</v>
      </c>
      <c r="BF3" s="53">
        <v>8.0</v>
      </c>
      <c r="BG3" s="53">
        <v>8.0</v>
      </c>
      <c r="BH3" s="110">
        <v>8.0</v>
      </c>
      <c r="BI3" s="53" t="s">
        <v>165</v>
      </c>
      <c r="BJ3" s="53">
        <v>8.0</v>
      </c>
      <c r="BK3" s="110">
        <v>8.0</v>
      </c>
      <c r="BL3" s="53" t="s">
        <v>165</v>
      </c>
      <c r="BM3" s="53">
        <v>8.0</v>
      </c>
      <c r="BN3" s="53">
        <v>8.0</v>
      </c>
      <c r="BO3" s="53">
        <v>8.0</v>
      </c>
      <c r="BP3" s="53" t="s">
        <v>165</v>
      </c>
      <c r="BQ3" s="53" t="s">
        <v>245</v>
      </c>
      <c r="BR3" s="105">
        <f t="shared" ref="BR3:BR5" si="6">sum(AN3:BQ3)</f>
        <v>160</v>
      </c>
      <c r="BS3" s="48"/>
      <c r="BT3" s="64">
        <v>8.0</v>
      </c>
      <c r="BU3" s="25" t="s">
        <v>165</v>
      </c>
      <c r="BV3" s="112">
        <v>8.0</v>
      </c>
      <c r="BW3" s="112">
        <v>8.0</v>
      </c>
      <c r="BX3" s="16">
        <v>8.0</v>
      </c>
      <c r="BY3" s="53" t="s">
        <v>165</v>
      </c>
      <c r="BZ3" s="53">
        <v>8.0</v>
      </c>
      <c r="CA3" s="16">
        <v>8.0</v>
      </c>
      <c r="CB3" s="53" t="s">
        <v>165</v>
      </c>
      <c r="CC3" s="53">
        <v>8.0</v>
      </c>
      <c r="CD3" s="53">
        <v>8.0</v>
      </c>
      <c r="CE3" s="16">
        <v>8.0</v>
      </c>
      <c r="CF3" s="53" t="s">
        <v>165</v>
      </c>
      <c r="CG3" s="53">
        <v>8.0</v>
      </c>
      <c r="CH3" s="16">
        <v>8.0</v>
      </c>
      <c r="CI3" s="53" t="s">
        <v>165</v>
      </c>
      <c r="CJ3" s="53">
        <v>8.0</v>
      </c>
      <c r="CK3" s="53">
        <v>8.0</v>
      </c>
      <c r="CL3" s="16">
        <v>8.0</v>
      </c>
      <c r="CM3" s="53" t="s">
        <v>165</v>
      </c>
      <c r="CN3" s="53">
        <v>8.0</v>
      </c>
      <c r="CO3" s="16">
        <v>8.0</v>
      </c>
      <c r="CP3" s="53" t="s">
        <v>165</v>
      </c>
      <c r="CQ3" s="53">
        <v>8.0</v>
      </c>
      <c r="CR3" s="53">
        <v>8.0</v>
      </c>
      <c r="CS3" s="16">
        <v>8.0</v>
      </c>
      <c r="CT3" s="53" t="s">
        <v>165</v>
      </c>
      <c r="CU3" s="53">
        <v>8.0</v>
      </c>
      <c r="CV3" s="16">
        <v>8.0</v>
      </c>
      <c r="CW3" s="53" t="s">
        <v>165</v>
      </c>
      <c r="CX3" s="53">
        <v>8.0</v>
      </c>
      <c r="CY3" s="105">
        <f t="shared" ref="CY3:CY60" si="7">sum(BT3:CX3)</f>
        <v>176</v>
      </c>
      <c r="CZ3" s="105"/>
      <c r="DA3" s="113">
        <v>8.0</v>
      </c>
      <c r="DB3" s="113">
        <v>8.0</v>
      </c>
      <c r="DC3" s="113" t="s">
        <v>165</v>
      </c>
      <c r="DD3" s="113">
        <v>8.0</v>
      </c>
      <c r="DE3" s="113">
        <v>8.0</v>
      </c>
      <c r="DF3" s="113" t="s">
        <v>165</v>
      </c>
      <c r="DG3" s="113">
        <v>8.0</v>
      </c>
      <c r="DH3" s="113">
        <v>8.0</v>
      </c>
      <c r="DI3" s="113">
        <v>8.0</v>
      </c>
      <c r="DJ3" s="113" t="s">
        <v>165</v>
      </c>
      <c r="DK3" s="113">
        <v>8.0</v>
      </c>
      <c r="DL3" s="113">
        <v>8.0</v>
      </c>
      <c r="DM3" s="113" t="s">
        <v>165</v>
      </c>
      <c r="DN3" s="113">
        <v>8.0</v>
      </c>
      <c r="DO3" s="113">
        <v>8.0</v>
      </c>
      <c r="DP3" s="113">
        <v>8.0</v>
      </c>
      <c r="DQ3" s="113" t="s">
        <v>165</v>
      </c>
      <c r="DR3" s="113">
        <v>8.0</v>
      </c>
      <c r="DS3" s="113">
        <v>8.0</v>
      </c>
      <c r="DT3" s="113" t="s">
        <v>165</v>
      </c>
      <c r="DU3" s="113">
        <v>8.0</v>
      </c>
      <c r="DV3" s="113">
        <v>8.0</v>
      </c>
      <c r="DW3" s="113">
        <v>8.0</v>
      </c>
      <c r="DX3" s="113" t="s">
        <v>165</v>
      </c>
      <c r="DY3" s="113">
        <v>8.0</v>
      </c>
      <c r="DZ3" s="113">
        <v>8.0</v>
      </c>
      <c r="EA3" s="113" t="s">
        <v>165</v>
      </c>
      <c r="EB3" s="113">
        <v>8.0</v>
      </c>
      <c r="EC3" s="113">
        <v>8.0</v>
      </c>
      <c r="ED3" s="58" t="s">
        <v>245</v>
      </c>
      <c r="EE3" s="113" t="s">
        <v>165</v>
      </c>
      <c r="EF3" s="113">
        <f t="shared" ref="EF3:EF60" si="8">sum(DA3:EE3)</f>
        <v>168</v>
      </c>
      <c r="EG3" s="105"/>
      <c r="EH3" s="105"/>
      <c r="EI3" s="105"/>
      <c r="EJ3" s="105"/>
      <c r="EK3" s="105"/>
      <c r="EL3" s="105"/>
      <c r="EM3" s="105"/>
      <c r="EN3" s="105"/>
      <c r="EO3" s="105"/>
      <c r="EP3" s="105"/>
      <c r="EQ3" s="105"/>
      <c r="ER3" s="105"/>
      <c r="ES3" s="105"/>
      <c r="ET3" s="105"/>
      <c r="EU3" s="105"/>
      <c r="EV3" s="105"/>
      <c r="EW3" s="105"/>
      <c r="EX3" s="105"/>
      <c r="EY3" s="105"/>
      <c r="EZ3" s="105"/>
      <c r="FA3" s="105"/>
      <c r="FB3" s="105"/>
      <c r="FC3" s="105"/>
      <c r="FD3" s="105"/>
      <c r="FE3" s="105"/>
      <c r="FF3" s="105"/>
      <c r="FG3" s="105"/>
      <c r="FH3" s="105"/>
      <c r="FI3" s="105"/>
      <c r="FJ3" s="105"/>
      <c r="FK3" s="105"/>
      <c r="FL3" s="105">
        <f t="shared" ref="FL3:FL5" si="9">sum(EH3:FK3)</f>
        <v>0</v>
      </c>
      <c r="FM3" s="105"/>
      <c r="FN3" s="105"/>
      <c r="FO3" s="105"/>
      <c r="FP3" s="105"/>
      <c r="FQ3" s="105"/>
      <c r="FR3" s="105"/>
      <c r="FS3" s="105"/>
      <c r="FT3" s="105"/>
      <c r="FU3" s="105"/>
      <c r="FV3" s="105"/>
      <c r="FW3" s="105"/>
      <c r="FX3" s="105"/>
      <c r="FY3" s="105"/>
      <c r="FZ3" s="105"/>
      <c r="GA3" s="105"/>
      <c r="GB3" s="105"/>
      <c r="GC3" s="105"/>
      <c r="GD3" s="105"/>
      <c r="GE3" s="105"/>
      <c r="GF3" s="105"/>
      <c r="GG3" s="105"/>
      <c r="GH3" s="105"/>
      <c r="GI3" s="105"/>
      <c r="GJ3" s="105"/>
      <c r="GK3" s="105"/>
      <c r="GL3" s="105"/>
      <c r="GM3" s="105"/>
      <c r="GN3" s="105"/>
      <c r="GO3" s="105"/>
      <c r="GP3" s="105"/>
      <c r="GQ3" s="105"/>
      <c r="GR3" s="105"/>
      <c r="GS3" s="105">
        <f t="shared" ref="GS3:GS5" si="10">sum(FN3:GR3)</f>
        <v>0</v>
      </c>
      <c r="GT3" s="105"/>
      <c r="GU3" s="105"/>
      <c r="GV3" s="105"/>
      <c r="GW3" s="105"/>
      <c r="GX3" s="105"/>
      <c r="GY3" s="105"/>
      <c r="GZ3" s="105"/>
      <c r="HA3" s="105"/>
      <c r="HB3" s="105"/>
      <c r="HC3" s="105"/>
      <c r="HD3" s="105"/>
      <c r="HE3" s="105"/>
    </row>
    <row r="4" ht="16.5" customHeight="1">
      <c r="A4" s="101" t="s">
        <v>246</v>
      </c>
      <c r="B4" s="106" t="str">
        <f>iferror(vlookup(A4,'SoS - Agents Info'!A:H,5,false),"")</f>
        <v>ID</v>
      </c>
      <c r="C4" s="107" t="str">
        <f>iferror(vlookup(A4,'SoS - Agents Info'!A:AQ,43,false),"")</f>
        <v>FL</v>
      </c>
      <c r="D4" s="108" t="str">
        <f>iferror(vlookup(A4,'SoS - Agents Info'!A:H,6,false),"")</f>
        <v>WD</v>
      </c>
      <c r="E4" s="108" t="str">
        <f>iferror(vlookup(A4,'SoS - Agents Info'!A:H,7,false),"")</f>
        <v>00:00-09:00</v>
      </c>
      <c r="F4" s="109">
        <f>IFERROR(__xludf.DUMMYFUNCTION("sum(COUNTIFS(Filter(FILTER('Shiftplan SoS'!G$3:GU166,'Shiftplan SoS'!$G$1:$GU$1&lt;=today()),'Shiftplan SoS'!$A$3:$A166=A4),""&gt;0"",(Filter(FILTER('Shiftplan SoS'!G$3:GU166,'Shiftplan SoS'!$G$1:$GU$1&lt;=today()),'Shiftplan SoS'!$A$3:$A166=A4)),""&lt;12""))"),86.0)</f>
        <v>86</v>
      </c>
      <c r="G4" s="16" t="s">
        <v>165</v>
      </c>
      <c r="H4" s="16" t="s">
        <v>165</v>
      </c>
      <c r="I4" s="16">
        <v>8.0</v>
      </c>
      <c r="J4" s="16">
        <v>8.0</v>
      </c>
      <c r="K4" s="16">
        <v>8.0</v>
      </c>
      <c r="L4" s="16">
        <v>8.0</v>
      </c>
      <c r="M4" s="16">
        <v>8.0</v>
      </c>
      <c r="N4" s="16" t="s">
        <v>165</v>
      </c>
      <c r="O4" s="16" t="s">
        <v>165</v>
      </c>
      <c r="P4" s="16">
        <v>8.0</v>
      </c>
      <c r="Q4" s="16">
        <v>8.0</v>
      </c>
      <c r="R4" s="16">
        <v>8.0</v>
      </c>
      <c r="S4" s="16">
        <v>8.0</v>
      </c>
      <c r="T4" s="16">
        <v>8.0</v>
      </c>
      <c r="U4" s="16" t="s">
        <v>165</v>
      </c>
      <c r="V4" s="16" t="s">
        <v>165</v>
      </c>
      <c r="W4" s="16">
        <v>8.0</v>
      </c>
      <c r="X4" s="16">
        <v>8.0</v>
      </c>
      <c r="Y4" s="16">
        <v>8.0</v>
      </c>
      <c r="Z4" s="16">
        <v>8.0</v>
      </c>
      <c r="AA4" s="16">
        <v>8.0</v>
      </c>
      <c r="AB4" s="16" t="s">
        <v>165</v>
      </c>
      <c r="AC4" s="16" t="s">
        <v>165</v>
      </c>
      <c r="AD4" s="16">
        <v>8.0</v>
      </c>
      <c r="AE4" s="16">
        <v>8.0</v>
      </c>
      <c r="AF4" s="16">
        <v>8.0</v>
      </c>
      <c r="AG4" s="16">
        <v>8.0</v>
      </c>
      <c r="AH4" s="16">
        <v>8.0</v>
      </c>
      <c r="AI4" s="16" t="s">
        <v>165</v>
      </c>
      <c r="AJ4" s="16" t="s">
        <v>165</v>
      </c>
      <c r="AK4" s="70">
        <v>8.0</v>
      </c>
      <c r="AL4" s="105">
        <f t="shared" si="5"/>
        <v>168</v>
      </c>
      <c r="AM4" s="48"/>
      <c r="AN4" s="16">
        <v>8.0</v>
      </c>
      <c r="AO4" s="16">
        <v>8.0</v>
      </c>
      <c r="AP4" s="16">
        <v>8.0</v>
      </c>
      <c r="AQ4" s="16">
        <v>8.0</v>
      </c>
      <c r="AR4" s="16" t="s">
        <v>165</v>
      </c>
      <c r="AS4" s="16" t="s">
        <v>165</v>
      </c>
      <c r="AT4" s="16">
        <v>8.0</v>
      </c>
      <c r="AU4" s="16">
        <v>8.0</v>
      </c>
      <c r="AV4" s="16">
        <v>8.0</v>
      </c>
      <c r="AW4" s="16">
        <v>8.0</v>
      </c>
      <c r="AX4" s="16">
        <v>8.0</v>
      </c>
      <c r="AY4" s="16" t="s">
        <v>165</v>
      </c>
      <c r="AZ4" s="16" t="s">
        <v>165</v>
      </c>
      <c r="BA4" s="16">
        <v>8.0</v>
      </c>
      <c r="BB4" s="16">
        <v>8.0</v>
      </c>
      <c r="BC4" s="16">
        <v>8.0</v>
      </c>
      <c r="BD4" s="16">
        <v>8.0</v>
      </c>
      <c r="BE4" s="16">
        <v>8.0</v>
      </c>
      <c r="BF4" s="16" t="s">
        <v>165</v>
      </c>
      <c r="BG4" s="16" t="s">
        <v>165</v>
      </c>
      <c r="BH4" s="16">
        <v>8.0</v>
      </c>
      <c r="BI4" s="16">
        <v>8.0</v>
      </c>
      <c r="BJ4" s="16">
        <v>8.0</v>
      </c>
      <c r="BK4" s="16">
        <v>8.0</v>
      </c>
      <c r="BL4" s="16" t="s">
        <v>245</v>
      </c>
      <c r="BM4" s="16" t="s">
        <v>165</v>
      </c>
      <c r="BN4" s="16" t="s">
        <v>165</v>
      </c>
      <c r="BO4" s="16">
        <v>8.0</v>
      </c>
      <c r="BP4" s="16">
        <v>8.0</v>
      </c>
      <c r="BQ4" s="16">
        <v>8.0</v>
      </c>
      <c r="BR4" s="105">
        <f t="shared" si="6"/>
        <v>168</v>
      </c>
      <c r="BS4" s="48"/>
      <c r="BT4" s="64">
        <v>8.0</v>
      </c>
      <c r="BU4" s="64">
        <v>8.0</v>
      </c>
      <c r="BV4" s="114" t="s">
        <v>165</v>
      </c>
      <c r="BW4" s="114" t="s">
        <v>165</v>
      </c>
      <c r="BX4" s="64">
        <v>8.0</v>
      </c>
      <c r="BY4" s="64">
        <v>8.0</v>
      </c>
      <c r="BZ4" s="64">
        <v>8.0</v>
      </c>
      <c r="CA4" s="64">
        <v>8.0</v>
      </c>
      <c r="CB4" s="64">
        <v>8.0</v>
      </c>
      <c r="CC4" s="114" t="s">
        <v>165</v>
      </c>
      <c r="CD4" s="114" t="s">
        <v>165</v>
      </c>
      <c r="CE4" s="64">
        <v>8.0</v>
      </c>
      <c r="CF4" s="64">
        <v>8.0</v>
      </c>
      <c r="CG4" s="64">
        <v>8.0</v>
      </c>
      <c r="CH4" s="64">
        <v>8.0</v>
      </c>
      <c r="CI4" s="64">
        <v>8.0</v>
      </c>
      <c r="CJ4" s="114" t="s">
        <v>165</v>
      </c>
      <c r="CK4" s="114" t="s">
        <v>165</v>
      </c>
      <c r="CL4" s="64">
        <v>8.0</v>
      </c>
      <c r="CM4" s="64">
        <v>8.0</v>
      </c>
      <c r="CN4" s="64">
        <v>8.0</v>
      </c>
      <c r="CO4" s="64">
        <v>8.0</v>
      </c>
      <c r="CP4" s="64">
        <v>8.0</v>
      </c>
      <c r="CQ4" s="114" t="s">
        <v>165</v>
      </c>
      <c r="CR4" s="114" t="s">
        <v>165</v>
      </c>
      <c r="CS4" s="64">
        <v>8.0</v>
      </c>
      <c r="CT4" s="64">
        <v>8.0</v>
      </c>
      <c r="CU4" s="64">
        <v>8.0</v>
      </c>
      <c r="CV4" s="64">
        <v>8.0</v>
      </c>
      <c r="CW4" s="64">
        <v>8.0</v>
      </c>
      <c r="CX4" s="114" t="s">
        <v>165</v>
      </c>
      <c r="CY4" s="105">
        <f t="shared" si="7"/>
        <v>176</v>
      </c>
      <c r="CZ4" s="48"/>
      <c r="DA4" s="113" t="s">
        <v>165</v>
      </c>
      <c r="DB4" s="113">
        <v>8.0</v>
      </c>
      <c r="DC4" s="113">
        <v>8.0</v>
      </c>
      <c r="DD4" s="113">
        <v>8.0</v>
      </c>
      <c r="DE4" s="113">
        <v>8.0</v>
      </c>
      <c r="DF4" s="113">
        <v>8.0</v>
      </c>
      <c r="DG4" s="113" t="s">
        <v>165</v>
      </c>
      <c r="DH4" s="113" t="s">
        <v>165</v>
      </c>
      <c r="DI4" s="113">
        <v>8.0</v>
      </c>
      <c r="DJ4" s="113">
        <v>8.0</v>
      </c>
      <c r="DK4" s="113">
        <v>8.0</v>
      </c>
      <c r="DL4" s="113">
        <v>8.0</v>
      </c>
      <c r="DM4" s="113">
        <v>8.0</v>
      </c>
      <c r="DN4" s="113" t="s">
        <v>165</v>
      </c>
      <c r="DO4" s="113" t="s">
        <v>165</v>
      </c>
      <c r="DP4" s="113">
        <v>8.0</v>
      </c>
      <c r="DQ4" s="113">
        <v>8.0</v>
      </c>
      <c r="DR4" s="113">
        <v>8.0</v>
      </c>
      <c r="DS4" s="113">
        <v>8.0</v>
      </c>
      <c r="DT4" s="113">
        <v>8.0</v>
      </c>
      <c r="DU4" s="113" t="s">
        <v>165</v>
      </c>
      <c r="DV4" s="113" t="s">
        <v>165</v>
      </c>
      <c r="DW4" s="113">
        <v>8.0</v>
      </c>
      <c r="DX4" s="113">
        <v>8.0</v>
      </c>
      <c r="DY4" s="113">
        <v>8.0</v>
      </c>
      <c r="DZ4" s="113">
        <v>8.0</v>
      </c>
      <c r="EA4" s="113">
        <v>8.0</v>
      </c>
      <c r="EB4" s="113" t="s">
        <v>165</v>
      </c>
      <c r="EC4" s="113" t="s">
        <v>165</v>
      </c>
      <c r="ED4" s="113">
        <v>8.0</v>
      </c>
      <c r="EE4" s="113">
        <v>8.0</v>
      </c>
      <c r="EF4" s="113">
        <f t="shared" si="8"/>
        <v>176</v>
      </c>
      <c r="EG4" s="48"/>
      <c r="EH4" s="15"/>
      <c r="EI4" s="15"/>
      <c r="EJ4" s="15"/>
      <c r="EK4" s="15"/>
      <c r="EL4" s="15"/>
      <c r="EM4" s="15"/>
      <c r="EN4" s="15"/>
      <c r="EO4" s="15"/>
      <c r="EP4" s="15"/>
      <c r="EQ4" s="15"/>
      <c r="ER4" s="15"/>
      <c r="ES4" s="15"/>
      <c r="ET4" s="15"/>
      <c r="EU4" s="15"/>
      <c r="EV4" s="15"/>
      <c r="EW4" s="15"/>
      <c r="EX4" s="15"/>
      <c r="EY4" s="15"/>
      <c r="EZ4" s="15"/>
      <c r="FA4" s="15"/>
      <c r="FB4" s="15"/>
      <c r="FC4" s="15"/>
      <c r="FD4" s="15"/>
      <c r="FE4" s="15"/>
      <c r="FF4" s="15"/>
      <c r="FG4" s="15"/>
      <c r="FH4" s="15"/>
      <c r="FI4" s="15"/>
      <c r="FJ4" s="15"/>
      <c r="FK4" s="15"/>
      <c r="FL4" s="105">
        <f t="shared" si="9"/>
        <v>0</v>
      </c>
      <c r="FM4" s="48"/>
      <c r="FN4" s="15"/>
      <c r="FO4" s="15"/>
      <c r="FP4" s="15"/>
      <c r="FQ4" s="15"/>
      <c r="FR4" s="15"/>
      <c r="FS4" s="15"/>
      <c r="FT4" s="15"/>
      <c r="FU4" s="15"/>
      <c r="FV4" s="15"/>
      <c r="FW4" s="15"/>
      <c r="FX4" s="15"/>
      <c r="FY4" s="15"/>
      <c r="FZ4" s="15"/>
      <c r="GA4" s="15"/>
      <c r="GB4" s="15"/>
      <c r="GC4" s="15"/>
      <c r="GD4" s="15"/>
      <c r="GE4" s="15"/>
      <c r="GF4" s="15"/>
      <c r="GG4" s="15"/>
      <c r="GH4" s="15"/>
      <c r="GI4" s="15"/>
      <c r="GJ4" s="15"/>
      <c r="GK4" s="15"/>
      <c r="GL4" s="15"/>
      <c r="GM4" s="15"/>
      <c r="GN4" s="15"/>
      <c r="GO4" s="15"/>
      <c r="GP4" s="15"/>
      <c r="GQ4" s="15"/>
      <c r="GR4" s="15"/>
      <c r="GS4" s="105">
        <f t="shared" si="10"/>
        <v>0</v>
      </c>
      <c r="GT4" s="48"/>
      <c r="GU4" s="15"/>
      <c r="GV4" s="15"/>
      <c r="GW4" s="15"/>
      <c r="GX4" s="15"/>
      <c r="GY4" s="15"/>
      <c r="GZ4" s="15"/>
      <c r="HA4" s="15"/>
      <c r="HB4" s="15"/>
      <c r="HC4" s="15"/>
      <c r="HD4" s="15"/>
      <c r="HE4" s="15"/>
    </row>
    <row r="5" ht="16.5" customHeight="1">
      <c r="A5" s="108" t="s">
        <v>247</v>
      </c>
      <c r="B5" s="106" t="str">
        <f>iferror(vlookup(A5,'SoS - Agents Info'!A:H,5,false),"")</f>
        <v/>
      </c>
      <c r="C5" s="107" t="str">
        <f>iferror(vlookup(A5,'SoS - Agents Info'!A:AQ,43,false),"")</f>
        <v/>
      </c>
      <c r="D5" s="108" t="s">
        <v>192</v>
      </c>
      <c r="E5" s="108" t="s">
        <v>199</v>
      </c>
      <c r="F5" s="109">
        <f>IFERROR(__xludf.DUMMYFUNCTION("sum(COUNTIFS(Filter(FILTER('Shiftplan SoS'!G$3:GU166,'Shiftplan SoS'!$G$1:$GU$1&lt;=today()),'Shiftplan SoS'!$A$3:$A166=A5),""&gt;0"",(Filter(FILTER('Shiftplan SoS'!G$3:GU166,'Shiftplan SoS'!$G$1:$GU$1&lt;=today()),'Shiftplan SoS'!$A$3:$A166=A5)),""&lt;12""))"),64.0)</f>
        <v>64</v>
      </c>
      <c r="G5" s="53">
        <v>9.0</v>
      </c>
      <c r="H5" s="53">
        <v>9.0</v>
      </c>
      <c r="I5" s="53" t="s">
        <v>165</v>
      </c>
      <c r="J5" s="53">
        <v>8.0</v>
      </c>
      <c r="K5" s="53" t="s">
        <v>165</v>
      </c>
      <c r="L5" s="53" t="s">
        <v>165</v>
      </c>
      <c r="M5" s="53">
        <v>8.0</v>
      </c>
      <c r="N5" s="53">
        <v>8.0</v>
      </c>
      <c r="O5" s="53">
        <v>8.0</v>
      </c>
      <c r="P5" s="53" t="s">
        <v>165</v>
      </c>
      <c r="Q5" s="53">
        <v>8.0</v>
      </c>
      <c r="R5" s="53" t="s">
        <v>165</v>
      </c>
      <c r="S5" s="53" t="s">
        <v>165</v>
      </c>
      <c r="T5" s="53">
        <v>8.0</v>
      </c>
      <c r="U5" s="53">
        <v>8.0</v>
      </c>
      <c r="V5" s="53">
        <v>8.0</v>
      </c>
      <c r="W5" s="53" t="s">
        <v>165</v>
      </c>
      <c r="X5" s="53">
        <v>8.0</v>
      </c>
      <c r="Y5" s="53" t="s">
        <v>165</v>
      </c>
      <c r="Z5" s="53" t="s">
        <v>165</v>
      </c>
      <c r="AA5" s="53">
        <v>8.0</v>
      </c>
      <c r="AB5" s="53">
        <v>8.0</v>
      </c>
      <c r="AC5" s="53">
        <v>8.0</v>
      </c>
      <c r="AD5" s="53" t="s">
        <v>165</v>
      </c>
      <c r="AE5" s="53">
        <v>8.0</v>
      </c>
      <c r="AF5" s="53" t="s">
        <v>165</v>
      </c>
      <c r="AG5" s="53" t="s">
        <v>165</v>
      </c>
      <c r="AH5" s="53">
        <v>8.0</v>
      </c>
      <c r="AI5" s="110">
        <v>8.0</v>
      </c>
      <c r="AJ5" s="110">
        <v>8.0</v>
      </c>
      <c r="AK5" s="111" t="s">
        <v>165</v>
      </c>
      <c r="AL5" s="105">
        <f t="shared" si="5"/>
        <v>146</v>
      </c>
      <c r="AM5" s="48"/>
      <c r="AN5" s="53">
        <v>8.0</v>
      </c>
      <c r="AO5" s="53" t="s">
        <v>165</v>
      </c>
      <c r="AP5" s="53" t="s">
        <v>165</v>
      </c>
      <c r="AQ5" s="53">
        <v>8.0</v>
      </c>
      <c r="AR5" s="53" t="s">
        <v>245</v>
      </c>
      <c r="AS5" s="53">
        <v>8.0</v>
      </c>
      <c r="AT5" s="115" t="s">
        <v>165</v>
      </c>
      <c r="AU5" s="53">
        <v>8.0</v>
      </c>
      <c r="AV5" s="53" t="s">
        <v>165</v>
      </c>
      <c r="AW5" s="53" t="s">
        <v>165</v>
      </c>
      <c r="AX5" s="53">
        <v>8.0</v>
      </c>
      <c r="AY5" s="53">
        <v>8.0</v>
      </c>
      <c r="AZ5" s="53" t="s">
        <v>245</v>
      </c>
      <c r="BA5" s="115" t="s">
        <v>165</v>
      </c>
      <c r="BB5" s="116">
        <v>8.0</v>
      </c>
      <c r="BC5" s="53" t="s">
        <v>165</v>
      </c>
      <c r="BD5" s="53" t="s">
        <v>165</v>
      </c>
      <c r="BE5" s="116">
        <v>8.0</v>
      </c>
      <c r="BF5" s="53">
        <v>8.0</v>
      </c>
      <c r="BG5" s="53">
        <v>8.0</v>
      </c>
      <c r="BH5" s="115" t="s">
        <v>165</v>
      </c>
      <c r="BI5" s="16">
        <v>8.0</v>
      </c>
      <c r="BJ5" s="53" t="s">
        <v>165</v>
      </c>
      <c r="BK5" s="53" t="s">
        <v>165</v>
      </c>
      <c r="BL5" s="110">
        <v>8.0</v>
      </c>
      <c r="BM5" s="53">
        <v>8.0</v>
      </c>
      <c r="BN5" s="53">
        <v>8.0</v>
      </c>
      <c r="BO5" s="115" t="s">
        <v>165</v>
      </c>
      <c r="BP5" s="115">
        <v>8.0</v>
      </c>
      <c r="BQ5" s="53" t="s">
        <v>165</v>
      </c>
      <c r="BR5" s="105">
        <f t="shared" si="6"/>
        <v>120</v>
      </c>
      <c r="BS5" s="48"/>
      <c r="BT5" s="25" t="s">
        <v>165</v>
      </c>
      <c r="BU5" s="64">
        <v>8.0</v>
      </c>
      <c r="BV5" s="64">
        <v>8.0</v>
      </c>
      <c r="BW5" s="64">
        <v>8.0</v>
      </c>
      <c r="BX5" s="115" t="s">
        <v>165</v>
      </c>
      <c r="BY5" s="16">
        <v>8.0</v>
      </c>
      <c r="BZ5" s="53" t="s">
        <v>165</v>
      </c>
      <c r="CA5" s="53" t="s">
        <v>165</v>
      </c>
      <c r="CB5" s="16" t="s">
        <v>245</v>
      </c>
      <c r="CC5" s="53">
        <v>8.0</v>
      </c>
      <c r="CD5" s="53">
        <v>8.0</v>
      </c>
      <c r="CE5" s="115" t="s">
        <v>165</v>
      </c>
      <c r="CF5" s="16">
        <v>8.0</v>
      </c>
      <c r="CG5" s="53" t="s">
        <v>165</v>
      </c>
      <c r="CH5" s="53" t="s">
        <v>165</v>
      </c>
      <c r="CI5" s="110">
        <v>8.0</v>
      </c>
      <c r="CJ5" s="53">
        <v>8.0</v>
      </c>
      <c r="CK5" s="53" t="s">
        <v>245</v>
      </c>
      <c r="CL5" s="115" t="s">
        <v>165</v>
      </c>
      <c r="CM5" s="16">
        <v>8.0</v>
      </c>
      <c r="CN5" s="53" t="s">
        <v>165</v>
      </c>
      <c r="CO5" s="53" t="s">
        <v>165</v>
      </c>
      <c r="CP5" s="110">
        <v>8.0</v>
      </c>
      <c r="CQ5" s="53">
        <v>8.0</v>
      </c>
      <c r="CR5" s="53">
        <v>8.0</v>
      </c>
      <c r="CS5" s="115" t="s">
        <v>165</v>
      </c>
      <c r="CT5" s="16">
        <v>8.0</v>
      </c>
      <c r="CU5" s="53" t="s">
        <v>165</v>
      </c>
      <c r="CV5" s="53" t="s">
        <v>165</v>
      </c>
      <c r="CW5" s="110">
        <v>8.0</v>
      </c>
      <c r="CX5" s="53">
        <v>8.0</v>
      </c>
      <c r="CY5" s="105">
        <f t="shared" si="7"/>
        <v>128</v>
      </c>
      <c r="CZ5" s="105"/>
      <c r="DA5" s="58" t="s">
        <v>245</v>
      </c>
      <c r="DB5" s="58" t="s">
        <v>165</v>
      </c>
      <c r="DC5" s="58" t="s">
        <v>245</v>
      </c>
      <c r="DD5" s="58" t="s">
        <v>165</v>
      </c>
      <c r="DE5" s="58" t="s">
        <v>165</v>
      </c>
      <c r="DF5" s="58" t="s">
        <v>245</v>
      </c>
      <c r="DG5" s="113">
        <v>8.0</v>
      </c>
      <c r="DH5" s="58" t="s">
        <v>245</v>
      </c>
      <c r="DI5" s="58" t="s">
        <v>165</v>
      </c>
      <c r="DJ5" s="113">
        <v>8.0</v>
      </c>
      <c r="DK5" s="58" t="s">
        <v>165</v>
      </c>
      <c r="DL5" s="58" t="s">
        <v>165</v>
      </c>
      <c r="DM5" s="113">
        <v>8.0</v>
      </c>
      <c r="DN5" s="113">
        <v>8.0</v>
      </c>
      <c r="DO5" s="113">
        <v>8.0</v>
      </c>
      <c r="DP5" s="58" t="s">
        <v>165</v>
      </c>
      <c r="DQ5" s="113">
        <v>8.0</v>
      </c>
      <c r="DR5" s="58" t="s">
        <v>165</v>
      </c>
      <c r="DS5" s="58" t="s">
        <v>165</v>
      </c>
      <c r="DT5" s="113">
        <v>8.0</v>
      </c>
      <c r="DU5" s="113">
        <v>8.0</v>
      </c>
      <c r="DV5" s="113">
        <v>8.0</v>
      </c>
      <c r="DW5" s="58">
        <v>8.0</v>
      </c>
      <c r="DX5" s="113">
        <v>8.0</v>
      </c>
      <c r="DY5" s="58" t="s">
        <v>165</v>
      </c>
      <c r="DZ5" s="58" t="s">
        <v>165</v>
      </c>
      <c r="EA5" s="113">
        <v>8.0</v>
      </c>
      <c r="EB5" s="113">
        <v>8.0</v>
      </c>
      <c r="EC5" s="113">
        <v>8.0</v>
      </c>
      <c r="ED5" s="58" t="s">
        <v>165</v>
      </c>
      <c r="EE5" s="113">
        <v>8.0</v>
      </c>
      <c r="EF5" s="113">
        <f t="shared" si="8"/>
        <v>120</v>
      </c>
      <c r="EG5" s="105"/>
      <c r="EH5" s="105"/>
      <c r="EI5" s="105"/>
      <c r="EJ5" s="105"/>
      <c r="EK5" s="105"/>
      <c r="EL5" s="105"/>
      <c r="EM5" s="105"/>
      <c r="EN5" s="105"/>
      <c r="EO5" s="105"/>
      <c r="EP5" s="105"/>
      <c r="EQ5" s="105"/>
      <c r="ER5" s="105"/>
      <c r="ES5" s="105"/>
      <c r="ET5" s="105"/>
      <c r="EU5" s="105"/>
      <c r="EV5" s="105"/>
      <c r="EW5" s="105"/>
      <c r="EX5" s="105"/>
      <c r="EY5" s="105"/>
      <c r="EZ5" s="105"/>
      <c r="FA5" s="105"/>
      <c r="FB5" s="105"/>
      <c r="FC5" s="105"/>
      <c r="FD5" s="105"/>
      <c r="FE5" s="105"/>
      <c r="FF5" s="105"/>
      <c r="FG5" s="105"/>
      <c r="FH5" s="105"/>
      <c r="FI5" s="105"/>
      <c r="FJ5" s="105"/>
      <c r="FK5" s="105"/>
      <c r="FL5" s="105">
        <f t="shared" si="9"/>
        <v>0</v>
      </c>
      <c r="FM5" s="105"/>
      <c r="FN5" s="105"/>
      <c r="FO5" s="105"/>
      <c r="FP5" s="105"/>
      <c r="FQ5" s="105"/>
      <c r="FR5" s="105"/>
      <c r="FS5" s="105"/>
      <c r="FT5" s="105"/>
      <c r="FU5" s="105"/>
      <c r="FV5" s="105"/>
      <c r="FW5" s="105"/>
      <c r="FX5" s="105"/>
      <c r="FY5" s="105"/>
      <c r="FZ5" s="105"/>
      <c r="GA5" s="105"/>
      <c r="GB5" s="105"/>
      <c r="GC5" s="105"/>
      <c r="GD5" s="105"/>
      <c r="GE5" s="105"/>
      <c r="GF5" s="105"/>
      <c r="GG5" s="105"/>
      <c r="GH5" s="105"/>
      <c r="GI5" s="105"/>
      <c r="GJ5" s="105"/>
      <c r="GK5" s="105"/>
      <c r="GL5" s="105"/>
      <c r="GM5" s="105"/>
      <c r="GN5" s="105"/>
      <c r="GO5" s="105"/>
      <c r="GP5" s="105"/>
      <c r="GQ5" s="105"/>
      <c r="GR5" s="105"/>
      <c r="GS5" s="105">
        <f t="shared" si="10"/>
        <v>0</v>
      </c>
      <c r="GT5" s="105"/>
      <c r="GU5" s="105"/>
      <c r="GV5" s="105"/>
      <c r="GW5" s="105"/>
      <c r="GX5" s="105"/>
      <c r="GY5" s="105"/>
      <c r="GZ5" s="105"/>
      <c r="HA5" s="105"/>
      <c r="HB5" s="105"/>
      <c r="HC5" s="105"/>
      <c r="HD5" s="105"/>
      <c r="HE5" s="105"/>
    </row>
    <row r="6" ht="16.5" customHeight="1">
      <c r="A6" s="108" t="s">
        <v>248</v>
      </c>
      <c r="B6" s="106" t="str">
        <f>iferror(vlookup(A6,'SoS - Agents Info'!A:H,5,false),"")</f>
        <v/>
      </c>
      <c r="C6" s="107" t="str">
        <f>iferror(vlookup(A6,'SoS - Agents Info'!A:AQ,43,false),"")</f>
        <v/>
      </c>
      <c r="D6" s="108" t="s">
        <v>98</v>
      </c>
      <c r="E6" s="108" t="s">
        <v>199</v>
      </c>
      <c r="F6" s="109">
        <f>IFERROR(__xludf.DUMMYFUNCTION("sum(COUNTIFS(Filter(FILTER('Shiftplan SoS'!G$3:GU166,'Shiftplan SoS'!$G$1:$GU$1&lt;=today()),'Shiftplan SoS'!$A$3:$A166=A6),""&gt;0"",(Filter(FILTER('Shiftplan SoS'!G$3:GU166,'Shiftplan SoS'!$G$1:$GU$1&lt;=today()),'Shiftplan SoS'!$A$3:$A166=A6)),""&lt;12""))"),16.0)</f>
        <v>16</v>
      </c>
      <c r="G6" s="16" t="s">
        <v>165</v>
      </c>
      <c r="H6" s="16" t="s">
        <v>165</v>
      </c>
      <c r="I6" s="16" t="s">
        <v>165</v>
      </c>
      <c r="J6" s="16" t="s">
        <v>165</v>
      </c>
      <c r="K6" s="53">
        <v>8.0</v>
      </c>
      <c r="L6" s="16" t="s">
        <v>165</v>
      </c>
      <c r="M6" s="16" t="s">
        <v>165</v>
      </c>
      <c r="N6" s="16" t="s">
        <v>165</v>
      </c>
      <c r="O6" s="16" t="s">
        <v>165</v>
      </c>
      <c r="P6" s="16" t="s">
        <v>165</v>
      </c>
      <c r="Q6" s="16" t="s">
        <v>165</v>
      </c>
      <c r="R6" s="53">
        <v>8.0</v>
      </c>
      <c r="S6" s="16" t="s">
        <v>165</v>
      </c>
      <c r="T6" s="16" t="s">
        <v>165</v>
      </c>
      <c r="U6" s="16" t="s">
        <v>165</v>
      </c>
      <c r="V6" s="16" t="s">
        <v>165</v>
      </c>
      <c r="W6" s="16" t="s">
        <v>165</v>
      </c>
      <c r="X6" s="16" t="s">
        <v>165</v>
      </c>
      <c r="Y6" s="53">
        <v>8.0</v>
      </c>
      <c r="Z6" s="16" t="s">
        <v>165</v>
      </c>
      <c r="AA6" s="16" t="s">
        <v>165</v>
      </c>
      <c r="AB6" s="16" t="s">
        <v>165</v>
      </c>
      <c r="AC6" s="16" t="s">
        <v>165</v>
      </c>
      <c r="AD6" s="16" t="s">
        <v>165</v>
      </c>
      <c r="AE6" s="16" t="s">
        <v>165</v>
      </c>
      <c r="AF6" s="53">
        <v>8.0</v>
      </c>
      <c r="AG6" s="16" t="s">
        <v>165</v>
      </c>
      <c r="AH6" s="16" t="s">
        <v>165</v>
      </c>
      <c r="AI6" s="16" t="s">
        <v>165</v>
      </c>
      <c r="AJ6" s="16" t="s">
        <v>165</v>
      </c>
      <c r="AK6" s="16" t="s">
        <v>165</v>
      </c>
      <c r="AL6" s="105">
        <f t="shared" si="5"/>
        <v>32</v>
      </c>
      <c r="AM6" s="48"/>
      <c r="AN6" s="16" t="s">
        <v>165</v>
      </c>
      <c r="AO6" s="53">
        <v>8.0</v>
      </c>
      <c r="AP6" s="16" t="s">
        <v>165</v>
      </c>
      <c r="AQ6" s="16" t="s">
        <v>165</v>
      </c>
      <c r="AR6" s="16" t="s">
        <v>165</v>
      </c>
      <c r="AS6" s="16" t="s">
        <v>165</v>
      </c>
      <c r="AT6" s="16" t="s">
        <v>165</v>
      </c>
      <c r="AU6" s="16" t="s">
        <v>165</v>
      </c>
      <c r="AV6" s="53">
        <v>8.0</v>
      </c>
      <c r="AW6" s="16" t="s">
        <v>165</v>
      </c>
      <c r="AX6" s="16" t="s">
        <v>165</v>
      </c>
      <c r="AY6" s="16" t="s">
        <v>165</v>
      </c>
      <c r="AZ6" s="16" t="s">
        <v>165</v>
      </c>
      <c r="BA6" s="16" t="s">
        <v>165</v>
      </c>
      <c r="BB6" s="16" t="s">
        <v>165</v>
      </c>
      <c r="BC6" s="116">
        <v>8.0</v>
      </c>
      <c r="BD6" s="16" t="s">
        <v>165</v>
      </c>
      <c r="BE6" s="16" t="s">
        <v>165</v>
      </c>
      <c r="BF6" s="16" t="s">
        <v>165</v>
      </c>
      <c r="BG6" s="16" t="s">
        <v>165</v>
      </c>
      <c r="BH6" s="16" t="s">
        <v>165</v>
      </c>
      <c r="BI6" s="16" t="s">
        <v>165</v>
      </c>
      <c r="BJ6" s="16">
        <v>8.0</v>
      </c>
      <c r="BK6" s="16" t="s">
        <v>165</v>
      </c>
      <c r="BL6" s="16" t="s">
        <v>165</v>
      </c>
      <c r="BM6" s="16" t="s">
        <v>165</v>
      </c>
      <c r="BN6" s="16" t="s">
        <v>165</v>
      </c>
      <c r="BO6" s="16" t="s">
        <v>165</v>
      </c>
      <c r="BP6" s="16" t="s">
        <v>165</v>
      </c>
      <c r="BQ6" s="115">
        <v>8.0</v>
      </c>
      <c r="BR6" s="105"/>
      <c r="BS6" s="48"/>
      <c r="BT6" s="16" t="s">
        <v>165</v>
      </c>
      <c r="BU6" s="16" t="s">
        <v>165</v>
      </c>
      <c r="BV6" s="16" t="s">
        <v>165</v>
      </c>
      <c r="BW6" s="16" t="s">
        <v>165</v>
      </c>
      <c r="BX6" s="16" t="s">
        <v>165</v>
      </c>
      <c r="BY6" s="16" t="s">
        <v>165</v>
      </c>
      <c r="BZ6" s="16">
        <v>8.0</v>
      </c>
      <c r="CA6" s="16" t="s">
        <v>165</v>
      </c>
      <c r="CB6" s="16" t="s">
        <v>165</v>
      </c>
      <c r="CC6" s="16" t="s">
        <v>165</v>
      </c>
      <c r="CD6" s="16" t="s">
        <v>165</v>
      </c>
      <c r="CE6" s="16" t="s">
        <v>165</v>
      </c>
      <c r="CF6" s="16" t="s">
        <v>165</v>
      </c>
      <c r="CG6" s="16">
        <v>8.0</v>
      </c>
      <c r="CH6" s="16" t="s">
        <v>165</v>
      </c>
      <c r="CI6" s="16" t="s">
        <v>165</v>
      </c>
      <c r="CJ6" s="16" t="s">
        <v>165</v>
      </c>
      <c r="CK6" s="16" t="s">
        <v>165</v>
      </c>
      <c r="CL6" s="16" t="s">
        <v>165</v>
      </c>
      <c r="CM6" s="16" t="s">
        <v>165</v>
      </c>
      <c r="CN6" s="16">
        <v>8.0</v>
      </c>
      <c r="CO6" s="16" t="s">
        <v>165</v>
      </c>
      <c r="CP6" s="16" t="s">
        <v>165</v>
      </c>
      <c r="CQ6" s="16" t="s">
        <v>165</v>
      </c>
      <c r="CR6" s="16" t="s">
        <v>165</v>
      </c>
      <c r="CS6" s="16" t="s">
        <v>165</v>
      </c>
      <c r="CT6" s="16" t="s">
        <v>165</v>
      </c>
      <c r="CU6" s="16">
        <v>8.0</v>
      </c>
      <c r="CV6" s="16" t="s">
        <v>165</v>
      </c>
      <c r="CW6" s="16" t="s">
        <v>165</v>
      </c>
      <c r="CX6" s="16" t="s">
        <v>165</v>
      </c>
      <c r="CY6" s="105">
        <f t="shared" si="7"/>
        <v>32</v>
      </c>
      <c r="CZ6" s="105"/>
      <c r="DA6" s="58" t="s">
        <v>165</v>
      </c>
      <c r="DB6" s="58" t="s">
        <v>165</v>
      </c>
      <c r="DC6" s="58" t="s">
        <v>165</v>
      </c>
      <c r="DD6" s="58" t="s">
        <v>245</v>
      </c>
      <c r="DE6" s="58" t="s">
        <v>165</v>
      </c>
      <c r="DF6" s="58" t="s">
        <v>165</v>
      </c>
      <c r="DG6" s="58" t="s">
        <v>165</v>
      </c>
      <c r="DH6" s="58" t="s">
        <v>165</v>
      </c>
      <c r="DI6" s="58" t="s">
        <v>165</v>
      </c>
      <c r="DJ6" s="58" t="s">
        <v>165</v>
      </c>
      <c r="DK6" s="113">
        <v>8.0</v>
      </c>
      <c r="DL6" s="58" t="s">
        <v>165</v>
      </c>
      <c r="DM6" s="58" t="s">
        <v>165</v>
      </c>
      <c r="DN6" s="58" t="s">
        <v>165</v>
      </c>
      <c r="DO6" s="58" t="s">
        <v>165</v>
      </c>
      <c r="DP6" s="58" t="s">
        <v>165</v>
      </c>
      <c r="DQ6" s="58" t="s">
        <v>165</v>
      </c>
      <c r="DR6" s="58" t="s">
        <v>245</v>
      </c>
      <c r="DS6" s="58" t="s">
        <v>165</v>
      </c>
      <c r="DT6" s="58" t="s">
        <v>165</v>
      </c>
      <c r="DU6" s="58" t="s">
        <v>165</v>
      </c>
      <c r="DV6" s="58" t="s">
        <v>165</v>
      </c>
      <c r="DW6" s="58" t="s">
        <v>165</v>
      </c>
      <c r="DX6" s="58" t="s">
        <v>165</v>
      </c>
      <c r="DY6" s="113">
        <v>8.0</v>
      </c>
      <c r="DZ6" s="58">
        <v>8.0</v>
      </c>
      <c r="EA6" s="58" t="s">
        <v>165</v>
      </c>
      <c r="EB6" s="58" t="s">
        <v>165</v>
      </c>
      <c r="EC6" s="58" t="s">
        <v>165</v>
      </c>
      <c r="ED6" s="58" t="s">
        <v>165</v>
      </c>
      <c r="EE6" s="58" t="s">
        <v>165</v>
      </c>
      <c r="EF6" s="113">
        <f t="shared" si="8"/>
        <v>24</v>
      </c>
      <c r="EG6" s="105"/>
      <c r="EH6" s="105"/>
      <c r="EI6" s="105"/>
      <c r="EJ6" s="105"/>
      <c r="EK6" s="105"/>
      <c r="EL6" s="105"/>
      <c r="EM6" s="105"/>
      <c r="EN6" s="105"/>
      <c r="EO6" s="105"/>
      <c r="EP6" s="105"/>
      <c r="EQ6" s="105"/>
      <c r="ER6" s="105"/>
      <c r="ES6" s="105"/>
      <c r="ET6" s="105"/>
      <c r="EU6" s="105"/>
      <c r="EV6" s="105"/>
      <c r="EW6" s="105"/>
      <c r="EX6" s="105"/>
      <c r="EY6" s="105"/>
      <c r="EZ6" s="105"/>
      <c r="FA6" s="105"/>
      <c r="FB6" s="105"/>
      <c r="FC6" s="105"/>
      <c r="FD6" s="105"/>
      <c r="FE6" s="105"/>
      <c r="FF6" s="105"/>
      <c r="FG6" s="105"/>
      <c r="FH6" s="105"/>
      <c r="FI6" s="105"/>
      <c r="FJ6" s="105"/>
      <c r="FK6" s="105"/>
      <c r="FL6" s="105"/>
      <c r="FM6" s="105"/>
      <c r="FN6" s="105"/>
      <c r="FO6" s="105"/>
      <c r="FP6" s="105"/>
      <c r="FQ6" s="105"/>
      <c r="FR6" s="105"/>
      <c r="FS6" s="105"/>
      <c r="FT6" s="105"/>
      <c r="FU6" s="105"/>
      <c r="FV6" s="105"/>
      <c r="FW6" s="105"/>
      <c r="FX6" s="105"/>
      <c r="FY6" s="105"/>
      <c r="FZ6" s="105"/>
      <c r="GA6" s="105"/>
      <c r="GB6" s="105"/>
      <c r="GC6" s="105"/>
      <c r="GD6" s="105"/>
      <c r="GE6" s="105"/>
      <c r="GF6" s="105"/>
      <c r="GG6" s="105"/>
      <c r="GH6" s="105"/>
      <c r="GI6" s="105"/>
      <c r="GJ6" s="105"/>
      <c r="GK6" s="105"/>
      <c r="GL6" s="105"/>
      <c r="GM6" s="105"/>
      <c r="GN6" s="105"/>
      <c r="GO6" s="105"/>
      <c r="GP6" s="105"/>
      <c r="GQ6" s="105"/>
      <c r="GR6" s="105"/>
      <c r="GS6" s="105"/>
      <c r="GT6" s="105"/>
      <c r="GU6" s="105"/>
      <c r="GV6" s="105"/>
      <c r="GW6" s="105"/>
      <c r="GX6" s="105"/>
      <c r="GY6" s="105"/>
      <c r="GZ6" s="105"/>
      <c r="HA6" s="105"/>
      <c r="HB6" s="105"/>
      <c r="HC6" s="105"/>
      <c r="HD6" s="105"/>
      <c r="HE6" s="105"/>
    </row>
    <row r="7" ht="16.5" customHeight="1">
      <c r="A7" s="117" t="s">
        <v>109</v>
      </c>
      <c r="B7" s="108" t="s">
        <v>249</v>
      </c>
      <c r="C7" s="107" t="str">
        <f>iferror(vlookup(A7,'SoS - Agents Info'!A:AQ,43,false),"")</f>
        <v/>
      </c>
      <c r="D7" s="108" t="str">
        <f>iferror(vlookup(A7,'SoS - Agents Info'!A:H,6,false),"")</f>
        <v>WD</v>
      </c>
      <c r="E7" s="108" t="str">
        <f>iferror(vlookup(A7,'SoS - Agents Info'!A:H,7,false),"")</f>
        <v>00:00-09:00</v>
      </c>
      <c r="F7" s="109">
        <f>IFERROR(__xludf.DUMMYFUNCTION("sum(COUNTIFS(Filter(FILTER('Shiftplan SoS'!G$3:GU166,'Shiftplan SoS'!$G$1:$GU$1&lt;=today()),'Shiftplan SoS'!$A$3:$A166=A7),""&gt;0"",(Filter(FILTER('Shiftplan SoS'!G$3:GU166,'Shiftplan SoS'!$G$1:$GU$1&lt;=today()),'Shiftplan SoS'!$A$3:$A166=A7)),""&lt;12""))"),90.0)</f>
        <v>90</v>
      </c>
      <c r="G7" s="16" t="s">
        <v>165</v>
      </c>
      <c r="H7" s="16" t="s">
        <v>165</v>
      </c>
      <c r="I7" s="16">
        <v>8.0</v>
      </c>
      <c r="J7" s="16">
        <v>8.0</v>
      </c>
      <c r="K7" s="16">
        <v>8.0</v>
      </c>
      <c r="L7" s="16">
        <v>8.0</v>
      </c>
      <c r="M7" s="16">
        <v>8.0</v>
      </c>
      <c r="N7" s="16" t="s">
        <v>165</v>
      </c>
      <c r="O7" s="16" t="s">
        <v>165</v>
      </c>
      <c r="P7" s="53" t="s">
        <v>165</v>
      </c>
      <c r="Q7" s="53" t="s">
        <v>165</v>
      </c>
      <c r="R7" s="16">
        <v>8.0</v>
      </c>
      <c r="S7" s="16">
        <v>8.0</v>
      </c>
      <c r="T7" s="16">
        <v>8.0</v>
      </c>
      <c r="U7" s="16">
        <v>8.0</v>
      </c>
      <c r="V7" s="16">
        <v>8.0</v>
      </c>
      <c r="W7" s="118" t="s">
        <v>165</v>
      </c>
      <c r="X7" s="118" t="s">
        <v>165</v>
      </c>
      <c r="Y7" s="16">
        <v>8.0</v>
      </c>
      <c r="Z7" s="16">
        <v>8.0</v>
      </c>
      <c r="AA7" s="16">
        <v>8.0</v>
      </c>
      <c r="AB7" s="16">
        <v>8.0</v>
      </c>
      <c r="AC7" s="16">
        <v>8.0</v>
      </c>
      <c r="AD7" s="118" t="s">
        <v>165</v>
      </c>
      <c r="AE7" s="118" t="s">
        <v>165</v>
      </c>
      <c r="AF7" s="16">
        <v>8.0</v>
      </c>
      <c r="AG7" s="16">
        <v>8.0</v>
      </c>
      <c r="AH7" s="16">
        <v>8.0</v>
      </c>
      <c r="AI7" s="110">
        <v>8.0</v>
      </c>
      <c r="AJ7" s="110">
        <v>8.0</v>
      </c>
      <c r="AK7" s="70" t="s">
        <v>165</v>
      </c>
      <c r="AL7" s="105">
        <f t="shared" si="5"/>
        <v>160</v>
      </c>
      <c r="AM7" s="48"/>
      <c r="AN7" s="16" t="s">
        <v>165</v>
      </c>
      <c r="AO7" s="16">
        <v>8.0</v>
      </c>
      <c r="AP7" s="16">
        <v>8.0</v>
      </c>
      <c r="AQ7" s="16">
        <v>8.0</v>
      </c>
      <c r="AR7" s="110">
        <v>8.0</v>
      </c>
      <c r="AS7" s="16">
        <v>8.0</v>
      </c>
      <c r="AT7" s="16">
        <v>8.0</v>
      </c>
      <c r="AU7" s="16" t="s">
        <v>165</v>
      </c>
      <c r="AV7" s="16">
        <v>8.0</v>
      </c>
      <c r="AW7" s="16">
        <v>11.0</v>
      </c>
      <c r="AX7" s="16" t="s">
        <v>165</v>
      </c>
      <c r="AY7" s="16" t="s">
        <v>165</v>
      </c>
      <c r="AZ7" s="16">
        <v>5.0</v>
      </c>
      <c r="BA7" s="16">
        <v>8.0</v>
      </c>
      <c r="BB7" s="16">
        <v>8.0</v>
      </c>
      <c r="BC7" s="16">
        <v>8.0</v>
      </c>
      <c r="BD7" s="16">
        <v>8.0</v>
      </c>
      <c r="BE7" s="16" t="s">
        <v>165</v>
      </c>
      <c r="BF7" s="16" t="s">
        <v>165</v>
      </c>
      <c r="BG7" s="16">
        <v>8.0</v>
      </c>
      <c r="BH7" s="16">
        <v>8.0</v>
      </c>
      <c r="BI7" s="16">
        <v>8.0</v>
      </c>
      <c r="BJ7" s="16">
        <v>10.0</v>
      </c>
      <c r="BK7" s="16">
        <v>7.0</v>
      </c>
      <c r="BL7" s="16" t="s">
        <v>165</v>
      </c>
      <c r="BM7" s="16" t="s">
        <v>165</v>
      </c>
      <c r="BN7" s="16" t="s">
        <v>165</v>
      </c>
      <c r="BO7" s="16">
        <v>8.0</v>
      </c>
      <c r="BP7" s="16">
        <v>8.0</v>
      </c>
      <c r="BQ7" s="16">
        <v>10.0</v>
      </c>
      <c r="BR7" s="105">
        <f t="shared" ref="BR7:BR60" si="11">sum(AN7:BQ7)</f>
        <v>171</v>
      </c>
      <c r="BS7" s="48"/>
      <c r="BT7" s="110">
        <v>10.0</v>
      </c>
      <c r="BU7" s="16">
        <v>8.0</v>
      </c>
      <c r="BV7" s="16" t="s">
        <v>165</v>
      </c>
      <c r="BW7" s="16" t="s">
        <v>165</v>
      </c>
      <c r="BX7" s="16" t="s">
        <v>245</v>
      </c>
      <c r="BY7" s="16" t="s">
        <v>245</v>
      </c>
      <c r="BZ7" s="16" t="s">
        <v>245</v>
      </c>
      <c r="CA7" s="16" t="s">
        <v>245</v>
      </c>
      <c r="CB7" s="16" t="s">
        <v>245</v>
      </c>
      <c r="CC7" s="16" t="s">
        <v>165</v>
      </c>
      <c r="CD7" s="16" t="s">
        <v>165</v>
      </c>
      <c r="CE7" s="64">
        <v>8.0</v>
      </c>
      <c r="CF7" s="64">
        <v>8.0</v>
      </c>
      <c r="CG7" s="64">
        <v>8.0</v>
      </c>
      <c r="CH7" s="119">
        <v>9.0</v>
      </c>
      <c r="CI7" s="119">
        <v>6.0</v>
      </c>
      <c r="CJ7" s="114" t="s">
        <v>165</v>
      </c>
      <c r="CK7" s="114" t="s">
        <v>165</v>
      </c>
      <c r="CL7" s="64">
        <v>8.0</v>
      </c>
      <c r="CM7" s="64">
        <v>8.0</v>
      </c>
      <c r="CN7" s="64">
        <v>8.0</v>
      </c>
      <c r="CO7" s="120">
        <v>11.0</v>
      </c>
      <c r="CP7" s="64">
        <v>8.0</v>
      </c>
      <c r="CQ7" s="114" t="s">
        <v>165</v>
      </c>
      <c r="CR7" s="114" t="s">
        <v>165</v>
      </c>
      <c r="CS7" s="25">
        <v>4.0</v>
      </c>
      <c r="CT7" s="25">
        <v>8.0</v>
      </c>
      <c r="CU7" s="64">
        <v>8.0</v>
      </c>
      <c r="CV7" s="64">
        <v>8.0</v>
      </c>
      <c r="CW7" s="121">
        <v>8.0</v>
      </c>
      <c r="CX7" s="114" t="s">
        <v>165</v>
      </c>
      <c r="CY7" s="105">
        <f t="shared" si="7"/>
        <v>136</v>
      </c>
      <c r="CZ7" s="48"/>
      <c r="DA7" s="113" t="s">
        <v>165</v>
      </c>
      <c r="DB7" s="113">
        <v>8.0</v>
      </c>
      <c r="DC7" s="58">
        <v>9.0</v>
      </c>
      <c r="DD7" s="58">
        <v>9.0</v>
      </c>
      <c r="DE7" s="113">
        <v>8.0</v>
      </c>
      <c r="DF7" s="58">
        <v>10.0</v>
      </c>
      <c r="DG7" s="113" t="s">
        <v>165</v>
      </c>
      <c r="DH7" s="113" t="s">
        <v>165</v>
      </c>
      <c r="DI7" s="58">
        <v>10.0</v>
      </c>
      <c r="DJ7" s="113">
        <v>8.0</v>
      </c>
      <c r="DK7" s="58">
        <v>10.0</v>
      </c>
      <c r="DL7" s="113">
        <v>8.0</v>
      </c>
      <c r="DM7" s="58">
        <v>8.0</v>
      </c>
      <c r="DN7" s="113" t="s">
        <v>165</v>
      </c>
      <c r="DO7" s="113" t="s">
        <v>165</v>
      </c>
      <c r="DP7" s="113">
        <v>8.0</v>
      </c>
      <c r="DQ7" s="113">
        <v>8.0</v>
      </c>
      <c r="DR7" s="58">
        <v>10.0</v>
      </c>
      <c r="DS7" s="58">
        <v>9.5</v>
      </c>
      <c r="DT7" s="58">
        <v>6.5</v>
      </c>
      <c r="DU7" s="113" t="s">
        <v>165</v>
      </c>
      <c r="DV7" s="113" t="s">
        <v>165</v>
      </c>
      <c r="DW7" s="113">
        <v>8.0</v>
      </c>
      <c r="DX7" s="113">
        <v>8.0</v>
      </c>
      <c r="DY7" s="113">
        <v>8.0</v>
      </c>
      <c r="DZ7" s="113">
        <v>8.0</v>
      </c>
      <c r="EA7" s="113">
        <v>8.0</v>
      </c>
      <c r="EB7" s="113" t="s">
        <v>165</v>
      </c>
      <c r="EC7" s="113" t="s">
        <v>165</v>
      </c>
      <c r="ED7" s="113">
        <v>8.0</v>
      </c>
      <c r="EE7" s="113">
        <v>8.0</v>
      </c>
      <c r="EF7" s="113">
        <f t="shared" si="8"/>
        <v>186</v>
      </c>
      <c r="EG7" s="48"/>
      <c r="EH7" s="16">
        <v>8.0</v>
      </c>
      <c r="EI7" s="16">
        <v>8.0</v>
      </c>
      <c r="EJ7" s="16">
        <v>8.0</v>
      </c>
      <c r="EK7" s="16" t="s">
        <v>165</v>
      </c>
      <c r="EL7" s="16" t="s">
        <v>165</v>
      </c>
      <c r="EM7" s="16">
        <v>8.0</v>
      </c>
      <c r="EN7" s="16">
        <v>8.0</v>
      </c>
      <c r="EO7" s="16">
        <v>8.0</v>
      </c>
      <c r="EP7" s="16">
        <v>8.0</v>
      </c>
      <c r="EQ7" s="16">
        <v>8.0</v>
      </c>
      <c r="ER7" s="16" t="s">
        <v>165</v>
      </c>
      <c r="ES7" s="16" t="s">
        <v>165</v>
      </c>
      <c r="ET7" s="16">
        <v>8.0</v>
      </c>
      <c r="EU7" s="16">
        <v>8.0</v>
      </c>
      <c r="EV7" s="16" t="s">
        <v>245</v>
      </c>
      <c r="EW7" s="16" t="s">
        <v>245</v>
      </c>
      <c r="EX7" s="16" t="s">
        <v>245</v>
      </c>
      <c r="EY7" s="15"/>
      <c r="EZ7" s="15"/>
      <c r="FA7" s="15"/>
      <c r="FB7" s="15"/>
      <c r="FC7" s="15"/>
      <c r="FD7" s="15"/>
      <c r="FE7" s="15"/>
      <c r="FF7" s="15"/>
      <c r="FG7" s="15"/>
      <c r="FH7" s="15"/>
      <c r="FI7" s="15"/>
      <c r="FJ7" s="15"/>
      <c r="FK7" s="15"/>
      <c r="FL7" s="105">
        <f t="shared" ref="FL7:FL60" si="12">sum(EH7:FK7)</f>
        <v>80</v>
      </c>
      <c r="FM7" s="48"/>
      <c r="FN7" s="15"/>
      <c r="FO7" s="15"/>
      <c r="FP7" s="15"/>
      <c r="FQ7" s="15"/>
      <c r="FR7" s="15"/>
      <c r="FS7" s="15"/>
      <c r="FT7" s="15"/>
      <c r="FU7" s="15"/>
      <c r="FV7" s="15"/>
      <c r="FW7" s="15"/>
      <c r="FX7" s="15"/>
      <c r="FY7" s="15"/>
      <c r="FZ7" s="15"/>
      <c r="GA7" s="15"/>
      <c r="GB7" s="15"/>
      <c r="GC7" s="15"/>
      <c r="GD7" s="15"/>
      <c r="GE7" s="15"/>
      <c r="GF7" s="15"/>
      <c r="GG7" s="15"/>
      <c r="GH7" s="15"/>
      <c r="GI7" s="15"/>
      <c r="GJ7" s="15"/>
      <c r="GK7" s="15"/>
      <c r="GL7" s="15"/>
      <c r="GM7" s="15"/>
      <c r="GN7" s="15"/>
      <c r="GO7" s="15"/>
      <c r="GP7" s="15"/>
      <c r="GQ7" s="15"/>
      <c r="GR7" s="15"/>
      <c r="GS7" s="105">
        <f t="shared" ref="GS7:GS60" si="13">sum(FN7:GR7)</f>
        <v>0</v>
      </c>
      <c r="GT7" s="48"/>
      <c r="GU7" s="15"/>
      <c r="GV7" s="15"/>
      <c r="GW7" s="15"/>
      <c r="GX7" s="15"/>
      <c r="GY7" s="15"/>
      <c r="GZ7" s="15"/>
      <c r="HA7" s="15"/>
      <c r="HB7" s="15"/>
      <c r="HC7" s="15"/>
      <c r="HD7" s="15"/>
      <c r="HE7" s="15"/>
    </row>
    <row r="8" ht="16.5" customHeight="1">
      <c r="A8" s="101" t="s">
        <v>152</v>
      </c>
      <c r="B8" s="106" t="str">
        <f>iferror(vlookup(A8,'SoS - Agents Info'!A:H,5,false),"")</f>
        <v>EN</v>
      </c>
      <c r="C8" s="107" t="str">
        <f>iferror(vlookup(A8,'SoS - Agents Info'!A:AQ,43,false),"")</f>
        <v>RA+VM</v>
      </c>
      <c r="D8" s="108" t="str">
        <f>iferror(vlookup(A8,'SoS - Agents Info'!A:H,6,false),"")</f>
        <v>WE+WD</v>
      </c>
      <c r="E8" s="108" t="str">
        <f>iferror(vlookup(A8,'SoS - Agents Info'!A:H,7,false),"")</f>
        <v>16:00-01:00</v>
      </c>
      <c r="F8" s="109">
        <f>IFERROR(__xludf.DUMMYFUNCTION("sum(COUNTIFS(Filter(FILTER('Shiftplan SoS'!G$3:GU166,'Shiftplan SoS'!$G$1:$GU$1&lt;=today()),'Shiftplan SoS'!$A$3:$A166=A8),""&gt;0"",(Filter(FILTER('Shiftplan SoS'!G$3:GU166,'Shiftplan SoS'!$G$1:$GU$1&lt;=today()),'Shiftplan SoS'!$A$3:$A166=A8)),""&lt;12""))"),88.0)</f>
        <v>88</v>
      </c>
      <c r="G8" s="16">
        <v>8.0</v>
      </c>
      <c r="H8" s="16">
        <v>8.0</v>
      </c>
      <c r="I8" s="16">
        <v>8.0</v>
      </c>
      <c r="J8" s="16" t="s">
        <v>165</v>
      </c>
      <c r="K8" s="16" t="s">
        <v>165</v>
      </c>
      <c r="L8" s="16">
        <v>8.0</v>
      </c>
      <c r="M8" s="16">
        <v>8.0</v>
      </c>
      <c r="N8" s="16">
        <v>8.0</v>
      </c>
      <c r="O8" s="16">
        <v>8.0</v>
      </c>
      <c r="P8" s="16">
        <v>8.0</v>
      </c>
      <c r="Q8" s="16" t="s">
        <v>165</v>
      </c>
      <c r="R8" s="16" t="s">
        <v>165</v>
      </c>
      <c r="S8" s="16">
        <v>8.0</v>
      </c>
      <c r="T8" s="16">
        <v>8.0</v>
      </c>
      <c r="U8" s="16">
        <v>8.0</v>
      </c>
      <c r="V8" s="16">
        <v>8.0</v>
      </c>
      <c r="W8" s="16">
        <v>8.0</v>
      </c>
      <c r="X8" s="16" t="s">
        <v>165</v>
      </c>
      <c r="Y8" s="16" t="s">
        <v>165</v>
      </c>
      <c r="Z8" s="16">
        <v>8.0</v>
      </c>
      <c r="AA8" s="16">
        <v>8.0</v>
      </c>
      <c r="AB8" s="16">
        <v>8.0</v>
      </c>
      <c r="AC8" s="16">
        <v>8.0</v>
      </c>
      <c r="AD8" s="16">
        <v>8.0</v>
      </c>
      <c r="AE8" s="16" t="s">
        <v>165</v>
      </c>
      <c r="AF8" s="16" t="s">
        <v>165</v>
      </c>
      <c r="AG8" s="16">
        <v>8.0</v>
      </c>
      <c r="AH8" s="16">
        <v>8.0</v>
      </c>
      <c r="AI8" s="110">
        <v>8.0</v>
      </c>
      <c r="AJ8" s="110">
        <v>8.0</v>
      </c>
      <c r="AK8" s="70">
        <v>8.0</v>
      </c>
      <c r="AL8" s="105">
        <f t="shared" si="5"/>
        <v>184</v>
      </c>
      <c r="AM8" s="48"/>
      <c r="AN8" s="122" t="s">
        <v>165</v>
      </c>
      <c r="AO8" s="122" t="s">
        <v>165</v>
      </c>
      <c r="AP8" s="16">
        <v>8.0</v>
      </c>
      <c r="AQ8" s="110">
        <v>8.0</v>
      </c>
      <c r="AR8" s="16">
        <v>8.0</v>
      </c>
      <c r="AS8" s="16">
        <v>8.0</v>
      </c>
      <c r="AT8" s="110">
        <v>8.0</v>
      </c>
      <c r="AU8" s="122" t="s">
        <v>165</v>
      </c>
      <c r="AV8" s="122" t="s">
        <v>165</v>
      </c>
      <c r="AW8" s="110">
        <v>8.0</v>
      </c>
      <c r="AX8" s="110">
        <v>8.0</v>
      </c>
      <c r="AY8" s="16">
        <v>8.0</v>
      </c>
      <c r="AZ8" s="16">
        <v>8.0</v>
      </c>
      <c r="BA8" s="110">
        <v>8.0</v>
      </c>
      <c r="BB8" s="122" t="s">
        <v>165</v>
      </c>
      <c r="BC8" s="122" t="s">
        <v>165</v>
      </c>
      <c r="BD8" s="110">
        <v>8.0</v>
      </c>
      <c r="BE8" s="110">
        <v>8.0</v>
      </c>
      <c r="BF8" s="16">
        <v>8.0</v>
      </c>
      <c r="BG8" s="16">
        <v>8.0</v>
      </c>
      <c r="BH8" s="110">
        <v>8.0</v>
      </c>
      <c r="BI8" s="122" t="s">
        <v>165</v>
      </c>
      <c r="BJ8" s="122" t="s">
        <v>165</v>
      </c>
      <c r="BK8" s="110">
        <v>8.0</v>
      </c>
      <c r="BL8" s="110">
        <v>8.0</v>
      </c>
      <c r="BM8" s="16">
        <v>8.0</v>
      </c>
      <c r="BN8" s="16">
        <v>8.0</v>
      </c>
      <c r="BO8" s="110">
        <v>8.0</v>
      </c>
      <c r="BP8" s="122" t="s">
        <v>165</v>
      </c>
      <c r="BQ8" s="122" t="s">
        <v>165</v>
      </c>
      <c r="BR8" s="105">
        <f t="shared" si="11"/>
        <v>160</v>
      </c>
      <c r="BS8" s="48"/>
      <c r="BT8" s="110">
        <v>8.0</v>
      </c>
      <c r="BU8" s="110">
        <v>8.0</v>
      </c>
      <c r="BV8" s="16">
        <v>8.0</v>
      </c>
      <c r="BW8" s="16">
        <v>8.0</v>
      </c>
      <c r="BX8" s="110">
        <v>8.0</v>
      </c>
      <c r="BY8" s="122" t="s">
        <v>165</v>
      </c>
      <c r="BZ8" s="122" t="s">
        <v>165</v>
      </c>
      <c r="CA8" s="110">
        <v>8.0</v>
      </c>
      <c r="CB8" s="53">
        <v>8.0</v>
      </c>
      <c r="CC8" s="16">
        <v>8.0</v>
      </c>
      <c r="CD8" s="16">
        <v>8.0</v>
      </c>
      <c r="CE8" s="110">
        <v>8.0</v>
      </c>
      <c r="CF8" s="122" t="s">
        <v>165</v>
      </c>
      <c r="CG8" s="122" t="s">
        <v>165</v>
      </c>
      <c r="CH8" s="110">
        <v>8.0</v>
      </c>
      <c r="CI8" s="110">
        <v>8.0</v>
      </c>
      <c r="CJ8" s="16">
        <v>8.0</v>
      </c>
      <c r="CK8" s="16">
        <v>8.0</v>
      </c>
      <c r="CL8" s="110">
        <v>8.0</v>
      </c>
      <c r="CM8" s="122" t="s">
        <v>165</v>
      </c>
      <c r="CN8" s="122" t="s">
        <v>165</v>
      </c>
      <c r="CO8" s="110">
        <v>8.0</v>
      </c>
      <c r="CP8" s="110">
        <v>8.0</v>
      </c>
      <c r="CQ8" s="110">
        <v>8.0</v>
      </c>
      <c r="CR8" s="110">
        <v>8.0</v>
      </c>
      <c r="CS8" s="110">
        <v>8.0</v>
      </c>
      <c r="CT8" s="122" t="s">
        <v>165</v>
      </c>
      <c r="CU8" s="122" t="s">
        <v>165</v>
      </c>
      <c r="CV8" s="110">
        <v>8.0</v>
      </c>
      <c r="CW8" s="110">
        <v>8.0</v>
      </c>
      <c r="CX8" s="16">
        <v>8.0</v>
      </c>
      <c r="CY8" s="105">
        <f t="shared" si="7"/>
        <v>184</v>
      </c>
      <c r="CZ8" s="48"/>
      <c r="DA8" s="123">
        <v>8.0</v>
      </c>
      <c r="DB8" s="123">
        <v>8.0</v>
      </c>
      <c r="DC8" s="113" t="s">
        <v>165</v>
      </c>
      <c r="DD8" s="113" t="s">
        <v>165</v>
      </c>
      <c r="DE8" s="123">
        <v>8.0</v>
      </c>
      <c r="DF8" s="123">
        <v>8.0</v>
      </c>
      <c r="DG8" s="123">
        <v>8.0</v>
      </c>
      <c r="DH8" s="123">
        <v>8.0</v>
      </c>
      <c r="DI8" s="123">
        <v>8.0</v>
      </c>
      <c r="DJ8" s="113" t="s">
        <v>165</v>
      </c>
      <c r="DK8" s="113" t="s">
        <v>165</v>
      </c>
      <c r="DL8" s="123">
        <v>8.0</v>
      </c>
      <c r="DM8" s="123">
        <v>8.0</v>
      </c>
      <c r="DN8" s="113">
        <v>8.0</v>
      </c>
      <c r="DO8" s="113">
        <v>8.0</v>
      </c>
      <c r="DP8" s="123">
        <v>8.0</v>
      </c>
      <c r="DQ8" s="113" t="s">
        <v>165</v>
      </c>
      <c r="DR8" s="113" t="s">
        <v>165</v>
      </c>
      <c r="DS8" s="123">
        <v>8.0</v>
      </c>
      <c r="DT8" s="123">
        <v>8.0</v>
      </c>
      <c r="DU8" s="113">
        <v>8.0</v>
      </c>
      <c r="DV8" s="113">
        <v>8.0</v>
      </c>
      <c r="DW8" s="124">
        <v>6.0</v>
      </c>
      <c r="DX8" s="113" t="s">
        <v>165</v>
      </c>
      <c r="DY8" s="113" t="s">
        <v>165</v>
      </c>
      <c r="DZ8" s="58">
        <v>9.0</v>
      </c>
      <c r="EA8" s="124">
        <v>9.0</v>
      </c>
      <c r="EB8" s="113">
        <v>8.0</v>
      </c>
      <c r="EC8" s="113">
        <v>8.0</v>
      </c>
      <c r="ED8" s="113">
        <v>8.0</v>
      </c>
      <c r="EE8" s="113" t="s">
        <v>165</v>
      </c>
      <c r="EF8" s="113">
        <f t="shared" si="8"/>
        <v>176</v>
      </c>
      <c r="EG8" s="48"/>
      <c r="EH8" s="15"/>
      <c r="EI8" s="15"/>
      <c r="EJ8" s="15"/>
      <c r="EK8" s="15"/>
      <c r="EL8" s="15"/>
      <c r="EM8" s="15"/>
      <c r="EN8" s="15"/>
      <c r="EO8" s="15"/>
      <c r="EP8" s="15"/>
      <c r="EQ8" s="15"/>
      <c r="ER8" s="15"/>
      <c r="ES8" s="15"/>
      <c r="ET8" s="15"/>
      <c r="EU8" s="15"/>
      <c r="EV8" s="15"/>
      <c r="EW8" s="15"/>
      <c r="EX8" s="15"/>
      <c r="EY8" s="15"/>
      <c r="EZ8" s="15"/>
      <c r="FA8" s="15"/>
      <c r="FB8" s="15"/>
      <c r="FC8" s="15"/>
      <c r="FD8" s="15"/>
      <c r="FE8" s="15"/>
      <c r="FF8" s="15"/>
      <c r="FG8" s="15"/>
      <c r="FH8" s="15"/>
      <c r="FI8" s="15"/>
      <c r="FJ8" s="15"/>
      <c r="FK8" s="15"/>
      <c r="FL8" s="105">
        <f t="shared" si="12"/>
        <v>0</v>
      </c>
      <c r="FM8" s="48"/>
      <c r="FN8" s="15"/>
      <c r="FO8" s="15"/>
      <c r="FP8" s="15"/>
      <c r="FQ8" s="15"/>
      <c r="FR8" s="15"/>
      <c r="FS8" s="15"/>
      <c r="FT8" s="15"/>
      <c r="FU8" s="15"/>
      <c r="FV8" s="15"/>
      <c r="FW8" s="15"/>
      <c r="FX8" s="15"/>
      <c r="FY8" s="15"/>
      <c r="FZ8" s="15"/>
      <c r="GA8" s="15"/>
      <c r="GB8" s="15"/>
      <c r="GC8" s="15"/>
      <c r="GD8" s="15"/>
      <c r="GE8" s="15"/>
      <c r="GF8" s="15"/>
      <c r="GG8" s="15"/>
      <c r="GH8" s="15"/>
      <c r="GI8" s="15"/>
      <c r="GJ8" s="15"/>
      <c r="GK8" s="15"/>
      <c r="GL8" s="15"/>
      <c r="GM8" s="15"/>
      <c r="GN8" s="15"/>
      <c r="GO8" s="15"/>
      <c r="GP8" s="15"/>
      <c r="GQ8" s="15"/>
      <c r="GR8" s="15"/>
      <c r="GS8" s="105">
        <f t="shared" si="13"/>
        <v>0</v>
      </c>
      <c r="GT8" s="48"/>
      <c r="GU8" s="15"/>
      <c r="GV8" s="15"/>
      <c r="GW8" s="15"/>
      <c r="GX8" s="15"/>
      <c r="GY8" s="15"/>
      <c r="GZ8" s="15"/>
      <c r="HA8" s="15"/>
      <c r="HB8" s="15"/>
      <c r="HC8" s="15"/>
      <c r="HD8" s="15"/>
      <c r="HE8" s="15"/>
    </row>
    <row r="9" ht="16.5" customHeight="1">
      <c r="A9" s="102" t="s">
        <v>110</v>
      </c>
      <c r="B9" s="106" t="str">
        <f>iferror(vlookup(A9,'SoS - Agents Info'!A:H,5,false),"")</f>
        <v>EN</v>
      </c>
      <c r="C9" s="107" t="str">
        <f>iferror(vlookup(A9,'SoS - Agents Info'!A:AQ,43,false),"")</f>
        <v>FL</v>
      </c>
      <c r="D9" s="108" t="str">
        <f>iferror(vlookup(A9,'SoS - Agents Info'!A:H,6,false),"")</f>
        <v>WD</v>
      </c>
      <c r="E9" s="108" t="str">
        <f>iferror(vlookup(A9,'SoS - Agents Info'!A:H,7,false),"")</f>
        <v>00:00-09:00</v>
      </c>
      <c r="F9" s="109">
        <f>IFERROR(__xludf.DUMMYFUNCTION("sum(COUNTIFS(Filter(FILTER('Shiftplan SoS'!G$3:GU166,'Shiftplan SoS'!$G$1:$GU$1&lt;=today()),'Shiftplan SoS'!$A$3:$A166=A9),""&gt;0"",(Filter(FILTER('Shiftplan SoS'!G$3:GU166,'Shiftplan SoS'!$G$1:$GU$1&lt;=today()),'Shiftplan SoS'!$A$3:$A166=A9)),""&lt;12""))"),82.0)</f>
        <v>82</v>
      </c>
      <c r="G9" s="16" t="s">
        <v>165</v>
      </c>
      <c r="H9" s="16" t="s">
        <v>165</v>
      </c>
      <c r="I9" s="16">
        <v>8.0</v>
      </c>
      <c r="J9" s="16">
        <v>8.0</v>
      </c>
      <c r="K9" s="16">
        <v>8.0</v>
      </c>
      <c r="L9" s="16">
        <v>8.0</v>
      </c>
      <c r="M9" s="16">
        <v>8.0</v>
      </c>
      <c r="N9" s="16" t="s">
        <v>165</v>
      </c>
      <c r="O9" s="16" t="s">
        <v>165</v>
      </c>
      <c r="P9" s="16">
        <v>10.0</v>
      </c>
      <c r="Q9" s="16">
        <v>8.0</v>
      </c>
      <c r="R9" s="16">
        <v>8.0</v>
      </c>
      <c r="S9" s="16">
        <v>8.0</v>
      </c>
      <c r="T9" s="16">
        <v>8.0</v>
      </c>
      <c r="U9" s="16" t="s">
        <v>165</v>
      </c>
      <c r="V9" s="16" t="s">
        <v>165</v>
      </c>
      <c r="W9" s="16">
        <v>8.0</v>
      </c>
      <c r="X9" s="16">
        <v>8.0</v>
      </c>
      <c r="Y9" s="16">
        <v>8.0</v>
      </c>
      <c r="Z9" s="16">
        <v>8.0</v>
      </c>
      <c r="AA9" s="16">
        <v>8.0</v>
      </c>
      <c r="AB9" s="16" t="s">
        <v>165</v>
      </c>
      <c r="AC9" s="16" t="s">
        <v>165</v>
      </c>
      <c r="AD9" s="16">
        <v>8.0</v>
      </c>
      <c r="AE9" s="16">
        <v>8.0</v>
      </c>
      <c r="AF9" s="16">
        <v>8.0</v>
      </c>
      <c r="AG9" s="16">
        <v>8.0</v>
      </c>
      <c r="AH9" s="16">
        <v>8.0</v>
      </c>
      <c r="AI9" s="16" t="s">
        <v>165</v>
      </c>
      <c r="AJ9" s="16" t="s">
        <v>165</v>
      </c>
      <c r="AK9" s="70">
        <v>8.0</v>
      </c>
      <c r="AL9" s="105">
        <f t="shared" si="5"/>
        <v>170</v>
      </c>
      <c r="AM9" s="48"/>
      <c r="AN9" s="16">
        <v>8.0</v>
      </c>
      <c r="AO9" s="16">
        <v>8.0</v>
      </c>
      <c r="AP9" s="16">
        <v>8.0</v>
      </c>
      <c r="AQ9" s="16">
        <v>8.0</v>
      </c>
      <c r="AR9" s="16" t="s">
        <v>165</v>
      </c>
      <c r="AS9" s="16" t="s">
        <v>165</v>
      </c>
      <c r="AT9" s="16">
        <v>8.0</v>
      </c>
      <c r="AU9" s="16">
        <v>8.0</v>
      </c>
      <c r="AV9" s="16">
        <v>8.0</v>
      </c>
      <c r="AW9" s="16">
        <v>8.0</v>
      </c>
      <c r="AX9" s="16">
        <v>8.0</v>
      </c>
      <c r="AY9" s="16" t="s">
        <v>165</v>
      </c>
      <c r="AZ9" s="16" t="s">
        <v>165</v>
      </c>
      <c r="BA9" s="16">
        <v>8.0</v>
      </c>
      <c r="BB9" s="16">
        <v>8.0</v>
      </c>
      <c r="BC9" s="16">
        <v>8.0</v>
      </c>
      <c r="BD9" s="16">
        <v>8.0</v>
      </c>
      <c r="BE9" s="16">
        <v>8.0</v>
      </c>
      <c r="BF9" s="16" t="s">
        <v>165</v>
      </c>
      <c r="BG9" s="16" t="s">
        <v>165</v>
      </c>
      <c r="BH9" s="16" t="s">
        <v>165</v>
      </c>
      <c r="BI9" s="16">
        <v>8.0</v>
      </c>
      <c r="BJ9" s="16">
        <v>8.0</v>
      </c>
      <c r="BK9" s="16">
        <v>8.0</v>
      </c>
      <c r="BL9" s="16">
        <v>8.0</v>
      </c>
      <c r="BM9" s="16">
        <v>8.0</v>
      </c>
      <c r="BN9" s="16" t="s">
        <v>165</v>
      </c>
      <c r="BO9" s="16" t="s">
        <v>165</v>
      </c>
      <c r="BP9" s="16">
        <v>8.0</v>
      </c>
      <c r="BQ9" s="16">
        <v>8.0</v>
      </c>
      <c r="BR9" s="105">
        <f t="shared" si="11"/>
        <v>168</v>
      </c>
      <c r="BS9" s="48"/>
      <c r="BT9" s="64">
        <v>8.0</v>
      </c>
      <c r="BU9" s="64">
        <v>8.0</v>
      </c>
      <c r="BV9" s="64">
        <v>8.0</v>
      </c>
      <c r="BW9" s="25" t="s">
        <v>165</v>
      </c>
      <c r="BX9" s="16" t="s">
        <v>165</v>
      </c>
      <c r="BY9" s="16">
        <v>8.0</v>
      </c>
      <c r="BZ9" s="16">
        <v>8.0</v>
      </c>
      <c r="CA9" s="16">
        <v>8.0</v>
      </c>
      <c r="CB9" s="16">
        <v>8.0</v>
      </c>
      <c r="CC9" s="16" t="s">
        <v>245</v>
      </c>
      <c r="CD9" s="16" t="s">
        <v>165</v>
      </c>
      <c r="CE9" s="16" t="s">
        <v>165</v>
      </c>
      <c r="CF9" s="16">
        <v>8.0</v>
      </c>
      <c r="CG9" s="16">
        <v>8.0</v>
      </c>
      <c r="CH9" s="16">
        <v>8.0</v>
      </c>
      <c r="CI9" s="16">
        <v>8.0</v>
      </c>
      <c r="CJ9" s="16">
        <v>8.0</v>
      </c>
      <c r="CK9" s="16" t="s">
        <v>165</v>
      </c>
      <c r="CL9" s="16" t="s">
        <v>165</v>
      </c>
      <c r="CM9" s="16">
        <v>9.0</v>
      </c>
      <c r="CN9" s="16">
        <v>9.0</v>
      </c>
      <c r="CO9" s="16">
        <v>9.0</v>
      </c>
      <c r="CP9" s="16">
        <v>9.0</v>
      </c>
      <c r="CQ9" s="16">
        <v>9.0</v>
      </c>
      <c r="CR9" s="16" t="s">
        <v>165</v>
      </c>
      <c r="CS9" s="16" t="s">
        <v>165</v>
      </c>
      <c r="CT9" s="16">
        <v>9.0</v>
      </c>
      <c r="CU9" s="16">
        <v>9.0</v>
      </c>
      <c r="CV9" s="16">
        <v>9.0</v>
      </c>
      <c r="CW9" s="16">
        <v>8.0</v>
      </c>
      <c r="CX9" s="16">
        <v>8.0</v>
      </c>
      <c r="CY9" s="105">
        <f t="shared" si="7"/>
        <v>184</v>
      </c>
      <c r="CZ9" s="48"/>
      <c r="DA9" s="113" t="s">
        <v>165</v>
      </c>
      <c r="DB9" s="16" t="s">
        <v>165</v>
      </c>
      <c r="DC9" s="16">
        <v>8.0</v>
      </c>
      <c r="DD9" s="16">
        <v>8.0</v>
      </c>
      <c r="DE9" s="16" t="s">
        <v>245</v>
      </c>
      <c r="DF9" s="16" t="s">
        <v>245</v>
      </c>
      <c r="DG9" s="16" t="s">
        <v>245</v>
      </c>
      <c r="DH9" s="16" t="s">
        <v>165</v>
      </c>
      <c r="DI9" s="16" t="s">
        <v>165</v>
      </c>
      <c r="DJ9" s="16">
        <v>8.0</v>
      </c>
      <c r="DK9" s="16">
        <v>8.0</v>
      </c>
      <c r="DL9" s="16">
        <v>8.0</v>
      </c>
      <c r="DM9" s="16">
        <v>8.0</v>
      </c>
      <c r="DN9" s="16">
        <v>8.0</v>
      </c>
      <c r="DO9" s="16" t="s">
        <v>165</v>
      </c>
      <c r="DP9" s="16" t="s">
        <v>165</v>
      </c>
      <c r="DQ9" s="16">
        <v>8.0</v>
      </c>
      <c r="DR9" s="16">
        <v>8.0</v>
      </c>
      <c r="DS9" s="16">
        <v>8.0</v>
      </c>
      <c r="DT9" s="16">
        <v>8.0</v>
      </c>
      <c r="DU9" s="16">
        <v>8.0</v>
      </c>
      <c r="DV9" s="16" t="s">
        <v>165</v>
      </c>
      <c r="DW9" s="16" t="s">
        <v>165</v>
      </c>
      <c r="DX9" s="16">
        <v>6.0</v>
      </c>
      <c r="DY9" s="16">
        <v>9.0</v>
      </c>
      <c r="DZ9" s="16">
        <v>9.0</v>
      </c>
      <c r="EA9" s="16">
        <v>8.0</v>
      </c>
      <c r="EB9" s="16">
        <v>8.0</v>
      </c>
      <c r="EC9" s="16" t="s">
        <v>165</v>
      </c>
      <c r="ED9" s="58" t="s">
        <v>165</v>
      </c>
      <c r="EE9" s="113">
        <v>8.0</v>
      </c>
      <c r="EF9" s="113">
        <f t="shared" si="8"/>
        <v>144</v>
      </c>
      <c r="EG9" s="48"/>
      <c r="EH9" s="15"/>
      <c r="EI9" s="15"/>
      <c r="EJ9" s="15"/>
      <c r="EK9" s="15"/>
      <c r="EL9" s="15"/>
      <c r="EM9" s="15"/>
      <c r="EN9" s="15"/>
      <c r="EO9" s="15"/>
      <c r="EP9" s="15"/>
      <c r="EQ9" s="15"/>
      <c r="ER9" s="15"/>
      <c r="ES9" s="15"/>
      <c r="ET9" s="15"/>
      <c r="EU9" s="15"/>
      <c r="EV9" s="15"/>
      <c r="EW9" s="15"/>
      <c r="EX9" s="15"/>
      <c r="EY9" s="15"/>
      <c r="EZ9" s="15"/>
      <c r="FA9" s="15"/>
      <c r="FB9" s="15"/>
      <c r="FC9" s="15"/>
      <c r="FD9" s="15"/>
      <c r="FE9" s="15"/>
      <c r="FF9" s="15"/>
      <c r="FG9" s="15"/>
      <c r="FH9" s="15"/>
      <c r="FI9" s="15"/>
      <c r="FJ9" s="15"/>
      <c r="FK9" s="15"/>
      <c r="FL9" s="105">
        <f t="shared" si="12"/>
        <v>0</v>
      </c>
      <c r="FM9" s="48"/>
      <c r="FN9" s="15"/>
      <c r="FO9" s="15"/>
      <c r="FP9" s="15"/>
      <c r="FQ9" s="15"/>
      <c r="FR9" s="15"/>
      <c r="FS9" s="15"/>
      <c r="FT9" s="15"/>
      <c r="FU9" s="15"/>
      <c r="FV9" s="15"/>
      <c r="FW9" s="15"/>
      <c r="FX9" s="15"/>
      <c r="FY9" s="15"/>
      <c r="FZ9" s="15"/>
      <c r="GA9" s="15"/>
      <c r="GB9" s="15"/>
      <c r="GC9" s="15"/>
      <c r="GD9" s="15"/>
      <c r="GE9" s="15"/>
      <c r="GF9" s="15"/>
      <c r="GG9" s="15"/>
      <c r="GH9" s="15"/>
      <c r="GI9" s="15"/>
      <c r="GJ9" s="15"/>
      <c r="GK9" s="15"/>
      <c r="GL9" s="15"/>
      <c r="GM9" s="15"/>
      <c r="GN9" s="15"/>
      <c r="GO9" s="15"/>
      <c r="GP9" s="15"/>
      <c r="GQ9" s="15"/>
      <c r="GR9" s="15"/>
      <c r="GS9" s="105">
        <f t="shared" si="13"/>
        <v>0</v>
      </c>
      <c r="GT9" s="48"/>
      <c r="GU9" s="15"/>
      <c r="GV9" s="15"/>
      <c r="GW9" s="15"/>
      <c r="GX9" s="15"/>
      <c r="GY9" s="15"/>
      <c r="GZ9" s="15"/>
      <c r="HA9" s="15"/>
      <c r="HB9" s="15"/>
      <c r="HC9" s="15"/>
      <c r="HD9" s="15"/>
      <c r="HE9" s="15"/>
    </row>
    <row r="10" ht="16.5" customHeight="1">
      <c r="A10" s="102" t="s">
        <v>147</v>
      </c>
      <c r="B10" s="106" t="str">
        <f>iferror(vlookup(A10,'SoS - Agents Info'!A:H,5,false),"")</f>
        <v>EN</v>
      </c>
      <c r="C10" s="107" t="str">
        <f>iferror(vlookup(A10,'SoS - Agents Info'!A:AQ,43,false),"")</f>
        <v>GM</v>
      </c>
      <c r="D10" s="108" t="str">
        <f>iferror(vlookup(A10,'SoS - Agents Info'!A:H,6,false),"")</f>
        <v>WE+WD</v>
      </c>
      <c r="E10" s="108" t="str">
        <f>iferror(vlookup(A10,'SoS - Agents Info'!A:H,7,false),"")</f>
        <v>16:00-01:00</v>
      </c>
      <c r="F10" s="109">
        <f>IFERROR(__xludf.DUMMYFUNCTION("sum(COUNTIFS(Filter(FILTER('Shiftplan SoS'!G$3:GU166,'Shiftplan SoS'!$G$1:$GU$1&lt;=today()),'Shiftplan SoS'!$A$3:$A166=A10),""&gt;0"",(Filter(FILTER('Shiftplan SoS'!G$3:GU166,'Shiftplan SoS'!$G$1:$GU$1&lt;=today()),'Shiftplan SoS'!$A$3:$A166=A10)),""&lt;12""))"),85.0)</f>
        <v>85</v>
      </c>
      <c r="G10" s="16" t="s">
        <v>165</v>
      </c>
      <c r="H10" s="16" t="s">
        <v>165</v>
      </c>
      <c r="I10" s="16">
        <v>8.0</v>
      </c>
      <c r="J10" s="16">
        <v>8.0</v>
      </c>
      <c r="K10" s="16">
        <v>8.0</v>
      </c>
      <c r="L10" s="16">
        <v>8.0</v>
      </c>
      <c r="M10" s="16">
        <v>8.0</v>
      </c>
      <c r="N10" s="16" t="s">
        <v>165</v>
      </c>
      <c r="O10" s="16" t="s">
        <v>165</v>
      </c>
      <c r="P10" s="16">
        <v>8.0</v>
      </c>
      <c r="Q10" s="16">
        <v>8.0</v>
      </c>
      <c r="R10" s="16">
        <v>8.0</v>
      </c>
      <c r="S10" s="16">
        <v>8.0</v>
      </c>
      <c r="T10" s="16">
        <v>8.0</v>
      </c>
      <c r="U10" s="16" t="s">
        <v>165</v>
      </c>
      <c r="V10" s="16" t="s">
        <v>165</v>
      </c>
      <c r="W10" s="16">
        <v>8.0</v>
      </c>
      <c r="X10" s="16">
        <v>8.0</v>
      </c>
      <c r="Y10" s="16">
        <v>8.0</v>
      </c>
      <c r="Z10" s="16">
        <v>8.0</v>
      </c>
      <c r="AA10" s="16">
        <v>8.0</v>
      </c>
      <c r="AB10" s="16" t="s">
        <v>165</v>
      </c>
      <c r="AC10" s="16" t="s">
        <v>165</v>
      </c>
      <c r="AD10" s="16">
        <v>8.0</v>
      </c>
      <c r="AE10" s="16">
        <v>8.0</v>
      </c>
      <c r="AF10" s="16">
        <v>8.0</v>
      </c>
      <c r="AG10" s="16">
        <v>8.0</v>
      </c>
      <c r="AH10" s="16">
        <v>8.0</v>
      </c>
      <c r="AI10" s="16" t="s">
        <v>165</v>
      </c>
      <c r="AJ10" s="16" t="s">
        <v>165</v>
      </c>
      <c r="AK10" s="70">
        <v>8.0</v>
      </c>
      <c r="AL10" s="105">
        <f t="shared" si="5"/>
        <v>168</v>
      </c>
      <c r="AM10" s="48"/>
      <c r="AN10" s="16">
        <v>8.0</v>
      </c>
      <c r="AO10" s="16">
        <v>8.0</v>
      </c>
      <c r="AP10" s="16">
        <v>8.0</v>
      </c>
      <c r="AQ10" s="16">
        <v>8.0</v>
      </c>
      <c r="AR10" s="16" t="s">
        <v>165</v>
      </c>
      <c r="AS10" s="16" t="s">
        <v>165</v>
      </c>
      <c r="AT10" s="16">
        <v>8.0</v>
      </c>
      <c r="AU10" s="16">
        <v>8.0</v>
      </c>
      <c r="AV10" s="16">
        <v>4.0</v>
      </c>
      <c r="AW10" s="16">
        <v>8.0</v>
      </c>
      <c r="AX10" s="16">
        <v>9.0</v>
      </c>
      <c r="AY10" s="16" t="s">
        <v>165</v>
      </c>
      <c r="AZ10" s="16" t="s">
        <v>165</v>
      </c>
      <c r="BA10" s="16">
        <v>9.0</v>
      </c>
      <c r="BB10" s="16">
        <v>9.0</v>
      </c>
      <c r="BC10" s="16">
        <v>9.0</v>
      </c>
      <c r="BD10" s="16">
        <v>8.0</v>
      </c>
      <c r="BE10" s="16">
        <v>8.0</v>
      </c>
      <c r="BF10" s="16" t="s">
        <v>165</v>
      </c>
      <c r="BG10" s="16" t="s">
        <v>165</v>
      </c>
      <c r="BH10" s="16">
        <v>8.0</v>
      </c>
      <c r="BI10" s="16">
        <v>8.0</v>
      </c>
      <c r="BJ10" s="16">
        <v>8.0</v>
      </c>
      <c r="BK10" s="16">
        <v>8.0</v>
      </c>
      <c r="BL10" s="16">
        <v>8.0</v>
      </c>
      <c r="BM10" s="16" t="s">
        <v>165</v>
      </c>
      <c r="BN10" s="16" t="s">
        <v>165</v>
      </c>
      <c r="BO10" s="16">
        <v>8.0</v>
      </c>
      <c r="BP10" s="16">
        <v>8.0</v>
      </c>
      <c r="BQ10" s="16">
        <v>8.0</v>
      </c>
      <c r="BR10" s="105">
        <f t="shared" si="11"/>
        <v>176</v>
      </c>
      <c r="BS10" s="48"/>
      <c r="BT10" s="64">
        <v>8.0</v>
      </c>
      <c r="BU10" s="64">
        <v>8.0</v>
      </c>
      <c r="BV10" s="114" t="s">
        <v>165</v>
      </c>
      <c r="BW10" s="114" t="s">
        <v>165</v>
      </c>
      <c r="BX10" s="64">
        <v>8.0</v>
      </c>
      <c r="BY10" s="64">
        <v>8.0</v>
      </c>
      <c r="BZ10" s="64">
        <v>8.0</v>
      </c>
      <c r="CA10" s="64">
        <v>8.0</v>
      </c>
      <c r="CB10" s="64">
        <v>8.0</v>
      </c>
      <c r="CC10" s="114" t="s">
        <v>165</v>
      </c>
      <c r="CD10" s="114" t="s">
        <v>165</v>
      </c>
      <c r="CE10" s="64">
        <v>8.0</v>
      </c>
      <c r="CF10" s="64">
        <v>8.0</v>
      </c>
      <c r="CG10" s="64">
        <v>8.0</v>
      </c>
      <c r="CH10" s="64">
        <v>8.0</v>
      </c>
      <c r="CI10" s="64">
        <v>8.0</v>
      </c>
      <c r="CJ10" s="114" t="s">
        <v>165</v>
      </c>
      <c r="CK10" s="114" t="s">
        <v>165</v>
      </c>
      <c r="CL10" s="64">
        <v>8.0</v>
      </c>
      <c r="CM10" s="64">
        <v>8.0</v>
      </c>
      <c r="CN10" s="64">
        <v>8.0</v>
      </c>
      <c r="CO10" s="64">
        <v>8.0</v>
      </c>
      <c r="CP10" s="64">
        <v>8.0</v>
      </c>
      <c r="CQ10" s="114" t="s">
        <v>165</v>
      </c>
      <c r="CR10" s="114" t="s">
        <v>165</v>
      </c>
      <c r="CS10" s="64">
        <v>8.0</v>
      </c>
      <c r="CT10" s="64">
        <v>8.0</v>
      </c>
      <c r="CU10" s="64">
        <v>8.0</v>
      </c>
      <c r="CV10" s="64">
        <v>8.0</v>
      </c>
      <c r="CW10" s="25" t="s">
        <v>245</v>
      </c>
      <c r="CX10" s="114" t="s">
        <v>165</v>
      </c>
      <c r="CY10" s="105">
        <f t="shared" si="7"/>
        <v>168</v>
      </c>
      <c r="CZ10" s="48"/>
      <c r="DA10" s="113" t="s">
        <v>165</v>
      </c>
      <c r="DB10" s="113">
        <v>9.0</v>
      </c>
      <c r="DC10" s="113">
        <v>9.0</v>
      </c>
      <c r="DD10" s="113">
        <v>9.0</v>
      </c>
      <c r="DE10" s="113">
        <v>9.0</v>
      </c>
      <c r="DF10" s="113">
        <v>9.0</v>
      </c>
      <c r="DG10" s="113" t="s">
        <v>165</v>
      </c>
      <c r="DH10" s="113" t="s">
        <v>165</v>
      </c>
      <c r="DI10" s="113">
        <v>9.0</v>
      </c>
      <c r="DJ10" s="113">
        <v>9.0</v>
      </c>
      <c r="DK10" s="113">
        <v>9.0</v>
      </c>
      <c r="DL10" s="113">
        <v>8.0</v>
      </c>
      <c r="DM10" s="113">
        <v>8.0</v>
      </c>
      <c r="DN10" s="113" t="s">
        <v>165</v>
      </c>
      <c r="DO10" s="113" t="s">
        <v>165</v>
      </c>
      <c r="DP10" s="123">
        <v>8.0</v>
      </c>
      <c r="DQ10" s="58" t="s">
        <v>165</v>
      </c>
      <c r="DR10" s="123">
        <v>8.0</v>
      </c>
      <c r="DS10" s="123">
        <v>8.0</v>
      </c>
      <c r="DT10" s="123">
        <v>8.0</v>
      </c>
      <c r="DU10" s="58">
        <v>8.0</v>
      </c>
      <c r="DV10" s="58">
        <v>8.0</v>
      </c>
      <c r="DW10" s="58" t="s">
        <v>165</v>
      </c>
      <c r="DX10" s="58" t="s">
        <v>165</v>
      </c>
      <c r="DY10" s="113">
        <v>8.0</v>
      </c>
      <c r="DZ10" s="113">
        <v>8.0</v>
      </c>
      <c r="EA10" s="123">
        <v>8.0</v>
      </c>
      <c r="EB10" s="113" t="s">
        <v>165</v>
      </c>
      <c r="EC10" s="113" t="s">
        <v>165</v>
      </c>
      <c r="ED10" s="113">
        <v>8.0</v>
      </c>
      <c r="EE10" s="113">
        <v>8.0</v>
      </c>
      <c r="EF10" s="113">
        <f t="shared" si="8"/>
        <v>176</v>
      </c>
      <c r="EG10" s="48"/>
      <c r="EH10" s="15"/>
      <c r="EI10" s="15"/>
      <c r="EJ10" s="15"/>
      <c r="EK10" s="15"/>
      <c r="EL10" s="15"/>
      <c r="EM10" s="15"/>
      <c r="EN10" s="15"/>
      <c r="EO10" s="15"/>
      <c r="EP10" s="15"/>
      <c r="EQ10" s="15"/>
      <c r="ER10" s="15"/>
      <c r="ES10" s="15"/>
      <c r="ET10" s="15"/>
      <c r="EU10" s="15"/>
      <c r="EV10" s="15"/>
      <c r="EW10" s="15"/>
      <c r="EX10" s="15"/>
      <c r="EY10" s="15"/>
      <c r="EZ10" s="15"/>
      <c r="FA10" s="15"/>
      <c r="FB10" s="15"/>
      <c r="FC10" s="15"/>
      <c r="FD10" s="15"/>
      <c r="FE10" s="15"/>
      <c r="FF10" s="15"/>
      <c r="FG10" s="15"/>
      <c r="FH10" s="15"/>
      <c r="FI10" s="15"/>
      <c r="FJ10" s="15"/>
      <c r="FK10" s="15"/>
      <c r="FL10" s="105">
        <f t="shared" si="12"/>
        <v>0</v>
      </c>
      <c r="FM10" s="48"/>
      <c r="FN10" s="15"/>
      <c r="FO10" s="15"/>
      <c r="FP10" s="15"/>
      <c r="FQ10" s="15"/>
      <c r="FR10" s="15"/>
      <c r="FS10" s="15"/>
      <c r="FT10" s="15"/>
      <c r="FU10" s="15"/>
      <c r="FV10" s="15"/>
      <c r="FW10" s="15"/>
      <c r="FX10" s="15"/>
      <c r="FY10" s="15"/>
      <c r="FZ10" s="15"/>
      <c r="GA10" s="15"/>
      <c r="GB10" s="15"/>
      <c r="GC10" s="15"/>
      <c r="GD10" s="15"/>
      <c r="GE10" s="15"/>
      <c r="GF10" s="15"/>
      <c r="GG10" s="15"/>
      <c r="GH10" s="15"/>
      <c r="GI10" s="15"/>
      <c r="GJ10" s="15"/>
      <c r="GK10" s="15"/>
      <c r="GL10" s="15"/>
      <c r="GM10" s="15"/>
      <c r="GN10" s="15"/>
      <c r="GO10" s="15"/>
      <c r="GP10" s="15"/>
      <c r="GQ10" s="15"/>
      <c r="GR10" s="15"/>
      <c r="GS10" s="105">
        <f t="shared" si="13"/>
        <v>0</v>
      </c>
      <c r="GT10" s="48"/>
      <c r="GU10" s="15"/>
      <c r="GV10" s="15"/>
      <c r="GW10" s="15"/>
      <c r="GX10" s="15"/>
      <c r="GY10" s="15"/>
      <c r="GZ10" s="15"/>
      <c r="HA10" s="15"/>
      <c r="HB10" s="15"/>
      <c r="HC10" s="15"/>
      <c r="HD10" s="15"/>
      <c r="HE10" s="15"/>
    </row>
    <row r="11" ht="16.5" customHeight="1">
      <c r="A11" s="102" t="s">
        <v>138</v>
      </c>
      <c r="B11" s="106" t="str">
        <f>iferror(vlookup(A11,'SoS - Agents Info'!A:H,5,false),"")</f>
        <v>ES</v>
      </c>
      <c r="C11" s="107" t="str">
        <f>iferror(vlookup(A11,'SoS - Agents Info'!A:AQ,43,false),"")</f>
        <v>FL</v>
      </c>
      <c r="D11" s="108" t="str">
        <f>iferror(vlookup(A11,'SoS - Agents Info'!A:H,6,false),"")</f>
        <v>WD</v>
      </c>
      <c r="E11" s="108" t="str">
        <f>iferror(vlookup(A11,'SoS - Agents Info'!A:H,7,false),"")</f>
        <v>00:00-09:00</v>
      </c>
      <c r="F11" s="109">
        <f>IFERROR(__xludf.DUMMYFUNCTION("sum(COUNTIFS(Filter(FILTER('Shiftplan SoS'!G$3:GU166,'Shiftplan SoS'!$G$1:$GU$1&lt;=today()),'Shiftplan SoS'!$A$3:$A166=A11),""&gt;0"",(Filter(FILTER('Shiftplan SoS'!G$3:GU166,'Shiftplan SoS'!$G$1:$GU$1&lt;=today()),'Shiftplan SoS'!$A$3:$A166=A11)),""&lt;12""))"),82.0)</f>
        <v>82</v>
      </c>
      <c r="G11" s="16" t="s">
        <v>165</v>
      </c>
      <c r="H11" s="16" t="s">
        <v>165</v>
      </c>
      <c r="I11" s="16">
        <v>8.0</v>
      </c>
      <c r="J11" s="16">
        <v>8.0</v>
      </c>
      <c r="K11" s="16">
        <v>8.0</v>
      </c>
      <c r="L11" s="16">
        <v>8.0</v>
      </c>
      <c r="M11" s="16">
        <v>8.0</v>
      </c>
      <c r="N11" s="16" t="s">
        <v>165</v>
      </c>
      <c r="O11" s="16" t="s">
        <v>165</v>
      </c>
      <c r="P11" s="16">
        <v>8.0</v>
      </c>
      <c r="Q11" s="16">
        <v>8.0</v>
      </c>
      <c r="R11" s="16">
        <v>8.0</v>
      </c>
      <c r="S11" s="16">
        <v>8.0</v>
      </c>
      <c r="T11" s="16">
        <v>8.0</v>
      </c>
      <c r="U11" s="16" t="s">
        <v>165</v>
      </c>
      <c r="V11" s="16" t="s">
        <v>165</v>
      </c>
      <c r="W11" s="16">
        <v>8.0</v>
      </c>
      <c r="X11" s="16">
        <v>8.0</v>
      </c>
      <c r="Y11" s="16">
        <v>8.0</v>
      </c>
      <c r="Z11" s="16">
        <v>8.0</v>
      </c>
      <c r="AA11" s="16">
        <v>8.0</v>
      </c>
      <c r="AB11" s="16" t="s">
        <v>165</v>
      </c>
      <c r="AC11" s="16" t="s">
        <v>165</v>
      </c>
      <c r="AD11" s="16">
        <v>8.0</v>
      </c>
      <c r="AE11" s="16">
        <v>8.0</v>
      </c>
      <c r="AF11" s="16">
        <v>8.0</v>
      </c>
      <c r="AG11" s="16">
        <v>8.0</v>
      </c>
      <c r="AH11" s="16">
        <v>8.0</v>
      </c>
      <c r="AI11" s="16" t="s">
        <v>165</v>
      </c>
      <c r="AJ11" s="16" t="s">
        <v>165</v>
      </c>
      <c r="AK11" s="70">
        <v>8.0</v>
      </c>
      <c r="AL11" s="105">
        <f t="shared" si="5"/>
        <v>168</v>
      </c>
      <c r="AM11" s="48"/>
      <c r="AN11" s="16">
        <v>8.0</v>
      </c>
      <c r="AO11" s="16">
        <v>8.0</v>
      </c>
      <c r="AP11" s="16">
        <v>8.0</v>
      </c>
      <c r="AQ11" s="16">
        <v>8.0</v>
      </c>
      <c r="AR11" s="16" t="s">
        <v>165</v>
      </c>
      <c r="AS11" s="16" t="s">
        <v>165</v>
      </c>
      <c r="AT11" s="16">
        <v>8.0</v>
      </c>
      <c r="AU11" s="16">
        <v>8.0</v>
      </c>
      <c r="AV11" s="16">
        <v>8.0</v>
      </c>
      <c r="AW11" s="16">
        <v>8.0</v>
      </c>
      <c r="AX11" s="16">
        <v>8.0</v>
      </c>
      <c r="AY11" s="16" t="s">
        <v>165</v>
      </c>
      <c r="AZ11" s="16" t="s">
        <v>165</v>
      </c>
      <c r="BA11" s="16">
        <v>8.0</v>
      </c>
      <c r="BB11" s="16">
        <v>8.0</v>
      </c>
      <c r="BC11" s="16">
        <v>8.0</v>
      </c>
      <c r="BD11" s="16">
        <v>8.0</v>
      </c>
      <c r="BE11" s="16">
        <v>8.0</v>
      </c>
      <c r="BF11" s="16" t="s">
        <v>165</v>
      </c>
      <c r="BG11" s="16" t="s">
        <v>165</v>
      </c>
      <c r="BH11" s="16">
        <v>8.0</v>
      </c>
      <c r="BI11" s="16">
        <v>8.0</v>
      </c>
      <c r="BJ11" s="16">
        <v>8.0</v>
      </c>
      <c r="BK11" s="16">
        <v>8.0</v>
      </c>
      <c r="BL11" s="16">
        <v>8.0</v>
      </c>
      <c r="BM11" s="16" t="s">
        <v>165</v>
      </c>
      <c r="BN11" s="16" t="s">
        <v>165</v>
      </c>
      <c r="BO11" s="16">
        <v>8.0</v>
      </c>
      <c r="BP11" s="16">
        <v>8.0</v>
      </c>
      <c r="BQ11" s="16">
        <v>8.0</v>
      </c>
      <c r="BR11" s="105">
        <f t="shared" si="11"/>
        <v>176</v>
      </c>
      <c r="BS11" s="48"/>
      <c r="BT11" s="64">
        <v>8.0</v>
      </c>
      <c r="BU11" s="64">
        <v>8.0</v>
      </c>
      <c r="BV11" s="114" t="s">
        <v>165</v>
      </c>
      <c r="BW11" s="114" t="s">
        <v>165</v>
      </c>
      <c r="BX11" s="64">
        <v>8.0</v>
      </c>
      <c r="BY11" s="64">
        <v>8.0</v>
      </c>
      <c r="BZ11" s="64">
        <v>8.0</v>
      </c>
      <c r="CA11" s="64">
        <v>8.0</v>
      </c>
      <c r="CB11" s="25">
        <v>4.0</v>
      </c>
      <c r="CC11" s="114" t="s">
        <v>165</v>
      </c>
      <c r="CD11" s="114" t="s">
        <v>165</v>
      </c>
      <c r="CE11" s="25" t="s">
        <v>245</v>
      </c>
      <c r="CF11" s="25">
        <v>8.0</v>
      </c>
      <c r="CG11" s="25">
        <v>8.0</v>
      </c>
      <c r="CH11" s="25">
        <v>9.0</v>
      </c>
      <c r="CI11" s="25">
        <v>9.0</v>
      </c>
      <c r="CJ11" s="114" t="s">
        <v>165</v>
      </c>
      <c r="CK11" s="114" t="s">
        <v>165</v>
      </c>
      <c r="CL11" s="25">
        <v>9.0</v>
      </c>
      <c r="CM11" s="25">
        <v>9.0</v>
      </c>
      <c r="CN11" s="64">
        <v>8.0</v>
      </c>
      <c r="CO11" s="25" t="s">
        <v>245</v>
      </c>
      <c r="CP11" s="25" t="s">
        <v>245</v>
      </c>
      <c r="CQ11" s="114" t="s">
        <v>165</v>
      </c>
      <c r="CR11" s="114" t="s">
        <v>165</v>
      </c>
      <c r="CS11" s="25" t="s">
        <v>245</v>
      </c>
      <c r="CT11" s="64">
        <v>8.0</v>
      </c>
      <c r="CU11" s="64">
        <v>8.0</v>
      </c>
      <c r="CV11" s="64">
        <v>8.0</v>
      </c>
      <c r="CW11" s="64">
        <v>8.0</v>
      </c>
      <c r="CX11" s="114" t="s">
        <v>165</v>
      </c>
      <c r="CY11" s="105">
        <f t="shared" si="7"/>
        <v>144</v>
      </c>
      <c r="CZ11" s="48"/>
      <c r="DA11" s="113" t="s">
        <v>165</v>
      </c>
      <c r="DB11" s="113">
        <v>8.0</v>
      </c>
      <c r="DC11" s="113">
        <v>8.0</v>
      </c>
      <c r="DD11" s="113">
        <v>8.0</v>
      </c>
      <c r="DE11" s="113">
        <v>8.0</v>
      </c>
      <c r="DF11" s="113">
        <v>8.0</v>
      </c>
      <c r="DG11" s="113" t="s">
        <v>165</v>
      </c>
      <c r="DH11" s="113" t="s">
        <v>165</v>
      </c>
      <c r="DI11" s="113">
        <v>8.0</v>
      </c>
      <c r="DJ11" s="113">
        <v>8.0</v>
      </c>
      <c r="DK11" s="113">
        <v>8.0</v>
      </c>
      <c r="DL11" s="113">
        <v>8.0</v>
      </c>
      <c r="DM11" s="113">
        <v>8.0</v>
      </c>
      <c r="DN11" s="113" t="s">
        <v>165</v>
      </c>
      <c r="DO11" s="113" t="s">
        <v>165</v>
      </c>
      <c r="DP11" s="113">
        <v>8.0</v>
      </c>
      <c r="DQ11" s="113">
        <v>8.0</v>
      </c>
      <c r="DR11" s="113">
        <v>8.0</v>
      </c>
      <c r="DS11" s="113">
        <v>8.0</v>
      </c>
      <c r="DT11" s="58" t="s">
        <v>245</v>
      </c>
      <c r="DU11" s="113" t="s">
        <v>165</v>
      </c>
      <c r="DV11" s="113" t="s">
        <v>165</v>
      </c>
      <c r="DW11" s="113">
        <v>8.0</v>
      </c>
      <c r="DX11" s="113">
        <v>8.0</v>
      </c>
      <c r="DY11" s="113">
        <v>8.0</v>
      </c>
      <c r="DZ11" s="113">
        <v>8.0</v>
      </c>
      <c r="EA11" s="113">
        <v>8.0</v>
      </c>
      <c r="EB11" s="113" t="s">
        <v>165</v>
      </c>
      <c r="EC11" s="113" t="s">
        <v>165</v>
      </c>
      <c r="ED11" s="113">
        <v>8.0</v>
      </c>
      <c r="EE11" s="113">
        <v>8.0</v>
      </c>
      <c r="EF11" s="113">
        <f t="shared" si="8"/>
        <v>168</v>
      </c>
      <c r="EG11" s="48"/>
      <c r="EH11" s="15"/>
      <c r="EI11" s="15"/>
      <c r="EJ11" s="15"/>
      <c r="EK11" s="15"/>
      <c r="EL11" s="15"/>
      <c r="EM11" s="15"/>
      <c r="EN11" s="15"/>
      <c r="EO11" s="15"/>
      <c r="EP11" s="15"/>
      <c r="EQ11" s="15"/>
      <c r="ER11" s="15"/>
      <c r="ES11" s="15"/>
      <c r="ET11" s="15"/>
      <c r="EU11" s="15"/>
      <c r="EV11" s="15"/>
      <c r="EW11" s="15"/>
      <c r="EX11" s="15"/>
      <c r="EY11" s="15"/>
      <c r="EZ11" s="15"/>
      <c r="FA11" s="15"/>
      <c r="FB11" s="15"/>
      <c r="FC11" s="15"/>
      <c r="FD11" s="15"/>
      <c r="FE11" s="15"/>
      <c r="FF11" s="15"/>
      <c r="FG11" s="15"/>
      <c r="FH11" s="15"/>
      <c r="FI11" s="15"/>
      <c r="FJ11" s="15"/>
      <c r="FK11" s="15"/>
      <c r="FL11" s="105">
        <f t="shared" si="12"/>
        <v>0</v>
      </c>
      <c r="FM11" s="48"/>
      <c r="FN11" s="15"/>
      <c r="FO11" s="15"/>
      <c r="FP11" s="15"/>
      <c r="FQ11" s="15"/>
      <c r="FR11" s="15"/>
      <c r="FS11" s="15"/>
      <c r="FT11" s="15"/>
      <c r="FU11" s="15"/>
      <c r="FV11" s="15"/>
      <c r="FW11" s="15"/>
      <c r="FX11" s="15"/>
      <c r="FY11" s="15"/>
      <c r="FZ11" s="15"/>
      <c r="GA11" s="15"/>
      <c r="GB11" s="15"/>
      <c r="GC11" s="15"/>
      <c r="GD11" s="15"/>
      <c r="GE11" s="15"/>
      <c r="GF11" s="15"/>
      <c r="GG11" s="15"/>
      <c r="GH11" s="15"/>
      <c r="GI11" s="15"/>
      <c r="GJ11" s="15"/>
      <c r="GK11" s="15"/>
      <c r="GL11" s="15"/>
      <c r="GM11" s="15"/>
      <c r="GN11" s="15"/>
      <c r="GO11" s="15"/>
      <c r="GP11" s="15"/>
      <c r="GQ11" s="15"/>
      <c r="GR11" s="15"/>
      <c r="GS11" s="105">
        <f t="shared" si="13"/>
        <v>0</v>
      </c>
      <c r="GT11" s="48"/>
      <c r="GU11" s="15"/>
      <c r="GV11" s="15"/>
      <c r="GW11" s="15"/>
      <c r="GX11" s="15"/>
      <c r="GY11" s="15"/>
      <c r="GZ11" s="15"/>
      <c r="HA11" s="15"/>
      <c r="HB11" s="15"/>
      <c r="HC11" s="15"/>
      <c r="HD11" s="15"/>
      <c r="HE11" s="15"/>
    </row>
    <row r="12" ht="16.5" customHeight="1">
      <c r="A12" s="117" t="s">
        <v>129</v>
      </c>
      <c r="B12" s="108" t="s">
        <v>249</v>
      </c>
      <c r="C12" s="107" t="str">
        <f>iferror(vlookup(A12,'SoS - Agents Info'!A:AQ,43,false),"")</f>
        <v/>
      </c>
      <c r="D12" s="108" t="str">
        <f>iferror(vlookup(A12,'SoS - Agents Info'!A:H,6,false),"")</f>
        <v>WD</v>
      </c>
      <c r="E12" s="108" t="str">
        <f>iferror(vlookup(A12,'SoS - Agents Info'!A:H,7,false),"")</f>
        <v>08:00-17:00</v>
      </c>
      <c r="F12" s="109">
        <f>IFERROR(__xludf.DUMMYFUNCTION("sum(COUNTIFS(Filter(FILTER('Shiftplan SoS'!G$3:GU166,'Shiftplan SoS'!$G$1:$GU$1&lt;=today()),'Shiftplan SoS'!$A$3:$A166=A12),""&gt;0"",(Filter(FILTER('Shiftplan SoS'!G$3:GU166,'Shiftplan SoS'!$G$1:$GU$1&lt;=today()),'Shiftplan SoS'!$A$3:$A166=A12)),""&lt;12""))"),84.0)</f>
        <v>84</v>
      </c>
      <c r="G12" s="16" t="s">
        <v>165</v>
      </c>
      <c r="H12" s="16" t="s">
        <v>165</v>
      </c>
      <c r="I12" s="16">
        <v>8.0</v>
      </c>
      <c r="J12" s="16">
        <v>8.0</v>
      </c>
      <c r="K12" s="16">
        <v>8.0</v>
      </c>
      <c r="L12" s="16">
        <v>8.0</v>
      </c>
      <c r="M12" s="16">
        <v>8.0</v>
      </c>
      <c r="N12" s="16" t="s">
        <v>165</v>
      </c>
      <c r="O12" s="16" t="s">
        <v>165</v>
      </c>
      <c r="P12" s="16">
        <v>8.0</v>
      </c>
      <c r="Q12" s="16">
        <v>8.0</v>
      </c>
      <c r="R12" s="16">
        <v>8.0</v>
      </c>
      <c r="S12" s="16">
        <v>8.0</v>
      </c>
      <c r="T12" s="16">
        <v>8.0</v>
      </c>
      <c r="U12" s="16" t="s">
        <v>165</v>
      </c>
      <c r="V12" s="16" t="s">
        <v>165</v>
      </c>
      <c r="W12" s="16">
        <v>8.0</v>
      </c>
      <c r="X12" s="16">
        <v>8.0</v>
      </c>
      <c r="Y12" s="16">
        <v>8.0</v>
      </c>
      <c r="Z12" s="16">
        <v>8.0</v>
      </c>
      <c r="AA12" s="16">
        <v>8.0</v>
      </c>
      <c r="AB12" s="16" t="s">
        <v>165</v>
      </c>
      <c r="AC12" s="16" t="s">
        <v>165</v>
      </c>
      <c r="AD12" s="16">
        <v>8.0</v>
      </c>
      <c r="AE12" s="16">
        <v>8.0</v>
      </c>
      <c r="AF12" s="16">
        <v>8.0</v>
      </c>
      <c r="AG12" s="16">
        <v>8.0</v>
      </c>
      <c r="AH12" s="16">
        <v>8.0</v>
      </c>
      <c r="AI12" s="16" t="s">
        <v>165</v>
      </c>
      <c r="AJ12" s="16" t="s">
        <v>165</v>
      </c>
      <c r="AK12" s="70">
        <v>8.0</v>
      </c>
      <c r="AL12" s="105">
        <f t="shared" si="5"/>
        <v>168</v>
      </c>
      <c r="AM12" s="48"/>
      <c r="AN12" s="16">
        <v>8.0</v>
      </c>
      <c r="AO12" s="16">
        <v>8.0</v>
      </c>
      <c r="AP12" s="16">
        <v>8.0</v>
      </c>
      <c r="AQ12" s="16">
        <v>8.0</v>
      </c>
      <c r="AR12" s="16" t="s">
        <v>165</v>
      </c>
      <c r="AS12" s="16" t="s">
        <v>165</v>
      </c>
      <c r="AT12" s="16" t="s">
        <v>165</v>
      </c>
      <c r="AU12" s="16">
        <v>8.0</v>
      </c>
      <c r="AV12" s="16">
        <v>8.0</v>
      </c>
      <c r="AW12" s="16">
        <v>8.0</v>
      </c>
      <c r="AX12" s="16">
        <v>8.0</v>
      </c>
      <c r="AY12" s="16">
        <v>8.0</v>
      </c>
      <c r="AZ12" s="16" t="s">
        <v>165</v>
      </c>
      <c r="BA12" s="16" t="s">
        <v>165</v>
      </c>
      <c r="BB12" s="16">
        <v>8.0</v>
      </c>
      <c r="BC12" s="16">
        <v>8.0</v>
      </c>
      <c r="BD12" s="16">
        <v>8.0</v>
      </c>
      <c r="BE12" s="16">
        <v>8.0</v>
      </c>
      <c r="BF12" s="16">
        <v>8.0</v>
      </c>
      <c r="BG12" s="16" t="s">
        <v>165</v>
      </c>
      <c r="BH12" s="16" t="s">
        <v>165</v>
      </c>
      <c r="BI12" s="16">
        <v>8.0</v>
      </c>
      <c r="BJ12" s="16">
        <v>8.0</v>
      </c>
      <c r="BK12" s="16">
        <v>8.0</v>
      </c>
      <c r="BL12" s="16">
        <v>8.0</v>
      </c>
      <c r="BM12" s="16" t="s">
        <v>165</v>
      </c>
      <c r="BN12" s="16" t="s">
        <v>165</v>
      </c>
      <c r="BO12" s="16">
        <v>8.0</v>
      </c>
      <c r="BP12" s="16">
        <v>8.0</v>
      </c>
      <c r="BQ12" s="16">
        <v>8.0</v>
      </c>
      <c r="BR12" s="105">
        <f t="shared" si="11"/>
        <v>168</v>
      </c>
      <c r="BS12" s="48"/>
      <c r="BT12" s="64">
        <v>8.0</v>
      </c>
      <c r="BU12" s="64">
        <v>8.0</v>
      </c>
      <c r="BV12" s="114" t="s">
        <v>165</v>
      </c>
      <c r="BW12" s="114" t="s">
        <v>165</v>
      </c>
      <c r="BX12" s="64">
        <v>8.0</v>
      </c>
      <c r="BY12" s="64">
        <v>8.0</v>
      </c>
      <c r="BZ12" s="64">
        <v>8.0</v>
      </c>
      <c r="CA12" s="64">
        <v>8.0</v>
      </c>
      <c r="CB12" s="64">
        <v>8.0</v>
      </c>
      <c r="CC12" s="114" t="s">
        <v>165</v>
      </c>
      <c r="CD12" s="114" t="s">
        <v>165</v>
      </c>
      <c r="CE12" s="64">
        <v>8.0</v>
      </c>
      <c r="CF12" s="64">
        <v>8.0</v>
      </c>
      <c r="CG12" s="64">
        <v>8.0</v>
      </c>
      <c r="CH12" s="64">
        <v>8.0</v>
      </c>
      <c r="CI12" s="64">
        <v>8.0</v>
      </c>
      <c r="CJ12" s="114" t="s">
        <v>165</v>
      </c>
      <c r="CK12" s="114" t="s">
        <v>165</v>
      </c>
      <c r="CL12" s="64">
        <v>8.0</v>
      </c>
      <c r="CM12" s="64">
        <v>8.0</v>
      </c>
      <c r="CN12" s="64">
        <v>8.0</v>
      </c>
      <c r="CO12" s="64">
        <v>8.0</v>
      </c>
      <c r="CP12" s="64">
        <v>8.0</v>
      </c>
      <c r="CQ12" s="114" t="s">
        <v>165</v>
      </c>
      <c r="CR12" s="114" t="s">
        <v>165</v>
      </c>
      <c r="CS12" s="64">
        <v>8.0</v>
      </c>
      <c r="CT12" s="64">
        <v>8.0</v>
      </c>
      <c r="CU12" s="64">
        <v>8.0</v>
      </c>
      <c r="CV12" s="64">
        <v>8.0</v>
      </c>
      <c r="CW12" s="64">
        <v>8.0</v>
      </c>
      <c r="CX12" s="114" t="s">
        <v>165</v>
      </c>
      <c r="CY12" s="105">
        <f t="shared" si="7"/>
        <v>176</v>
      </c>
      <c r="CZ12" s="48"/>
      <c r="DA12" s="113" t="s">
        <v>165</v>
      </c>
      <c r="DB12" s="113">
        <v>8.0</v>
      </c>
      <c r="DC12" s="53">
        <v>6.5</v>
      </c>
      <c r="DD12" s="53">
        <v>6.5</v>
      </c>
      <c r="DE12" s="58" t="s">
        <v>245</v>
      </c>
      <c r="DF12" s="58" t="s">
        <v>245</v>
      </c>
      <c r="DG12" s="113" t="s">
        <v>165</v>
      </c>
      <c r="DH12" s="113" t="s">
        <v>165</v>
      </c>
      <c r="DI12" s="113">
        <v>8.0</v>
      </c>
      <c r="DJ12" s="113">
        <v>8.0</v>
      </c>
      <c r="DK12" s="113">
        <v>8.0</v>
      </c>
      <c r="DL12" s="113">
        <v>8.0</v>
      </c>
      <c r="DM12" s="113">
        <v>8.0</v>
      </c>
      <c r="DN12" s="113" t="s">
        <v>165</v>
      </c>
      <c r="DO12" s="113" t="s">
        <v>165</v>
      </c>
      <c r="DP12" s="113">
        <v>8.0</v>
      </c>
      <c r="DQ12" s="113">
        <v>8.0</v>
      </c>
      <c r="DR12" s="113">
        <v>8.0</v>
      </c>
      <c r="DS12" s="113">
        <v>8.0</v>
      </c>
      <c r="DT12" s="113">
        <v>8.0</v>
      </c>
      <c r="DU12" s="113" t="s">
        <v>165</v>
      </c>
      <c r="DV12" s="113" t="s">
        <v>165</v>
      </c>
      <c r="DW12" s="113">
        <v>8.0</v>
      </c>
      <c r="DX12" s="113">
        <v>8.0</v>
      </c>
      <c r="DY12" s="113">
        <v>8.0</v>
      </c>
      <c r="DZ12" s="113">
        <v>8.0</v>
      </c>
      <c r="EA12" s="113">
        <v>8.0</v>
      </c>
      <c r="EB12" s="113" t="s">
        <v>165</v>
      </c>
      <c r="EC12" s="113" t="s">
        <v>165</v>
      </c>
      <c r="ED12" s="113">
        <v>8.0</v>
      </c>
      <c r="EE12" s="113">
        <v>8.0</v>
      </c>
      <c r="EF12" s="113">
        <f t="shared" si="8"/>
        <v>157</v>
      </c>
      <c r="EG12" s="48"/>
      <c r="EH12" s="15"/>
      <c r="EI12" s="15"/>
      <c r="EJ12" s="15"/>
      <c r="EK12" s="15"/>
      <c r="EL12" s="15"/>
      <c r="EM12" s="15"/>
      <c r="EN12" s="15"/>
      <c r="EO12" s="15"/>
      <c r="EP12" s="15"/>
      <c r="EQ12" s="15"/>
      <c r="ER12" s="15"/>
      <c r="ES12" s="15"/>
      <c r="ET12" s="15"/>
      <c r="EU12" s="15"/>
      <c r="EV12" s="15"/>
      <c r="EW12" s="15"/>
      <c r="EX12" s="15"/>
      <c r="EY12" s="15"/>
      <c r="EZ12" s="15"/>
      <c r="FA12" s="15"/>
      <c r="FB12" s="15"/>
      <c r="FC12" s="15"/>
      <c r="FD12" s="15"/>
      <c r="FE12" s="15"/>
      <c r="FF12" s="15"/>
      <c r="FG12" s="15"/>
      <c r="FH12" s="15"/>
      <c r="FI12" s="15"/>
      <c r="FJ12" s="15"/>
      <c r="FK12" s="15"/>
      <c r="FL12" s="105">
        <f t="shared" si="12"/>
        <v>0</v>
      </c>
      <c r="FM12" s="48"/>
      <c r="FN12" s="15"/>
      <c r="FO12" s="15"/>
      <c r="FP12" s="15"/>
      <c r="FQ12" s="15"/>
      <c r="FR12" s="15"/>
      <c r="FS12" s="15"/>
      <c r="FT12" s="15"/>
      <c r="FU12" s="15"/>
      <c r="FV12" s="15"/>
      <c r="FW12" s="15"/>
      <c r="FX12" s="15"/>
      <c r="FY12" s="15"/>
      <c r="FZ12" s="15"/>
      <c r="GA12" s="15"/>
      <c r="GB12" s="15"/>
      <c r="GC12" s="15"/>
      <c r="GD12" s="15"/>
      <c r="GE12" s="15"/>
      <c r="GF12" s="15"/>
      <c r="GG12" s="15"/>
      <c r="GH12" s="15"/>
      <c r="GI12" s="15"/>
      <c r="GJ12" s="15"/>
      <c r="GK12" s="15"/>
      <c r="GL12" s="15"/>
      <c r="GM12" s="15"/>
      <c r="GN12" s="15"/>
      <c r="GO12" s="15"/>
      <c r="GP12" s="15"/>
      <c r="GQ12" s="15"/>
      <c r="GR12" s="15"/>
      <c r="GS12" s="105">
        <f t="shared" si="13"/>
        <v>0</v>
      </c>
      <c r="GT12" s="48"/>
      <c r="GU12" s="15"/>
      <c r="GV12" s="15"/>
      <c r="GW12" s="15"/>
      <c r="GX12" s="15"/>
      <c r="GY12" s="15"/>
      <c r="GZ12" s="15"/>
      <c r="HA12" s="15"/>
      <c r="HB12" s="15"/>
      <c r="HC12" s="15"/>
      <c r="HD12" s="15"/>
      <c r="HE12" s="15"/>
    </row>
    <row r="13" ht="16.5" customHeight="1">
      <c r="A13" s="102" t="s">
        <v>141</v>
      </c>
      <c r="B13" s="106" t="str">
        <f>iferror(vlookup(A13,'SoS - Agents Info'!A:H,5,false),"")</f>
        <v>EN</v>
      </c>
      <c r="C13" s="107" t="str">
        <f>iferror(vlookup(A13,'SoS - Agents Info'!A:AQ,43,false),"")</f>
        <v>RA+VM</v>
      </c>
      <c r="D13" s="108" t="str">
        <f>iferror(vlookup(A13,'SoS - Agents Info'!A:H,6,false),"")</f>
        <v>WD</v>
      </c>
      <c r="E13" s="108" t="str">
        <f>iferror(vlookup(A13,'SoS - Agents Info'!A:H,7,false),"")</f>
        <v>16:00-01:00</v>
      </c>
      <c r="F13" s="109">
        <f>IFERROR(__xludf.DUMMYFUNCTION("sum(COUNTIFS(Filter(FILTER('Shiftplan SoS'!G$3:GU166,'Shiftplan SoS'!$G$1:$GU$1&lt;=today()),'Shiftplan SoS'!$A$3:$A166=A13),""&gt;0"",(Filter(FILTER('Shiftplan SoS'!G$3:GU166,'Shiftplan SoS'!$G$1:$GU$1&lt;=today()),'Shiftplan SoS'!$A$3:$A166=A13)),""&lt;12""))"),85.0)</f>
        <v>85</v>
      </c>
      <c r="G13" s="16" t="s">
        <v>165</v>
      </c>
      <c r="H13" s="16" t="s">
        <v>165</v>
      </c>
      <c r="I13" s="16">
        <v>8.0</v>
      </c>
      <c r="J13" s="16">
        <v>8.0</v>
      </c>
      <c r="K13" s="16">
        <v>8.0</v>
      </c>
      <c r="L13" s="16">
        <v>8.0</v>
      </c>
      <c r="M13" s="16">
        <v>8.0</v>
      </c>
      <c r="N13" s="16" t="s">
        <v>165</v>
      </c>
      <c r="O13" s="16" t="s">
        <v>165</v>
      </c>
      <c r="P13" s="16">
        <v>8.0</v>
      </c>
      <c r="Q13" s="16">
        <v>8.0</v>
      </c>
      <c r="R13" s="16">
        <v>8.0</v>
      </c>
      <c r="S13" s="16">
        <v>8.0</v>
      </c>
      <c r="T13" s="16">
        <v>8.0</v>
      </c>
      <c r="U13" s="16" t="s">
        <v>165</v>
      </c>
      <c r="V13" s="16" t="s">
        <v>165</v>
      </c>
      <c r="W13" s="16">
        <v>8.0</v>
      </c>
      <c r="X13" s="16">
        <v>8.0</v>
      </c>
      <c r="Y13" s="16">
        <v>8.0</v>
      </c>
      <c r="Z13" s="16">
        <v>8.0</v>
      </c>
      <c r="AA13" s="16">
        <v>8.0</v>
      </c>
      <c r="AB13" s="16" t="s">
        <v>165</v>
      </c>
      <c r="AC13" s="16" t="s">
        <v>165</v>
      </c>
      <c r="AD13" s="16">
        <v>8.0</v>
      </c>
      <c r="AE13" s="16">
        <v>8.0</v>
      </c>
      <c r="AF13" s="16">
        <v>8.0</v>
      </c>
      <c r="AG13" s="16">
        <v>8.0</v>
      </c>
      <c r="AH13" s="16">
        <v>8.0</v>
      </c>
      <c r="AI13" s="16" t="s">
        <v>165</v>
      </c>
      <c r="AJ13" s="16" t="s">
        <v>165</v>
      </c>
      <c r="AK13" s="125">
        <v>8.0</v>
      </c>
      <c r="AL13" s="105">
        <f t="shared" si="5"/>
        <v>168</v>
      </c>
      <c r="AM13" s="48"/>
      <c r="AN13" s="110">
        <v>8.0</v>
      </c>
      <c r="AO13" s="16">
        <v>8.0</v>
      </c>
      <c r="AP13" s="16" t="s">
        <v>171</v>
      </c>
      <c r="AQ13" s="16">
        <v>8.0</v>
      </c>
      <c r="AR13" s="16" t="s">
        <v>165</v>
      </c>
      <c r="AS13" s="16" t="s">
        <v>165</v>
      </c>
      <c r="AT13" s="16">
        <v>8.0</v>
      </c>
      <c r="AU13" s="16">
        <v>8.0</v>
      </c>
      <c r="AV13" s="16">
        <v>8.0</v>
      </c>
      <c r="AW13" s="16">
        <v>8.0</v>
      </c>
      <c r="AX13" s="16">
        <v>8.0</v>
      </c>
      <c r="AY13" s="16" t="s">
        <v>165</v>
      </c>
      <c r="AZ13" s="16" t="s">
        <v>165</v>
      </c>
      <c r="BA13" s="16">
        <v>8.0</v>
      </c>
      <c r="BB13" s="16">
        <v>8.0</v>
      </c>
      <c r="BC13" s="16">
        <v>8.0</v>
      </c>
      <c r="BD13" s="16">
        <v>8.0</v>
      </c>
      <c r="BE13" s="16">
        <v>8.0</v>
      </c>
      <c r="BF13" s="16" t="s">
        <v>165</v>
      </c>
      <c r="BG13" s="16" t="s">
        <v>165</v>
      </c>
      <c r="BH13" s="16">
        <v>8.0</v>
      </c>
      <c r="BI13" s="16">
        <v>8.0</v>
      </c>
      <c r="BJ13" s="16">
        <v>8.0</v>
      </c>
      <c r="BK13" s="16">
        <v>8.0</v>
      </c>
      <c r="BL13" s="16">
        <v>8.0</v>
      </c>
      <c r="BM13" s="16" t="s">
        <v>165</v>
      </c>
      <c r="BN13" s="16" t="s">
        <v>165</v>
      </c>
      <c r="BO13" s="110">
        <v>8.0</v>
      </c>
      <c r="BP13" s="110">
        <v>8.0</v>
      </c>
      <c r="BQ13" s="110">
        <v>8.0</v>
      </c>
      <c r="BR13" s="105">
        <f t="shared" si="11"/>
        <v>168</v>
      </c>
      <c r="BS13" s="48"/>
      <c r="BT13" s="121">
        <v>8.0</v>
      </c>
      <c r="BU13" s="121">
        <v>8.0</v>
      </c>
      <c r="BV13" s="114" t="s">
        <v>165</v>
      </c>
      <c r="BW13" s="114" t="s">
        <v>165</v>
      </c>
      <c r="BX13" s="121">
        <v>8.0</v>
      </c>
      <c r="BY13" s="121">
        <v>8.0</v>
      </c>
      <c r="BZ13" s="121">
        <v>8.0</v>
      </c>
      <c r="CA13" s="121">
        <v>8.0</v>
      </c>
      <c r="CB13" s="64" t="s">
        <v>171</v>
      </c>
      <c r="CC13" s="114" t="s">
        <v>165</v>
      </c>
      <c r="CD13" s="114" t="s">
        <v>165</v>
      </c>
      <c r="CE13" s="121">
        <v>8.0</v>
      </c>
      <c r="CF13" s="121">
        <v>8.0</v>
      </c>
      <c r="CG13" s="121">
        <v>8.0</v>
      </c>
      <c r="CH13" s="121">
        <v>8.0</v>
      </c>
      <c r="CI13" s="121">
        <v>8.0</v>
      </c>
      <c r="CJ13" s="114" t="s">
        <v>165</v>
      </c>
      <c r="CK13" s="114" t="s">
        <v>165</v>
      </c>
      <c r="CL13" s="121">
        <v>8.0</v>
      </c>
      <c r="CM13" s="121">
        <v>8.0</v>
      </c>
      <c r="CN13" s="121">
        <v>8.0</v>
      </c>
      <c r="CO13" s="121">
        <v>8.0</v>
      </c>
      <c r="CP13" s="121">
        <v>8.0</v>
      </c>
      <c r="CQ13" s="114" t="s">
        <v>165</v>
      </c>
      <c r="CR13" s="114" t="s">
        <v>165</v>
      </c>
      <c r="CS13" s="121">
        <v>8.0</v>
      </c>
      <c r="CT13" s="121">
        <v>8.0</v>
      </c>
      <c r="CU13" s="121">
        <v>8.0</v>
      </c>
      <c r="CV13" s="121">
        <v>8.0</v>
      </c>
      <c r="CW13" s="121">
        <v>8.0</v>
      </c>
      <c r="CX13" s="114" t="s">
        <v>165</v>
      </c>
      <c r="CY13" s="105">
        <f t="shared" si="7"/>
        <v>168</v>
      </c>
      <c r="CZ13" s="48"/>
      <c r="DA13" s="113" t="s">
        <v>165</v>
      </c>
      <c r="DB13" s="123">
        <v>8.0</v>
      </c>
      <c r="DC13" s="123">
        <v>8.0</v>
      </c>
      <c r="DD13" s="123">
        <v>8.0</v>
      </c>
      <c r="DE13" s="123">
        <v>8.0</v>
      </c>
      <c r="DF13" s="123">
        <v>8.0</v>
      </c>
      <c r="DG13" s="113" t="s">
        <v>165</v>
      </c>
      <c r="DH13" s="113" t="s">
        <v>165</v>
      </c>
      <c r="DI13" s="123">
        <v>8.0</v>
      </c>
      <c r="DJ13" s="123">
        <v>8.0</v>
      </c>
      <c r="DK13" s="123">
        <v>8.0</v>
      </c>
      <c r="DL13" s="123">
        <v>8.0</v>
      </c>
      <c r="DM13" s="123">
        <v>8.0</v>
      </c>
      <c r="DN13" s="113" t="s">
        <v>165</v>
      </c>
      <c r="DO13" s="113" t="s">
        <v>165</v>
      </c>
      <c r="DP13" s="123">
        <v>8.0</v>
      </c>
      <c r="DQ13" s="123">
        <v>8.0</v>
      </c>
      <c r="DR13" s="123">
        <v>8.0</v>
      </c>
      <c r="DS13" s="123">
        <v>8.0</v>
      </c>
      <c r="DT13" s="123">
        <v>8.0</v>
      </c>
      <c r="DU13" s="113" t="s">
        <v>165</v>
      </c>
      <c r="DV13" s="113" t="s">
        <v>165</v>
      </c>
      <c r="DW13" s="123">
        <v>8.0</v>
      </c>
      <c r="DX13" s="123">
        <v>8.0</v>
      </c>
      <c r="DY13" s="113">
        <v>8.0</v>
      </c>
      <c r="DZ13" s="113">
        <v>8.0</v>
      </c>
      <c r="EA13" s="123">
        <v>8.0</v>
      </c>
      <c r="EB13" s="113" t="s">
        <v>165</v>
      </c>
      <c r="EC13" s="113" t="s">
        <v>165</v>
      </c>
      <c r="ED13" s="113">
        <v>8.0</v>
      </c>
      <c r="EE13" s="113">
        <v>8.0</v>
      </c>
      <c r="EF13" s="113">
        <f t="shared" si="8"/>
        <v>176</v>
      </c>
      <c r="EG13" s="48"/>
      <c r="EH13" s="15"/>
      <c r="EI13" s="15"/>
      <c r="EJ13" s="15"/>
      <c r="EK13" s="15"/>
      <c r="EL13" s="15"/>
      <c r="EM13" s="15"/>
      <c r="EN13" s="15"/>
      <c r="EO13" s="15"/>
      <c r="EP13" s="15"/>
      <c r="EQ13" s="15"/>
      <c r="ER13" s="15"/>
      <c r="ES13" s="15"/>
      <c r="ET13" s="15"/>
      <c r="EU13" s="15"/>
      <c r="EV13" s="15"/>
      <c r="EW13" s="15"/>
      <c r="EX13" s="15"/>
      <c r="EY13" s="15"/>
      <c r="EZ13" s="15"/>
      <c r="FA13" s="15"/>
      <c r="FB13" s="15"/>
      <c r="FC13" s="15"/>
      <c r="FD13" s="15"/>
      <c r="FE13" s="15"/>
      <c r="FF13" s="15"/>
      <c r="FG13" s="15"/>
      <c r="FH13" s="15"/>
      <c r="FI13" s="15"/>
      <c r="FJ13" s="15"/>
      <c r="FK13" s="15"/>
      <c r="FL13" s="105">
        <f t="shared" si="12"/>
        <v>0</v>
      </c>
      <c r="FM13" s="48"/>
      <c r="FN13" s="15"/>
      <c r="FO13" s="15"/>
      <c r="FP13" s="15"/>
      <c r="FQ13" s="15"/>
      <c r="FR13" s="15"/>
      <c r="FS13" s="15"/>
      <c r="FT13" s="15"/>
      <c r="FU13" s="15"/>
      <c r="FV13" s="15"/>
      <c r="FW13" s="15"/>
      <c r="FX13" s="15"/>
      <c r="FY13" s="15"/>
      <c r="FZ13" s="15"/>
      <c r="GA13" s="15"/>
      <c r="GB13" s="15"/>
      <c r="GC13" s="15"/>
      <c r="GD13" s="15"/>
      <c r="GE13" s="15"/>
      <c r="GF13" s="15"/>
      <c r="GG13" s="15"/>
      <c r="GH13" s="15"/>
      <c r="GI13" s="15"/>
      <c r="GJ13" s="15"/>
      <c r="GK13" s="15"/>
      <c r="GL13" s="15"/>
      <c r="GM13" s="15"/>
      <c r="GN13" s="15"/>
      <c r="GO13" s="15"/>
      <c r="GP13" s="15"/>
      <c r="GQ13" s="15"/>
      <c r="GR13" s="15"/>
      <c r="GS13" s="105">
        <f t="shared" si="13"/>
        <v>0</v>
      </c>
      <c r="GT13" s="48"/>
      <c r="GU13" s="15"/>
      <c r="GV13" s="15"/>
      <c r="GW13" s="15"/>
      <c r="GX13" s="15"/>
      <c r="GY13" s="15"/>
      <c r="GZ13" s="15"/>
      <c r="HA13" s="15"/>
      <c r="HB13" s="15"/>
      <c r="HC13" s="15"/>
      <c r="HD13" s="15"/>
      <c r="HE13" s="15"/>
    </row>
    <row r="14" ht="16.5" customHeight="1">
      <c r="A14" s="117" t="s">
        <v>112</v>
      </c>
      <c r="B14" s="108" t="s">
        <v>250</v>
      </c>
      <c r="C14" s="107" t="str">
        <f>iferror(vlookup(A14,'SoS - Agents Info'!A:AQ,43,false),"")</f>
        <v>GM</v>
      </c>
      <c r="D14" s="108" t="str">
        <f>iferror(vlookup(A14,'SoS - Agents Info'!A:H,6,false),"")</f>
        <v>WD</v>
      </c>
      <c r="E14" s="108" t="str">
        <f>iferror(vlookup(A14,'SoS - Agents Info'!A:H,7,false),"")</f>
        <v>16:00-01:00</v>
      </c>
      <c r="F14" s="109">
        <f>IFERROR(__xludf.DUMMYFUNCTION("sum(COUNTIFS(Filter(FILTER('Shiftplan SoS'!G$3:GU166,'Shiftplan SoS'!$G$1:$GU$1&lt;=today()),'Shiftplan SoS'!$A$3:$A166=A14),""&gt;0"",(Filter(FILTER('Shiftplan SoS'!G$3:GU166,'Shiftplan SoS'!$G$1:$GU$1&lt;=today()),'Shiftplan SoS'!$A$3:$A166=A14)),""&lt;12""))"),85.0)</f>
        <v>85</v>
      </c>
      <c r="G14" s="16" t="s">
        <v>165</v>
      </c>
      <c r="H14" s="16" t="s">
        <v>165</v>
      </c>
      <c r="I14" s="16">
        <v>8.0</v>
      </c>
      <c r="J14" s="16">
        <v>8.0</v>
      </c>
      <c r="K14" s="16">
        <v>8.0</v>
      </c>
      <c r="L14" s="16">
        <v>8.0</v>
      </c>
      <c r="M14" s="16">
        <v>8.0</v>
      </c>
      <c r="N14" s="16" t="s">
        <v>165</v>
      </c>
      <c r="O14" s="16" t="s">
        <v>165</v>
      </c>
      <c r="P14" s="16">
        <v>8.0</v>
      </c>
      <c r="Q14" s="16">
        <v>8.0</v>
      </c>
      <c r="R14" s="16">
        <v>8.0</v>
      </c>
      <c r="S14" s="16">
        <v>8.0</v>
      </c>
      <c r="T14" s="16">
        <v>8.0</v>
      </c>
      <c r="U14" s="16" t="s">
        <v>165</v>
      </c>
      <c r="V14" s="16" t="s">
        <v>165</v>
      </c>
      <c r="W14" s="16">
        <v>8.0</v>
      </c>
      <c r="X14" s="16">
        <v>8.0</v>
      </c>
      <c r="Y14" s="16">
        <v>8.0</v>
      </c>
      <c r="Z14" s="16">
        <v>8.0</v>
      </c>
      <c r="AA14" s="16">
        <v>8.0</v>
      </c>
      <c r="AB14" s="16" t="s">
        <v>165</v>
      </c>
      <c r="AC14" s="16" t="s">
        <v>165</v>
      </c>
      <c r="AD14" s="16">
        <v>8.0</v>
      </c>
      <c r="AE14" s="16">
        <v>8.0</v>
      </c>
      <c r="AF14" s="16">
        <v>8.0</v>
      </c>
      <c r="AG14" s="16">
        <v>8.0</v>
      </c>
      <c r="AH14" s="16">
        <v>8.0</v>
      </c>
      <c r="AI14" s="16" t="s">
        <v>165</v>
      </c>
      <c r="AJ14" s="16" t="s">
        <v>165</v>
      </c>
      <c r="AK14" s="70">
        <v>8.0</v>
      </c>
      <c r="AL14" s="105">
        <f t="shared" si="5"/>
        <v>168</v>
      </c>
      <c r="AM14" s="48"/>
      <c r="AN14" s="16">
        <v>8.0</v>
      </c>
      <c r="AO14" s="16">
        <v>8.0</v>
      </c>
      <c r="AP14" s="16" t="s">
        <v>171</v>
      </c>
      <c r="AQ14" s="16">
        <v>8.0</v>
      </c>
      <c r="AR14" s="16" t="s">
        <v>165</v>
      </c>
      <c r="AS14" s="16" t="s">
        <v>165</v>
      </c>
      <c r="AT14" s="16">
        <v>8.0</v>
      </c>
      <c r="AU14" s="16">
        <v>8.0</v>
      </c>
      <c r="AV14" s="16">
        <v>8.0</v>
      </c>
      <c r="AW14" s="16">
        <v>8.0</v>
      </c>
      <c r="AX14" s="16">
        <v>8.0</v>
      </c>
      <c r="AY14" s="16" t="s">
        <v>165</v>
      </c>
      <c r="AZ14" s="16" t="s">
        <v>165</v>
      </c>
      <c r="BA14" s="16">
        <v>8.0</v>
      </c>
      <c r="BB14" s="16">
        <v>8.0</v>
      </c>
      <c r="BC14" s="16">
        <v>8.0</v>
      </c>
      <c r="BD14" s="16">
        <v>8.0</v>
      </c>
      <c r="BE14" s="16">
        <v>8.0</v>
      </c>
      <c r="BF14" s="16" t="s">
        <v>165</v>
      </c>
      <c r="BG14" s="16" t="s">
        <v>165</v>
      </c>
      <c r="BH14" s="16">
        <v>8.0</v>
      </c>
      <c r="BI14" s="16">
        <v>8.0</v>
      </c>
      <c r="BJ14" s="16">
        <v>8.0</v>
      </c>
      <c r="BK14" s="16">
        <v>8.0</v>
      </c>
      <c r="BL14" s="16">
        <v>8.0</v>
      </c>
      <c r="BM14" s="16" t="s">
        <v>165</v>
      </c>
      <c r="BN14" s="16" t="s">
        <v>165</v>
      </c>
      <c r="BO14" s="16">
        <v>8.0</v>
      </c>
      <c r="BP14" s="16">
        <v>8.0</v>
      </c>
      <c r="BQ14" s="16">
        <v>8.0</v>
      </c>
      <c r="BR14" s="105">
        <f t="shared" si="11"/>
        <v>168</v>
      </c>
      <c r="BS14" s="48"/>
      <c r="BT14" s="64">
        <v>8.0</v>
      </c>
      <c r="BU14" s="64">
        <v>8.0</v>
      </c>
      <c r="BV14" s="114" t="s">
        <v>165</v>
      </c>
      <c r="BW14" s="114" t="s">
        <v>165</v>
      </c>
      <c r="BX14" s="64">
        <v>8.0</v>
      </c>
      <c r="BY14" s="64">
        <v>8.0</v>
      </c>
      <c r="BZ14" s="64">
        <v>8.0</v>
      </c>
      <c r="CA14" s="64">
        <v>8.0</v>
      </c>
      <c r="CB14" s="64" t="s">
        <v>171</v>
      </c>
      <c r="CC14" s="114" t="s">
        <v>165</v>
      </c>
      <c r="CD14" s="114" t="s">
        <v>165</v>
      </c>
      <c r="CE14" s="64">
        <v>8.0</v>
      </c>
      <c r="CF14" s="64">
        <v>8.0</v>
      </c>
      <c r="CG14" s="64">
        <v>8.0</v>
      </c>
      <c r="CH14" s="64">
        <v>8.0</v>
      </c>
      <c r="CI14" s="64">
        <v>8.0</v>
      </c>
      <c r="CJ14" s="114" t="s">
        <v>165</v>
      </c>
      <c r="CK14" s="114" t="s">
        <v>165</v>
      </c>
      <c r="CL14" s="64">
        <v>8.0</v>
      </c>
      <c r="CM14" s="64">
        <v>8.0</v>
      </c>
      <c r="CN14" s="64">
        <v>8.0</v>
      </c>
      <c r="CO14" s="64">
        <v>8.0</v>
      </c>
      <c r="CP14" s="64">
        <v>8.0</v>
      </c>
      <c r="CQ14" s="114" t="s">
        <v>165</v>
      </c>
      <c r="CR14" s="114" t="s">
        <v>165</v>
      </c>
      <c r="CS14" s="64">
        <v>8.0</v>
      </c>
      <c r="CT14" s="64">
        <v>8.0</v>
      </c>
      <c r="CU14" s="64">
        <v>8.0</v>
      </c>
      <c r="CV14" s="64">
        <v>8.0</v>
      </c>
      <c r="CW14" s="64">
        <v>8.0</v>
      </c>
      <c r="CX14" s="114" t="s">
        <v>165</v>
      </c>
      <c r="CY14" s="105">
        <f t="shared" si="7"/>
        <v>168</v>
      </c>
      <c r="CZ14" s="48"/>
      <c r="DA14" s="113" t="s">
        <v>165</v>
      </c>
      <c r="DB14" s="113">
        <v>8.0</v>
      </c>
      <c r="DC14" s="113">
        <v>8.0</v>
      </c>
      <c r="DD14" s="113">
        <v>8.0</v>
      </c>
      <c r="DE14" s="113">
        <v>8.0</v>
      </c>
      <c r="DF14" s="113">
        <v>8.0</v>
      </c>
      <c r="DG14" s="113" t="s">
        <v>165</v>
      </c>
      <c r="DH14" s="113" t="s">
        <v>165</v>
      </c>
      <c r="DI14" s="58">
        <v>8.0</v>
      </c>
      <c r="DJ14" s="113">
        <v>8.0</v>
      </c>
      <c r="DK14" s="113">
        <v>8.0</v>
      </c>
      <c r="DL14" s="113">
        <v>8.0</v>
      </c>
      <c r="DM14" s="113">
        <v>8.0</v>
      </c>
      <c r="DN14" s="113" t="s">
        <v>165</v>
      </c>
      <c r="DO14" s="113" t="s">
        <v>165</v>
      </c>
      <c r="DP14" s="123">
        <v>8.0</v>
      </c>
      <c r="DQ14" s="123">
        <v>8.0</v>
      </c>
      <c r="DR14" s="123">
        <v>8.0</v>
      </c>
      <c r="DS14" s="123">
        <v>8.0</v>
      </c>
      <c r="DT14" s="123">
        <v>8.0</v>
      </c>
      <c r="DU14" s="113" t="s">
        <v>165</v>
      </c>
      <c r="DV14" s="113" t="s">
        <v>165</v>
      </c>
      <c r="DW14" s="123">
        <v>8.0</v>
      </c>
      <c r="DX14" s="123">
        <v>8.0</v>
      </c>
      <c r="DY14" s="123">
        <v>8.0</v>
      </c>
      <c r="DZ14" s="123">
        <v>8.0</v>
      </c>
      <c r="EA14" s="123">
        <v>8.0</v>
      </c>
      <c r="EB14" s="113" t="s">
        <v>165</v>
      </c>
      <c r="EC14" s="113" t="s">
        <v>165</v>
      </c>
      <c r="ED14" s="123">
        <v>8.0</v>
      </c>
      <c r="EE14" s="123">
        <v>8.0</v>
      </c>
      <c r="EF14" s="113">
        <f t="shared" si="8"/>
        <v>176</v>
      </c>
      <c r="EG14" s="48"/>
      <c r="EH14" s="15"/>
      <c r="EI14" s="15"/>
      <c r="EJ14" s="15"/>
      <c r="EK14" s="15"/>
      <c r="EL14" s="15"/>
      <c r="EM14" s="15"/>
      <c r="EN14" s="15"/>
      <c r="EO14" s="15"/>
      <c r="EP14" s="15"/>
      <c r="EQ14" s="15"/>
      <c r="ER14" s="15"/>
      <c r="ES14" s="15"/>
      <c r="ET14" s="15"/>
      <c r="EU14" s="15"/>
      <c r="EV14" s="15"/>
      <c r="EW14" s="15"/>
      <c r="EX14" s="15"/>
      <c r="EY14" s="15"/>
      <c r="EZ14" s="15"/>
      <c r="FA14" s="15"/>
      <c r="FB14" s="15"/>
      <c r="FC14" s="15"/>
      <c r="FD14" s="15"/>
      <c r="FE14" s="15"/>
      <c r="FF14" s="15"/>
      <c r="FG14" s="15"/>
      <c r="FH14" s="15"/>
      <c r="FI14" s="15"/>
      <c r="FJ14" s="15"/>
      <c r="FK14" s="15"/>
      <c r="FL14" s="105">
        <f t="shared" si="12"/>
        <v>0</v>
      </c>
      <c r="FM14" s="48"/>
      <c r="FN14" s="15"/>
      <c r="FO14" s="15"/>
      <c r="FP14" s="15"/>
      <c r="FQ14" s="15"/>
      <c r="FR14" s="15"/>
      <c r="FS14" s="15"/>
      <c r="FT14" s="15"/>
      <c r="FU14" s="15"/>
      <c r="FV14" s="15"/>
      <c r="FW14" s="15"/>
      <c r="FX14" s="15"/>
      <c r="FY14" s="15"/>
      <c r="FZ14" s="15"/>
      <c r="GA14" s="15"/>
      <c r="GB14" s="15"/>
      <c r="GC14" s="15"/>
      <c r="GD14" s="15"/>
      <c r="GE14" s="15"/>
      <c r="GF14" s="15"/>
      <c r="GG14" s="15"/>
      <c r="GH14" s="15"/>
      <c r="GI14" s="15"/>
      <c r="GJ14" s="15"/>
      <c r="GK14" s="15"/>
      <c r="GL14" s="15"/>
      <c r="GM14" s="15"/>
      <c r="GN14" s="15"/>
      <c r="GO14" s="15"/>
      <c r="GP14" s="15"/>
      <c r="GQ14" s="15"/>
      <c r="GR14" s="15"/>
      <c r="GS14" s="105">
        <f t="shared" si="13"/>
        <v>0</v>
      </c>
      <c r="GT14" s="48"/>
      <c r="GU14" s="15"/>
      <c r="GV14" s="15"/>
      <c r="GW14" s="15"/>
      <c r="GX14" s="15"/>
      <c r="GY14" s="15"/>
      <c r="GZ14" s="15"/>
      <c r="HA14" s="15"/>
      <c r="HB14" s="15"/>
      <c r="HC14" s="15"/>
      <c r="HD14" s="15"/>
      <c r="HE14" s="15"/>
    </row>
    <row r="15" ht="16.5" customHeight="1">
      <c r="A15" s="117" t="s">
        <v>115</v>
      </c>
      <c r="B15" s="108" t="s">
        <v>250</v>
      </c>
      <c r="C15" s="107" t="str">
        <f>iferror(vlookup(A15,'SoS - Agents Info'!A:AQ,43,false),"")</f>
        <v/>
      </c>
      <c r="D15" s="108" t="str">
        <f>iferror(vlookup(A15,'SoS - Agents Info'!A:H,6,false),"")</f>
        <v>WD</v>
      </c>
      <c r="E15" s="108" t="str">
        <f>iferror(vlookup(A15,'SoS - Agents Info'!A:H,7,false),"")</f>
        <v>16:00-01:00</v>
      </c>
      <c r="F15" s="109">
        <f>IFERROR(__xludf.DUMMYFUNCTION("sum(COUNTIFS(Filter(FILTER('Shiftplan SoS'!G$3:GU166,'Shiftplan SoS'!$G$1:$GU$1&lt;=today()),'Shiftplan SoS'!$A$3:$A166=A15),""&gt;0"",(Filter(FILTER('Shiftplan SoS'!G$3:GU166,'Shiftplan SoS'!$G$1:$GU$1&lt;=today()),'Shiftplan SoS'!$A$3:$A166=A15)),""&lt;12""))"),82.0)</f>
        <v>82</v>
      </c>
      <c r="G15" s="16" t="s">
        <v>165</v>
      </c>
      <c r="H15" s="16" t="s">
        <v>165</v>
      </c>
      <c r="I15" s="16">
        <v>8.0</v>
      </c>
      <c r="J15" s="16">
        <v>8.0</v>
      </c>
      <c r="K15" s="16">
        <v>8.0</v>
      </c>
      <c r="L15" s="16">
        <v>8.0</v>
      </c>
      <c r="M15" s="16">
        <v>8.0</v>
      </c>
      <c r="N15" s="16" t="s">
        <v>165</v>
      </c>
      <c r="O15" s="16" t="s">
        <v>165</v>
      </c>
      <c r="P15" s="16">
        <v>8.0</v>
      </c>
      <c r="Q15" s="16">
        <v>8.0</v>
      </c>
      <c r="R15" s="16">
        <v>8.0</v>
      </c>
      <c r="S15" s="16">
        <v>8.0</v>
      </c>
      <c r="T15" s="16">
        <v>8.0</v>
      </c>
      <c r="U15" s="16" t="s">
        <v>165</v>
      </c>
      <c r="V15" s="16" t="s">
        <v>165</v>
      </c>
      <c r="W15" s="16">
        <v>8.0</v>
      </c>
      <c r="X15" s="16">
        <v>8.0</v>
      </c>
      <c r="Y15" s="16">
        <v>8.0</v>
      </c>
      <c r="Z15" s="16">
        <v>8.0</v>
      </c>
      <c r="AA15" s="16">
        <v>8.0</v>
      </c>
      <c r="AB15" s="16" t="s">
        <v>165</v>
      </c>
      <c r="AC15" s="16" t="s">
        <v>165</v>
      </c>
      <c r="AD15" s="16">
        <v>8.0</v>
      </c>
      <c r="AE15" s="16">
        <v>8.0</v>
      </c>
      <c r="AF15" s="16">
        <v>8.0</v>
      </c>
      <c r="AG15" s="16">
        <v>8.0</v>
      </c>
      <c r="AH15" s="16">
        <v>8.0</v>
      </c>
      <c r="AI15" s="16" t="s">
        <v>165</v>
      </c>
      <c r="AJ15" s="16" t="s">
        <v>165</v>
      </c>
      <c r="AK15" s="70">
        <v>8.0</v>
      </c>
      <c r="AL15" s="105">
        <f t="shared" si="5"/>
        <v>168</v>
      </c>
      <c r="AM15" s="48"/>
      <c r="AN15" s="16">
        <v>8.0</v>
      </c>
      <c r="AO15" s="16">
        <v>8.0</v>
      </c>
      <c r="AP15" s="16" t="s">
        <v>171</v>
      </c>
      <c r="AQ15" s="16">
        <v>8.0</v>
      </c>
      <c r="AR15" s="16" t="s">
        <v>165</v>
      </c>
      <c r="AS15" s="16" t="s">
        <v>165</v>
      </c>
      <c r="AT15" s="16">
        <v>8.0</v>
      </c>
      <c r="AU15" s="16">
        <v>8.0</v>
      </c>
      <c r="AV15" s="16">
        <v>8.0</v>
      </c>
      <c r="AW15" s="16">
        <v>8.0</v>
      </c>
      <c r="AX15" s="16">
        <v>8.0</v>
      </c>
      <c r="AY15" s="16" t="s">
        <v>165</v>
      </c>
      <c r="AZ15" s="16" t="s">
        <v>165</v>
      </c>
      <c r="BA15" s="16">
        <v>8.0</v>
      </c>
      <c r="BB15" s="16">
        <v>8.0</v>
      </c>
      <c r="BC15" s="16">
        <v>8.0</v>
      </c>
      <c r="BD15" s="16">
        <v>8.0</v>
      </c>
      <c r="BE15" s="16">
        <v>8.0</v>
      </c>
      <c r="BF15" s="16" t="s">
        <v>165</v>
      </c>
      <c r="BG15" s="16" t="s">
        <v>165</v>
      </c>
      <c r="BH15" s="16">
        <v>8.0</v>
      </c>
      <c r="BI15" s="16">
        <v>8.0</v>
      </c>
      <c r="BJ15" s="16">
        <v>8.0</v>
      </c>
      <c r="BK15" s="16">
        <v>8.0</v>
      </c>
      <c r="BL15" s="16">
        <v>8.0</v>
      </c>
      <c r="BM15" s="16" t="s">
        <v>165</v>
      </c>
      <c r="BN15" s="16" t="s">
        <v>165</v>
      </c>
      <c r="BO15" s="16">
        <v>8.0</v>
      </c>
      <c r="BP15" s="16">
        <v>8.0</v>
      </c>
      <c r="BQ15" s="16">
        <v>8.0</v>
      </c>
      <c r="BR15" s="105">
        <f t="shared" si="11"/>
        <v>168</v>
      </c>
      <c r="BS15" s="48"/>
      <c r="BT15" s="64">
        <v>8.0</v>
      </c>
      <c r="BU15" s="64">
        <v>8.0</v>
      </c>
      <c r="BV15" s="114" t="s">
        <v>165</v>
      </c>
      <c r="BW15" s="114" t="s">
        <v>165</v>
      </c>
      <c r="BX15" s="64">
        <v>8.0</v>
      </c>
      <c r="BY15" s="64">
        <v>8.0</v>
      </c>
      <c r="BZ15" s="64">
        <v>8.0</v>
      </c>
      <c r="CA15" s="64">
        <v>8.0</v>
      </c>
      <c r="CB15" s="64" t="s">
        <v>171</v>
      </c>
      <c r="CC15" s="114" t="s">
        <v>165</v>
      </c>
      <c r="CD15" s="114" t="s">
        <v>165</v>
      </c>
      <c r="CE15" s="64">
        <v>8.0</v>
      </c>
      <c r="CF15" s="64">
        <v>8.0</v>
      </c>
      <c r="CG15" s="25">
        <v>9.0</v>
      </c>
      <c r="CH15" s="25">
        <v>9.0</v>
      </c>
      <c r="CI15" s="25">
        <v>9.0</v>
      </c>
      <c r="CJ15" s="114" t="s">
        <v>165</v>
      </c>
      <c r="CK15" s="114" t="s">
        <v>165</v>
      </c>
      <c r="CL15" s="64">
        <v>8.0</v>
      </c>
      <c r="CM15" s="64">
        <v>8.0</v>
      </c>
      <c r="CN15" s="64">
        <v>8.0</v>
      </c>
      <c r="CO15" s="64">
        <v>8.0</v>
      </c>
      <c r="CP15" s="25" t="s">
        <v>245</v>
      </c>
      <c r="CQ15" s="114" t="s">
        <v>165</v>
      </c>
      <c r="CR15" s="114" t="s">
        <v>165</v>
      </c>
      <c r="CS15" s="25">
        <v>9.0</v>
      </c>
      <c r="CT15" s="25" t="s">
        <v>167</v>
      </c>
      <c r="CU15" s="25" t="s">
        <v>167</v>
      </c>
      <c r="CV15" s="64">
        <v>8.0</v>
      </c>
      <c r="CW15" s="64">
        <v>8.0</v>
      </c>
      <c r="CX15" s="114" t="s">
        <v>165</v>
      </c>
      <c r="CY15" s="105">
        <f t="shared" si="7"/>
        <v>148</v>
      </c>
      <c r="CZ15" s="48"/>
      <c r="DA15" s="113" t="s">
        <v>165</v>
      </c>
      <c r="DB15" s="113">
        <v>8.0</v>
      </c>
      <c r="DC15" s="113">
        <v>8.0</v>
      </c>
      <c r="DD15" s="113">
        <v>8.0</v>
      </c>
      <c r="DE15" s="113">
        <v>8.0</v>
      </c>
      <c r="DF15" s="113">
        <v>8.0</v>
      </c>
      <c r="DG15" s="113" t="s">
        <v>165</v>
      </c>
      <c r="DH15" s="113" t="s">
        <v>165</v>
      </c>
      <c r="DI15" s="58">
        <v>9.0</v>
      </c>
      <c r="DJ15" s="113">
        <v>8.0</v>
      </c>
      <c r="DK15" s="58">
        <v>6.0</v>
      </c>
      <c r="DL15" s="58">
        <v>9.0</v>
      </c>
      <c r="DM15" s="58">
        <v>9.0</v>
      </c>
      <c r="DN15" s="113" t="s">
        <v>165</v>
      </c>
      <c r="DO15" s="113" t="s">
        <v>165</v>
      </c>
      <c r="DP15" s="124">
        <v>9.0</v>
      </c>
      <c r="DQ15" s="124">
        <v>9.0</v>
      </c>
      <c r="DR15" s="123">
        <v>8.0</v>
      </c>
      <c r="DS15" s="124">
        <v>10.0</v>
      </c>
      <c r="DT15" s="123">
        <v>8.0</v>
      </c>
      <c r="DU15" s="113" t="s">
        <v>165</v>
      </c>
      <c r="DV15" s="113" t="s">
        <v>165</v>
      </c>
      <c r="DW15" s="123">
        <v>8.0</v>
      </c>
      <c r="DX15" s="124">
        <v>9.0</v>
      </c>
      <c r="DY15" s="123">
        <v>8.0</v>
      </c>
      <c r="DZ15" s="123">
        <v>8.0</v>
      </c>
      <c r="EA15" s="123">
        <v>8.0</v>
      </c>
      <c r="EB15" s="113" t="s">
        <v>165</v>
      </c>
      <c r="EC15" s="113" t="s">
        <v>165</v>
      </c>
      <c r="ED15" s="123">
        <v>8.0</v>
      </c>
      <c r="EE15" s="124">
        <v>9.0</v>
      </c>
      <c r="EF15" s="113">
        <f t="shared" si="8"/>
        <v>183</v>
      </c>
      <c r="EG15" s="48"/>
      <c r="EH15" s="15"/>
      <c r="EI15" s="15"/>
      <c r="EJ15" s="15"/>
      <c r="EK15" s="15"/>
      <c r="EL15" s="15"/>
      <c r="EM15" s="15"/>
      <c r="EN15" s="15"/>
      <c r="EO15" s="15"/>
      <c r="EP15" s="15"/>
      <c r="EQ15" s="15"/>
      <c r="ER15" s="15"/>
      <c r="ES15" s="15"/>
      <c r="ET15" s="15"/>
      <c r="EU15" s="15"/>
      <c r="EV15" s="15"/>
      <c r="EW15" s="15"/>
      <c r="EX15" s="15"/>
      <c r="EY15" s="15"/>
      <c r="EZ15" s="15"/>
      <c r="FA15" s="15"/>
      <c r="FB15" s="15"/>
      <c r="FC15" s="15"/>
      <c r="FD15" s="15"/>
      <c r="FE15" s="15"/>
      <c r="FF15" s="15"/>
      <c r="FG15" s="15"/>
      <c r="FH15" s="15"/>
      <c r="FI15" s="15"/>
      <c r="FJ15" s="15"/>
      <c r="FK15" s="15"/>
      <c r="FL15" s="105">
        <f t="shared" si="12"/>
        <v>0</v>
      </c>
      <c r="FM15" s="48"/>
      <c r="FN15" s="15"/>
      <c r="FO15" s="15"/>
      <c r="FP15" s="15"/>
      <c r="FQ15" s="15"/>
      <c r="FR15" s="15"/>
      <c r="FS15" s="15"/>
      <c r="FT15" s="15"/>
      <c r="FU15" s="15"/>
      <c r="FV15" s="15"/>
      <c r="FW15" s="15"/>
      <c r="FX15" s="15"/>
      <c r="FY15" s="15"/>
      <c r="FZ15" s="15"/>
      <c r="GA15" s="15"/>
      <c r="GB15" s="15"/>
      <c r="GC15" s="15"/>
      <c r="GD15" s="15"/>
      <c r="GE15" s="15"/>
      <c r="GF15" s="15"/>
      <c r="GG15" s="15"/>
      <c r="GH15" s="15"/>
      <c r="GI15" s="15"/>
      <c r="GJ15" s="15"/>
      <c r="GK15" s="15"/>
      <c r="GL15" s="15"/>
      <c r="GM15" s="15"/>
      <c r="GN15" s="15"/>
      <c r="GO15" s="15"/>
      <c r="GP15" s="15"/>
      <c r="GQ15" s="15"/>
      <c r="GR15" s="15"/>
      <c r="GS15" s="105">
        <f t="shared" si="13"/>
        <v>0</v>
      </c>
      <c r="GT15" s="48"/>
      <c r="GU15" s="15"/>
      <c r="GV15" s="15"/>
      <c r="GW15" s="15"/>
      <c r="GX15" s="15"/>
      <c r="GY15" s="15"/>
      <c r="GZ15" s="15"/>
      <c r="HA15" s="15"/>
      <c r="HB15" s="15"/>
      <c r="HC15" s="15"/>
      <c r="HD15" s="15"/>
      <c r="HE15" s="15"/>
    </row>
    <row r="16" ht="16.5" customHeight="1">
      <c r="A16" s="102" t="s">
        <v>149</v>
      </c>
      <c r="B16" s="106" t="str">
        <f>iferror(vlookup(A16,'SoS - Agents Info'!A:H,5,false),"")</f>
        <v>PT</v>
      </c>
      <c r="C16" s="107" t="str">
        <f>iferror(vlookup(A16,'SoS - Agents Info'!A:AQ,43,false),"")</f>
        <v>RA+VM</v>
      </c>
      <c r="D16" s="108" t="str">
        <f>iferror(vlookup(A16,'SoS - Agents Info'!A:H,6,false),"")</f>
        <v>WD</v>
      </c>
      <c r="E16" s="108" t="str">
        <f>iferror(vlookup(A16,'SoS - Agents Info'!A:H,7,false),"")</f>
        <v>15:00-00:00</v>
      </c>
      <c r="F16" s="109">
        <f>IFERROR(__xludf.DUMMYFUNCTION("sum(COUNTIFS(Filter(FILTER('Shiftplan SoS'!G$3:GU166,'Shiftplan SoS'!$G$1:$GU$1&lt;=today()),'Shiftplan SoS'!$A$3:$A166=A16),""&gt;0"",(Filter(FILTER('Shiftplan SoS'!G$3:GU166,'Shiftplan SoS'!$G$1:$GU$1&lt;=today()),'Shiftplan SoS'!$A$3:$A166=A16)),""&lt;12""))"),82.0)</f>
        <v>82</v>
      </c>
      <c r="G16" s="16" t="s">
        <v>165</v>
      </c>
      <c r="H16" s="16" t="s">
        <v>165</v>
      </c>
      <c r="I16" s="16">
        <v>8.0</v>
      </c>
      <c r="J16" s="16">
        <v>8.0</v>
      </c>
      <c r="K16" s="16">
        <v>8.0</v>
      </c>
      <c r="L16" s="16">
        <v>8.0</v>
      </c>
      <c r="M16" s="16">
        <v>8.0</v>
      </c>
      <c r="N16" s="16" t="s">
        <v>165</v>
      </c>
      <c r="O16" s="16" t="s">
        <v>165</v>
      </c>
      <c r="P16" s="16">
        <v>8.0</v>
      </c>
      <c r="Q16" s="16">
        <v>8.0</v>
      </c>
      <c r="R16" s="16">
        <v>8.0</v>
      </c>
      <c r="S16" s="16">
        <v>8.0</v>
      </c>
      <c r="T16" s="16">
        <v>8.0</v>
      </c>
      <c r="U16" s="16" t="s">
        <v>165</v>
      </c>
      <c r="V16" s="16" t="s">
        <v>165</v>
      </c>
      <c r="W16" s="16">
        <v>8.0</v>
      </c>
      <c r="X16" s="16">
        <v>8.0</v>
      </c>
      <c r="Y16" s="16" t="s">
        <v>245</v>
      </c>
      <c r="Z16" s="16" t="s">
        <v>245</v>
      </c>
      <c r="AA16" s="16" t="s">
        <v>245</v>
      </c>
      <c r="AB16" s="16" t="s">
        <v>165</v>
      </c>
      <c r="AC16" s="16" t="s">
        <v>165</v>
      </c>
      <c r="AD16" s="16">
        <v>8.0</v>
      </c>
      <c r="AE16" s="16">
        <v>8.0</v>
      </c>
      <c r="AF16" s="16">
        <v>8.0</v>
      </c>
      <c r="AG16" s="16">
        <v>8.0</v>
      </c>
      <c r="AH16" s="16">
        <v>8.0</v>
      </c>
      <c r="AI16" s="16" t="s">
        <v>165</v>
      </c>
      <c r="AJ16" s="16" t="s">
        <v>165</v>
      </c>
      <c r="AK16" s="70">
        <v>8.0</v>
      </c>
      <c r="AL16" s="105">
        <f t="shared" si="5"/>
        <v>144</v>
      </c>
      <c r="AM16" s="48"/>
      <c r="AN16" s="16">
        <v>8.0</v>
      </c>
      <c r="AO16" s="16">
        <v>8.0</v>
      </c>
      <c r="AP16" s="16" t="s">
        <v>171</v>
      </c>
      <c r="AQ16" s="16">
        <v>8.0</v>
      </c>
      <c r="AR16" s="16" t="s">
        <v>165</v>
      </c>
      <c r="AS16" s="16" t="s">
        <v>165</v>
      </c>
      <c r="AT16" s="16">
        <v>8.0</v>
      </c>
      <c r="AU16" s="16">
        <v>8.0</v>
      </c>
      <c r="AV16" s="16">
        <v>8.0</v>
      </c>
      <c r="AW16" s="16">
        <v>8.0</v>
      </c>
      <c r="AX16" s="16">
        <v>8.0</v>
      </c>
      <c r="AY16" s="16" t="s">
        <v>165</v>
      </c>
      <c r="AZ16" s="16" t="s">
        <v>165</v>
      </c>
      <c r="BA16" s="16">
        <v>8.0</v>
      </c>
      <c r="BB16" s="16">
        <v>8.0</v>
      </c>
      <c r="BC16" s="16">
        <v>8.0</v>
      </c>
      <c r="BD16" s="16">
        <v>8.0</v>
      </c>
      <c r="BE16" s="16">
        <v>8.0</v>
      </c>
      <c r="BF16" s="16" t="s">
        <v>165</v>
      </c>
      <c r="BG16" s="16" t="s">
        <v>165</v>
      </c>
      <c r="BH16" s="16">
        <v>8.0</v>
      </c>
      <c r="BI16" s="16">
        <v>8.0</v>
      </c>
      <c r="BJ16" s="16">
        <v>8.0</v>
      </c>
      <c r="BK16" s="16">
        <v>8.0</v>
      </c>
      <c r="BL16" s="16">
        <v>8.0</v>
      </c>
      <c r="BM16" s="16" t="s">
        <v>165</v>
      </c>
      <c r="BN16" s="16" t="s">
        <v>165</v>
      </c>
      <c r="BO16" s="16">
        <v>8.0</v>
      </c>
      <c r="BP16" s="16">
        <v>8.0</v>
      </c>
      <c r="BQ16" s="16">
        <v>8.0</v>
      </c>
      <c r="BR16" s="105">
        <f t="shared" si="11"/>
        <v>168</v>
      </c>
      <c r="BS16" s="48"/>
      <c r="BT16" s="121">
        <v>8.0</v>
      </c>
      <c r="BU16" s="121">
        <v>8.0</v>
      </c>
      <c r="BV16" s="114" t="s">
        <v>165</v>
      </c>
      <c r="BW16" s="114" t="s">
        <v>165</v>
      </c>
      <c r="BX16" s="121">
        <v>8.0</v>
      </c>
      <c r="BY16" s="121">
        <v>8.0</v>
      </c>
      <c r="BZ16" s="121">
        <v>8.0</v>
      </c>
      <c r="CA16" s="121">
        <v>8.0</v>
      </c>
      <c r="CB16" s="25" t="s">
        <v>171</v>
      </c>
      <c r="CC16" s="114" t="s">
        <v>165</v>
      </c>
      <c r="CD16" s="114" t="s">
        <v>165</v>
      </c>
      <c r="CE16" s="121">
        <v>8.0</v>
      </c>
      <c r="CF16" s="121">
        <v>8.0</v>
      </c>
      <c r="CG16" s="121">
        <v>8.0</v>
      </c>
      <c r="CH16" s="121">
        <v>8.0</v>
      </c>
      <c r="CI16" s="121">
        <v>8.0</v>
      </c>
      <c r="CJ16" s="114" t="s">
        <v>165</v>
      </c>
      <c r="CK16" s="114" t="s">
        <v>165</v>
      </c>
      <c r="CL16" s="121">
        <v>8.0</v>
      </c>
      <c r="CM16" s="121">
        <v>8.0</v>
      </c>
      <c r="CN16" s="121">
        <v>8.0</v>
      </c>
      <c r="CO16" s="121">
        <v>8.0</v>
      </c>
      <c r="CP16" s="121">
        <v>8.0</v>
      </c>
      <c r="CQ16" s="114" t="s">
        <v>165</v>
      </c>
      <c r="CR16" s="114" t="s">
        <v>165</v>
      </c>
      <c r="CS16" s="121">
        <v>8.0</v>
      </c>
      <c r="CT16" s="121">
        <v>8.0</v>
      </c>
      <c r="CU16" s="121">
        <v>8.0</v>
      </c>
      <c r="CV16" s="121">
        <v>8.0</v>
      </c>
      <c r="CW16" s="121">
        <v>8.0</v>
      </c>
      <c r="CX16" s="114" t="s">
        <v>165</v>
      </c>
      <c r="CY16" s="105">
        <f t="shared" si="7"/>
        <v>168</v>
      </c>
      <c r="CZ16" s="48"/>
      <c r="DA16" s="113" t="s">
        <v>165</v>
      </c>
      <c r="DB16" s="123">
        <v>8.0</v>
      </c>
      <c r="DC16" s="123">
        <v>8.0</v>
      </c>
      <c r="DD16" s="123">
        <v>8.0</v>
      </c>
      <c r="DE16" s="123">
        <v>8.0</v>
      </c>
      <c r="DF16" s="123">
        <v>8.0</v>
      </c>
      <c r="DG16" s="113" t="s">
        <v>165</v>
      </c>
      <c r="DH16" s="113" t="s">
        <v>165</v>
      </c>
      <c r="DI16" s="123">
        <v>8.0</v>
      </c>
      <c r="DJ16" s="123">
        <v>8.0</v>
      </c>
      <c r="DK16" s="123">
        <v>8.0</v>
      </c>
      <c r="DL16" s="123">
        <v>8.0</v>
      </c>
      <c r="DM16" s="123">
        <v>8.0</v>
      </c>
      <c r="DN16" s="113" t="s">
        <v>165</v>
      </c>
      <c r="DO16" s="113" t="s">
        <v>165</v>
      </c>
      <c r="DP16" s="123">
        <v>8.0</v>
      </c>
      <c r="DQ16" s="123">
        <v>8.0</v>
      </c>
      <c r="DR16" s="123">
        <v>8.0</v>
      </c>
      <c r="DS16" s="123">
        <v>8.0</v>
      </c>
      <c r="DT16" s="123">
        <v>8.0</v>
      </c>
      <c r="DU16" s="113" t="s">
        <v>165</v>
      </c>
      <c r="DV16" s="113" t="s">
        <v>165</v>
      </c>
      <c r="DW16" s="123">
        <v>8.0</v>
      </c>
      <c r="DX16" s="123">
        <v>8.0</v>
      </c>
      <c r="DY16" s="113">
        <v>8.0</v>
      </c>
      <c r="DZ16" s="113">
        <v>8.0</v>
      </c>
      <c r="EA16" s="123">
        <v>8.0</v>
      </c>
      <c r="EB16" s="113" t="s">
        <v>165</v>
      </c>
      <c r="EC16" s="113" t="s">
        <v>165</v>
      </c>
      <c r="ED16" s="113">
        <v>8.0</v>
      </c>
      <c r="EE16" s="113">
        <v>8.0</v>
      </c>
      <c r="EF16" s="113">
        <f t="shared" si="8"/>
        <v>176</v>
      </c>
      <c r="EG16" s="48"/>
      <c r="EH16" s="15"/>
      <c r="EI16" s="15"/>
      <c r="EJ16" s="15"/>
      <c r="EK16" s="15"/>
      <c r="EL16" s="15"/>
      <c r="EM16" s="15"/>
      <c r="EN16" s="15"/>
      <c r="EO16" s="15"/>
      <c r="EP16" s="15"/>
      <c r="EQ16" s="15"/>
      <c r="ER16" s="15"/>
      <c r="ES16" s="15"/>
      <c r="ET16" s="15"/>
      <c r="EU16" s="15"/>
      <c r="EV16" s="15"/>
      <c r="EW16" s="15"/>
      <c r="EX16" s="15"/>
      <c r="EY16" s="15"/>
      <c r="EZ16" s="15"/>
      <c r="FA16" s="15"/>
      <c r="FB16" s="15"/>
      <c r="FC16" s="15"/>
      <c r="FD16" s="15"/>
      <c r="FE16" s="15"/>
      <c r="FF16" s="15"/>
      <c r="FG16" s="15"/>
      <c r="FH16" s="15"/>
      <c r="FI16" s="15"/>
      <c r="FJ16" s="15"/>
      <c r="FK16" s="15"/>
      <c r="FL16" s="105">
        <f t="shared" si="12"/>
        <v>0</v>
      </c>
      <c r="FM16" s="48"/>
      <c r="FN16" s="15"/>
      <c r="FO16" s="15"/>
      <c r="FP16" s="15"/>
      <c r="FQ16" s="15"/>
      <c r="FR16" s="15"/>
      <c r="FS16" s="15"/>
      <c r="FT16" s="15"/>
      <c r="FU16" s="15"/>
      <c r="FV16" s="15"/>
      <c r="FW16" s="15"/>
      <c r="FX16" s="15"/>
      <c r="FY16" s="15"/>
      <c r="FZ16" s="15"/>
      <c r="GA16" s="15"/>
      <c r="GB16" s="15"/>
      <c r="GC16" s="15"/>
      <c r="GD16" s="15"/>
      <c r="GE16" s="15"/>
      <c r="GF16" s="15"/>
      <c r="GG16" s="15"/>
      <c r="GH16" s="15"/>
      <c r="GI16" s="15"/>
      <c r="GJ16" s="15"/>
      <c r="GK16" s="15"/>
      <c r="GL16" s="15"/>
      <c r="GM16" s="15"/>
      <c r="GN16" s="15"/>
      <c r="GO16" s="15"/>
      <c r="GP16" s="15"/>
      <c r="GQ16" s="15"/>
      <c r="GR16" s="15"/>
      <c r="GS16" s="105">
        <f t="shared" si="13"/>
        <v>0</v>
      </c>
      <c r="GT16" s="48"/>
      <c r="GU16" s="15"/>
      <c r="GV16" s="15"/>
      <c r="GW16" s="15"/>
      <c r="GX16" s="15"/>
      <c r="GY16" s="15"/>
      <c r="GZ16" s="15"/>
      <c r="HA16" s="15"/>
      <c r="HB16" s="15"/>
      <c r="HC16" s="15"/>
      <c r="HD16" s="15"/>
      <c r="HE16" s="15"/>
    </row>
    <row r="17" ht="16.5" customHeight="1">
      <c r="A17" s="102" t="s">
        <v>251</v>
      </c>
      <c r="B17" s="106" t="str">
        <f>iferror(vlookup(A17,'SoS - Agents Info'!A:H,5,false),"")</f>
        <v>EN</v>
      </c>
      <c r="C17" s="107" t="str">
        <f>iferror(vlookup(A17,'SoS - Agents Info'!A:AQ,43,false),"")</f>
        <v>RA+VM</v>
      </c>
      <c r="D17" s="108" t="str">
        <f>iferror(vlookup(A17,'SoS - Agents Info'!A:H,6,false),"")</f>
        <v>WD</v>
      </c>
      <c r="E17" s="108" t="str">
        <f>iferror(vlookup(A17,'SoS - Agents Info'!A:H,7,false),"")</f>
        <v>16:00-01:00</v>
      </c>
      <c r="F17" s="109">
        <f>IFERROR(__xludf.DUMMYFUNCTION("sum(COUNTIFS(Filter(FILTER('Shiftplan SoS'!G$3:GU166,'Shiftplan SoS'!$G$1:$GU$1&lt;=today()),'Shiftplan SoS'!$A$3:$A166=A17),""&gt;0"",(Filter(FILTER('Shiftplan SoS'!G$3:GU166,'Shiftplan SoS'!$G$1:$GU$1&lt;=today()),'Shiftplan SoS'!$A$3:$A166=A17)),""&lt;12""))"),86.0)</f>
        <v>86</v>
      </c>
      <c r="G17" s="16" t="s">
        <v>165</v>
      </c>
      <c r="H17" s="16" t="s">
        <v>165</v>
      </c>
      <c r="I17" s="16">
        <v>8.0</v>
      </c>
      <c r="J17" s="16">
        <v>8.0</v>
      </c>
      <c r="K17" s="16">
        <v>8.0</v>
      </c>
      <c r="L17" s="16">
        <v>8.0</v>
      </c>
      <c r="M17" s="16">
        <v>8.0</v>
      </c>
      <c r="N17" s="16" t="s">
        <v>165</v>
      </c>
      <c r="O17" s="16" t="s">
        <v>165</v>
      </c>
      <c r="P17" s="16">
        <v>8.0</v>
      </c>
      <c r="Q17" s="16">
        <v>8.0</v>
      </c>
      <c r="R17" s="16">
        <v>8.0</v>
      </c>
      <c r="S17" s="16">
        <v>8.0</v>
      </c>
      <c r="T17" s="16">
        <v>8.0</v>
      </c>
      <c r="U17" s="16" t="s">
        <v>165</v>
      </c>
      <c r="V17" s="16" t="s">
        <v>165</v>
      </c>
      <c r="W17" s="16">
        <v>8.0</v>
      </c>
      <c r="X17" s="16">
        <v>8.0</v>
      </c>
      <c r="Y17" s="16">
        <v>8.0</v>
      </c>
      <c r="Z17" s="16">
        <v>8.0</v>
      </c>
      <c r="AA17" s="16">
        <v>8.0</v>
      </c>
      <c r="AB17" s="16" t="s">
        <v>165</v>
      </c>
      <c r="AC17" s="16" t="s">
        <v>165</v>
      </c>
      <c r="AD17" s="16">
        <v>8.0</v>
      </c>
      <c r="AE17" s="16">
        <v>8.0</v>
      </c>
      <c r="AF17" s="16">
        <v>8.0</v>
      </c>
      <c r="AG17" s="16">
        <v>8.0</v>
      </c>
      <c r="AH17" s="16">
        <v>8.0</v>
      </c>
      <c r="AI17" s="16" t="s">
        <v>165</v>
      </c>
      <c r="AJ17" s="16" t="s">
        <v>165</v>
      </c>
      <c r="AK17" s="70">
        <v>8.0</v>
      </c>
      <c r="AL17" s="105">
        <f t="shared" si="5"/>
        <v>168</v>
      </c>
      <c r="AM17" s="48"/>
      <c r="AN17" s="16">
        <v>8.0</v>
      </c>
      <c r="AO17" s="16">
        <v>8.0</v>
      </c>
      <c r="AP17" s="16" t="s">
        <v>171</v>
      </c>
      <c r="AQ17" s="16">
        <v>8.0</v>
      </c>
      <c r="AR17" s="16" t="s">
        <v>165</v>
      </c>
      <c r="AS17" s="16" t="s">
        <v>165</v>
      </c>
      <c r="AT17" s="16">
        <v>8.0</v>
      </c>
      <c r="AU17" s="16">
        <v>8.0</v>
      </c>
      <c r="AV17" s="16">
        <v>8.0</v>
      </c>
      <c r="AW17" s="16">
        <v>8.0</v>
      </c>
      <c r="AX17" s="16">
        <v>8.0</v>
      </c>
      <c r="AY17" s="16" t="s">
        <v>165</v>
      </c>
      <c r="AZ17" s="16" t="s">
        <v>165</v>
      </c>
      <c r="BA17" s="16">
        <v>8.0</v>
      </c>
      <c r="BB17" s="16">
        <v>8.0</v>
      </c>
      <c r="BC17" s="16">
        <v>8.0</v>
      </c>
      <c r="BD17" s="16">
        <v>8.0</v>
      </c>
      <c r="BE17" s="16">
        <v>8.0</v>
      </c>
      <c r="BF17" s="16" t="s">
        <v>165</v>
      </c>
      <c r="BG17" s="16" t="s">
        <v>165</v>
      </c>
      <c r="BH17" s="16">
        <v>8.0</v>
      </c>
      <c r="BI17" s="16">
        <v>8.0</v>
      </c>
      <c r="BJ17" s="16">
        <v>8.0</v>
      </c>
      <c r="BK17" s="16">
        <v>8.0</v>
      </c>
      <c r="BL17" s="16">
        <v>8.0</v>
      </c>
      <c r="BM17" s="16" t="s">
        <v>165</v>
      </c>
      <c r="BN17" s="16" t="s">
        <v>165</v>
      </c>
      <c r="BO17" s="110">
        <v>8.0</v>
      </c>
      <c r="BP17" s="110">
        <v>8.0</v>
      </c>
      <c r="BQ17" s="110">
        <v>8.0</v>
      </c>
      <c r="BR17" s="105">
        <f t="shared" si="11"/>
        <v>168</v>
      </c>
      <c r="BS17" s="48"/>
      <c r="BT17" s="121">
        <v>8.0</v>
      </c>
      <c r="BU17" s="121">
        <v>8.0</v>
      </c>
      <c r="BV17" s="114" t="s">
        <v>165</v>
      </c>
      <c r="BW17" s="114" t="s">
        <v>165</v>
      </c>
      <c r="BX17" s="121">
        <v>8.0</v>
      </c>
      <c r="BY17" s="121">
        <v>8.0</v>
      </c>
      <c r="BZ17" s="121">
        <v>8.0</v>
      </c>
      <c r="CA17" s="121">
        <v>8.0</v>
      </c>
      <c r="CB17" s="64">
        <v>8.0</v>
      </c>
      <c r="CC17" s="114" t="s">
        <v>165</v>
      </c>
      <c r="CD17" s="114" t="s">
        <v>165</v>
      </c>
      <c r="CE17" s="121">
        <v>8.0</v>
      </c>
      <c r="CF17" s="121">
        <v>8.0</v>
      </c>
      <c r="CG17" s="121">
        <v>8.0</v>
      </c>
      <c r="CH17" s="121">
        <v>8.0</v>
      </c>
      <c r="CI17" s="121">
        <v>8.0</v>
      </c>
      <c r="CJ17" s="114" t="s">
        <v>165</v>
      </c>
      <c r="CK17" s="114" t="s">
        <v>165</v>
      </c>
      <c r="CL17" s="121">
        <v>8.0</v>
      </c>
      <c r="CM17" s="121">
        <v>8.0</v>
      </c>
      <c r="CN17" s="121">
        <v>8.0</v>
      </c>
      <c r="CO17" s="121">
        <v>8.0</v>
      </c>
      <c r="CP17" s="119">
        <v>8.0</v>
      </c>
      <c r="CQ17" s="114" t="s">
        <v>165</v>
      </c>
      <c r="CR17" s="114" t="s">
        <v>165</v>
      </c>
      <c r="CS17" s="121">
        <v>8.0</v>
      </c>
      <c r="CT17" s="121">
        <v>8.0</v>
      </c>
      <c r="CU17" s="121">
        <v>8.0</v>
      </c>
      <c r="CV17" s="121">
        <v>8.0</v>
      </c>
      <c r="CW17" s="121">
        <v>8.0</v>
      </c>
      <c r="CX17" s="114" t="s">
        <v>165</v>
      </c>
      <c r="CY17" s="105">
        <f t="shared" si="7"/>
        <v>176</v>
      </c>
      <c r="CZ17" s="48"/>
      <c r="DA17" s="113" t="s">
        <v>165</v>
      </c>
      <c r="DB17" s="123">
        <v>8.0</v>
      </c>
      <c r="DC17" s="123">
        <v>8.0</v>
      </c>
      <c r="DD17" s="123">
        <v>8.0</v>
      </c>
      <c r="DE17" s="123">
        <v>8.0</v>
      </c>
      <c r="DF17" s="123">
        <v>8.0</v>
      </c>
      <c r="DG17" s="113" t="s">
        <v>165</v>
      </c>
      <c r="DH17" s="113" t="s">
        <v>165</v>
      </c>
      <c r="DI17" s="123">
        <v>8.0</v>
      </c>
      <c r="DJ17" s="123">
        <v>8.0</v>
      </c>
      <c r="DK17" s="123">
        <v>8.0</v>
      </c>
      <c r="DL17" s="123">
        <v>8.0</v>
      </c>
      <c r="DM17" s="124">
        <v>4.0</v>
      </c>
      <c r="DN17" s="113" t="s">
        <v>165</v>
      </c>
      <c r="DO17" s="113" t="s">
        <v>165</v>
      </c>
      <c r="DP17" s="124">
        <v>9.0</v>
      </c>
      <c r="DQ17" s="124">
        <v>9.0</v>
      </c>
      <c r="DR17" s="124">
        <v>9.0</v>
      </c>
      <c r="DS17" s="124">
        <v>9.0</v>
      </c>
      <c r="DT17" s="124">
        <v>5.0</v>
      </c>
      <c r="DU17" s="113" t="s">
        <v>165</v>
      </c>
      <c r="DV17" s="113" t="s">
        <v>165</v>
      </c>
      <c r="DW17" s="123">
        <v>8.0</v>
      </c>
      <c r="DX17" s="124">
        <v>9.0</v>
      </c>
      <c r="DY17" s="58">
        <v>9.0</v>
      </c>
      <c r="DZ17" s="58">
        <v>9.0</v>
      </c>
      <c r="EA17" s="123">
        <v>8.0</v>
      </c>
      <c r="EB17" s="113" t="s">
        <v>165</v>
      </c>
      <c r="EC17" s="113" t="s">
        <v>165</v>
      </c>
      <c r="ED17" s="113">
        <v>8.0</v>
      </c>
      <c r="EE17" s="113">
        <v>8.0</v>
      </c>
      <c r="EF17" s="113">
        <f t="shared" si="8"/>
        <v>176</v>
      </c>
      <c r="EG17" s="48"/>
      <c r="EH17" s="15"/>
      <c r="EI17" s="15"/>
      <c r="EJ17" s="15"/>
      <c r="EK17" s="15"/>
      <c r="EL17" s="15"/>
      <c r="EM17" s="15"/>
      <c r="EN17" s="15"/>
      <c r="EO17" s="15"/>
      <c r="EP17" s="15"/>
      <c r="EQ17" s="15"/>
      <c r="ER17" s="15"/>
      <c r="ES17" s="15"/>
      <c r="ET17" s="15"/>
      <c r="EU17" s="15"/>
      <c r="EV17" s="15"/>
      <c r="EW17" s="15"/>
      <c r="EX17" s="15"/>
      <c r="EY17" s="15"/>
      <c r="EZ17" s="15"/>
      <c r="FA17" s="15"/>
      <c r="FB17" s="15"/>
      <c r="FC17" s="15"/>
      <c r="FD17" s="15"/>
      <c r="FE17" s="15"/>
      <c r="FF17" s="15"/>
      <c r="FG17" s="15"/>
      <c r="FH17" s="15"/>
      <c r="FI17" s="15"/>
      <c r="FJ17" s="15"/>
      <c r="FK17" s="15"/>
      <c r="FL17" s="105">
        <f t="shared" si="12"/>
        <v>0</v>
      </c>
      <c r="FM17" s="48"/>
      <c r="FN17" s="15"/>
      <c r="FO17" s="15"/>
      <c r="FP17" s="15"/>
      <c r="FQ17" s="15"/>
      <c r="FR17" s="15"/>
      <c r="FS17" s="15"/>
      <c r="FT17" s="15"/>
      <c r="FU17" s="15"/>
      <c r="FV17" s="15"/>
      <c r="FW17" s="15"/>
      <c r="FX17" s="15"/>
      <c r="FY17" s="15"/>
      <c r="FZ17" s="15"/>
      <c r="GA17" s="15"/>
      <c r="GB17" s="15"/>
      <c r="GC17" s="15"/>
      <c r="GD17" s="15"/>
      <c r="GE17" s="15"/>
      <c r="GF17" s="15"/>
      <c r="GG17" s="15"/>
      <c r="GH17" s="15"/>
      <c r="GI17" s="15"/>
      <c r="GJ17" s="15"/>
      <c r="GK17" s="15"/>
      <c r="GL17" s="15"/>
      <c r="GM17" s="15"/>
      <c r="GN17" s="15"/>
      <c r="GO17" s="15"/>
      <c r="GP17" s="15"/>
      <c r="GQ17" s="15"/>
      <c r="GR17" s="15"/>
      <c r="GS17" s="105">
        <f t="shared" si="13"/>
        <v>0</v>
      </c>
      <c r="GT17" s="48"/>
      <c r="GU17" s="15"/>
      <c r="GV17" s="15"/>
      <c r="GW17" s="15"/>
      <c r="GX17" s="15"/>
      <c r="GY17" s="15"/>
      <c r="GZ17" s="15"/>
      <c r="HA17" s="15"/>
      <c r="HB17" s="15"/>
      <c r="HC17" s="15"/>
      <c r="HD17" s="15"/>
      <c r="HE17" s="15"/>
    </row>
    <row r="18" ht="16.5" customHeight="1">
      <c r="A18" s="117" t="s">
        <v>123</v>
      </c>
      <c r="B18" s="108" t="s">
        <v>250</v>
      </c>
      <c r="C18" s="107" t="str">
        <f>iferror(vlookup(A18,'SoS - Agents Info'!A:AQ,43,false),"")</f>
        <v>ZR</v>
      </c>
      <c r="D18" s="108" t="str">
        <f>iferror(vlookup(A18,'SoS - Agents Info'!A:H,6,false),"")</f>
        <v>WD</v>
      </c>
      <c r="E18" s="108" t="str">
        <f>iferror(vlookup(A18,'SoS - Agents Info'!A:H,7,false),"")</f>
        <v>09:00-18:00</v>
      </c>
      <c r="F18" s="109">
        <f>IFERROR(__xludf.DUMMYFUNCTION("sum(COUNTIFS(Filter(FILTER('Shiftplan SoS'!G$3:GU166,'Shiftplan SoS'!$G$1:$GU$1&lt;=today()),'Shiftplan SoS'!$A$3:$A166=A18),""&gt;0"",(Filter(FILTER('Shiftplan SoS'!G$3:GU166,'Shiftplan SoS'!$G$1:$GU$1&lt;=today()),'Shiftplan SoS'!$A$3:$A166=A18)),""&lt;12""))"),87.0)</f>
        <v>87</v>
      </c>
      <c r="G18" s="16" t="s">
        <v>165</v>
      </c>
      <c r="H18" s="16" t="s">
        <v>165</v>
      </c>
      <c r="I18" s="16">
        <v>8.0</v>
      </c>
      <c r="J18" s="16">
        <v>8.0</v>
      </c>
      <c r="K18" s="16">
        <v>10.0</v>
      </c>
      <c r="L18" s="16">
        <v>8.0</v>
      </c>
      <c r="M18" s="16">
        <v>6.0</v>
      </c>
      <c r="N18" s="16" t="s">
        <v>165</v>
      </c>
      <c r="O18" s="16" t="s">
        <v>165</v>
      </c>
      <c r="P18" s="16">
        <v>8.0</v>
      </c>
      <c r="Q18" s="16">
        <v>8.0</v>
      </c>
      <c r="R18" s="16">
        <v>8.0</v>
      </c>
      <c r="S18" s="16">
        <v>8.0</v>
      </c>
      <c r="T18" s="16">
        <v>8.0</v>
      </c>
      <c r="U18" s="16" t="s">
        <v>165</v>
      </c>
      <c r="V18" s="16" t="s">
        <v>165</v>
      </c>
      <c r="W18" s="16">
        <v>8.0</v>
      </c>
      <c r="X18" s="16">
        <v>8.0</v>
      </c>
      <c r="Y18" s="16">
        <v>8.0</v>
      </c>
      <c r="Z18" s="16">
        <v>8.0</v>
      </c>
      <c r="AA18" s="16">
        <v>8.0</v>
      </c>
      <c r="AB18" s="16" t="s">
        <v>165</v>
      </c>
      <c r="AC18" s="16" t="s">
        <v>165</v>
      </c>
      <c r="AD18" s="16">
        <v>8.0</v>
      </c>
      <c r="AE18" s="16">
        <v>8.0</v>
      </c>
      <c r="AF18" s="16">
        <v>8.0</v>
      </c>
      <c r="AG18" s="16">
        <v>8.0</v>
      </c>
      <c r="AH18" s="16">
        <v>8.0</v>
      </c>
      <c r="AI18" s="16" t="s">
        <v>165</v>
      </c>
      <c r="AJ18" s="16" t="s">
        <v>165</v>
      </c>
      <c r="AK18" s="70">
        <v>8.0</v>
      </c>
      <c r="AL18" s="105">
        <f t="shared" si="5"/>
        <v>168</v>
      </c>
      <c r="AM18" s="48"/>
      <c r="AN18" s="16">
        <v>8.0</v>
      </c>
      <c r="AO18" s="16">
        <v>8.0</v>
      </c>
      <c r="AP18" s="16">
        <v>8.0</v>
      </c>
      <c r="AQ18" s="16">
        <v>8.0</v>
      </c>
      <c r="AR18" s="16" t="s">
        <v>165</v>
      </c>
      <c r="AS18" s="16" t="s">
        <v>165</v>
      </c>
      <c r="AT18" s="16">
        <v>8.0</v>
      </c>
      <c r="AU18" s="16">
        <v>8.0</v>
      </c>
      <c r="AV18" s="16">
        <v>8.0</v>
      </c>
      <c r="AW18" s="16">
        <v>8.0</v>
      </c>
      <c r="AX18" s="16">
        <v>8.0</v>
      </c>
      <c r="AY18" s="16" t="s">
        <v>165</v>
      </c>
      <c r="AZ18" s="16" t="s">
        <v>165</v>
      </c>
      <c r="BA18" s="16">
        <v>8.0</v>
      </c>
      <c r="BB18" s="16">
        <v>8.0</v>
      </c>
      <c r="BC18" s="16">
        <v>8.0</v>
      </c>
      <c r="BD18" s="16">
        <v>8.0</v>
      </c>
      <c r="BE18" s="16">
        <v>8.0</v>
      </c>
      <c r="BF18" s="16" t="s">
        <v>165</v>
      </c>
      <c r="BG18" s="16" t="s">
        <v>165</v>
      </c>
      <c r="BH18" s="16">
        <v>8.0</v>
      </c>
      <c r="BI18" s="16">
        <v>8.0</v>
      </c>
      <c r="BJ18" s="16">
        <v>8.0</v>
      </c>
      <c r="BK18" s="16">
        <v>8.0</v>
      </c>
      <c r="BL18" s="16">
        <v>8.0</v>
      </c>
      <c r="BM18" s="16" t="s">
        <v>165</v>
      </c>
      <c r="BN18" s="16" t="s">
        <v>165</v>
      </c>
      <c r="BO18" s="16">
        <v>8.0</v>
      </c>
      <c r="BP18" s="16">
        <v>8.0</v>
      </c>
      <c r="BQ18" s="16">
        <v>8.0</v>
      </c>
      <c r="BR18" s="105">
        <f t="shared" si="11"/>
        <v>176</v>
      </c>
      <c r="BS18" s="48"/>
      <c r="BT18" s="64">
        <v>8.0</v>
      </c>
      <c r="BU18" s="64">
        <v>8.0</v>
      </c>
      <c r="BV18" s="114" t="s">
        <v>165</v>
      </c>
      <c r="BW18" s="114" t="s">
        <v>165</v>
      </c>
      <c r="BX18" s="64">
        <v>8.0</v>
      </c>
      <c r="BY18" s="64">
        <v>8.0</v>
      </c>
      <c r="BZ18" s="64">
        <v>8.0</v>
      </c>
      <c r="CA18" s="64">
        <v>8.0</v>
      </c>
      <c r="CB18" s="64">
        <v>8.0</v>
      </c>
      <c r="CC18" s="114" t="s">
        <v>165</v>
      </c>
      <c r="CD18" s="114" t="s">
        <v>165</v>
      </c>
      <c r="CE18" s="64">
        <v>8.0</v>
      </c>
      <c r="CF18" s="64">
        <v>8.0</v>
      </c>
      <c r="CG18" s="64">
        <v>8.0</v>
      </c>
      <c r="CH18" s="64">
        <v>8.0</v>
      </c>
      <c r="CI18" s="64">
        <v>8.0</v>
      </c>
      <c r="CJ18" s="114" t="s">
        <v>165</v>
      </c>
      <c r="CK18" s="114" t="s">
        <v>165</v>
      </c>
      <c r="CL18" s="64">
        <v>8.0</v>
      </c>
      <c r="CM18" s="64">
        <v>8.0</v>
      </c>
      <c r="CN18" s="64">
        <v>8.0</v>
      </c>
      <c r="CO18" s="64">
        <v>8.0</v>
      </c>
      <c r="CP18" s="64">
        <v>8.0</v>
      </c>
      <c r="CQ18" s="114" t="s">
        <v>165</v>
      </c>
      <c r="CR18" s="114" t="s">
        <v>165</v>
      </c>
      <c r="CS18" s="64">
        <v>8.0</v>
      </c>
      <c r="CT18" s="64">
        <v>8.0</v>
      </c>
      <c r="CU18" s="64">
        <v>8.0</v>
      </c>
      <c r="CV18" s="64">
        <v>8.0</v>
      </c>
      <c r="CW18" s="64">
        <v>8.0</v>
      </c>
      <c r="CX18" s="114" t="s">
        <v>165</v>
      </c>
      <c r="CY18" s="105">
        <f t="shared" si="7"/>
        <v>176</v>
      </c>
      <c r="CZ18" s="48"/>
      <c r="DA18" s="113" t="s">
        <v>165</v>
      </c>
      <c r="DB18" s="113">
        <v>8.0</v>
      </c>
      <c r="DC18" s="113">
        <v>8.0</v>
      </c>
      <c r="DD18" s="113">
        <v>8.0</v>
      </c>
      <c r="DE18" s="113">
        <v>8.0</v>
      </c>
      <c r="DF18" s="113">
        <v>8.0</v>
      </c>
      <c r="DG18" s="113" t="s">
        <v>165</v>
      </c>
      <c r="DH18" s="113" t="s">
        <v>165</v>
      </c>
      <c r="DI18" s="113">
        <v>8.0</v>
      </c>
      <c r="DJ18" s="113">
        <v>8.0</v>
      </c>
      <c r="DK18" s="113">
        <v>8.0</v>
      </c>
      <c r="DL18" s="113">
        <v>8.0</v>
      </c>
      <c r="DM18" s="113">
        <v>8.0</v>
      </c>
      <c r="DN18" s="113" t="s">
        <v>165</v>
      </c>
      <c r="DO18" s="113" t="s">
        <v>165</v>
      </c>
      <c r="DP18" s="113">
        <v>8.0</v>
      </c>
      <c r="DQ18" s="113">
        <v>8.0</v>
      </c>
      <c r="DR18" s="113">
        <v>8.0</v>
      </c>
      <c r="DS18" s="113">
        <v>8.0</v>
      </c>
      <c r="DT18" s="113">
        <v>8.0</v>
      </c>
      <c r="DU18" s="113" t="s">
        <v>165</v>
      </c>
      <c r="DV18" s="113" t="s">
        <v>165</v>
      </c>
      <c r="DW18" s="113">
        <v>8.0</v>
      </c>
      <c r="DX18" s="113">
        <v>8.0</v>
      </c>
      <c r="DY18" s="113">
        <v>8.0</v>
      </c>
      <c r="DZ18" s="113">
        <v>8.0</v>
      </c>
      <c r="EA18" s="113">
        <v>8.0</v>
      </c>
      <c r="EB18" s="113" t="s">
        <v>165</v>
      </c>
      <c r="EC18" s="113" t="s">
        <v>165</v>
      </c>
      <c r="ED18" s="113">
        <v>8.0</v>
      </c>
      <c r="EE18" s="113">
        <v>8.0</v>
      </c>
      <c r="EF18" s="113">
        <f t="shared" si="8"/>
        <v>176</v>
      </c>
      <c r="EG18" s="48"/>
      <c r="EH18" s="15"/>
      <c r="EI18" s="15"/>
      <c r="EJ18" s="15"/>
      <c r="EK18" s="15"/>
      <c r="EL18" s="15"/>
      <c r="EM18" s="15"/>
      <c r="EN18" s="15"/>
      <c r="EO18" s="15"/>
      <c r="EP18" s="15"/>
      <c r="EQ18" s="15"/>
      <c r="ER18" s="15"/>
      <c r="ES18" s="15"/>
      <c r="ET18" s="15"/>
      <c r="EU18" s="15"/>
      <c r="EV18" s="15"/>
      <c r="EW18" s="15"/>
      <c r="EX18" s="15"/>
      <c r="EY18" s="15"/>
      <c r="EZ18" s="15"/>
      <c r="FA18" s="15"/>
      <c r="FB18" s="15"/>
      <c r="FC18" s="15"/>
      <c r="FD18" s="15"/>
      <c r="FE18" s="15"/>
      <c r="FF18" s="15"/>
      <c r="FG18" s="15"/>
      <c r="FH18" s="15"/>
      <c r="FI18" s="15"/>
      <c r="FJ18" s="15"/>
      <c r="FK18" s="15"/>
      <c r="FL18" s="105">
        <f t="shared" si="12"/>
        <v>0</v>
      </c>
      <c r="FM18" s="48"/>
      <c r="FN18" s="15"/>
      <c r="FO18" s="15"/>
      <c r="FP18" s="15"/>
      <c r="FQ18" s="15"/>
      <c r="FR18" s="15"/>
      <c r="FS18" s="15"/>
      <c r="FT18" s="15"/>
      <c r="FU18" s="15"/>
      <c r="FV18" s="15"/>
      <c r="FW18" s="15"/>
      <c r="FX18" s="15"/>
      <c r="FY18" s="15"/>
      <c r="FZ18" s="15"/>
      <c r="GA18" s="15"/>
      <c r="GB18" s="15"/>
      <c r="GC18" s="15"/>
      <c r="GD18" s="15"/>
      <c r="GE18" s="15"/>
      <c r="GF18" s="15"/>
      <c r="GG18" s="15"/>
      <c r="GH18" s="15"/>
      <c r="GI18" s="15"/>
      <c r="GJ18" s="15"/>
      <c r="GK18" s="15"/>
      <c r="GL18" s="15"/>
      <c r="GM18" s="15"/>
      <c r="GN18" s="15"/>
      <c r="GO18" s="15"/>
      <c r="GP18" s="15"/>
      <c r="GQ18" s="15"/>
      <c r="GR18" s="15"/>
      <c r="GS18" s="105">
        <f t="shared" si="13"/>
        <v>0</v>
      </c>
      <c r="GT18" s="48"/>
      <c r="GU18" s="15"/>
      <c r="GV18" s="15"/>
      <c r="GW18" s="15"/>
      <c r="GX18" s="15"/>
      <c r="GY18" s="15"/>
      <c r="GZ18" s="15"/>
      <c r="HA18" s="15"/>
      <c r="HB18" s="15"/>
      <c r="HC18" s="15"/>
      <c r="HD18" s="15"/>
      <c r="HE18" s="15"/>
    </row>
    <row r="19" ht="16.5" customHeight="1">
      <c r="A19" s="126" t="s">
        <v>137</v>
      </c>
      <c r="B19" s="108" t="s">
        <v>250</v>
      </c>
      <c r="C19" s="107" t="str">
        <f>iferror(vlookup(A19,'SoS - Agents Info'!A:AQ,43,false),"")</f>
        <v>NM</v>
      </c>
      <c r="D19" s="108" t="str">
        <f>iferror(vlookup(A19,'SoS - Agents Info'!A:H,6,false),"")</f>
        <v>WD</v>
      </c>
      <c r="E19" s="108" t="str">
        <f>iferror(vlookup(A19,'SoS - Agents Info'!A:H,7,false),"")</f>
        <v>21:00-06:00</v>
      </c>
      <c r="F19" s="109">
        <f>IFERROR(__xludf.DUMMYFUNCTION("sum(COUNTIFS(Filter(FILTER('Shiftplan SoS'!G$3:GU166,'Shiftplan SoS'!$G$1:$GU$1&lt;=today()),'Shiftplan SoS'!$A$3:$A166=A19),""&gt;0"",(Filter(FILTER('Shiftplan SoS'!G$3:GU166,'Shiftplan SoS'!$G$1:$GU$1&lt;=today()),'Shiftplan SoS'!$A$3:$A166=A19)),""&lt;12""))"),80.0)</f>
        <v>80</v>
      </c>
      <c r="G19" s="16" t="s">
        <v>165</v>
      </c>
      <c r="H19" s="16" t="s">
        <v>165</v>
      </c>
      <c r="I19" s="16">
        <v>8.0</v>
      </c>
      <c r="J19" s="16">
        <v>8.0</v>
      </c>
      <c r="K19" s="16">
        <v>8.0</v>
      </c>
      <c r="L19" s="16">
        <v>8.0</v>
      </c>
      <c r="M19" s="16">
        <v>8.0</v>
      </c>
      <c r="N19" s="16" t="s">
        <v>165</v>
      </c>
      <c r="O19" s="16" t="s">
        <v>165</v>
      </c>
      <c r="P19" s="16">
        <v>8.0</v>
      </c>
      <c r="Q19" s="16">
        <v>8.0</v>
      </c>
      <c r="R19" s="16">
        <v>8.0</v>
      </c>
      <c r="S19" s="16">
        <v>8.0</v>
      </c>
      <c r="T19" s="16">
        <v>8.0</v>
      </c>
      <c r="U19" s="16" t="s">
        <v>165</v>
      </c>
      <c r="V19" s="16" t="s">
        <v>165</v>
      </c>
      <c r="W19" s="16">
        <v>8.0</v>
      </c>
      <c r="X19" s="16">
        <v>8.0</v>
      </c>
      <c r="Y19" s="16">
        <v>8.0</v>
      </c>
      <c r="Z19" s="16">
        <v>8.0</v>
      </c>
      <c r="AA19" s="16">
        <v>8.0</v>
      </c>
      <c r="AB19" s="16" t="s">
        <v>165</v>
      </c>
      <c r="AC19" s="16" t="s">
        <v>165</v>
      </c>
      <c r="AD19" s="16">
        <v>8.0</v>
      </c>
      <c r="AE19" s="16">
        <v>8.0</v>
      </c>
      <c r="AF19" s="16">
        <v>8.0</v>
      </c>
      <c r="AG19" s="16">
        <v>8.0</v>
      </c>
      <c r="AH19" s="16">
        <v>8.0</v>
      </c>
      <c r="AI19" s="16" t="s">
        <v>165</v>
      </c>
      <c r="AJ19" s="16" t="s">
        <v>165</v>
      </c>
      <c r="AK19" s="70">
        <v>8.0</v>
      </c>
      <c r="AL19" s="105">
        <f t="shared" si="5"/>
        <v>168</v>
      </c>
      <c r="AM19" s="48"/>
      <c r="AN19" s="16">
        <v>8.0</v>
      </c>
      <c r="AO19" s="16">
        <v>8.0</v>
      </c>
      <c r="AP19" s="16">
        <v>8.0</v>
      </c>
      <c r="AQ19" s="16">
        <v>8.0</v>
      </c>
      <c r="AR19" s="16" t="s">
        <v>165</v>
      </c>
      <c r="AS19" s="16" t="s">
        <v>165</v>
      </c>
      <c r="AT19" s="16">
        <v>8.0</v>
      </c>
      <c r="AU19" s="16">
        <v>8.0</v>
      </c>
      <c r="AV19" s="16">
        <v>8.0</v>
      </c>
      <c r="AW19" s="16">
        <v>8.0</v>
      </c>
      <c r="AX19" s="16">
        <v>8.0</v>
      </c>
      <c r="AY19" s="16" t="s">
        <v>165</v>
      </c>
      <c r="AZ19" s="16" t="s">
        <v>165</v>
      </c>
      <c r="BA19" s="16">
        <v>8.0</v>
      </c>
      <c r="BB19" s="16">
        <v>8.0</v>
      </c>
      <c r="BC19" s="16">
        <v>8.0</v>
      </c>
      <c r="BD19" s="16">
        <v>8.0</v>
      </c>
      <c r="BE19" s="16">
        <v>8.0</v>
      </c>
      <c r="BF19" s="16" t="s">
        <v>165</v>
      </c>
      <c r="BG19" s="16" t="s">
        <v>165</v>
      </c>
      <c r="BH19" s="16">
        <v>8.0</v>
      </c>
      <c r="BI19" s="16">
        <v>8.0</v>
      </c>
      <c r="BJ19" s="16">
        <v>8.0</v>
      </c>
      <c r="BK19" s="16">
        <v>8.0</v>
      </c>
      <c r="BL19" s="16">
        <v>8.0</v>
      </c>
      <c r="BM19" s="16" t="s">
        <v>165</v>
      </c>
      <c r="BN19" s="16" t="s">
        <v>165</v>
      </c>
      <c r="BO19" s="16" t="s">
        <v>169</v>
      </c>
      <c r="BP19" s="16">
        <v>8.0</v>
      </c>
      <c r="BQ19" s="16" t="s">
        <v>169</v>
      </c>
      <c r="BR19" s="105">
        <f t="shared" si="11"/>
        <v>160</v>
      </c>
      <c r="BS19" s="48"/>
      <c r="BT19" s="25" t="s">
        <v>169</v>
      </c>
      <c r="BU19" s="64">
        <v>8.0</v>
      </c>
      <c r="BV19" s="114" t="s">
        <v>165</v>
      </c>
      <c r="BW19" s="114" t="s">
        <v>165</v>
      </c>
      <c r="BX19" s="64">
        <v>8.0</v>
      </c>
      <c r="BY19" s="64">
        <v>8.0</v>
      </c>
      <c r="BZ19" s="64">
        <v>8.0</v>
      </c>
      <c r="CA19" s="64">
        <v>8.0</v>
      </c>
      <c r="CB19" s="64" t="s">
        <v>171</v>
      </c>
      <c r="CC19" s="114" t="s">
        <v>165</v>
      </c>
      <c r="CD19" s="114" t="s">
        <v>165</v>
      </c>
      <c r="CE19" s="64">
        <v>8.0</v>
      </c>
      <c r="CF19" s="64">
        <v>8.0</v>
      </c>
      <c r="CG19" s="25" t="s">
        <v>252</v>
      </c>
      <c r="CH19" s="64">
        <v>8.0</v>
      </c>
      <c r="CI19" s="64">
        <v>8.0</v>
      </c>
      <c r="CJ19" s="114" t="s">
        <v>165</v>
      </c>
      <c r="CK19" s="114" t="s">
        <v>165</v>
      </c>
      <c r="CL19" s="64">
        <v>8.0</v>
      </c>
      <c r="CM19" s="64">
        <v>8.0</v>
      </c>
      <c r="CN19" s="64">
        <v>8.0</v>
      </c>
      <c r="CO19" s="25">
        <v>6.5</v>
      </c>
      <c r="CP19" s="25" t="s">
        <v>165</v>
      </c>
      <c r="CQ19" s="114" t="s">
        <v>165</v>
      </c>
      <c r="CR19" s="64">
        <v>8.0</v>
      </c>
      <c r="CS19" s="64">
        <v>8.0</v>
      </c>
      <c r="CT19" s="25" t="s">
        <v>169</v>
      </c>
      <c r="CU19" s="64">
        <v>8.0</v>
      </c>
      <c r="CV19" s="64">
        <v>8.0</v>
      </c>
      <c r="CW19" s="25" t="s">
        <v>165</v>
      </c>
      <c r="CX19" s="114" t="s">
        <v>165</v>
      </c>
      <c r="CY19" s="105">
        <f t="shared" si="7"/>
        <v>134.5</v>
      </c>
      <c r="CZ19" s="48"/>
      <c r="DA19" s="113">
        <v>8.0</v>
      </c>
      <c r="DB19" s="113">
        <v>8.0</v>
      </c>
      <c r="DC19" s="113">
        <v>8.0</v>
      </c>
      <c r="DD19" s="113">
        <v>8.0</v>
      </c>
      <c r="DE19" s="113">
        <v>8.0</v>
      </c>
      <c r="DF19" s="113" t="s">
        <v>165</v>
      </c>
      <c r="DG19" s="113" t="s">
        <v>165</v>
      </c>
      <c r="DH19" s="113">
        <v>8.0</v>
      </c>
      <c r="DI19" s="113">
        <v>8.0</v>
      </c>
      <c r="DJ19" s="113">
        <v>8.0</v>
      </c>
      <c r="DK19" s="113">
        <v>8.0</v>
      </c>
      <c r="DL19" s="113">
        <v>8.0</v>
      </c>
      <c r="DM19" s="113" t="s">
        <v>165</v>
      </c>
      <c r="DN19" s="113" t="s">
        <v>165</v>
      </c>
      <c r="DO19" s="113">
        <v>8.0</v>
      </c>
      <c r="DP19" s="113" t="s">
        <v>171</v>
      </c>
      <c r="DQ19" s="113">
        <v>8.0</v>
      </c>
      <c r="DR19" s="113">
        <v>8.0</v>
      </c>
      <c r="DS19" s="113">
        <v>8.0</v>
      </c>
      <c r="DT19" s="113" t="s">
        <v>165</v>
      </c>
      <c r="DU19" s="113" t="s">
        <v>165</v>
      </c>
      <c r="DV19" s="113">
        <v>8.0</v>
      </c>
      <c r="DW19" s="113">
        <v>8.0</v>
      </c>
      <c r="DX19" s="113">
        <v>8.0</v>
      </c>
      <c r="DY19" s="113">
        <v>8.0</v>
      </c>
      <c r="DZ19" s="113">
        <v>8.0</v>
      </c>
      <c r="EA19" s="113" t="s">
        <v>165</v>
      </c>
      <c r="EB19" s="113" t="s">
        <v>165</v>
      </c>
      <c r="EC19" s="113">
        <v>8.0</v>
      </c>
      <c r="ED19" s="113">
        <v>8.0</v>
      </c>
      <c r="EE19" s="113">
        <v>8.0</v>
      </c>
      <c r="EF19" s="113">
        <f t="shared" si="8"/>
        <v>176</v>
      </c>
      <c r="EG19" s="48"/>
      <c r="EH19" s="15"/>
      <c r="EI19" s="15"/>
      <c r="EJ19" s="15"/>
      <c r="EK19" s="15"/>
      <c r="EL19" s="15"/>
      <c r="EM19" s="15"/>
      <c r="EN19" s="15"/>
      <c r="EO19" s="15"/>
      <c r="EP19" s="15"/>
      <c r="EQ19" s="15"/>
      <c r="ER19" s="15"/>
      <c r="ES19" s="15"/>
      <c r="ET19" s="15"/>
      <c r="EU19" s="15"/>
      <c r="EV19" s="15"/>
      <c r="EW19" s="15"/>
      <c r="EX19" s="15"/>
      <c r="EY19" s="15"/>
      <c r="EZ19" s="15"/>
      <c r="FA19" s="15"/>
      <c r="FB19" s="15"/>
      <c r="FC19" s="15"/>
      <c r="FD19" s="15"/>
      <c r="FE19" s="15"/>
      <c r="FF19" s="15"/>
      <c r="FG19" s="15"/>
      <c r="FH19" s="15"/>
      <c r="FI19" s="15"/>
      <c r="FJ19" s="15"/>
      <c r="FK19" s="15"/>
      <c r="FL19" s="105">
        <f t="shared" si="12"/>
        <v>0</v>
      </c>
      <c r="FM19" s="48"/>
      <c r="FN19" s="15"/>
      <c r="FO19" s="15"/>
      <c r="FP19" s="15"/>
      <c r="FQ19" s="15"/>
      <c r="FR19" s="15"/>
      <c r="FS19" s="15"/>
      <c r="FT19" s="15"/>
      <c r="FU19" s="15"/>
      <c r="FV19" s="15"/>
      <c r="FW19" s="15"/>
      <c r="FX19" s="15"/>
      <c r="FY19" s="15"/>
      <c r="FZ19" s="15"/>
      <c r="GA19" s="15"/>
      <c r="GB19" s="15"/>
      <c r="GC19" s="15"/>
      <c r="GD19" s="15"/>
      <c r="GE19" s="15"/>
      <c r="GF19" s="15"/>
      <c r="GG19" s="15"/>
      <c r="GH19" s="15"/>
      <c r="GI19" s="15"/>
      <c r="GJ19" s="15"/>
      <c r="GK19" s="15"/>
      <c r="GL19" s="15"/>
      <c r="GM19" s="15"/>
      <c r="GN19" s="15"/>
      <c r="GO19" s="15"/>
      <c r="GP19" s="15"/>
      <c r="GQ19" s="15"/>
      <c r="GR19" s="15"/>
      <c r="GS19" s="105">
        <f t="shared" si="13"/>
        <v>0</v>
      </c>
      <c r="GT19" s="48"/>
      <c r="GU19" s="15"/>
      <c r="GV19" s="15"/>
      <c r="GW19" s="15"/>
      <c r="GX19" s="15"/>
      <c r="GY19" s="15"/>
      <c r="GZ19" s="15"/>
      <c r="HA19" s="15"/>
      <c r="HB19" s="15"/>
      <c r="HC19" s="15"/>
      <c r="HD19" s="15"/>
      <c r="HE19" s="15"/>
    </row>
    <row r="20" ht="16.5" customHeight="1">
      <c r="A20" s="127" t="s">
        <v>253</v>
      </c>
      <c r="B20" s="108" t="s">
        <v>254</v>
      </c>
      <c r="C20" s="107" t="str">
        <f>iferror(vlookup(A20,'SoS - Agents Info'!A:AQ,43,false),"")</f>
        <v>NM</v>
      </c>
      <c r="D20" s="108" t="str">
        <f>iferror(vlookup(A20,'SoS - Agents Info'!A:H,6,false),"")</f>
        <v>WD</v>
      </c>
      <c r="E20" s="108" t="str">
        <f>iferror(vlookup(A20,'SoS - Agents Info'!A:H,7,false),"")</f>
        <v>00:00-09:00</v>
      </c>
      <c r="F20" s="109">
        <f>IFERROR(__xludf.DUMMYFUNCTION("sum(COUNTIFS(Filter(FILTER('Shiftplan SoS'!G$3:GU166,'Shiftplan SoS'!$G$1:$GU$1&lt;=today()),'Shiftplan SoS'!$A$3:$A166=A20),""&gt;0"",(Filter(FILTER('Shiftplan SoS'!G$3:GU166,'Shiftplan SoS'!$G$1:$GU$1&lt;=today()),'Shiftplan SoS'!$A$3:$A166=A20)),""&lt;12""))"),87.0)</f>
        <v>87</v>
      </c>
      <c r="G20" s="16" t="s">
        <v>165</v>
      </c>
      <c r="H20" s="16" t="s">
        <v>165</v>
      </c>
      <c r="I20" s="16">
        <v>8.0</v>
      </c>
      <c r="J20" s="16">
        <v>8.0</v>
      </c>
      <c r="K20" s="16">
        <v>8.0</v>
      </c>
      <c r="L20" s="16">
        <v>8.0</v>
      </c>
      <c r="M20" s="16">
        <v>8.0</v>
      </c>
      <c r="N20" s="16" t="s">
        <v>165</v>
      </c>
      <c r="O20" s="16" t="s">
        <v>165</v>
      </c>
      <c r="P20" s="16">
        <v>8.0</v>
      </c>
      <c r="Q20" s="16">
        <v>8.0</v>
      </c>
      <c r="R20" s="16">
        <v>8.0</v>
      </c>
      <c r="S20" s="16">
        <v>8.0</v>
      </c>
      <c r="T20" s="16">
        <v>8.0</v>
      </c>
      <c r="U20" s="16" t="s">
        <v>165</v>
      </c>
      <c r="V20" s="16" t="s">
        <v>165</v>
      </c>
      <c r="W20" s="16">
        <v>8.0</v>
      </c>
      <c r="X20" s="16">
        <v>8.0</v>
      </c>
      <c r="Y20" s="16">
        <v>8.0</v>
      </c>
      <c r="Z20" s="16">
        <v>8.0</v>
      </c>
      <c r="AA20" s="16">
        <v>8.0</v>
      </c>
      <c r="AB20" s="16" t="s">
        <v>165</v>
      </c>
      <c r="AC20" s="16" t="s">
        <v>165</v>
      </c>
      <c r="AD20" s="16">
        <v>8.0</v>
      </c>
      <c r="AE20" s="16">
        <v>8.0</v>
      </c>
      <c r="AF20" s="16">
        <v>8.0</v>
      </c>
      <c r="AG20" s="16">
        <v>8.0</v>
      </c>
      <c r="AH20" s="16">
        <v>8.0</v>
      </c>
      <c r="AI20" s="16" t="s">
        <v>165</v>
      </c>
      <c r="AJ20" s="16" t="s">
        <v>165</v>
      </c>
      <c r="AK20" s="70">
        <v>8.0</v>
      </c>
      <c r="AL20" s="105">
        <f t="shared" si="5"/>
        <v>168</v>
      </c>
      <c r="AM20" s="48"/>
      <c r="AN20" s="16">
        <v>8.0</v>
      </c>
      <c r="AO20" s="16">
        <v>8.0</v>
      </c>
      <c r="AP20" s="16">
        <v>8.0</v>
      </c>
      <c r="AQ20" s="16">
        <v>8.0</v>
      </c>
      <c r="AR20" s="16" t="s">
        <v>165</v>
      </c>
      <c r="AS20" s="16" t="s">
        <v>165</v>
      </c>
      <c r="AT20" s="16">
        <v>8.0</v>
      </c>
      <c r="AU20" s="16">
        <v>8.0</v>
      </c>
      <c r="AV20" s="16">
        <v>8.0</v>
      </c>
      <c r="AW20" s="16">
        <v>8.0</v>
      </c>
      <c r="AX20" s="16">
        <v>8.0</v>
      </c>
      <c r="AY20" s="16" t="s">
        <v>165</v>
      </c>
      <c r="AZ20" s="16" t="s">
        <v>165</v>
      </c>
      <c r="BA20" s="110">
        <v>8.0</v>
      </c>
      <c r="BB20" s="110">
        <v>8.0</v>
      </c>
      <c r="BC20" s="110">
        <v>8.0</v>
      </c>
      <c r="BD20" s="110">
        <v>8.0</v>
      </c>
      <c r="BE20" s="110">
        <v>8.0</v>
      </c>
      <c r="BF20" s="16" t="s">
        <v>165</v>
      </c>
      <c r="BG20" s="16" t="s">
        <v>165</v>
      </c>
      <c r="BH20" s="110">
        <v>8.0</v>
      </c>
      <c r="BI20" s="110">
        <v>8.0</v>
      </c>
      <c r="BJ20" s="16">
        <v>8.0</v>
      </c>
      <c r="BK20" s="110">
        <v>8.0</v>
      </c>
      <c r="BL20" s="110">
        <v>8.0</v>
      </c>
      <c r="BM20" s="16" t="s">
        <v>165</v>
      </c>
      <c r="BN20" s="16" t="s">
        <v>165</v>
      </c>
      <c r="BO20" s="16">
        <v>8.0</v>
      </c>
      <c r="BP20" s="16">
        <v>8.0</v>
      </c>
      <c r="BQ20" s="16">
        <v>8.0</v>
      </c>
      <c r="BR20" s="105">
        <f t="shared" si="11"/>
        <v>176</v>
      </c>
      <c r="BS20" s="48"/>
      <c r="BT20" s="64">
        <v>8.0</v>
      </c>
      <c r="BU20" s="64">
        <v>8.0</v>
      </c>
      <c r="BV20" s="114" t="s">
        <v>165</v>
      </c>
      <c r="BW20" s="114" t="s">
        <v>165</v>
      </c>
      <c r="BX20" s="64">
        <v>8.0</v>
      </c>
      <c r="BY20" s="64">
        <v>8.0</v>
      </c>
      <c r="BZ20" s="64">
        <v>8.0</v>
      </c>
      <c r="CA20" s="64">
        <v>8.0</v>
      </c>
      <c r="CB20" s="64">
        <v>8.0</v>
      </c>
      <c r="CC20" s="114" t="s">
        <v>165</v>
      </c>
      <c r="CD20" s="114" t="s">
        <v>165</v>
      </c>
      <c r="CE20" s="64">
        <v>8.0</v>
      </c>
      <c r="CF20" s="64">
        <v>8.0</v>
      </c>
      <c r="CG20" s="64">
        <v>8.0</v>
      </c>
      <c r="CH20" s="64">
        <v>8.0</v>
      </c>
      <c r="CI20" s="64">
        <v>8.0</v>
      </c>
      <c r="CJ20" s="114" t="s">
        <v>165</v>
      </c>
      <c r="CK20" s="114" t="s">
        <v>165</v>
      </c>
      <c r="CL20" s="64">
        <v>8.0</v>
      </c>
      <c r="CM20" s="64">
        <v>8.0</v>
      </c>
      <c r="CN20" s="64">
        <v>8.0</v>
      </c>
      <c r="CO20" s="64">
        <v>8.0</v>
      </c>
      <c r="CP20" s="25" t="s">
        <v>245</v>
      </c>
      <c r="CQ20" s="114" t="s">
        <v>165</v>
      </c>
      <c r="CR20" s="128">
        <v>8.0</v>
      </c>
      <c r="CS20" s="64">
        <v>8.0</v>
      </c>
      <c r="CT20" s="64">
        <v>8.0</v>
      </c>
      <c r="CU20" s="64">
        <v>8.0</v>
      </c>
      <c r="CV20" s="64">
        <v>8.0</v>
      </c>
      <c r="CW20" s="64">
        <v>8.0</v>
      </c>
      <c r="CX20" s="114" t="s">
        <v>165</v>
      </c>
      <c r="CY20" s="105">
        <f t="shared" si="7"/>
        <v>176</v>
      </c>
      <c r="CZ20" s="48"/>
      <c r="DA20" s="113" t="s">
        <v>165</v>
      </c>
      <c r="DB20" s="113">
        <v>8.0</v>
      </c>
      <c r="DC20" s="113">
        <v>8.0</v>
      </c>
      <c r="DD20" s="113">
        <v>8.0</v>
      </c>
      <c r="DE20" s="113">
        <v>8.0</v>
      </c>
      <c r="DF20" s="113">
        <v>8.0</v>
      </c>
      <c r="DG20" s="113" t="s">
        <v>165</v>
      </c>
      <c r="DH20" s="113" t="s">
        <v>165</v>
      </c>
      <c r="DI20" s="113">
        <v>8.0</v>
      </c>
      <c r="DJ20" s="113">
        <v>8.0</v>
      </c>
      <c r="DK20" s="113">
        <v>8.0</v>
      </c>
      <c r="DL20" s="113">
        <v>8.0</v>
      </c>
      <c r="DM20" s="113">
        <v>8.0</v>
      </c>
      <c r="DN20" s="113" t="s">
        <v>165</v>
      </c>
      <c r="DO20" s="113" t="s">
        <v>165</v>
      </c>
      <c r="DP20" s="113">
        <v>8.0</v>
      </c>
      <c r="DQ20" s="113">
        <v>8.0</v>
      </c>
      <c r="DR20" s="113">
        <v>8.0</v>
      </c>
      <c r="DS20" s="113">
        <v>8.0</v>
      </c>
      <c r="DT20" s="113">
        <v>8.0</v>
      </c>
      <c r="DU20" s="113" t="s">
        <v>165</v>
      </c>
      <c r="DV20" s="113" t="s">
        <v>165</v>
      </c>
      <c r="DW20" s="113">
        <v>8.0</v>
      </c>
      <c r="DX20" s="113">
        <v>8.0</v>
      </c>
      <c r="DY20" s="113">
        <v>8.0</v>
      </c>
      <c r="DZ20" s="113">
        <v>8.0</v>
      </c>
      <c r="EA20" s="113">
        <v>8.0</v>
      </c>
      <c r="EB20" s="113" t="s">
        <v>165</v>
      </c>
      <c r="EC20" s="113" t="s">
        <v>165</v>
      </c>
      <c r="ED20" s="113">
        <v>8.0</v>
      </c>
      <c r="EE20" s="113">
        <v>8.0</v>
      </c>
      <c r="EF20" s="113">
        <f t="shared" si="8"/>
        <v>176</v>
      </c>
      <c r="EG20" s="48"/>
      <c r="EH20" s="15"/>
      <c r="EI20" s="15"/>
      <c r="EJ20" s="15"/>
      <c r="EK20" s="15"/>
      <c r="EL20" s="15"/>
      <c r="EM20" s="15"/>
      <c r="EN20" s="15"/>
      <c r="EO20" s="15"/>
      <c r="EP20" s="15"/>
      <c r="EQ20" s="15"/>
      <c r="ER20" s="15"/>
      <c r="ES20" s="15"/>
      <c r="ET20" s="15"/>
      <c r="EU20" s="15"/>
      <c r="EV20" s="15"/>
      <c r="EW20" s="15"/>
      <c r="EX20" s="15"/>
      <c r="EY20" s="15"/>
      <c r="EZ20" s="15"/>
      <c r="FA20" s="15"/>
      <c r="FB20" s="15"/>
      <c r="FC20" s="15"/>
      <c r="FD20" s="15"/>
      <c r="FE20" s="15"/>
      <c r="FF20" s="15"/>
      <c r="FG20" s="15"/>
      <c r="FH20" s="15"/>
      <c r="FI20" s="15"/>
      <c r="FJ20" s="15"/>
      <c r="FK20" s="15"/>
      <c r="FL20" s="105">
        <f t="shared" si="12"/>
        <v>0</v>
      </c>
      <c r="FM20" s="48"/>
      <c r="FN20" s="15"/>
      <c r="FO20" s="15"/>
      <c r="FP20" s="15"/>
      <c r="FQ20" s="15"/>
      <c r="FR20" s="15"/>
      <c r="FS20" s="15"/>
      <c r="FT20" s="15"/>
      <c r="FU20" s="15"/>
      <c r="FV20" s="15"/>
      <c r="FW20" s="15"/>
      <c r="FX20" s="15"/>
      <c r="FY20" s="15"/>
      <c r="FZ20" s="15"/>
      <c r="GA20" s="15"/>
      <c r="GB20" s="15"/>
      <c r="GC20" s="15"/>
      <c r="GD20" s="15"/>
      <c r="GE20" s="15"/>
      <c r="GF20" s="15"/>
      <c r="GG20" s="15"/>
      <c r="GH20" s="15"/>
      <c r="GI20" s="15"/>
      <c r="GJ20" s="15"/>
      <c r="GK20" s="15"/>
      <c r="GL20" s="15"/>
      <c r="GM20" s="15"/>
      <c r="GN20" s="15"/>
      <c r="GO20" s="15"/>
      <c r="GP20" s="15"/>
      <c r="GQ20" s="15"/>
      <c r="GR20" s="15"/>
      <c r="GS20" s="105">
        <f t="shared" si="13"/>
        <v>0</v>
      </c>
      <c r="GT20" s="48"/>
      <c r="GU20" s="15"/>
      <c r="GV20" s="15"/>
      <c r="GW20" s="15"/>
      <c r="GX20" s="15"/>
      <c r="GY20" s="15"/>
      <c r="GZ20" s="15"/>
      <c r="HA20" s="15"/>
      <c r="HB20" s="15"/>
      <c r="HC20" s="15"/>
      <c r="HD20" s="15"/>
      <c r="HE20" s="15"/>
    </row>
    <row r="21" ht="16.5" customHeight="1">
      <c r="A21" s="127" t="s">
        <v>113</v>
      </c>
      <c r="B21" s="106" t="str">
        <f>iferror(vlookup(A21,'SoS - Agents Info'!A:H,5,false),"")</f>
        <v>EN</v>
      </c>
      <c r="C21" s="107" t="str">
        <f>iferror(vlookup(A21,'SoS - Agents Info'!A:AQ,43,false),"")</f>
        <v>JM</v>
      </c>
      <c r="D21" s="108" t="str">
        <f>iferror(vlookup(A21,'SoS - Agents Info'!A:H,6,false),"")</f>
        <v>WD</v>
      </c>
      <c r="E21" s="108" t="str">
        <f>iferror(vlookup(A21,'SoS - Agents Info'!A:H,7,false),"")</f>
        <v>08:00-17:00</v>
      </c>
      <c r="F21" s="109">
        <f>IFERROR(__xludf.DUMMYFUNCTION("sum(COUNTIFS(Filter(FILTER('Shiftplan SoS'!G$3:GU166,'Shiftplan SoS'!$G$1:$GU$1&lt;=today()),'Shiftplan SoS'!$A$3:$A166=A21),""&gt;0"",(Filter(FILTER('Shiftplan SoS'!G$3:GU166,'Shiftplan SoS'!$G$1:$GU$1&lt;=today()),'Shiftplan SoS'!$A$3:$A166=A21)),""&lt;12""))"),83.0)</f>
        <v>83</v>
      </c>
      <c r="G21" s="16" t="s">
        <v>165</v>
      </c>
      <c r="H21" s="16" t="s">
        <v>165</v>
      </c>
      <c r="I21" s="16">
        <v>8.0</v>
      </c>
      <c r="J21" s="16" t="s">
        <v>245</v>
      </c>
      <c r="K21" s="16" t="s">
        <v>245</v>
      </c>
      <c r="L21" s="16">
        <v>8.0</v>
      </c>
      <c r="M21" s="16">
        <v>8.0</v>
      </c>
      <c r="N21" s="16" t="s">
        <v>165</v>
      </c>
      <c r="O21" s="16" t="s">
        <v>165</v>
      </c>
      <c r="P21" s="16">
        <v>8.0</v>
      </c>
      <c r="Q21" s="16">
        <v>8.0</v>
      </c>
      <c r="R21" s="16">
        <v>8.0</v>
      </c>
      <c r="S21" s="16">
        <v>8.0</v>
      </c>
      <c r="T21" s="16">
        <v>8.0</v>
      </c>
      <c r="U21" s="16" t="s">
        <v>165</v>
      </c>
      <c r="V21" s="16" t="s">
        <v>165</v>
      </c>
      <c r="W21" s="16">
        <v>8.0</v>
      </c>
      <c r="X21" s="16">
        <v>9.0</v>
      </c>
      <c r="Y21" s="16">
        <v>8.0</v>
      </c>
      <c r="Z21" s="16">
        <v>9.0</v>
      </c>
      <c r="AA21" s="16">
        <v>9.0</v>
      </c>
      <c r="AB21" s="16" t="s">
        <v>165</v>
      </c>
      <c r="AC21" s="16" t="s">
        <v>165</v>
      </c>
      <c r="AD21" s="16">
        <v>9.0</v>
      </c>
      <c r="AE21" s="16">
        <v>9.0</v>
      </c>
      <c r="AF21" s="16">
        <v>9.0</v>
      </c>
      <c r="AG21" s="16">
        <v>9.0</v>
      </c>
      <c r="AH21" s="16">
        <v>9.0</v>
      </c>
      <c r="AI21" s="16" t="s">
        <v>165</v>
      </c>
      <c r="AJ21" s="16" t="s">
        <v>165</v>
      </c>
      <c r="AK21" s="70">
        <v>8.0</v>
      </c>
      <c r="AL21" s="105">
        <f t="shared" si="5"/>
        <v>160</v>
      </c>
      <c r="AM21" s="48"/>
      <c r="AN21" s="16">
        <v>8.0</v>
      </c>
      <c r="AO21" s="16">
        <v>8.0</v>
      </c>
      <c r="AP21" s="16">
        <v>8.0</v>
      </c>
      <c r="AQ21" s="16">
        <v>8.0</v>
      </c>
      <c r="AR21" s="16" t="s">
        <v>165</v>
      </c>
      <c r="AS21" s="16" t="s">
        <v>165</v>
      </c>
      <c r="AT21" s="16">
        <v>8.0</v>
      </c>
      <c r="AU21" s="16">
        <v>8.0</v>
      </c>
      <c r="AV21" s="16">
        <v>8.0</v>
      </c>
      <c r="AW21" s="16">
        <v>8.0</v>
      </c>
      <c r="AX21" s="16">
        <v>8.0</v>
      </c>
      <c r="AY21" s="16" t="s">
        <v>165</v>
      </c>
      <c r="AZ21" s="16" t="s">
        <v>165</v>
      </c>
      <c r="BA21" s="16">
        <v>8.0</v>
      </c>
      <c r="BB21" s="16">
        <v>8.0</v>
      </c>
      <c r="BC21" s="16">
        <v>8.0</v>
      </c>
      <c r="BD21" s="16">
        <v>8.0</v>
      </c>
      <c r="BE21" s="16">
        <v>8.0</v>
      </c>
      <c r="BF21" s="16" t="s">
        <v>165</v>
      </c>
      <c r="BG21" s="16" t="s">
        <v>165</v>
      </c>
      <c r="BH21" s="16">
        <v>8.0</v>
      </c>
      <c r="BI21" s="16">
        <v>8.0</v>
      </c>
      <c r="BJ21" s="16">
        <v>8.0</v>
      </c>
      <c r="BK21" s="16">
        <v>8.0</v>
      </c>
      <c r="BL21" s="16">
        <v>8.0</v>
      </c>
      <c r="BM21" s="16" t="s">
        <v>165</v>
      </c>
      <c r="BN21" s="16" t="s">
        <v>165</v>
      </c>
      <c r="BO21" s="16">
        <v>8.0</v>
      </c>
      <c r="BP21" s="16">
        <v>8.0</v>
      </c>
      <c r="BQ21" s="16">
        <v>8.0</v>
      </c>
      <c r="BR21" s="105">
        <f t="shared" si="11"/>
        <v>176</v>
      </c>
      <c r="BS21" s="48"/>
      <c r="BT21" s="64">
        <v>8.0</v>
      </c>
      <c r="BU21" s="64">
        <v>8.0</v>
      </c>
      <c r="BV21" s="114" t="s">
        <v>165</v>
      </c>
      <c r="BW21" s="114" t="s">
        <v>165</v>
      </c>
      <c r="BX21" s="64">
        <v>8.0</v>
      </c>
      <c r="BY21" s="64">
        <v>8.0</v>
      </c>
      <c r="BZ21" s="64">
        <v>8.0</v>
      </c>
      <c r="CA21" s="64">
        <v>8.0</v>
      </c>
      <c r="CB21" s="25" t="s">
        <v>171</v>
      </c>
      <c r="CC21" s="114" t="s">
        <v>165</v>
      </c>
      <c r="CD21" s="114" t="s">
        <v>165</v>
      </c>
      <c r="CE21" s="64">
        <v>8.0</v>
      </c>
      <c r="CF21" s="64">
        <v>8.0</v>
      </c>
      <c r="CG21" s="25">
        <v>5.5</v>
      </c>
      <c r="CH21" s="25">
        <v>8.5</v>
      </c>
      <c r="CI21" s="25">
        <v>8.5</v>
      </c>
      <c r="CJ21" s="114" t="s">
        <v>165</v>
      </c>
      <c r="CK21" s="114" t="s">
        <v>165</v>
      </c>
      <c r="CL21" s="25">
        <v>8.5</v>
      </c>
      <c r="CM21" s="25">
        <v>8.5</v>
      </c>
      <c r="CN21" s="25">
        <v>8.5</v>
      </c>
      <c r="CO21" s="25">
        <v>8.0</v>
      </c>
      <c r="CP21" s="64">
        <v>8.0</v>
      </c>
      <c r="CQ21" s="114" t="s">
        <v>165</v>
      </c>
      <c r="CR21" s="114" t="s">
        <v>165</v>
      </c>
      <c r="CS21" s="64">
        <v>8.0</v>
      </c>
      <c r="CT21" s="64">
        <v>8.0</v>
      </c>
      <c r="CU21" s="64">
        <v>8.0</v>
      </c>
      <c r="CV21" s="64">
        <v>8.0</v>
      </c>
      <c r="CW21" s="25" t="s">
        <v>245</v>
      </c>
      <c r="CX21" s="114" t="s">
        <v>165</v>
      </c>
      <c r="CY21" s="105">
        <f t="shared" si="7"/>
        <v>160</v>
      </c>
      <c r="CZ21" s="48"/>
      <c r="DA21" s="58"/>
      <c r="DB21" s="113">
        <v>8.0</v>
      </c>
      <c r="DC21" s="113">
        <v>8.0</v>
      </c>
      <c r="DD21" s="113">
        <v>8.0</v>
      </c>
      <c r="DE21" s="113">
        <v>8.0</v>
      </c>
      <c r="DF21" s="113">
        <v>8.0</v>
      </c>
      <c r="DG21" s="113" t="s">
        <v>165</v>
      </c>
      <c r="DH21" s="113" t="s">
        <v>165</v>
      </c>
      <c r="DI21" s="113">
        <v>8.0</v>
      </c>
      <c r="DJ21" s="113">
        <v>8.0</v>
      </c>
      <c r="DK21" s="113">
        <v>8.0</v>
      </c>
      <c r="DL21" s="113">
        <v>8.0</v>
      </c>
      <c r="DM21" s="113">
        <v>8.0</v>
      </c>
      <c r="DN21" s="113" t="s">
        <v>165</v>
      </c>
      <c r="DO21" s="113" t="s">
        <v>165</v>
      </c>
      <c r="DP21" s="113">
        <v>8.0</v>
      </c>
      <c r="DQ21" s="113">
        <v>8.0</v>
      </c>
      <c r="DR21" s="113">
        <v>8.0</v>
      </c>
      <c r="DS21" s="113">
        <v>8.0</v>
      </c>
      <c r="DT21" s="113">
        <v>8.0</v>
      </c>
      <c r="DU21" s="113" t="s">
        <v>165</v>
      </c>
      <c r="DV21" s="113" t="s">
        <v>165</v>
      </c>
      <c r="DW21" s="113">
        <v>8.0</v>
      </c>
      <c r="DX21" s="113">
        <v>8.0</v>
      </c>
      <c r="DY21" s="113">
        <v>8.0</v>
      </c>
      <c r="DZ21" s="113">
        <v>8.0</v>
      </c>
      <c r="EA21" s="113">
        <v>8.0</v>
      </c>
      <c r="EB21" s="113" t="s">
        <v>165</v>
      </c>
      <c r="EC21" s="113" t="s">
        <v>165</v>
      </c>
      <c r="ED21" s="113">
        <v>8.0</v>
      </c>
      <c r="EE21" s="113">
        <v>8.0</v>
      </c>
      <c r="EF21" s="113">
        <f t="shared" si="8"/>
        <v>176</v>
      </c>
      <c r="EG21" s="48"/>
      <c r="EH21" s="15"/>
      <c r="EI21" s="15"/>
      <c r="EJ21" s="15"/>
      <c r="EK21" s="15"/>
      <c r="EL21" s="15"/>
      <c r="EM21" s="15"/>
      <c r="EN21" s="15"/>
      <c r="EO21" s="15"/>
      <c r="EP21" s="15"/>
      <c r="EQ21" s="15"/>
      <c r="ER21" s="15"/>
      <c r="ES21" s="15"/>
      <c r="ET21" s="15"/>
      <c r="EU21" s="15"/>
      <c r="EV21" s="15"/>
      <c r="EW21" s="15"/>
      <c r="EX21" s="15"/>
      <c r="EY21" s="15"/>
      <c r="EZ21" s="15"/>
      <c r="FA21" s="15"/>
      <c r="FB21" s="15"/>
      <c r="FC21" s="15"/>
      <c r="FD21" s="15"/>
      <c r="FE21" s="15"/>
      <c r="FF21" s="15"/>
      <c r="FG21" s="15"/>
      <c r="FH21" s="15"/>
      <c r="FI21" s="15"/>
      <c r="FJ21" s="15"/>
      <c r="FK21" s="15"/>
      <c r="FL21" s="105">
        <f t="shared" si="12"/>
        <v>0</v>
      </c>
      <c r="FM21" s="48"/>
      <c r="FN21" s="15"/>
      <c r="FO21" s="15"/>
      <c r="FP21" s="15"/>
      <c r="FQ21" s="15"/>
      <c r="FR21" s="15"/>
      <c r="FS21" s="15"/>
      <c r="FT21" s="15"/>
      <c r="FU21" s="15"/>
      <c r="FV21" s="15"/>
      <c r="FW21" s="15"/>
      <c r="FX21" s="15"/>
      <c r="FY21" s="15"/>
      <c r="FZ21" s="15"/>
      <c r="GA21" s="15"/>
      <c r="GB21" s="15"/>
      <c r="GC21" s="15"/>
      <c r="GD21" s="15"/>
      <c r="GE21" s="15"/>
      <c r="GF21" s="15"/>
      <c r="GG21" s="15"/>
      <c r="GH21" s="15"/>
      <c r="GI21" s="15"/>
      <c r="GJ21" s="15"/>
      <c r="GK21" s="15"/>
      <c r="GL21" s="15"/>
      <c r="GM21" s="15"/>
      <c r="GN21" s="15"/>
      <c r="GO21" s="15"/>
      <c r="GP21" s="15"/>
      <c r="GQ21" s="15"/>
      <c r="GR21" s="15"/>
      <c r="GS21" s="105">
        <f t="shared" si="13"/>
        <v>0</v>
      </c>
      <c r="GT21" s="48"/>
      <c r="GU21" s="15"/>
      <c r="GV21" s="15"/>
      <c r="GW21" s="15"/>
      <c r="GX21" s="15"/>
      <c r="GY21" s="15"/>
      <c r="GZ21" s="15"/>
      <c r="HA21" s="15"/>
      <c r="HB21" s="15"/>
      <c r="HC21" s="15"/>
      <c r="HD21" s="15"/>
      <c r="HE21" s="15"/>
    </row>
    <row r="22" ht="16.5" customHeight="1">
      <c r="A22" s="102" t="s">
        <v>255</v>
      </c>
      <c r="B22" s="106" t="str">
        <f>iferror(vlookup(A22,'SoS - Agents Info'!A:H,5,false),"")</f>
        <v>EN</v>
      </c>
      <c r="C22" s="107" t="str">
        <f>iferror(vlookup(A22,'SoS - Agents Info'!A:AQ,43,false),"")</f>
        <v>JM</v>
      </c>
      <c r="D22" s="108" t="str">
        <f>iferror(vlookup(A22,'SoS - Agents Info'!A:H,6,false),"")</f>
        <v>WD</v>
      </c>
      <c r="E22" s="108" t="str">
        <f>iferror(vlookup(A22,'SoS - Agents Info'!A:H,7,false),"")</f>
        <v>07:00-16:00</v>
      </c>
      <c r="F22" s="109">
        <f>IFERROR(__xludf.DUMMYFUNCTION("sum(COUNTIFS(Filter(FILTER('Shiftplan SoS'!G$3:GU166,'Shiftplan SoS'!$G$1:$GU$1&lt;=today()),'Shiftplan SoS'!$A$3:$A166=A22),""&gt;0"",(Filter(FILTER('Shiftplan SoS'!G$3:GU166,'Shiftplan SoS'!$G$1:$GU$1&lt;=today()),'Shiftplan SoS'!$A$3:$A166=A22)),""&lt;12""))"),80.0)</f>
        <v>80</v>
      </c>
      <c r="G22" s="16" t="s">
        <v>165</v>
      </c>
      <c r="H22" s="16" t="s">
        <v>165</v>
      </c>
      <c r="I22" s="16">
        <v>8.0</v>
      </c>
      <c r="J22" s="16">
        <v>8.0</v>
      </c>
      <c r="K22" s="16">
        <v>8.0</v>
      </c>
      <c r="L22" s="16">
        <v>8.0</v>
      </c>
      <c r="M22" s="16">
        <v>8.0</v>
      </c>
      <c r="N22" s="16" t="s">
        <v>165</v>
      </c>
      <c r="O22" s="16" t="s">
        <v>165</v>
      </c>
      <c r="P22" s="16">
        <v>8.0</v>
      </c>
      <c r="Q22" s="16">
        <v>8.0</v>
      </c>
      <c r="R22" s="16" t="s">
        <v>245</v>
      </c>
      <c r="S22" s="16">
        <v>8.0</v>
      </c>
      <c r="T22" s="16">
        <v>8.0</v>
      </c>
      <c r="U22" s="16" t="s">
        <v>165</v>
      </c>
      <c r="V22" s="16" t="s">
        <v>165</v>
      </c>
      <c r="W22" s="16">
        <v>8.0</v>
      </c>
      <c r="X22" s="16">
        <v>8.0</v>
      </c>
      <c r="Y22" s="16">
        <v>8.0</v>
      </c>
      <c r="Z22" s="16">
        <v>8.0</v>
      </c>
      <c r="AA22" s="16">
        <v>8.0</v>
      </c>
      <c r="AB22" s="16" t="s">
        <v>165</v>
      </c>
      <c r="AC22" s="16" t="s">
        <v>165</v>
      </c>
      <c r="AD22" s="16">
        <v>8.0</v>
      </c>
      <c r="AE22" s="16">
        <v>8.0</v>
      </c>
      <c r="AF22" s="16">
        <v>2.5</v>
      </c>
      <c r="AG22" s="16">
        <v>8.0</v>
      </c>
      <c r="AH22" s="16">
        <v>8.0</v>
      </c>
      <c r="AI22" s="16" t="s">
        <v>165</v>
      </c>
      <c r="AJ22" s="16" t="s">
        <v>165</v>
      </c>
      <c r="AK22" s="125">
        <v>8.0</v>
      </c>
      <c r="AL22" s="105">
        <f t="shared" si="5"/>
        <v>154.5</v>
      </c>
      <c r="AM22" s="48"/>
      <c r="AN22" s="110">
        <v>8.0</v>
      </c>
      <c r="AO22" s="16">
        <v>8.0</v>
      </c>
      <c r="AP22" s="16" t="s">
        <v>171</v>
      </c>
      <c r="AQ22" s="16">
        <v>8.0</v>
      </c>
      <c r="AR22" s="16" t="s">
        <v>165</v>
      </c>
      <c r="AS22" s="16" t="s">
        <v>165</v>
      </c>
      <c r="AT22" s="16">
        <v>8.0</v>
      </c>
      <c r="AU22" s="16">
        <v>8.0</v>
      </c>
      <c r="AV22" s="16">
        <v>8.0</v>
      </c>
      <c r="AW22" s="16">
        <v>8.0</v>
      </c>
      <c r="AX22" s="16" t="s">
        <v>245</v>
      </c>
      <c r="AY22" s="16" t="s">
        <v>165</v>
      </c>
      <c r="AZ22" s="16" t="s">
        <v>165</v>
      </c>
      <c r="BA22" s="16">
        <v>8.0</v>
      </c>
      <c r="BB22" s="16">
        <v>8.0</v>
      </c>
      <c r="BC22" s="16">
        <v>8.0</v>
      </c>
      <c r="BD22" s="16">
        <v>8.0</v>
      </c>
      <c r="BE22" s="16">
        <v>8.0</v>
      </c>
      <c r="BF22" s="16" t="s">
        <v>165</v>
      </c>
      <c r="BG22" s="16" t="s">
        <v>165</v>
      </c>
      <c r="BH22" s="16">
        <v>8.0</v>
      </c>
      <c r="BI22" s="16">
        <v>8.0</v>
      </c>
      <c r="BJ22" s="16">
        <v>8.0</v>
      </c>
      <c r="BK22" s="16">
        <v>8.0</v>
      </c>
      <c r="BL22" s="16">
        <v>8.0</v>
      </c>
      <c r="BM22" s="16" t="s">
        <v>165</v>
      </c>
      <c r="BN22" s="16" t="s">
        <v>165</v>
      </c>
      <c r="BO22" s="16" t="s">
        <v>245</v>
      </c>
      <c r="BP22" s="16">
        <v>8.0</v>
      </c>
      <c r="BQ22" s="16">
        <v>8.0</v>
      </c>
      <c r="BR22" s="105">
        <f t="shared" si="11"/>
        <v>152</v>
      </c>
      <c r="BS22" s="48"/>
      <c r="BT22" s="25">
        <v>4.0</v>
      </c>
      <c r="BU22" s="64">
        <v>8.0</v>
      </c>
      <c r="BV22" s="114" t="s">
        <v>165</v>
      </c>
      <c r="BW22" s="114" t="s">
        <v>165</v>
      </c>
      <c r="BX22" s="25">
        <v>10.0</v>
      </c>
      <c r="BY22" s="25">
        <v>10.0</v>
      </c>
      <c r="BZ22" s="64">
        <v>8.0</v>
      </c>
      <c r="CA22" s="64">
        <v>8.0</v>
      </c>
      <c r="CB22" s="25" t="s">
        <v>171</v>
      </c>
      <c r="CC22" s="114" t="s">
        <v>165</v>
      </c>
      <c r="CD22" s="114" t="s">
        <v>165</v>
      </c>
      <c r="CE22" s="64">
        <v>8.0</v>
      </c>
      <c r="CF22" s="64">
        <v>8.0</v>
      </c>
      <c r="CG22" s="64">
        <v>8.0</v>
      </c>
      <c r="CH22" s="64">
        <v>8.0</v>
      </c>
      <c r="CI22" s="25">
        <v>8.0</v>
      </c>
      <c r="CJ22" s="114" t="s">
        <v>165</v>
      </c>
      <c r="CK22" s="114" t="s">
        <v>165</v>
      </c>
      <c r="CL22" s="64">
        <v>8.0</v>
      </c>
      <c r="CM22" s="64">
        <v>8.0</v>
      </c>
      <c r="CN22" s="64">
        <v>8.0</v>
      </c>
      <c r="CO22" s="64">
        <v>8.0</v>
      </c>
      <c r="CP22" s="64">
        <v>8.0</v>
      </c>
      <c r="CQ22" s="114" t="s">
        <v>165</v>
      </c>
      <c r="CR22" s="114" t="s">
        <v>165</v>
      </c>
      <c r="CS22" s="64">
        <v>8.0</v>
      </c>
      <c r="CT22" s="25" t="s">
        <v>245</v>
      </c>
      <c r="CU22" s="64">
        <v>8.0</v>
      </c>
      <c r="CV22" s="64">
        <v>8.0</v>
      </c>
      <c r="CW22" s="64">
        <v>8.0</v>
      </c>
      <c r="CX22" s="114" t="s">
        <v>165</v>
      </c>
      <c r="CY22" s="105">
        <f t="shared" si="7"/>
        <v>160</v>
      </c>
      <c r="CZ22" s="48"/>
      <c r="DA22" s="113" t="s">
        <v>165</v>
      </c>
      <c r="DB22" s="113">
        <v>8.0</v>
      </c>
      <c r="DC22" s="113">
        <v>8.0</v>
      </c>
      <c r="DD22" s="113">
        <v>8.0</v>
      </c>
      <c r="DE22" s="113">
        <v>8.0</v>
      </c>
      <c r="DF22" s="113">
        <v>8.0</v>
      </c>
      <c r="DG22" s="113" t="s">
        <v>165</v>
      </c>
      <c r="DH22" s="113" t="s">
        <v>165</v>
      </c>
      <c r="DI22" s="113">
        <v>8.0</v>
      </c>
      <c r="DJ22" s="113">
        <v>8.0</v>
      </c>
      <c r="DK22" s="113">
        <v>8.0</v>
      </c>
      <c r="DL22" s="113">
        <v>8.0</v>
      </c>
      <c r="DM22" s="113">
        <v>8.0</v>
      </c>
      <c r="DN22" s="113" t="s">
        <v>165</v>
      </c>
      <c r="DO22" s="113" t="s">
        <v>165</v>
      </c>
      <c r="DP22" s="113">
        <v>8.0</v>
      </c>
      <c r="DQ22" s="113">
        <v>8.0</v>
      </c>
      <c r="DR22" s="113">
        <v>8.0</v>
      </c>
      <c r="DS22" s="113">
        <v>8.0</v>
      </c>
      <c r="DT22" s="113">
        <v>8.0</v>
      </c>
      <c r="DU22" s="113" t="s">
        <v>165</v>
      </c>
      <c r="DV22" s="113" t="s">
        <v>165</v>
      </c>
      <c r="DW22" s="58" t="s">
        <v>167</v>
      </c>
      <c r="DX22" s="113">
        <v>8.0</v>
      </c>
      <c r="DY22" s="113">
        <v>8.0</v>
      </c>
      <c r="DZ22" s="113">
        <v>8.0</v>
      </c>
      <c r="EA22" s="113">
        <v>8.0</v>
      </c>
      <c r="EB22" s="113" t="s">
        <v>165</v>
      </c>
      <c r="EC22" s="113" t="s">
        <v>165</v>
      </c>
      <c r="ED22" s="113">
        <v>8.0</v>
      </c>
      <c r="EE22" s="113">
        <v>8.0</v>
      </c>
      <c r="EF22" s="113">
        <f t="shared" si="8"/>
        <v>168</v>
      </c>
      <c r="EG22" s="48"/>
      <c r="EH22" s="15"/>
      <c r="EI22" s="15"/>
      <c r="EJ22" s="15"/>
      <c r="EK22" s="15"/>
      <c r="EL22" s="15"/>
      <c r="EM22" s="15"/>
      <c r="EN22" s="15"/>
      <c r="EO22" s="15"/>
      <c r="EP22" s="15"/>
      <c r="EQ22" s="15"/>
      <c r="ER22" s="15"/>
      <c r="ES22" s="15"/>
      <c r="ET22" s="15"/>
      <c r="EU22" s="15"/>
      <c r="EV22" s="15"/>
      <c r="EW22" s="15"/>
      <c r="EX22" s="15"/>
      <c r="EY22" s="15"/>
      <c r="EZ22" s="15"/>
      <c r="FA22" s="15"/>
      <c r="FB22" s="15"/>
      <c r="FC22" s="15"/>
      <c r="FD22" s="15"/>
      <c r="FE22" s="15"/>
      <c r="FF22" s="15"/>
      <c r="FG22" s="15"/>
      <c r="FH22" s="15"/>
      <c r="FI22" s="15"/>
      <c r="FJ22" s="15"/>
      <c r="FK22" s="15"/>
      <c r="FL22" s="105">
        <f t="shared" si="12"/>
        <v>0</v>
      </c>
      <c r="FM22" s="48"/>
      <c r="FN22" s="15"/>
      <c r="FO22" s="15"/>
      <c r="FP22" s="15"/>
      <c r="FQ22" s="15"/>
      <c r="FR22" s="15"/>
      <c r="FS22" s="15"/>
      <c r="FT22" s="15"/>
      <c r="FU22" s="15"/>
      <c r="FV22" s="15"/>
      <c r="FW22" s="15"/>
      <c r="FX22" s="15"/>
      <c r="FY22" s="15"/>
      <c r="FZ22" s="15"/>
      <c r="GA22" s="15"/>
      <c r="GB22" s="15"/>
      <c r="GC22" s="15"/>
      <c r="GD22" s="15"/>
      <c r="GE22" s="15"/>
      <c r="GF22" s="15"/>
      <c r="GG22" s="15"/>
      <c r="GH22" s="15"/>
      <c r="GI22" s="15"/>
      <c r="GJ22" s="15"/>
      <c r="GK22" s="15"/>
      <c r="GL22" s="15"/>
      <c r="GM22" s="15"/>
      <c r="GN22" s="15"/>
      <c r="GO22" s="15"/>
      <c r="GP22" s="15"/>
      <c r="GQ22" s="15"/>
      <c r="GR22" s="15"/>
      <c r="GS22" s="105">
        <f t="shared" si="13"/>
        <v>0</v>
      </c>
      <c r="GT22" s="48"/>
      <c r="GU22" s="15"/>
      <c r="GV22" s="15"/>
      <c r="GW22" s="15"/>
      <c r="GX22" s="15"/>
      <c r="GY22" s="15"/>
      <c r="GZ22" s="15"/>
      <c r="HA22" s="15"/>
      <c r="HB22" s="15"/>
      <c r="HC22" s="15"/>
      <c r="HD22" s="15"/>
      <c r="HE22" s="15"/>
    </row>
    <row r="23" ht="16.5" customHeight="1">
      <c r="A23" s="102" t="s">
        <v>146</v>
      </c>
      <c r="B23" s="106" t="str">
        <f>iferror(vlookup(A23,'SoS - Agents Info'!A:H,5,false),"")</f>
        <v>EN</v>
      </c>
      <c r="C23" s="107" t="str">
        <f>iferror(vlookup(A23,'SoS - Agents Info'!A:AQ,43,false),"")</f>
        <v>RA+VM</v>
      </c>
      <c r="D23" s="108" t="str">
        <f>iferror(vlookup(A23,'SoS - Agents Info'!A:H,6,false),"")</f>
        <v>WD</v>
      </c>
      <c r="E23" s="108" t="str">
        <f>iferror(vlookup(A23,'SoS - Agents Info'!A:H,7,false),"")</f>
        <v>16:00-01:00</v>
      </c>
      <c r="F23" s="109">
        <f>IFERROR(__xludf.DUMMYFUNCTION("sum(COUNTIFS(Filter(FILTER('Shiftplan SoS'!G$3:GU166,'Shiftplan SoS'!$G$1:$GU$1&lt;=today()),'Shiftplan SoS'!$A$3:$A166=A23),""&gt;0"",(Filter(FILTER('Shiftplan SoS'!G$3:GU166,'Shiftplan SoS'!$G$1:$GU$1&lt;=today()),'Shiftplan SoS'!$A$3:$A166=A23)),""&lt;12""))"),83.0)</f>
        <v>83</v>
      </c>
      <c r="G23" s="16" t="s">
        <v>165</v>
      </c>
      <c r="H23" s="16" t="s">
        <v>165</v>
      </c>
      <c r="I23" s="16">
        <v>8.0</v>
      </c>
      <c r="J23" s="16">
        <v>8.0</v>
      </c>
      <c r="K23" s="16">
        <v>8.0</v>
      </c>
      <c r="L23" s="16">
        <v>8.0</v>
      </c>
      <c r="M23" s="16">
        <v>8.0</v>
      </c>
      <c r="N23" s="16" t="s">
        <v>165</v>
      </c>
      <c r="O23" s="16" t="s">
        <v>165</v>
      </c>
      <c r="P23" s="16">
        <v>8.0</v>
      </c>
      <c r="Q23" s="16">
        <v>8.0</v>
      </c>
      <c r="R23" s="16">
        <v>8.0</v>
      </c>
      <c r="S23" s="16">
        <v>8.0</v>
      </c>
      <c r="T23" s="16">
        <v>8.0</v>
      </c>
      <c r="U23" s="16" t="s">
        <v>165</v>
      </c>
      <c r="V23" s="16" t="s">
        <v>165</v>
      </c>
      <c r="W23" s="16">
        <v>8.0</v>
      </c>
      <c r="X23" s="16">
        <v>8.0</v>
      </c>
      <c r="Y23" s="16">
        <v>8.0</v>
      </c>
      <c r="Z23" s="16">
        <v>8.0</v>
      </c>
      <c r="AA23" s="16" t="s">
        <v>245</v>
      </c>
      <c r="AB23" s="16" t="s">
        <v>165</v>
      </c>
      <c r="AC23" s="16" t="s">
        <v>165</v>
      </c>
      <c r="AD23" s="16">
        <v>8.0</v>
      </c>
      <c r="AE23" s="16">
        <v>8.0</v>
      </c>
      <c r="AF23" s="16">
        <v>8.0</v>
      </c>
      <c r="AG23" s="16">
        <v>8.0</v>
      </c>
      <c r="AH23" s="16">
        <v>8.0</v>
      </c>
      <c r="AI23" s="16" t="s">
        <v>165</v>
      </c>
      <c r="AJ23" s="16" t="s">
        <v>165</v>
      </c>
      <c r="AK23" s="70">
        <v>8.0</v>
      </c>
      <c r="AL23" s="105">
        <f t="shared" si="5"/>
        <v>160</v>
      </c>
      <c r="AM23" s="48"/>
      <c r="AN23" s="16">
        <v>8.0</v>
      </c>
      <c r="AO23" s="16">
        <v>8.0</v>
      </c>
      <c r="AP23" s="16" t="s">
        <v>171</v>
      </c>
      <c r="AQ23" s="16">
        <v>8.0</v>
      </c>
      <c r="AR23" s="16" t="s">
        <v>165</v>
      </c>
      <c r="AS23" s="16" t="s">
        <v>165</v>
      </c>
      <c r="AT23" s="16">
        <v>8.0</v>
      </c>
      <c r="AU23" s="16">
        <v>8.0</v>
      </c>
      <c r="AV23" s="16">
        <v>8.0</v>
      </c>
      <c r="AW23" s="16">
        <v>8.0</v>
      </c>
      <c r="AX23" s="16">
        <v>8.0</v>
      </c>
      <c r="AY23" s="16" t="s">
        <v>165</v>
      </c>
      <c r="AZ23" s="16" t="s">
        <v>165</v>
      </c>
      <c r="BA23" s="16">
        <v>8.0</v>
      </c>
      <c r="BB23" s="16">
        <v>8.0</v>
      </c>
      <c r="BC23" s="16">
        <v>8.0</v>
      </c>
      <c r="BD23" s="16">
        <v>8.0</v>
      </c>
      <c r="BE23" s="16">
        <v>8.0</v>
      </c>
      <c r="BF23" s="16" t="s">
        <v>165</v>
      </c>
      <c r="BG23" s="16" t="s">
        <v>165</v>
      </c>
      <c r="BH23" s="16">
        <v>8.0</v>
      </c>
      <c r="BI23" s="16">
        <v>8.0</v>
      </c>
      <c r="BJ23" s="16">
        <v>8.0</v>
      </c>
      <c r="BK23" s="16">
        <v>8.0</v>
      </c>
      <c r="BL23" s="16">
        <v>8.0</v>
      </c>
      <c r="BM23" s="16" t="s">
        <v>165</v>
      </c>
      <c r="BN23" s="16" t="s">
        <v>165</v>
      </c>
      <c r="BO23" s="110">
        <v>8.0</v>
      </c>
      <c r="BP23" s="110">
        <v>8.0</v>
      </c>
      <c r="BQ23" s="110">
        <v>8.0</v>
      </c>
      <c r="BR23" s="105">
        <f t="shared" si="11"/>
        <v>168</v>
      </c>
      <c r="BS23" s="48"/>
      <c r="BT23" s="121">
        <v>8.0</v>
      </c>
      <c r="BU23" s="121">
        <v>8.0</v>
      </c>
      <c r="BV23" s="114" t="s">
        <v>165</v>
      </c>
      <c r="BW23" s="114" t="s">
        <v>165</v>
      </c>
      <c r="BX23" s="121">
        <v>8.0</v>
      </c>
      <c r="BY23" s="121">
        <v>8.0</v>
      </c>
      <c r="BZ23" s="121">
        <v>8.0</v>
      </c>
      <c r="CA23" s="121">
        <v>8.0</v>
      </c>
      <c r="CB23" s="25" t="s">
        <v>171</v>
      </c>
      <c r="CC23" s="114" t="s">
        <v>165</v>
      </c>
      <c r="CD23" s="114" t="s">
        <v>165</v>
      </c>
      <c r="CE23" s="121">
        <v>8.0</v>
      </c>
      <c r="CF23" s="121">
        <v>8.0</v>
      </c>
      <c r="CG23" s="121">
        <v>8.0</v>
      </c>
      <c r="CH23" s="121">
        <v>8.0</v>
      </c>
      <c r="CI23" s="25" t="s">
        <v>167</v>
      </c>
      <c r="CJ23" s="114" t="s">
        <v>165</v>
      </c>
      <c r="CK23" s="114" t="s">
        <v>165</v>
      </c>
      <c r="CL23" s="121">
        <v>8.0</v>
      </c>
      <c r="CM23" s="121">
        <v>8.0</v>
      </c>
      <c r="CN23" s="121">
        <v>8.0</v>
      </c>
      <c r="CO23" s="121">
        <v>8.0</v>
      </c>
      <c r="CP23" s="121">
        <v>8.0</v>
      </c>
      <c r="CQ23" s="114" t="s">
        <v>165</v>
      </c>
      <c r="CR23" s="114" t="s">
        <v>165</v>
      </c>
      <c r="CS23" s="121">
        <v>8.0</v>
      </c>
      <c r="CT23" s="121">
        <v>8.0</v>
      </c>
      <c r="CU23" s="121">
        <v>8.0</v>
      </c>
      <c r="CV23" s="121">
        <v>8.0</v>
      </c>
      <c r="CW23" s="121">
        <v>8.0</v>
      </c>
      <c r="CX23" s="114" t="s">
        <v>165</v>
      </c>
      <c r="CY23" s="105">
        <f t="shared" si="7"/>
        <v>160</v>
      </c>
      <c r="CZ23" s="48"/>
      <c r="DA23" s="113" t="s">
        <v>165</v>
      </c>
      <c r="DB23" s="123">
        <v>8.0</v>
      </c>
      <c r="DC23" s="123">
        <v>8.0</v>
      </c>
      <c r="DD23" s="123">
        <v>8.0</v>
      </c>
      <c r="DE23" s="123">
        <v>8.0</v>
      </c>
      <c r="DF23" s="123">
        <v>8.0</v>
      </c>
      <c r="DG23" s="113" t="s">
        <v>165</v>
      </c>
      <c r="DH23" s="113" t="s">
        <v>165</v>
      </c>
      <c r="DI23" s="123">
        <v>8.0</v>
      </c>
      <c r="DJ23" s="123">
        <v>8.0</v>
      </c>
      <c r="DK23" s="123">
        <v>8.0</v>
      </c>
      <c r="DL23" s="123">
        <v>8.0</v>
      </c>
      <c r="DM23" s="123">
        <v>8.0</v>
      </c>
      <c r="DN23" s="113" t="s">
        <v>165</v>
      </c>
      <c r="DO23" s="113" t="s">
        <v>165</v>
      </c>
      <c r="DP23" s="123">
        <v>8.0</v>
      </c>
      <c r="DQ23" s="123">
        <v>8.0</v>
      </c>
      <c r="DR23" s="123">
        <v>8.0</v>
      </c>
      <c r="DS23" s="123">
        <v>8.0</v>
      </c>
      <c r="DT23" s="123">
        <v>8.0</v>
      </c>
      <c r="DU23" s="113" t="s">
        <v>165</v>
      </c>
      <c r="DV23" s="113" t="s">
        <v>165</v>
      </c>
      <c r="DW23" s="123">
        <v>8.0</v>
      </c>
      <c r="DX23" s="123">
        <v>8.0</v>
      </c>
      <c r="DY23" s="113">
        <v>8.0</v>
      </c>
      <c r="DZ23" s="113">
        <v>8.0</v>
      </c>
      <c r="EA23" s="123">
        <v>8.0</v>
      </c>
      <c r="EB23" s="113" t="s">
        <v>165</v>
      </c>
      <c r="EC23" s="113" t="s">
        <v>165</v>
      </c>
      <c r="ED23" s="113">
        <v>8.0</v>
      </c>
      <c r="EE23" s="113">
        <v>8.0</v>
      </c>
      <c r="EF23" s="113">
        <f t="shared" si="8"/>
        <v>176</v>
      </c>
      <c r="EG23" s="48"/>
      <c r="EH23" s="15"/>
      <c r="EI23" s="15"/>
      <c r="EJ23" s="15"/>
      <c r="EK23" s="15"/>
      <c r="EL23" s="15"/>
      <c r="EM23" s="15"/>
      <c r="EN23" s="15"/>
      <c r="EO23" s="15"/>
      <c r="EP23" s="15"/>
      <c r="EQ23" s="15"/>
      <c r="ER23" s="15"/>
      <c r="ES23" s="15"/>
      <c r="ET23" s="15"/>
      <c r="EU23" s="15"/>
      <c r="EV23" s="15"/>
      <c r="EW23" s="15"/>
      <c r="EX23" s="15"/>
      <c r="EY23" s="15"/>
      <c r="EZ23" s="15"/>
      <c r="FA23" s="15"/>
      <c r="FB23" s="15"/>
      <c r="FC23" s="15"/>
      <c r="FD23" s="15"/>
      <c r="FE23" s="15"/>
      <c r="FF23" s="15"/>
      <c r="FG23" s="15"/>
      <c r="FH23" s="15"/>
      <c r="FI23" s="15"/>
      <c r="FJ23" s="15"/>
      <c r="FK23" s="15"/>
      <c r="FL23" s="105">
        <f t="shared" si="12"/>
        <v>0</v>
      </c>
      <c r="FM23" s="48"/>
      <c r="FN23" s="15"/>
      <c r="FO23" s="15"/>
      <c r="FP23" s="15"/>
      <c r="FQ23" s="15"/>
      <c r="FR23" s="15"/>
      <c r="FS23" s="15"/>
      <c r="FT23" s="15"/>
      <c r="FU23" s="15"/>
      <c r="FV23" s="15"/>
      <c r="FW23" s="15"/>
      <c r="FX23" s="15"/>
      <c r="FY23" s="15"/>
      <c r="FZ23" s="15"/>
      <c r="GA23" s="15"/>
      <c r="GB23" s="15"/>
      <c r="GC23" s="15"/>
      <c r="GD23" s="15"/>
      <c r="GE23" s="15"/>
      <c r="GF23" s="15"/>
      <c r="GG23" s="15"/>
      <c r="GH23" s="15"/>
      <c r="GI23" s="15"/>
      <c r="GJ23" s="15"/>
      <c r="GK23" s="15"/>
      <c r="GL23" s="15"/>
      <c r="GM23" s="15"/>
      <c r="GN23" s="15"/>
      <c r="GO23" s="15"/>
      <c r="GP23" s="15"/>
      <c r="GQ23" s="15"/>
      <c r="GR23" s="15"/>
      <c r="GS23" s="105">
        <f t="shared" si="13"/>
        <v>0</v>
      </c>
      <c r="GT23" s="48"/>
      <c r="GU23" s="15"/>
      <c r="GV23" s="15"/>
      <c r="GW23" s="15"/>
      <c r="GX23" s="15"/>
      <c r="GY23" s="15"/>
      <c r="GZ23" s="15"/>
      <c r="HA23" s="15"/>
      <c r="HB23" s="15"/>
      <c r="HC23" s="15"/>
      <c r="HD23" s="15"/>
      <c r="HE23" s="15"/>
    </row>
    <row r="24" ht="16.5" customHeight="1">
      <c r="A24" s="101" t="s">
        <v>127</v>
      </c>
      <c r="B24" s="108" t="s">
        <v>254</v>
      </c>
      <c r="C24" s="107" t="str">
        <f>iferror(vlookup(A24,'SoS - Agents Info'!A:AQ,43,false),"")</f>
        <v>ZR</v>
      </c>
      <c r="D24" s="108" t="str">
        <f>iferror(vlookup(A24,'SoS - Agents Info'!A:H,6,false),"")</f>
        <v>WD </v>
      </c>
      <c r="E24" s="108" t="str">
        <f>iferror(vlookup(A24,'SoS - Agents Info'!A:H,7,false),"")</f>
        <v>07:00-16:00</v>
      </c>
      <c r="F24" s="109">
        <f>IFERROR(__xludf.DUMMYFUNCTION("sum(COUNTIFS(Filter(FILTER('Shiftplan SoS'!G$3:GU166,'Shiftplan SoS'!$G$1:$GU$1&lt;=today()),'Shiftplan SoS'!$A$3:$A166=A24),""&gt;0"",(Filter(FILTER('Shiftplan SoS'!G$3:GU166,'Shiftplan SoS'!$G$1:$GU$1&lt;=today()),'Shiftplan SoS'!$A$3:$A166=A24)),""&lt;12""))"),81.0)</f>
        <v>81</v>
      </c>
      <c r="G24" s="16" t="s">
        <v>165</v>
      </c>
      <c r="H24" s="16" t="s">
        <v>165</v>
      </c>
      <c r="I24" s="16"/>
      <c r="J24" s="16">
        <v>8.0</v>
      </c>
      <c r="K24" s="16">
        <v>8.0</v>
      </c>
      <c r="L24" s="16">
        <v>8.0</v>
      </c>
      <c r="M24" s="16">
        <v>8.0</v>
      </c>
      <c r="N24" s="16" t="s">
        <v>165</v>
      </c>
      <c r="O24" s="16" t="s">
        <v>165</v>
      </c>
      <c r="P24" s="16">
        <v>8.0</v>
      </c>
      <c r="Q24" s="16">
        <v>8.0</v>
      </c>
      <c r="R24" s="16">
        <v>8.0</v>
      </c>
      <c r="S24" s="16">
        <v>8.0</v>
      </c>
      <c r="T24" s="16">
        <v>8.0</v>
      </c>
      <c r="U24" s="16" t="s">
        <v>165</v>
      </c>
      <c r="V24" s="16" t="s">
        <v>165</v>
      </c>
      <c r="W24" s="16">
        <v>8.0</v>
      </c>
      <c r="X24" s="16">
        <v>8.0</v>
      </c>
      <c r="Y24" s="16">
        <v>8.0</v>
      </c>
      <c r="Z24" s="16">
        <v>8.0</v>
      </c>
      <c r="AA24" s="16">
        <v>8.0</v>
      </c>
      <c r="AB24" s="16" t="s">
        <v>165</v>
      </c>
      <c r="AC24" s="16" t="s">
        <v>165</v>
      </c>
      <c r="AD24" s="16">
        <v>8.0</v>
      </c>
      <c r="AE24" s="16">
        <v>8.0</v>
      </c>
      <c r="AF24" s="16">
        <v>8.0</v>
      </c>
      <c r="AG24" s="16">
        <v>8.0</v>
      </c>
      <c r="AH24" s="16">
        <v>8.0</v>
      </c>
      <c r="AI24" s="16" t="s">
        <v>165</v>
      </c>
      <c r="AJ24" s="16" t="s">
        <v>165</v>
      </c>
      <c r="AK24" s="125">
        <v>8.0</v>
      </c>
      <c r="AL24" s="105">
        <f t="shared" si="5"/>
        <v>160</v>
      </c>
      <c r="AM24" s="48"/>
      <c r="AN24" s="110">
        <v>8.0</v>
      </c>
      <c r="AO24" s="16">
        <v>8.0</v>
      </c>
      <c r="AP24" s="16">
        <v>8.0</v>
      </c>
      <c r="AQ24" s="16">
        <v>8.0</v>
      </c>
      <c r="AR24" s="16" t="s">
        <v>165</v>
      </c>
      <c r="AS24" s="16" t="s">
        <v>165</v>
      </c>
      <c r="AT24" s="16">
        <v>8.0</v>
      </c>
      <c r="AU24" s="16">
        <v>8.0</v>
      </c>
      <c r="AV24" s="16">
        <v>8.0</v>
      </c>
      <c r="AW24" s="16">
        <v>8.0</v>
      </c>
      <c r="AX24" s="16">
        <v>8.0</v>
      </c>
      <c r="AY24" s="16" t="s">
        <v>165</v>
      </c>
      <c r="AZ24" s="16" t="s">
        <v>165</v>
      </c>
      <c r="BA24" s="16">
        <v>8.0</v>
      </c>
      <c r="BB24" s="16">
        <v>8.0</v>
      </c>
      <c r="BC24" s="16">
        <v>8.0</v>
      </c>
      <c r="BD24" s="16">
        <v>8.0</v>
      </c>
      <c r="BE24" s="16">
        <v>8.0</v>
      </c>
      <c r="BF24" s="16" t="s">
        <v>165</v>
      </c>
      <c r="BG24" s="16" t="s">
        <v>165</v>
      </c>
      <c r="BH24" s="16">
        <v>8.0</v>
      </c>
      <c r="BI24" s="16">
        <v>8.0</v>
      </c>
      <c r="BJ24" s="16">
        <v>8.0</v>
      </c>
      <c r="BK24" s="16">
        <v>8.0</v>
      </c>
      <c r="BL24" s="16">
        <v>8.0</v>
      </c>
      <c r="BM24" s="16" t="s">
        <v>165</v>
      </c>
      <c r="BN24" s="16" t="s">
        <v>165</v>
      </c>
      <c r="BO24" s="16">
        <v>8.0</v>
      </c>
      <c r="BP24" s="16">
        <v>8.0</v>
      </c>
      <c r="BQ24" s="16">
        <v>8.0</v>
      </c>
      <c r="BR24" s="105">
        <f t="shared" si="11"/>
        <v>176</v>
      </c>
      <c r="BS24" s="48"/>
      <c r="BT24" s="16">
        <v>8.0</v>
      </c>
      <c r="BU24" s="16">
        <v>8.0</v>
      </c>
      <c r="BV24" s="16" t="s">
        <v>165</v>
      </c>
      <c r="BW24" s="16" t="s">
        <v>165</v>
      </c>
      <c r="BX24" s="16" t="s">
        <v>245</v>
      </c>
      <c r="BY24" s="16" t="s">
        <v>245</v>
      </c>
      <c r="BZ24" s="16" t="s">
        <v>245</v>
      </c>
      <c r="CA24" s="16" t="s">
        <v>245</v>
      </c>
      <c r="CB24" s="16" t="s">
        <v>245</v>
      </c>
      <c r="CC24" s="16" t="s">
        <v>165</v>
      </c>
      <c r="CD24" s="16" t="s">
        <v>165</v>
      </c>
      <c r="CE24" s="64">
        <v>8.0</v>
      </c>
      <c r="CF24" s="64">
        <v>8.0</v>
      </c>
      <c r="CG24" s="64">
        <v>8.0</v>
      </c>
      <c r="CH24" s="64">
        <v>8.0</v>
      </c>
      <c r="CI24" s="64">
        <v>8.0</v>
      </c>
      <c r="CJ24" s="114" t="s">
        <v>165</v>
      </c>
      <c r="CK24" s="114" t="s">
        <v>165</v>
      </c>
      <c r="CL24" s="64">
        <v>8.0</v>
      </c>
      <c r="CM24" s="64">
        <v>8.0</v>
      </c>
      <c r="CN24" s="64">
        <v>8.0</v>
      </c>
      <c r="CO24" s="64">
        <v>8.0</v>
      </c>
      <c r="CP24" s="64">
        <v>8.0</v>
      </c>
      <c r="CQ24" s="114" t="s">
        <v>165</v>
      </c>
      <c r="CR24" s="114" t="s">
        <v>165</v>
      </c>
      <c r="CS24" s="64">
        <v>8.0</v>
      </c>
      <c r="CT24" s="64">
        <v>8.0</v>
      </c>
      <c r="CU24" s="64">
        <v>8.0</v>
      </c>
      <c r="CV24" s="64">
        <v>8.0</v>
      </c>
      <c r="CW24" s="64">
        <v>8.0</v>
      </c>
      <c r="CX24" s="114" t="s">
        <v>165</v>
      </c>
      <c r="CY24" s="105">
        <f t="shared" si="7"/>
        <v>136</v>
      </c>
      <c r="CZ24" s="48"/>
      <c r="DA24" s="113" t="s">
        <v>165</v>
      </c>
      <c r="DB24" s="113">
        <v>8.0</v>
      </c>
      <c r="DC24" s="113">
        <v>8.0</v>
      </c>
      <c r="DD24" s="113">
        <v>8.0</v>
      </c>
      <c r="DE24" s="113">
        <v>8.0</v>
      </c>
      <c r="DF24" s="113">
        <v>8.0</v>
      </c>
      <c r="DG24" s="113" t="s">
        <v>165</v>
      </c>
      <c r="DH24" s="113" t="s">
        <v>165</v>
      </c>
      <c r="DI24" s="113">
        <v>8.0</v>
      </c>
      <c r="DJ24" s="113">
        <v>8.0</v>
      </c>
      <c r="DK24" s="113">
        <v>8.0</v>
      </c>
      <c r="DL24" s="113">
        <v>8.0</v>
      </c>
      <c r="DM24" s="113">
        <v>8.0</v>
      </c>
      <c r="DN24" s="113" t="s">
        <v>165</v>
      </c>
      <c r="DO24" s="113" t="s">
        <v>165</v>
      </c>
      <c r="DP24" s="113">
        <v>8.0</v>
      </c>
      <c r="DQ24" s="113">
        <v>8.0</v>
      </c>
      <c r="DR24" s="113">
        <v>8.0</v>
      </c>
      <c r="DS24" s="113">
        <v>8.0</v>
      </c>
      <c r="DT24" s="113">
        <v>8.0</v>
      </c>
      <c r="DU24" s="113" t="s">
        <v>165</v>
      </c>
      <c r="DV24" s="113" t="s">
        <v>165</v>
      </c>
      <c r="DW24" s="113">
        <v>8.0</v>
      </c>
      <c r="DX24" s="113">
        <v>8.0</v>
      </c>
      <c r="DY24" s="113">
        <v>8.0</v>
      </c>
      <c r="DZ24" s="113">
        <v>8.0</v>
      </c>
      <c r="EA24" s="113">
        <v>8.0</v>
      </c>
      <c r="EB24" s="113" t="s">
        <v>165</v>
      </c>
      <c r="EC24" s="113" t="s">
        <v>165</v>
      </c>
      <c r="ED24" s="113">
        <v>8.0</v>
      </c>
      <c r="EE24" s="113">
        <v>8.0</v>
      </c>
      <c r="EF24" s="113">
        <f t="shared" si="8"/>
        <v>176</v>
      </c>
      <c r="EG24" s="48"/>
      <c r="EH24" s="15"/>
      <c r="EI24" s="15"/>
      <c r="EJ24" s="15"/>
      <c r="EK24" s="15"/>
      <c r="EL24" s="15"/>
      <c r="EM24" s="15"/>
      <c r="EN24" s="15"/>
      <c r="EO24" s="15"/>
      <c r="EP24" s="15"/>
      <c r="EQ24" s="15"/>
      <c r="ER24" s="15"/>
      <c r="ES24" s="15"/>
      <c r="ET24" s="15"/>
      <c r="EU24" s="15"/>
      <c r="EV24" s="15"/>
      <c r="EW24" s="15"/>
      <c r="EX24" s="15"/>
      <c r="EY24" s="15"/>
      <c r="EZ24" s="15"/>
      <c r="FA24" s="15"/>
      <c r="FB24" s="15"/>
      <c r="FC24" s="15"/>
      <c r="FD24" s="15"/>
      <c r="FE24" s="15"/>
      <c r="FF24" s="15"/>
      <c r="FG24" s="15"/>
      <c r="FH24" s="15"/>
      <c r="FI24" s="15"/>
      <c r="FJ24" s="15"/>
      <c r="FK24" s="15"/>
      <c r="FL24" s="105">
        <f t="shared" si="12"/>
        <v>0</v>
      </c>
      <c r="FM24" s="48"/>
      <c r="FN24" s="15"/>
      <c r="FO24" s="15"/>
      <c r="FP24" s="15"/>
      <c r="FQ24" s="15"/>
      <c r="FR24" s="15"/>
      <c r="FS24" s="15"/>
      <c r="FT24" s="15"/>
      <c r="FU24" s="15"/>
      <c r="FV24" s="15"/>
      <c r="FW24" s="15"/>
      <c r="FX24" s="15"/>
      <c r="FY24" s="15"/>
      <c r="FZ24" s="15"/>
      <c r="GA24" s="15"/>
      <c r="GB24" s="15"/>
      <c r="GC24" s="15"/>
      <c r="GD24" s="15"/>
      <c r="GE24" s="15"/>
      <c r="GF24" s="15"/>
      <c r="GG24" s="15"/>
      <c r="GH24" s="15"/>
      <c r="GI24" s="15"/>
      <c r="GJ24" s="15"/>
      <c r="GK24" s="15"/>
      <c r="GL24" s="15"/>
      <c r="GM24" s="15"/>
      <c r="GN24" s="15"/>
      <c r="GO24" s="15"/>
      <c r="GP24" s="15"/>
      <c r="GQ24" s="15"/>
      <c r="GR24" s="15"/>
      <c r="GS24" s="105">
        <f t="shared" si="13"/>
        <v>0</v>
      </c>
      <c r="GT24" s="48"/>
      <c r="GU24" s="15"/>
      <c r="GV24" s="15"/>
      <c r="GW24" s="15"/>
      <c r="GX24" s="15"/>
      <c r="GY24" s="15"/>
      <c r="GZ24" s="15"/>
      <c r="HA24" s="15"/>
      <c r="HB24" s="15"/>
      <c r="HC24" s="15"/>
      <c r="HD24" s="15"/>
      <c r="HE24" s="15"/>
    </row>
    <row r="25" ht="16.5" customHeight="1">
      <c r="A25" s="101" t="s">
        <v>256</v>
      </c>
      <c r="B25" s="106" t="str">
        <f>iferror(vlookup(A25,'SoS - Agents Info'!A:H,5,false),"")</f>
        <v>DE</v>
      </c>
      <c r="C25" s="107" t="str">
        <f>iferror(vlookup(A25,'SoS - Agents Info'!A:AQ,43,false),"")</f>
        <v>JM</v>
      </c>
      <c r="D25" s="108" t="str">
        <f>iferror(vlookup(A25,'SoS - Agents Info'!A:H,6,false),"")</f>
        <v>WD</v>
      </c>
      <c r="E25" s="108" t="str">
        <f>iferror(vlookup(A25,'SoS - Agents Info'!A:H,7,false),"")</f>
        <v>09:00-18:00</v>
      </c>
      <c r="F25" s="109">
        <f>IFERROR(__xludf.DUMMYFUNCTION("sum(COUNTIFS(Filter(FILTER('Shiftplan SoS'!G$3:GU166,'Shiftplan SoS'!$G$1:$GU$1&lt;=today()),'Shiftplan SoS'!$A$3:$A166=A25),""&gt;0"",(Filter(FILTER('Shiftplan SoS'!G$3:GU166,'Shiftplan SoS'!$G$1:$GU$1&lt;=today()),'Shiftplan SoS'!$A$3:$A166=A25)),""&lt;12""))"),70.0)</f>
        <v>70</v>
      </c>
      <c r="G25" s="16" t="s">
        <v>165</v>
      </c>
      <c r="H25" s="16" t="s">
        <v>165</v>
      </c>
      <c r="I25" s="16">
        <v>8.0</v>
      </c>
      <c r="J25" s="16">
        <v>8.0</v>
      </c>
      <c r="K25" s="16">
        <v>8.0</v>
      </c>
      <c r="L25" s="53">
        <v>8.0</v>
      </c>
      <c r="M25" s="53">
        <v>8.0</v>
      </c>
      <c r="N25" s="16" t="s">
        <v>165</v>
      </c>
      <c r="O25" s="16" t="s">
        <v>165</v>
      </c>
      <c r="P25" s="16">
        <v>8.0</v>
      </c>
      <c r="Q25" s="16">
        <v>8.0</v>
      </c>
      <c r="R25" s="16">
        <v>8.0</v>
      </c>
      <c r="S25" s="16">
        <v>8.0</v>
      </c>
      <c r="T25" s="16">
        <v>8.0</v>
      </c>
      <c r="U25" s="16" t="s">
        <v>165</v>
      </c>
      <c r="V25" s="16" t="s">
        <v>165</v>
      </c>
      <c r="W25" s="16">
        <v>8.0</v>
      </c>
      <c r="X25" s="16">
        <v>8.0</v>
      </c>
      <c r="Y25" s="16">
        <v>8.0</v>
      </c>
      <c r="Z25" s="16">
        <v>8.0</v>
      </c>
      <c r="AA25" s="16">
        <v>8.0</v>
      </c>
      <c r="AB25" s="16" t="s">
        <v>165</v>
      </c>
      <c r="AC25" s="16" t="s">
        <v>165</v>
      </c>
      <c r="AD25" s="16" t="s">
        <v>171</v>
      </c>
      <c r="AE25" s="16">
        <v>8.0</v>
      </c>
      <c r="AF25" s="16">
        <v>8.0</v>
      </c>
      <c r="AG25" s="16">
        <v>8.0</v>
      </c>
      <c r="AH25" s="16">
        <v>8.0</v>
      </c>
      <c r="AI25" s="16" t="s">
        <v>165</v>
      </c>
      <c r="AJ25" s="16" t="s">
        <v>165</v>
      </c>
      <c r="AK25" s="125">
        <v>8.0</v>
      </c>
      <c r="AL25" s="105">
        <f t="shared" si="5"/>
        <v>160</v>
      </c>
      <c r="AM25" s="48"/>
      <c r="AN25" s="110">
        <v>8.0</v>
      </c>
      <c r="AO25" s="16">
        <v>8.0</v>
      </c>
      <c r="AP25" s="16" t="s">
        <v>167</v>
      </c>
      <c r="AQ25" s="16">
        <v>8.0</v>
      </c>
      <c r="AR25" s="16" t="s">
        <v>165</v>
      </c>
      <c r="AS25" s="16" t="s">
        <v>165</v>
      </c>
      <c r="AT25" s="16">
        <v>8.0</v>
      </c>
      <c r="AU25" s="16">
        <v>8.0</v>
      </c>
      <c r="AV25" s="16">
        <v>8.0</v>
      </c>
      <c r="AW25" s="16">
        <v>8.0</v>
      </c>
      <c r="AX25" s="16">
        <v>8.0</v>
      </c>
      <c r="AY25" s="16" t="s">
        <v>165</v>
      </c>
      <c r="AZ25" s="16" t="s">
        <v>165</v>
      </c>
      <c r="BA25" s="16" t="s">
        <v>245</v>
      </c>
      <c r="BB25" s="16">
        <v>8.0</v>
      </c>
      <c r="BC25" s="16">
        <v>8.0</v>
      </c>
      <c r="BD25" s="16">
        <v>8.0</v>
      </c>
      <c r="BE25" s="16" t="s">
        <v>167</v>
      </c>
      <c r="BF25" s="16" t="s">
        <v>165</v>
      </c>
      <c r="BG25" s="16" t="s">
        <v>165</v>
      </c>
      <c r="BH25" s="16" t="s">
        <v>167</v>
      </c>
      <c r="BI25" s="16">
        <v>8.0</v>
      </c>
      <c r="BJ25" s="16">
        <v>8.0</v>
      </c>
      <c r="BK25" s="16" t="s">
        <v>171</v>
      </c>
      <c r="BL25" s="16">
        <v>8.0</v>
      </c>
      <c r="BM25" s="16" t="s">
        <v>165</v>
      </c>
      <c r="BN25" s="16" t="s">
        <v>165</v>
      </c>
      <c r="BO25" s="25" t="s">
        <v>245</v>
      </c>
      <c r="BP25" s="25" t="s">
        <v>245</v>
      </c>
      <c r="BQ25" s="25" t="s">
        <v>245</v>
      </c>
      <c r="BR25" s="105">
        <f t="shared" si="11"/>
        <v>112</v>
      </c>
      <c r="BS25" s="48"/>
      <c r="BT25" s="25" t="s">
        <v>245</v>
      </c>
      <c r="BU25" s="25" t="s">
        <v>245</v>
      </c>
      <c r="BV25" s="114" t="s">
        <v>165</v>
      </c>
      <c r="BW25" s="114" t="s">
        <v>165</v>
      </c>
      <c r="BX25" s="64">
        <v>8.0</v>
      </c>
      <c r="BY25" s="64">
        <v>8.0</v>
      </c>
      <c r="BZ25" s="64">
        <v>8.0</v>
      </c>
      <c r="CA25" s="64">
        <v>8.0</v>
      </c>
      <c r="CB25" s="64">
        <v>8.0</v>
      </c>
      <c r="CC25" s="114" t="s">
        <v>165</v>
      </c>
      <c r="CD25" s="114" t="s">
        <v>165</v>
      </c>
      <c r="CE25" s="64">
        <v>8.0</v>
      </c>
      <c r="CF25" s="64">
        <v>8.0</v>
      </c>
      <c r="CG25" s="25" t="s">
        <v>167</v>
      </c>
      <c r="CH25" s="64">
        <v>8.0</v>
      </c>
      <c r="CI25" s="64">
        <v>8.0</v>
      </c>
      <c r="CJ25" s="114" t="s">
        <v>165</v>
      </c>
      <c r="CK25" s="114" t="s">
        <v>165</v>
      </c>
      <c r="CL25" s="25" t="s">
        <v>245</v>
      </c>
      <c r="CM25" s="25" t="s">
        <v>245</v>
      </c>
      <c r="CN25" s="64">
        <v>8.0</v>
      </c>
      <c r="CO25" s="25" t="s">
        <v>245</v>
      </c>
      <c r="CP25" s="25" t="s">
        <v>167</v>
      </c>
      <c r="CQ25" s="114" t="s">
        <v>165</v>
      </c>
      <c r="CR25" s="114" t="s">
        <v>165</v>
      </c>
      <c r="CS25" s="64">
        <v>8.0</v>
      </c>
      <c r="CT25" s="64">
        <v>8.0</v>
      </c>
      <c r="CU25" s="64">
        <v>8.0</v>
      </c>
      <c r="CV25" s="64">
        <v>8.0</v>
      </c>
      <c r="CW25" s="64">
        <v>8.0</v>
      </c>
      <c r="CX25" s="114" t="s">
        <v>165</v>
      </c>
      <c r="CY25" s="105">
        <f t="shared" si="7"/>
        <v>120</v>
      </c>
      <c r="CZ25" s="48"/>
      <c r="DA25" s="113" t="s">
        <v>165</v>
      </c>
      <c r="DB25" s="113">
        <v>8.0</v>
      </c>
      <c r="DC25" s="113">
        <v>8.0</v>
      </c>
      <c r="DD25" s="113">
        <v>8.0</v>
      </c>
      <c r="DE25" s="113">
        <v>8.0</v>
      </c>
      <c r="DF25" s="113">
        <v>8.0</v>
      </c>
      <c r="DG25" s="113" t="s">
        <v>165</v>
      </c>
      <c r="DH25" s="113" t="s">
        <v>165</v>
      </c>
      <c r="DI25" s="113">
        <v>8.0</v>
      </c>
      <c r="DJ25" s="113">
        <v>8.0</v>
      </c>
      <c r="DK25" s="113">
        <v>8.0</v>
      </c>
      <c r="DL25" s="113">
        <v>8.0</v>
      </c>
      <c r="DM25" s="113">
        <v>8.0</v>
      </c>
      <c r="DN25" s="113" t="s">
        <v>165</v>
      </c>
      <c r="DO25" s="113" t="s">
        <v>165</v>
      </c>
      <c r="DP25" s="113">
        <v>8.0</v>
      </c>
      <c r="DQ25" s="113">
        <v>8.0</v>
      </c>
      <c r="DR25" s="113">
        <v>8.0</v>
      </c>
      <c r="DS25" s="113">
        <v>8.0</v>
      </c>
      <c r="DT25" s="113">
        <v>8.0</v>
      </c>
      <c r="DU25" s="113" t="s">
        <v>165</v>
      </c>
      <c r="DV25" s="113" t="s">
        <v>165</v>
      </c>
      <c r="DW25" s="113">
        <v>8.0</v>
      </c>
      <c r="DX25" s="113">
        <v>8.0</v>
      </c>
      <c r="DY25" s="113">
        <v>8.0</v>
      </c>
      <c r="DZ25" s="113">
        <v>8.0</v>
      </c>
      <c r="EA25" s="58" t="s">
        <v>167</v>
      </c>
      <c r="EB25" s="113" t="s">
        <v>165</v>
      </c>
      <c r="EC25" s="113" t="s">
        <v>165</v>
      </c>
      <c r="ED25" s="113">
        <v>8.0</v>
      </c>
      <c r="EE25" s="113">
        <v>8.0</v>
      </c>
      <c r="EF25" s="113">
        <f t="shared" si="8"/>
        <v>168</v>
      </c>
      <c r="EG25" s="48"/>
      <c r="EH25" s="15"/>
      <c r="EI25" s="15"/>
      <c r="EJ25" s="15"/>
      <c r="EK25" s="15"/>
      <c r="EL25" s="15"/>
      <c r="EM25" s="15"/>
      <c r="EN25" s="15"/>
      <c r="EO25" s="15"/>
      <c r="EP25" s="15"/>
      <c r="EQ25" s="15"/>
      <c r="ER25" s="15"/>
      <c r="ES25" s="15"/>
      <c r="ET25" s="15"/>
      <c r="EU25" s="15"/>
      <c r="EV25" s="15"/>
      <c r="EW25" s="15"/>
      <c r="EX25" s="15"/>
      <c r="EY25" s="15"/>
      <c r="EZ25" s="15"/>
      <c r="FA25" s="15"/>
      <c r="FB25" s="15"/>
      <c r="FC25" s="15"/>
      <c r="FD25" s="15"/>
      <c r="FE25" s="15"/>
      <c r="FF25" s="15"/>
      <c r="FG25" s="15"/>
      <c r="FH25" s="15"/>
      <c r="FI25" s="15"/>
      <c r="FJ25" s="15"/>
      <c r="FK25" s="15"/>
      <c r="FL25" s="105">
        <f t="shared" si="12"/>
        <v>0</v>
      </c>
      <c r="FM25" s="48"/>
      <c r="FN25" s="15"/>
      <c r="FO25" s="15"/>
      <c r="FP25" s="15"/>
      <c r="FQ25" s="15"/>
      <c r="FR25" s="15"/>
      <c r="FS25" s="15"/>
      <c r="FT25" s="15"/>
      <c r="FU25" s="15"/>
      <c r="FV25" s="15"/>
      <c r="FW25" s="15"/>
      <c r="FX25" s="15"/>
      <c r="FY25" s="15"/>
      <c r="FZ25" s="15"/>
      <c r="GA25" s="15"/>
      <c r="GB25" s="15"/>
      <c r="GC25" s="15"/>
      <c r="GD25" s="15"/>
      <c r="GE25" s="15"/>
      <c r="GF25" s="15"/>
      <c r="GG25" s="15"/>
      <c r="GH25" s="15"/>
      <c r="GI25" s="15"/>
      <c r="GJ25" s="15"/>
      <c r="GK25" s="15"/>
      <c r="GL25" s="15"/>
      <c r="GM25" s="15"/>
      <c r="GN25" s="15"/>
      <c r="GO25" s="15"/>
      <c r="GP25" s="15"/>
      <c r="GQ25" s="15"/>
      <c r="GR25" s="15"/>
      <c r="GS25" s="105">
        <f t="shared" si="13"/>
        <v>0</v>
      </c>
      <c r="GT25" s="48"/>
      <c r="GU25" s="15"/>
      <c r="GV25" s="15"/>
      <c r="GW25" s="15"/>
      <c r="GX25" s="15"/>
      <c r="GY25" s="15"/>
      <c r="GZ25" s="15"/>
      <c r="HA25" s="15"/>
      <c r="HB25" s="15"/>
      <c r="HC25" s="15"/>
      <c r="HD25" s="15"/>
      <c r="HE25" s="15"/>
    </row>
    <row r="26" ht="16.5" customHeight="1">
      <c r="A26" s="101" t="s">
        <v>257</v>
      </c>
      <c r="B26" s="106" t="str">
        <f>iferror(vlookup(A26,'SoS - Agents Info'!A:H,5,false),"")</f>
        <v>AR</v>
      </c>
      <c r="C26" s="107" t="str">
        <f>iferror(vlookup(A26,'SoS - Agents Info'!A:AQ,43,false),"")</f>
        <v>RA+VM</v>
      </c>
      <c r="D26" s="108" t="str">
        <f>iferror(vlookup(A26,'SoS - Agents Info'!A:H,6,false),"")</f>
        <v>WE+WD</v>
      </c>
      <c r="E26" s="108" t="str">
        <f>iferror(vlookup(A26,'SoS - Agents Info'!A:H,7,false),"")</f>
        <v>12:00-21:00</v>
      </c>
      <c r="F26" s="109">
        <f>IFERROR(__xludf.DUMMYFUNCTION("sum(COUNTIFS(Filter(FILTER('Shiftplan SoS'!G$3:GU166,'Shiftplan SoS'!$G$1:$GU$1&lt;=today()),'Shiftplan SoS'!$A$3:$A166=A26),""&gt;0"",(Filter(FILTER('Shiftplan SoS'!G$3:GU166,'Shiftplan SoS'!$G$1:$GU$1&lt;=today()),'Shiftplan SoS'!$A$3:$A166=A26)),""&lt;12""))"),85.0)</f>
        <v>85</v>
      </c>
      <c r="G26" s="16"/>
      <c r="H26" s="15"/>
      <c r="I26" s="15"/>
      <c r="J26" s="15"/>
      <c r="K26" s="16">
        <v>8.0</v>
      </c>
      <c r="L26" s="16">
        <v>8.0</v>
      </c>
      <c r="M26" s="16">
        <v>8.0</v>
      </c>
      <c r="N26" s="16" t="s">
        <v>165</v>
      </c>
      <c r="O26" s="16" t="s">
        <v>165</v>
      </c>
      <c r="P26" s="16">
        <v>8.0</v>
      </c>
      <c r="Q26" s="16">
        <v>8.0</v>
      </c>
      <c r="R26" s="16">
        <v>8.0</v>
      </c>
      <c r="S26" s="16">
        <v>8.0</v>
      </c>
      <c r="T26" s="16">
        <v>8.0</v>
      </c>
      <c r="U26" s="16">
        <v>8.0</v>
      </c>
      <c r="V26" s="16">
        <v>8.0</v>
      </c>
      <c r="W26" s="16" t="s">
        <v>165</v>
      </c>
      <c r="X26" s="16" t="s">
        <v>165</v>
      </c>
      <c r="Y26" s="16">
        <v>8.0</v>
      </c>
      <c r="Z26" s="16">
        <v>8.0</v>
      </c>
      <c r="AA26" s="16">
        <v>8.0</v>
      </c>
      <c r="AB26" s="16">
        <v>8.0</v>
      </c>
      <c r="AC26" s="16">
        <v>8.0</v>
      </c>
      <c r="AD26" s="16" t="s">
        <v>165</v>
      </c>
      <c r="AE26" s="16" t="s">
        <v>165</v>
      </c>
      <c r="AF26" s="16">
        <v>8.0</v>
      </c>
      <c r="AG26" s="16">
        <v>8.0</v>
      </c>
      <c r="AH26" s="16">
        <v>8.0</v>
      </c>
      <c r="AI26" s="110">
        <v>8.0</v>
      </c>
      <c r="AJ26" s="110">
        <v>8.0</v>
      </c>
      <c r="AK26" s="70" t="s">
        <v>165</v>
      </c>
      <c r="AL26" s="105">
        <f t="shared" si="5"/>
        <v>160</v>
      </c>
      <c r="AM26" s="48"/>
      <c r="AN26" s="16" t="s">
        <v>165</v>
      </c>
      <c r="AO26" s="122">
        <v>8.0</v>
      </c>
      <c r="AP26" s="122">
        <v>8.0</v>
      </c>
      <c r="AQ26" s="122">
        <v>8.0</v>
      </c>
      <c r="AR26" s="122">
        <v>8.0</v>
      </c>
      <c r="AS26" s="122">
        <v>8.0</v>
      </c>
      <c r="AT26" s="122" t="s">
        <v>165</v>
      </c>
      <c r="AU26" s="122" t="s">
        <v>165</v>
      </c>
      <c r="AV26" s="122">
        <v>8.0</v>
      </c>
      <c r="AW26" s="122">
        <v>8.0</v>
      </c>
      <c r="AX26" s="122">
        <v>8.0</v>
      </c>
      <c r="AY26" s="16">
        <v>8.0</v>
      </c>
      <c r="AZ26" s="16" t="s">
        <v>245</v>
      </c>
      <c r="BA26" s="122" t="s">
        <v>165</v>
      </c>
      <c r="BB26" s="122" t="s">
        <v>165</v>
      </c>
      <c r="BC26" s="122">
        <v>8.0</v>
      </c>
      <c r="BD26" s="122">
        <v>8.0</v>
      </c>
      <c r="BE26" s="122">
        <v>8.0</v>
      </c>
      <c r="BF26" s="122">
        <v>8.0</v>
      </c>
      <c r="BG26" s="122">
        <v>8.0</v>
      </c>
      <c r="BH26" s="122" t="s">
        <v>165</v>
      </c>
      <c r="BI26" s="122" t="s">
        <v>165</v>
      </c>
      <c r="BJ26" s="122">
        <v>8.0</v>
      </c>
      <c r="BK26" s="122">
        <v>8.0</v>
      </c>
      <c r="BL26" s="122">
        <v>8.0</v>
      </c>
      <c r="BM26" s="122">
        <v>8.0</v>
      </c>
      <c r="BN26" s="122">
        <v>8.0</v>
      </c>
      <c r="BO26" s="122" t="s">
        <v>165</v>
      </c>
      <c r="BP26" s="110">
        <v>8.0</v>
      </c>
      <c r="BQ26" s="129">
        <v>8.0</v>
      </c>
      <c r="BR26" s="105">
        <f t="shared" si="11"/>
        <v>168</v>
      </c>
      <c r="BS26" s="48"/>
      <c r="BT26" s="129">
        <v>8.0</v>
      </c>
      <c r="BU26" s="129">
        <v>8.0</v>
      </c>
      <c r="BV26" s="122">
        <v>8.0</v>
      </c>
      <c r="BW26" s="122">
        <v>8.0</v>
      </c>
      <c r="BX26" s="122" t="s">
        <v>165</v>
      </c>
      <c r="BY26" s="16" t="s">
        <v>165</v>
      </c>
      <c r="BZ26" s="129">
        <v>8.0</v>
      </c>
      <c r="CA26" s="129">
        <v>8.0</v>
      </c>
      <c r="CB26" s="122">
        <v>8.0</v>
      </c>
      <c r="CC26" s="122">
        <v>8.0</v>
      </c>
      <c r="CD26" s="16" t="s">
        <v>245</v>
      </c>
      <c r="CE26" s="122" t="s">
        <v>165</v>
      </c>
      <c r="CF26" s="110">
        <v>8.0</v>
      </c>
      <c r="CG26" s="129">
        <v>8.0</v>
      </c>
      <c r="CH26" s="129">
        <v>8.0</v>
      </c>
      <c r="CI26" s="129">
        <v>8.0</v>
      </c>
      <c r="CJ26" s="122">
        <v>8.0</v>
      </c>
      <c r="CK26" s="122">
        <v>8.0</v>
      </c>
      <c r="CL26" s="122" t="s">
        <v>165</v>
      </c>
      <c r="CM26" s="122" t="s">
        <v>165</v>
      </c>
      <c r="CN26" s="129">
        <v>8.0</v>
      </c>
      <c r="CO26" s="129">
        <v>8.0</v>
      </c>
      <c r="CP26" s="129">
        <v>8.0</v>
      </c>
      <c r="CQ26" s="129">
        <v>8.0</v>
      </c>
      <c r="CR26" s="129">
        <v>8.0</v>
      </c>
      <c r="CS26" s="122" t="s">
        <v>165</v>
      </c>
      <c r="CT26" s="122" t="s">
        <v>165</v>
      </c>
      <c r="CU26" s="129">
        <v>8.0</v>
      </c>
      <c r="CV26" s="129">
        <v>8.0</v>
      </c>
      <c r="CW26" s="129">
        <v>8.0</v>
      </c>
      <c r="CX26" s="122">
        <v>8.0</v>
      </c>
      <c r="CY26" s="105">
        <f t="shared" si="7"/>
        <v>184</v>
      </c>
      <c r="CZ26" s="48"/>
      <c r="DA26" s="58">
        <v>8.0</v>
      </c>
      <c r="DB26" s="122" t="s">
        <v>165</v>
      </c>
      <c r="DC26" s="122" t="s">
        <v>165</v>
      </c>
      <c r="DD26" s="122">
        <v>8.0</v>
      </c>
      <c r="DE26" s="122">
        <v>8.0</v>
      </c>
      <c r="DF26" s="122">
        <v>8.0</v>
      </c>
      <c r="DG26" s="122">
        <v>8.0</v>
      </c>
      <c r="DH26" s="122">
        <v>8.0</v>
      </c>
      <c r="DI26" s="122" t="s">
        <v>165</v>
      </c>
      <c r="DJ26" s="122" t="s">
        <v>165</v>
      </c>
      <c r="DK26" s="122">
        <v>8.0</v>
      </c>
      <c r="DL26" s="129">
        <v>8.0</v>
      </c>
      <c r="DM26" s="129">
        <v>8.0</v>
      </c>
      <c r="DN26" s="122">
        <v>8.0</v>
      </c>
      <c r="DO26" s="122">
        <v>8.0</v>
      </c>
      <c r="DP26" s="122" t="s">
        <v>165</v>
      </c>
      <c r="DQ26" s="122" t="s">
        <v>165</v>
      </c>
      <c r="DR26" s="16" t="s">
        <v>169</v>
      </c>
      <c r="DS26" s="129">
        <v>8.0</v>
      </c>
      <c r="DT26" s="129">
        <v>8.0</v>
      </c>
      <c r="DU26" s="122">
        <v>8.0</v>
      </c>
      <c r="DV26" s="122">
        <v>8.0</v>
      </c>
      <c r="DW26" s="16" t="s">
        <v>165</v>
      </c>
      <c r="DX26" s="16">
        <v>8.0</v>
      </c>
      <c r="DY26" s="122">
        <v>8.0</v>
      </c>
      <c r="DZ26" s="122">
        <v>8.0</v>
      </c>
      <c r="EA26" s="129">
        <v>8.0</v>
      </c>
      <c r="EB26" s="122">
        <v>8.0</v>
      </c>
      <c r="EC26" s="122">
        <v>8.0</v>
      </c>
      <c r="ED26" s="58" t="s">
        <v>165</v>
      </c>
      <c r="EE26" s="58" t="s">
        <v>165</v>
      </c>
      <c r="EF26" s="113">
        <f t="shared" si="8"/>
        <v>168</v>
      </c>
      <c r="EG26" s="48"/>
      <c r="EH26" s="15"/>
      <c r="EI26" s="15"/>
      <c r="EJ26" s="15"/>
      <c r="EK26" s="15"/>
      <c r="EL26" s="15"/>
      <c r="EM26" s="15"/>
      <c r="EN26" s="15"/>
      <c r="EO26" s="15"/>
      <c r="EP26" s="15"/>
      <c r="EQ26" s="15"/>
      <c r="ER26" s="15"/>
      <c r="ES26" s="15"/>
      <c r="ET26" s="15"/>
      <c r="EU26" s="15"/>
      <c r="EV26" s="15"/>
      <c r="EW26" s="15"/>
      <c r="EX26" s="15"/>
      <c r="EY26" s="15"/>
      <c r="EZ26" s="15"/>
      <c r="FA26" s="15"/>
      <c r="FB26" s="15"/>
      <c r="FC26" s="15"/>
      <c r="FD26" s="15"/>
      <c r="FE26" s="15"/>
      <c r="FF26" s="15"/>
      <c r="FG26" s="15"/>
      <c r="FH26" s="15"/>
      <c r="FI26" s="15"/>
      <c r="FJ26" s="15"/>
      <c r="FK26" s="15"/>
      <c r="FL26" s="105">
        <f t="shared" si="12"/>
        <v>0</v>
      </c>
      <c r="FM26" s="48"/>
      <c r="FN26" s="15"/>
      <c r="FO26" s="15"/>
      <c r="FP26" s="15"/>
      <c r="FQ26" s="15"/>
      <c r="FR26" s="15"/>
      <c r="FS26" s="15"/>
      <c r="FT26" s="15"/>
      <c r="FU26" s="15"/>
      <c r="FV26" s="15"/>
      <c r="FW26" s="15"/>
      <c r="FX26" s="15"/>
      <c r="FY26" s="15"/>
      <c r="FZ26" s="15"/>
      <c r="GA26" s="15"/>
      <c r="GB26" s="15"/>
      <c r="GC26" s="15"/>
      <c r="GD26" s="15"/>
      <c r="GE26" s="15"/>
      <c r="GF26" s="15"/>
      <c r="GG26" s="15"/>
      <c r="GH26" s="15"/>
      <c r="GI26" s="15"/>
      <c r="GJ26" s="15"/>
      <c r="GK26" s="15"/>
      <c r="GL26" s="15"/>
      <c r="GM26" s="15"/>
      <c r="GN26" s="15"/>
      <c r="GO26" s="15"/>
      <c r="GP26" s="15"/>
      <c r="GQ26" s="15"/>
      <c r="GR26" s="15"/>
      <c r="GS26" s="105">
        <f t="shared" si="13"/>
        <v>0</v>
      </c>
      <c r="GT26" s="48"/>
      <c r="GU26" s="15"/>
      <c r="GV26" s="15"/>
      <c r="GW26" s="15"/>
      <c r="GX26" s="15"/>
      <c r="GY26" s="15"/>
      <c r="GZ26" s="15"/>
      <c r="HA26" s="15"/>
      <c r="HB26" s="15"/>
      <c r="HC26" s="15"/>
      <c r="HD26" s="15"/>
      <c r="HE26" s="15"/>
    </row>
    <row r="27" ht="16.5" customHeight="1">
      <c r="A27" s="101" t="s">
        <v>258</v>
      </c>
      <c r="B27" s="106" t="str">
        <f>iferror(vlookup(A27,'SoS - Agents Info'!A:H,5,false),"")</f>
        <v>RU</v>
      </c>
      <c r="C27" s="107" t="str">
        <f>iferror(vlookup(A27,'SoS - Agents Info'!A:AQ,43,false),"")</f>
        <v>JM</v>
      </c>
      <c r="D27" s="108" t="str">
        <f>iferror(vlookup(A27,'SoS - Agents Info'!A:H,6,false),"")</f>
        <v>WD</v>
      </c>
      <c r="E27" s="108" t="str">
        <f>iferror(vlookup(A27,'SoS - Agents Info'!A:H,7,false),"")</f>
        <v>08:00-17:00</v>
      </c>
      <c r="F27" s="109">
        <f>IFERROR(__xludf.DUMMYFUNCTION("sum(COUNTIFS(Filter(FILTER('Shiftplan SoS'!G$3:GU166,'Shiftplan SoS'!$G$1:$GU$1&lt;=today()),'Shiftplan SoS'!$A$3:$A166=A27),""&gt;0"",(Filter(FILTER('Shiftplan SoS'!G$3:GU166,'Shiftplan SoS'!$G$1:$GU$1&lt;=today()),'Shiftplan SoS'!$A$3:$A166=A27)),""&lt;12""))"),85.0)</f>
        <v>85</v>
      </c>
      <c r="G27" s="16" t="s">
        <v>165</v>
      </c>
      <c r="H27" s="16" t="s">
        <v>165</v>
      </c>
      <c r="I27" s="16" t="s">
        <v>165</v>
      </c>
      <c r="J27" s="16" t="s">
        <v>165</v>
      </c>
      <c r="K27" s="16">
        <v>8.0</v>
      </c>
      <c r="L27" s="16">
        <v>8.0</v>
      </c>
      <c r="M27" s="16">
        <v>8.0</v>
      </c>
      <c r="N27" s="16" t="s">
        <v>165</v>
      </c>
      <c r="O27" s="16" t="s">
        <v>165</v>
      </c>
      <c r="P27" s="16">
        <v>8.0</v>
      </c>
      <c r="Q27" s="16">
        <v>8.0</v>
      </c>
      <c r="R27" s="16">
        <v>8.0</v>
      </c>
      <c r="S27" s="16">
        <v>8.0</v>
      </c>
      <c r="T27" s="16">
        <v>8.0</v>
      </c>
      <c r="U27" s="16" t="s">
        <v>165</v>
      </c>
      <c r="V27" s="16" t="s">
        <v>165</v>
      </c>
      <c r="W27" s="16">
        <v>8.0</v>
      </c>
      <c r="X27" s="16">
        <v>8.0</v>
      </c>
      <c r="Y27" s="16">
        <v>8.0</v>
      </c>
      <c r="Z27" s="16">
        <v>8.0</v>
      </c>
      <c r="AA27" s="16">
        <v>8.0</v>
      </c>
      <c r="AB27" s="16" t="s">
        <v>165</v>
      </c>
      <c r="AC27" s="16" t="s">
        <v>165</v>
      </c>
      <c r="AD27" s="16">
        <v>8.0</v>
      </c>
      <c r="AE27" s="16">
        <v>8.0</v>
      </c>
      <c r="AF27" s="16">
        <v>8.0</v>
      </c>
      <c r="AG27" s="16">
        <v>8.0</v>
      </c>
      <c r="AH27" s="16">
        <v>8.0</v>
      </c>
      <c r="AI27" s="16" t="s">
        <v>165</v>
      </c>
      <c r="AJ27" s="16" t="s">
        <v>165</v>
      </c>
      <c r="AK27" s="125">
        <v>8.0</v>
      </c>
      <c r="AL27" s="105">
        <f t="shared" si="5"/>
        <v>152</v>
      </c>
      <c r="AM27" s="48"/>
      <c r="AN27" s="110">
        <v>8.0</v>
      </c>
      <c r="AO27" s="16">
        <v>8.0</v>
      </c>
      <c r="AP27" s="16">
        <v>8.0</v>
      </c>
      <c r="AQ27" s="16">
        <v>8.0</v>
      </c>
      <c r="AR27" s="16" t="s">
        <v>165</v>
      </c>
      <c r="AS27" s="16" t="s">
        <v>165</v>
      </c>
      <c r="AT27" s="16">
        <v>8.0</v>
      </c>
      <c r="AU27" s="16">
        <v>8.0</v>
      </c>
      <c r="AV27" s="16">
        <v>8.0</v>
      </c>
      <c r="AW27" s="16">
        <v>8.0</v>
      </c>
      <c r="AX27" s="16">
        <v>8.0</v>
      </c>
      <c r="AY27" s="16" t="s">
        <v>165</v>
      </c>
      <c r="AZ27" s="16" t="s">
        <v>165</v>
      </c>
      <c r="BA27" s="16">
        <v>8.0</v>
      </c>
      <c r="BB27" s="16">
        <v>8.0</v>
      </c>
      <c r="BC27" s="16">
        <v>8.0</v>
      </c>
      <c r="BD27" s="16">
        <v>8.0</v>
      </c>
      <c r="BE27" s="16">
        <v>8.0</v>
      </c>
      <c r="BF27" s="16" t="s">
        <v>165</v>
      </c>
      <c r="BG27" s="16" t="s">
        <v>165</v>
      </c>
      <c r="BH27" s="16">
        <v>8.0</v>
      </c>
      <c r="BI27" s="16">
        <v>8.0</v>
      </c>
      <c r="BJ27" s="16">
        <v>8.0</v>
      </c>
      <c r="BK27" s="16">
        <v>8.0</v>
      </c>
      <c r="BL27" s="16">
        <v>8.0</v>
      </c>
      <c r="BM27" s="16" t="s">
        <v>165</v>
      </c>
      <c r="BN27" s="16" t="s">
        <v>165</v>
      </c>
      <c r="BO27" s="16">
        <v>8.0</v>
      </c>
      <c r="BP27" s="16">
        <v>8.0</v>
      </c>
      <c r="BQ27" s="16">
        <v>8.0</v>
      </c>
      <c r="BR27" s="105">
        <f t="shared" si="11"/>
        <v>176</v>
      </c>
      <c r="BS27" s="48"/>
      <c r="BT27" s="64">
        <v>8.0</v>
      </c>
      <c r="BU27" s="64">
        <v>8.0</v>
      </c>
      <c r="BV27" s="114" t="s">
        <v>165</v>
      </c>
      <c r="BW27" s="114" t="s">
        <v>165</v>
      </c>
      <c r="BX27" s="64">
        <v>8.0</v>
      </c>
      <c r="BY27" s="64">
        <v>8.0</v>
      </c>
      <c r="BZ27" s="64">
        <v>8.0</v>
      </c>
      <c r="CA27" s="64">
        <v>8.0</v>
      </c>
      <c r="CB27" s="64">
        <v>8.0</v>
      </c>
      <c r="CC27" s="114" t="s">
        <v>165</v>
      </c>
      <c r="CD27" s="114" t="s">
        <v>165</v>
      </c>
      <c r="CE27" s="64">
        <v>8.0</v>
      </c>
      <c r="CF27" s="64">
        <v>8.0</v>
      </c>
      <c r="CG27" s="64">
        <v>8.0</v>
      </c>
      <c r="CH27" s="64">
        <v>8.0</v>
      </c>
      <c r="CI27" s="64">
        <v>8.0</v>
      </c>
      <c r="CJ27" s="114" t="s">
        <v>165</v>
      </c>
      <c r="CK27" s="114" t="s">
        <v>165</v>
      </c>
      <c r="CL27" s="64">
        <v>8.0</v>
      </c>
      <c r="CM27" s="64">
        <v>8.0</v>
      </c>
      <c r="CN27" s="64">
        <v>8.0</v>
      </c>
      <c r="CO27" s="64">
        <v>8.0</v>
      </c>
      <c r="CP27" s="64">
        <v>8.0</v>
      </c>
      <c r="CQ27" s="114" t="s">
        <v>165</v>
      </c>
      <c r="CR27" s="114" t="s">
        <v>165</v>
      </c>
      <c r="CS27" s="64">
        <v>8.0</v>
      </c>
      <c r="CT27" s="64">
        <v>8.0</v>
      </c>
      <c r="CU27" s="64">
        <v>8.0</v>
      </c>
      <c r="CV27" s="64">
        <v>8.0</v>
      </c>
      <c r="CW27" s="64">
        <v>8.0</v>
      </c>
      <c r="CX27" s="114" t="s">
        <v>165</v>
      </c>
      <c r="CY27" s="105">
        <f t="shared" si="7"/>
        <v>176</v>
      </c>
      <c r="CZ27" s="48"/>
      <c r="DA27" s="113" t="s">
        <v>165</v>
      </c>
      <c r="DB27" s="113">
        <v>8.0</v>
      </c>
      <c r="DC27" s="113">
        <v>8.0</v>
      </c>
      <c r="DD27" s="113">
        <v>8.0</v>
      </c>
      <c r="DE27" s="113">
        <v>8.0</v>
      </c>
      <c r="DF27" s="113">
        <v>8.0</v>
      </c>
      <c r="DG27" s="113" t="s">
        <v>165</v>
      </c>
      <c r="DH27" s="113" t="s">
        <v>165</v>
      </c>
      <c r="DI27" s="113">
        <v>8.0</v>
      </c>
      <c r="DJ27" s="113">
        <v>8.0</v>
      </c>
      <c r="DK27" s="113">
        <v>8.0</v>
      </c>
      <c r="DL27" s="113">
        <v>8.0</v>
      </c>
      <c r="DM27" s="113">
        <v>8.0</v>
      </c>
      <c r="DN27" s="113" t="s">
        <v>165</v>
      </c>
      <c r="DO27" s="113" t="s">
        <v>165</v>
      </c>
      <c r="DP27" s="113">
        <v>8.0</v>
      </c>
      <c r="DQ27" s="113">
        <v>8.0</v>
      </c>
      <c r="DR27" s="113">
        <v>8.0</v>
      </c>
      <c r="DS27" s="113">
        <v>8.0</v>
      </c>
      <c r="DT27" s="113">
        <v>8.0</v>
      </c>
      <c r="DU27" s="113" t="s">
        <v>165</v>
      </c>
      <c r="DV27" s="113" t="s">
        <v>165</v>
      </c>
      <c r="DW27" s="113">
        <v>8.0</v>
      </c>
      <c r="DX27" s="113">
        <v>8.0</v>
      </c>
      <c r="DY27" s="113">
        <v>8.0</v>
      </c>
      <c r="DZ27" s="113">
        <v>8.0</v>
      </c>
      <c r="EA27" s="113">
        <v>8.0</v>
      </c>
      <c r="EB27" s="113" t="s">
        <v>165</v>
      </c>
      <c r="EC27" s="113" t="s">
        <v>165</v>
      </c>
      <c r="ED27" s="113">
        <v>8.0</v>
      </c>
      <c r="EE27" s="113">
        <v>8.0</v>
      </c>
      <c r="EF27" s="113">
        <f t="shared" si="8"/>
        <v>176</v>
      </c>
      <c r="EG27" s="48"/>
      <c r="EH27" s="15"/>
      <c r="EI27" s="15"/>
      <c r="EJ27" s="15"/>
      <c r="EK27" s="15"/>
      <c r="EL27" s="15"/>
      <c r="EM27" s="15"/>
      <c r="EN27" s="15"/>
      <c r="EO27" s="15"/>
      <c r="EP27" s="15"/>
      <c r="EQ27" s="15"/>
      <c r="ER27" s="15"/>
      <c r="ES27" s="15"/>
      <c r="ET27" s="15"/>
      <c r="EU27" s="15"/>
      <c r="EV27" s="15"/>
      <c r="EW27" s="15"/>
      <c r="EX27" s="15"/>
      <c r="EY27" s="15"/>
      <c r="EZ27" s="15"/>
      <c r="FA27" s="15"/>
      <c r="FB27" s="15"/>
      <c r="FC27" s="15"/>
      <c r="FD27" s="15"/>
      <c r="FE27" s="15"/>
      <c r="FF27" s="15"/>
      <c r="FG27" s="15"/>
      <c r="FH27" s="15"/>
      <c r="FI27" s="15"/>
      <c r="FJ27" s="15"/>
      <c r="FK27" s="15"/>
      <c r="FL27" s="105">
        <f t="shared" si="12"/>
        <v>0</v>
      </c>
      <c r="FM27" s="48"/>
      <c r="FN27" s="15"/>
      <c r="FO27" s="15"/>
      <c r="FP27" s="15"/>
      <c r="FQ27" s="15"/>
      <c r="FR27" s="15"/>
      <c r="FS27" s="15"/>
      <c r="FT27" s="15"/>
      <c r="FU27" s="15"/>
      <c r="FV27" s="15"/>
      <c r="FW27" s="15"/>
      <c r="FX27" s="15"/>
      <c r="FY27" s="15"/>
      <c r="FZ27" s="15"/>
      <c r="GA27" s="15"/>
      <c r="GB27" s="15"/>
      <c r="GC27" s="15"/>
      <c r="GD27" s="15"/>
      <c r="GE27" s="15"/>
      <c r="GF27" s="15"/>
      <c r="GG27" s="15"/>
      <c r="GH27" s="15"/>
      <c r="GI27" s="15"/>
      <c r="GJ27" s="15"/>
      <c r="GK27" s="15"/>
      <c r="GL27" s="15"/>
      <c r="GM27" s="15"/>
      <c r="GN27" s="15"/>
      <c r="GO27" s="15"/>
      <c r="GP27" s="15"/>
      <c r="GQ27" s="15"/>
      <c r="GR27" s="15"/>
      <c r="GS27" s="105">
        <f t="shared" si="13"/>
        <v>0</v>
      </c>
      <c r="GT27" s="48"/>
      <c r="GU27" s="15"/>
      <c r="GV27" s="15"/>
      <c r="GW27" s="15"/>
      <c r="GX27" s="15"/>
      <c r="GY27" s="15"/>
      <c r="GZ27" s="15"/>
      <c r="HA27" s="15"/>
      <c r="HB27" s="15"/>
      <c r="HC27" s="15"/>
      <c r="HD27" s="15"/>
      <c r="HE27" s="15"/>
    </row>
    <row r="28" ht="16.5" customHeight="1">
      <c r="A28" s="102" t="s">
        <v>122</v>
      </c>
      <c r="B28" s="106" t="str">
        <f>iferror(vlookup(A28,'SoS - Agents Info'!A:H,5,false),"")</f>
        <v>DE</v>
      </c>
      <c r="C28" s="107" t="str">
        <f>iferror(vlookup(A28,'SoS - Agents Info'!A:AQ,43,false),"")</f>
        <v>JM</v>
      </c>
      <c r="D28" s="108" t="str">
        <f>iferror(vlookup(A28,'SoS - Agents Info'!A:H,6,false),"")</f>
        <v>WD</v>
      </c>
      <c r="E28" s="108" t="str">
        <f>iferror(vlookup(A28,'SoS - Agents Info'!A:H,7,false),"")</f>
        <v>09:00-18:00</v>
      </c>
      <c r="F28" s="109">
        <f>IFERROR(__xludf.DUMMYFUNCTION("sum(COUNTIFS(Filter(FILTER('Shiftplan SoS'!G$3:GU166,'Shiftplan SoS'!$G$1:$GU$1&lt;=today()),'Shiftplan SoS'!$A$3:$A166=A28),""&gt;0"",(Filter(FILTER('Shiftplan SoS'!G$3:GU166,'Shiftplan SoS'!$G$1:$GU$1&lt;=today()),'Shiftplan SoS'!$A$3:$A166=A28)),""&lt;12""))"),85.0)</f>
        <v>85</v>
      </c>
      <c r="G28" s="16" t="s">
        <v>165</v>
      </c>
      <c r="H28" s="16" t="s">
        <v>165</v>
      </c>
      <c r="I28" s="16">
        <v>8.0</v>
      </c>
      <c r="J28" s="16">
        <v>8.0</v>
      </c>
      <c r="K28" s="16">
        <v>8.0</v>
      </c>
      <c r="L28" s="16">
        <v>8.0</v>
      </c>
      <c r="M28" s="16">
        <v>8.0</v>
      </c>
      <c r="N28" s="16" t="s">
        <v>165</v>
      </c>
      <c r="O28" s="16" t="s">
        <v>165</v>
      </c>
      <c r="P28" s="16">
        <v>8.0</v>
      </c>
      <c r="Q28" s="16">
        <v>8.0</v>
      </c>
      <c r="R28" s="16">
        <v>8.0</v>
      </c>
      <c r="S28" s="16" t="s">
        <v>171</v>
      </c>
      <c r="T28" s="16">
        <v>8.0</v>
      </c>
      <c r="U28" s="16" t="s">
        <v>165</v>
      </c>
      <c r="V28" s="16" t="s">
        <v>165</v>
      </c>
      <c r="W28" s="16">
        <v>8.0</v>
      </c>
      <c r="X28" s="16">
        <v>8.0</v>
      </c>
      <c r="Y28" s="16">
        <v>8.0</v>
      </c>
      <c r="Z28" s="16">
        <v>8.0</v>
      </c>
      <c r="AA28" s="16">
        <v>8.0</v>
      </c>
      <c r="AB28" s="16" t="s">
        <v>165</v>
      </c>
      <c r="AC28" s="16" t="s">
        <v>165</v>
      </c>
      <c r="AD28" s="16" t="s">
        <v>171</v>
      </c>
      <c r="AE28" s="16">
        <v>8.0</v>
      </c>
      <c r="AF28" s="16">
        <v>8.0</v>
      </c>
      <c r="AG28" s="16">
        <v>8.0</v>
      </c>
      <c r="AH28" s="16">
        <v>8.0</v>
      </c>
      <c r="AI28" s="16" t="s">
        <v>165</v>
      </c>
      <c r="AJ28" s="16" t="s">
        <v>165</v>
      </c>
      <c r="AK28" s="125">
        <v>8.0</v>
      </c>
      <c r="AL28" s="105">
        <f t="shared" si="5"/>
        <v>152</v>
      </c>
      <c r="AM28" s="48"/>
      <c r="AN28" s="110">
        <v>8.0</v>
      </c>
      <c r="AO28" s="16">
        <v>8.0</v>
      </c>
      <c r="AP28" s="16">
        <v>8.0</v>
      </c>
      <c r="AQ28" s="16">
        <v>8.0</v>
      </c>
      <c r="AR28" s="16" t="s">
        <v>165</v>
      </c>
      <c r="AS28" s="16" t="s">
        <v>165</v>
      </c>
      <c r="AT28" s="16">
        <v>8.0</v>
      </c>
      <c r="AU28" s="16">
        <v>8.0</v>
      </c>
      <c r="AV28" s="16">
        <v>8.0</v>
      </c>
      <c r="AW28" s="16">
        <v>8.0</v>
      </c>
      <c r="AX28" s="16">
        <v>8.0</v>
      </c>
      <c r="AY28" s="16" t="s">
        <v>165</v>
      </c>
      <c r="AZ28" s="16" t="s">
        <v>165</v>
      </c>
      <c r="BA28" s="16">
        <v>8.0</v>
      </c>
      <c r="BB28" s="16">
        <v>8.0</v>
      </c>
      <c r="BC28" s="16">
        <v>8.0</v>
      </c>
      <c r="BD28" s="16">
        <v>8.0</v>
      </c>
      <c r="BE28" s="16">
        <v>8.0</v>
      </c>
      <c r="BF28" s="16" t="s">
        <v>165</v>
      </c>
      <c r="BG28" s="16" t="s">
        <v>165</v>
      </c>
      <c r="BH28" s="16">
        <v>8.0</v>
      </c>
      <c r="BI28" s="16">
        <v>8.0</v>
      </c>
      <c r="BJ28" s="16">
        <v>8.0</v>
      </c>
      <c r="BK28" s="16">
        <v>8.0</v>
      </c>
      <c r="BL28" s="16">
        <v>8.0</v>
      </c>
      <c r="BM28" s="16" t="s">
        <v>165</v>
      </c>
      <c r="BN28" s="16" t="s">
        <v>165</v>
      </c>
      <c r="BO28" s="16">
        <v>8.0</v>
      </c>
      <c r="BP28" s="16">
        <v>8.0</v>
      </c>
      <c r="BQ28" s="16">
        <v>8.0</v>
      </c>
      <c r="BR28" s="105">
        <f t="shared" si="11"/>
        <v>176</v>
      </c>
      <c r="BS28" s="48"/>
      <c r="BT28" s="64">
        <v>8.0</v>
      </c>
      <c r="BU28" s="64">
        <v>8.0</v>
      </c>
      <c r="BV28" s="114" t="s">
        <v>165</v>
      </c>
      <c r="BW28" s="114" t="s">
        <v>165</v>
      </c>
      <c r="BX28" s="64">
        <v>8.0</v>
      </c>
      <c r="BY28" s="64">
        <v>8.0</v>
      </c>
      <c r="BZ28" s="64">
        <v>8.0</v>
      </c>
      <c r="CA28" s="64">
        <v>8.0</v>
      </c>
      <c r="CB28" s="64">
        <v>8.0</v>
      </c>
      <c r="CC28" s="114" t="s">
        <v>165</v>
      </c>
      <c r="CD28" s="114" t="s">
        <v>165</v>
      </c>
      <c r="CE28" s="64">
        <v>8.0</v>
      </c>
      <c r="CF28" s="64">
        <v>8.0</v>
      </c>
      <c r="CG28" s="64">
        <v>8.0</v>
      </c>
      <c r="CH28" s="64">
        <v>8.0</v>
      </c>
      <c r="CI28" s="64">
        <v>8.0</v>
      </c>
      <c r="CJ28" s="114" t="s">
        <v>165</v>
      </c>
      <c r="CK28" s="114" t="s">
        <v>165</v>
      </c>
      <c r="CL28" s="64">
        <v>8.0</v>
      </c>
      <c r="CM28" s="64">
        <v>8.0</v>
      </c>
      <c r="CN28" s="64">
        <v>8.0</v>
      </c>
      <c r="CO28" s="64">
        <v>8.0</v>
      </c>
      <c r="CP28" s="64">
        <v>8.0</v>
      </c>
      <c r="CQ28" s="114" t="s">
        <v>165</v>
      </c>
      <c r="CR28" s="114" t="s">
        <v>165</v>
      </c>
      <c r="CS28" s="64">
        <v>8.0</v>
      </c>
      <c r="CT28" s="64">
        <v>8.0</v>
      </c>
      <c r="CU28" s="64">
        <v>8.0</v>
      </c>
      <c r="CV28" s="64">
        <v>8.0</v>
      </c>
      <c r="CW28" s="64">
        <v>8.0</v>
      </c>
      <c r="CX28" s="114" t="s">
        <v>165</v>
      </c>
      <c r="CY28" s="105">
        <f t="shared" si="7"/>
        <v>176</v>
      </c>
      <c r="CZ28" s="48"/>
      <c r="DA28" s="113" t="s">
        <v>165</v>
      </c>
      <c r="DB28" s="113">
        <v>8.0</v>
      </c>
      <c r="DC28" s="113">
        <v>8.0</v>
      </c>
      <c r="DD28" s="113">
        <v>8.0</v>
      </c>
      <c r="DE28" s="113">
        <v>8.0</v>
      </c>
      <c r="DF28" s="113">
        <v>8.0</v>
      </c>
      <c r="DG28" s="113" t="s">
        <v>165</v>
      </c>
      <c r="DH28" s="113" t="s">
        <v>165</v>
      </c>
      <c r="DI28" s="113">
        <v>8.0</v>
      </c>
      <c r="DJ28" s="113">
        <v>8.0</v>
      </c>
      <c r="DK28" s="113">
        <v>8.0</v>
      </c>
      <c r="DL28" s="113">
        <v>8.0</v>
      </c>
      <c r="DM28" s="113">
        <v>8.0</v>
      </c>
      <c r="DN28" s="113" t="s">
        <v>165</v>
      </c>
      <c r="DO28" s="113" t="s">
        <v>165</v>
      </c>
      <c r="DP28" s="113">
        <v>8.0</v>
      </c>
      <c r="DQ28" s="113">
        <v>8.0</v>
      </c>
      <c r="DR28" s="113">
        <v>8.0</v>
      </c>
      <c r="DS28" s="113">
        <v>8.0</v>
      </c>
      <c r="DT28" s="113">
        <v>8.0</v>
      </c>
      <c r="DU28" s="113" t="s">
        <v>165</v>
      </c>
      <c r="DV28" s="113" t="s">
        <v>165</v>
      </c>
      <c r="DW28" s="113">
        <v>8.0</v>
      </c>
      <c r="DX28" s="113">
        <v>8.0</v>
      </c>
      <c r="DY28" s="113">
        <v>8.0</v>
      </c>
      <c r="DZ28" s="113">
        <v>8.0</v>
      </c>
      <c r="EA28" s="113">
        <v>8.0</v>
      </c>
      <c r="EB28" s="113" t="s">
        <v>165</v>
      </c>
      <c r="EC28" s="113" t="s">
        <v>165</v>
      </c>
      <c r="ED28" s="113">
        <v>8.0</v>
      </c>
      <c r="EE28" s="113">
        <v>8.0</v>
      </c>
      <c r="EF28" s="113">
        <f t="shared" si="8"/>
        <v>176</v>
      </c>
      <c r="EG28" s="48"/>
      <c r="EH28" s="15"/>
      <c r="EI28" s="15"/>
      <c r="EJ28" s="15"/>
      <c r="EK28" s="15"/>
      <c r="EL28" s="15"/>
      <c r="EM28" s="15"/>
      <c r="EN28" s="15"/>
      <c r="EO28" s="15"/>
      <c r="EP28" s="15"/>
      <c r="EQ28" s="15"/>
      <c r="ER28" s="15"/>
      <c r="ES28" s="15"/>
      <c r="ET28" s="15"/>
      <c r="EU28" s="15"/>
      <c r="EV28" s="15"/>
      <c r="EW28" s="15"/>
      <c r="EX28" s="15"/>
      <c r="EY28" s="15"/>
      <c r="EZ28" s="15"/>
      <c r="FA28" s="15"/>
      <c r="FB28" s="15"/>
      <c r="FC28" s="15"/>
      <c r="FD28" s="15"/>
      <c r="FE28" s="15"/>
      <c r="FF28" s="15"/>
      <c r="FG28" s="15"/>
      <c r="FH28" s="15"/>
      <c r="FI28" s="15"/>
      <c r="FJ28" s="15"/>
      <c r="FK28" s="15"/>
      <c r="FL28" s="105">
        <f t="shared" si="12"/>
        <v>0</v>
      </c>
      <c r="FM28" s="48"/>
      <c r="FN28" s="15"/>
      <c r="FO28" s="15"/>
      <c r="FP28" s="15"/>
      <c r="FQ28" s="15"/>
      <c r="FR28" s="15"/>
      <c r="FS28" s="15"/>
      <c r="FT28" s="15"/>
      <c r="FU28" s="15"/>
      <c r="FV28" s="15"/>
      <c r="FW28" s="15"/>
      <c r="FX28" s="15"/>
      <c r="FY28" s="15"/>
      <c r="FZ28" s="15"/>
      <c r="GA28" s="15"/>
      <c r="GB28" s="15"/>
      <c r="GC28" s="15"/>
      <c r="GD28" s="15"/>
      <c r="GE28" s="15"/>
      <c r="GF28" s="15"/>
      <c r="GG28" s="15"/>
      <c r="GH28" s="15"/>
      <c r="GI28" s="15"/>
      <c r="GJ28" s="15"/>
      <c r="GK28" s="15"/>
      <c r="GL28" s="15"/>
      <c r="GM28" s="15"/>
      <c r="GN28" s="15"/>
      <c r="GO28" s="15"/>
      <c r="GP28" s="15"/>
      <c r="GQ28" s="15"/>
      <c r="GR28" s="15"/>
      <c r="GS28" s="105">
        <f t="shared" si="13"/>
        <v>0</v>
      </c>
      <c r="GT28" s="48"/>
      <c r="GU28" s="15"/>
      <c r="GV28" s="15"/>
      <c r="GW28" s="15"/>
      <c r="GX28" s="15"/>
      <c r="GY28" s="15"/>
      <c r="GZ28" s="15"/>
      <c r="HA28" s="15"/>
      <c r="HB28" s="15"/>
      <c r="HC28" s="15"/>
      <c r="HD28" s="15"/>
      <c r="HE28" s="15"/>
    </row>
    <row r="29" ht="16.5" customHeight="1">
      <c r="A29" s="102" t="s">
        <v>125</v>
      </c>
      <c r="B29" s="106" t="str">
        <f>iferror(vlookup(A29,'SoS - Agents Info'!A:H,5,false),"")</f>
        <v>DE</v>
      </c>
      <c r="C29" s="107" t="str">
        <f>iferror(vlookup(A29,'SoS - Agents Info'!A:AQ,43,false),"")</f>
        <v>JM</v>
      </c>
      <c r="D29" s="108" t="str">
        <f>iferror(vlookup(A29,'SoS - Agents Info'!A:H,6,false),"")</f>
        <v>WD</v>
      </c>
      <c r="E29" s="108" t="str">
        <f>iferror(vlookup(A29,'SoS - Agents Info'!A:H,7,false),"")</f>
        <v>08:00-17:00</v>
      </c>
      <c r="F29" s="109">
        <f>IFERROR(__xludf.DUMMYFUNCTION("sum(COUNTIFS(Filter(FILTER('Shiftplan SoS'!G$3:GU166,'Shiftplan SoS'!$G$1:$GU$1&lt;=today()),'Shiftplan SoS'!$A$3:$A166=A29),""&gt;0"",(Filter(FILTER('Shiftplan SoS'!G$3:GU166,'Shiftplan SoS'!$G$1:$GU$1&lt;=today()),'Shiftplan SoS'!$A$3:$A166=A29)),""&lt;12""))"),79.0)</f>
        <v>79</v>
      </c>
      <c r="G29" s="16" t="s">
        <v>165</v>
      </c>
      <c r="H29" s="16" t="s">
        <v>165</v>
      </c>
      <c r="I29" s="16">
        <v>8.0</v>
      </c>
      <c r="J29" s="16">
        <v>8.0</v>
      </c>
      <c r="K29" s="16">
        <v>8.0</v>
      </c>
      <c r="L29" s="16">
        <v>8.0</v>
      </c>
      <c r="M29" s="16">
        <v>8.0</v>
      </c>
      <c r="N29" s="16" t="s">
        <v>165</v>
      </c>
      <c r="O29" s="16" t="s">
        <v>165</v>
      </c>
      <c r="P29" s="16">
        <v>8.0</v>
      </c>
      <c r="Q29" s="16">
        <v>8.0</v>
      </c>
      <c r="R29" s="16">
        <v>8.0</v>
      </c>
      <c r="S29" s="16" t="s">
        <v>165</v>
      </c>
      <c r="T29" s="16">
        <v>8.0</v>
      </c>
      <c r="U29" s="16" t="s">
        <v>165</v>
      </c>
      <c r="V29" s="16" t="s">
        <v>165</v>
      </c>
      <c r="W29" s="16">
        <v>8.0</v>
      </c>
      <c r="X29" s="16">
        <v>8.0</v>
      </c>
      <c r="Y29" s="16">
        <v>8.0</v>
      </c>
      <c r="Z29" s="16">
        <v>8.0</v>
      </c>
      <c r="AA29" s="16">
        <v>8.0</v>
      </c>
      <c r="AB29" s="16" t="s">
        <v>165</v>
      </c>
      <c r="AC29" s="16" t="s">
        <v>165</v>
      </c>
      <c r="AD29" s="16" t="s">
        <v>171</v>
      </c>
      <c r="AE29" s="16">
        <v>8.0</v>
      </c>
      <c r="AF29" s="16">
        <v>8.0</v>
      </c>
      <c r="AG29" s="16">
        <v>8.0</v>
      </c>
      <c r="AH29" s="16">
        <v>8.0</v>
      </c>
      <c r="AI29" s="16" t="s">
        <v>165</v>
      </c>
      <c r="AJ29" s="16" t="s">
        <v>165</v>
      </c>
      <c r="AK29" s="70">
        <v>8.0</v>
      </c>
      <c r="AL29" s="105">
        <f t="shared" si="5"/>
        <v>152</v>
      </c>
      <c r="AM29" s="48"/>
      <c r="AN29" s="16">
        <v>8.0</v>
      </c>
      <c r="AO29" s="16">
        <v>8.0</v>
      </c>
      <c r="AP29" s="16" t="s">
        <v>171</v>
      </c>
      <c r="AQ29" s="16">
        <v>8.0</v>
      </c>
      <c r="AR29" s="16" t="s">
        <v>165</v>
      </c>
      <c r="AS29" s="16" t="s">
        <v>165</v>
      </c>
      <c r="AT29" s="16">
        <v>8.0</v>
      </c>
      <c r="AU29" s="16">
        <v>8.0</v>
      </c>
      <c r="AV29" s="16">
        <v>8.0</v>
      </c>
      <c r="AW29" s="16">
        <v>8.0</v>
      </c>
      <c r="AX29" s="16">
        <v>8.0</v>
      </c>
      <c r="AY29" s="16" t="s">
        <v>165</v>
      </c>
      <c r="AZ29" s="16" t="s">
        <v>165</v>
      </c>
      <c r="BA29" s="16">
        <v>8.0</v>
      </c>
      <c r="BB29" s="16">
        <v>8.0</v>
      </c>
      <c r="BC29" s="16">
        <v>8.0</v>
      </c>
      <c r="BD29" s="16">
        <v>8.0</v>
      </c>
      <c r="BE29" s="16">
        <v>8.0</v>
      </c>
      <c r="BF29" s="16" t="s">
        <v>165</v>
      </c>
      <c r="BG29" s="16" t="s">
        <v>165</v>
      </c>
      <c r="BH29" s="16">
        <v>8.0</v>
      </c>
      <c r="BI29" s="16">
        <v>8.0</v>
      </c>
      <c r="BJ29" s="16">
        <v>8.0</v>
      </c>
      <c r="BK29" s="16">
        <v>8.0</v>
      </c>
      <c r="BL29" s="16">
        <v>8.0</v>
      </c>
      <c r="BM29" s="16" t="s">
        <v>165</v>
      </c>
      <c r="BN29" s="16" t="s">
        <v>165</v>
      </c>
      <c r="BO29" s="16">
        <v>8.0</v>
      </c>
      <c r="BP29" s="16">
        <v>8.0</v>
      </c>
      <c r="BQ29" s="16" t="s">
        <v>167</v>
      </c>
      <c r="BR29" s="105">
        <f t="shared" si="11"/>
        <v>160</v>
      </c>
      <c r="BS29" s="48"/>
      <c r="BT29" s="25" t="s">
        <v>167</v>
      </c>
      <c r="BU29" s="64">
        <v>8.0</v>
      </c>
      <c r="BV29" s="114" t="s">
        <v>165</v>
      </c>
      <c r="BW29" s="114" t="s">
        <v>165</v>
      </c>
      <c r="BX29" s="64">
        <v>8.0</v>
      </c>
      <c r="BY29" s="64">
        <v>8.0</v>
      </c>
      <c r="BZ29" s="64">
        <v>8.0</v>
      </c>
      <c r="CA29" s="64">
        <v>8.0</v>
      </c>
      <c r="CB29" s="64">
        <v>8.0</v>
      </c>
      <c r="CC29" s="114" t="s">
        <v>165</v>
      </c>
      <c r="CD29" s="114" t="s">
        <v>165</v>
      </c>
      <c r="CE29" s="64">
        <v>8.0</v>
      </c>
      <c r="CF29" s="64">
        <v>8.0</v>
      </c>
      <c r="CG29" s="64">
        <v>8.0</v>
      </c>
      <c r="CH29" s="64">
        <v>8.0</v>
      </c>
      <c r="CI29" s="64">
        <v>8.0</v>
      </c>
      <c r="CJ29" s="114" t="s">
        <v>165</v>
      </c>
      <c r="CK29" s="114" t="s">
        <v>165</v>
      </c>
      <c r="CL29" s="64">
        <v>8.0</v>
      </c>
      <c r="CM29" s="64">
        <v>8.0</v>
      </c>
      <c r="CN29" s="64">
        <v>8.0</v>
      </c>
      <c r="CO29" s="64">
        <v>8.0</v>
      </c>
      <c r="CP29" s="64">
        <v>8.0</v>
      </c>
      <c r="CQ29" s="114" t="s">
        <v>165</v>
      </c>
      <c r="CR29" s="114" t="s">
        <v>165</v>
      </c>
      <c r="CS29" s="64">
        <v>8.0</v>
      </c>
      <c r="CT29" s="64">
        <v>8.0</v>
      </c>
      <c r="CU29" s="64">
        <v>8.0</v>
      </c>
      <c r="CV29" s="64">
        <v>8.0</v>
      </c>
      <c r="CW29" s="64">
        <v>8.0</v>
      </c>
      <c r="CX29" s="114" t="s">
        <v>165</v>
      </c>
      <c r="CY29" s="105">
        <f t="shared" si="7"/>
        <v>168</v>
      </c>
      <c r="CZ29" s="48"/>
      <c r="DA29" s="113" t="s">
        <v>165</v>
      </c>
      <c r="DB29" s="113">
        <v>8.0</v>
      </c>
      <c r="DC29" s="113">
        <v>8.0</v>
      </c>
      <c r="DD29" s="113">
        <v>8.0</v>
      </c>
      <c r="DE29" s="113">
        <v>8.0</v>
      </c>
      <c r="DF29" s="113">
        <v>8.0</v>
      </c>
      <c r="DG29" s="113" t="s">
        <v>165</v>
      </c>
      <c r="DH29" s="113" t="s">
        <v>165</v>
      </c>
      <c r="DI29" s="113">
        <v>8.0</v>
      </c>
      <c r="DJ29" s="113">
        <v>8.0</v>
      </c>
      <c r="DK29" s="113">
        <v>8.0</v>
      </c>
      <c r="DL29" s="113">
        <v>8.0</v>
      </c>
      <c r="DM29" s="113">
        <v>8.0</v>
      </c>
      <c r="DN29" s="113" t="s">
        <v>165</v>
      </c>
      <c r="DO29" s="113" t="s">
        <v>165</v>
      </c>
      <c r="DP29" s="58" t="s">
        <v>169</v>
      </c>
      <c r="DQ29" s="113">
        <v>8.0</v>
      </c>
      <c r="DR29" s="113">
        <v>8.0</v>
      </c>
      <c r="DS29" s="113">
        <v>8.0</v>
      </c>
      <c r="DT29" s="113">
        <v>8.0</v>
      </c>
      <c r="DU29" s="113" t="s">
        <v>165</v>
      </c>
      <c r="DV29" s="113" t="s">
        <v>165</v>
      </c>
      <c r="DW29" s="113">
        <v>8.0</v>
      </c>
      <c r="DX29" s="113">
        <v>8.0</v>
      </c>
      <c r="DY29" s="113">
        <v>8.0</v>
      </c>
      <c r="DZ29" s="113">
        <v>8.0</v>
      </c>
      <c r="EA29" s="113">
        <v>8.0</v>
      </c>
      <c r="EB29" s="113" t="s">
        <v>165</v>
      </c>
      <c r="EC29" s="113" t="s">
        <v>165</v>
      </c>
      <c r="ED29" s="58" t="s">
        <v>167</v>
      </c>
      <c r="EE29" s="58" t="s">
        <v>167</v>
      </c>
      <c r="EF29" s="113">
        <f t="shared" si="8"/>
        <v>152</v>
      </c>
      <c r="EG29" s="48"/>
      <c r="EH29" s="15"/>
      <c r="EI29" s="15"/>
      <c r="EJ29" s="15"/>
      <c r="EK29" s="15"/>
      <c r="EL29" s="15"/>
      <c r="EM29" s="15"/>
      <c r="EN29" s="15"/>
      <c r="EO29" s="15"/>
      <c r="EP29" s="15"/>
      <c r="EQ29" s="15"/>
      <c r="ER29" s="15"/>
      <c r="ES29" s="15"/>
      <c r="ET29" s="15"/>
      <c r="EU29" s="15"/>
      <c r="EV29" s="15"/>
      <c r="EW29" s="15"/>
      <c r="EX29" s="15"/>
      <c r="EY29" s="15"/>
      <c r="EZ29" s="15"/>
      <c r="FA29" s="15"/>
      <c r="FB29" s="15"/>
      <c r="FC29" s="15"/>
      <c r="FD29" s="15"/>
      <c r="FE29" s="15"/>
      <c r="FF29" s="15"/>
      <c r="FG29" s="15"/>
      <c r="FH29" s="15"/>
      <c r="FI29" s="15"/>
      <c r="FJ29" s="15"/>
      <c r="FK29" s="15"/>
      <c r="FL29" s="105">
        <f t="shared" si="12"/>
        <v>0</v>
      </c>
      <c r="FM29" s="48"/>
      <c r="FN29" s="15"/>
      <c r="FO29" s="15"/>
      <c r="FP29" s="15"/>
      <c r="FQ29" s="15"/>
      <c r="FR29" s="15"/>
      <c r="FS29" s="15"/>
      <c r="FT29" s="15"/>
      <c r="FU29" s="15"/>
      <c r="FV29" s="15"/>
      <c r="FW29" s="15"/>
      <c r="FX29" s="15"/>
      <c r="FY29" s="15"/>
      <c r="FZ29" s="15"/>
      <c r="GA29" s="15"/>
      <c r="GB29" s="15"/>
      <c r="GC29" s="15"/>
      <c r="GD29" s="15"/>
      <c r="GE29" s="15"/>
      <c r="GF29" s="15"/>
      <c r="GG29" s="15"/>
      <c r="GH29" s="15"/>
      <c r="GI29" s="15"/>
      <c r="GJ29" s="15"/>
      <c r="GK29" s="15"/>
      <c r="GL29" s="15"/>
      <c r="GM29" s="15"/>
      <c r="GN29" s="15"/>
      <c r="GO29" s="15"/>
      <c r="GP29" s="15"/>
      <c r="GQ29" s="15"/>
      <c r="GR29" s="15"/>
      <c r="GS29" s="105">
        <f t="shared" si="13"/>
        <v>0</v>
      </c>
      <c r="GT29" s="48"/>
      <c r="GU29" s="15"/>
      <c r="GV29" s="15"/>
      <c r="GW29" s="15"/>
      <c r="GX29" s="15"/>
      <c r="GY29" s="15"/>
      <c r="GZ29" s="15"/>
      <c r="HA29" s="15"/>
      <c r="HB29" s="15"/>
      <c r="HC29" s="15"/>
      <c r="HD29" s="15"/>
      <c r="HE29" s="15"/>
    </row>
    <row r="30" ht="16.5" customHeight="1">
      <c r="A30" s="101" t="s">
        <v>159</v>
      </c>
      <c r="B30" s="106" t="str">
        <f>iferror(vlookup(A30,'SoS - Agents Info'!A:H,5,false),"")</f>
        <v>IT</v>
      </c>
      <c r="C30" s="107" t="str">
        <f>iferror(vlookup(A30,'SoS - Agents Info'!A:AQ,43,false),"")</f>
        <v>JM</v>
      </c>
      <c r="D30" s="108" t="str">
        <f>iferror(vlookup(A30,'SoS - Agents Info'!A:H,6,false),"")</f>
        <v>WD</v>
      </c>
      <c r="E30" s="108" t="str">
        <f>iferror(vlookup(A30,'SoS - Agents Info'!A:H,7,false),"")</f>
        <v>08:00-17:00</v>
      </c>
      <c r="F30" s="109">
        <f>IFERROR(__xludf.DUMMYFUNCTION("sum(COUNTIFS(Filter(FILTER('Shiftplan SoS'!G$3:GU166,'Shiftplan SoS'!$G$1:$GU$1&lt;=today()),'Shiftplan SoS'!$A$3:$A166=A30),""&gt;0"",(Filter(FILTER('Shiftplan SoS'!G$3:GU166,'Shiftplan SoS'!$G$1:$GU$1&lt;=today()),'Shiftplan SoS'!$A$3:$A166=A30)),""&lt;12""))"),75.0)</f>
        <v>75</v>
      </c>
      <c r="G30" s="16" t="s">
        <v>165</v>
      </c>
      <c r="H30" s="16" t="s">
        <v>165</v>
      </c>
      <c r="I30" s="16" t="s">
        <v>171</v>
      </c>
      <c r="J30" s="16">
        <v>8.0</v>
      </c>
      <c r="K30" s="16">
        <v>8.0</v>
      </c>
      <c r="L30" s="16">
        <v>8.0</v>
      </c>
      <c r="M30" s="16">
        <v>8.0</v>
      </c>
      <c r="N30" s="16" t="s">
        <v>165</v>
      </c>
      <c r="O30" s="16" t="s">
        <v>165</v>
      </c>
      <c r="P30" s="16">
        <v>8.0</v>
      </c>
      <c r="Q30" s="16">
        <v>8.0</v>
      </c>
      <c r="R30" s="16">
        <v>8.0</v>
      </c>
      <c r="S30" s="16" t="s">
        <v>171</v>
      </c>
      <c r="T30" s="16">
        <v>8.0</v>
      </c>
      <c r="U30" s="16" t="s">
        <v>165</v>
      </c>
      <c r="V30" s="16" t="s">
        <v>165</v>
      </c>
      <c r="W30" s="16">
        <v>8.0</v>
      </c>
      <c r="X30" s="16">
        <v>8.0</v>
      </c>
      <c r="Y30" s="16">
        <v>8.0</v>
      </c>
      <c r="Z30" s="16">
        <v>8.0</v>
      </c>
      <c r="AA30" s="16">
        <v>8.0</v>
      </c>
      <c r="AB30" s="16" t="s">
        <v>165</v>
      </c>
      <c r="AC30" s="16" t="s">
        <v>165</v>
      </c>
      <c r="AD30" s="16" t="s">
        <v>171</v>
      </c>
      <c r="AE30" s="16">
        <v>8.0</v>
      </c>
      <c r="AF30" s="16">
        <v>8.0</v>
      </c>
      <c r="AG30" s="16">
        <v>8.0</v>
      </c>
      <c r="AH30" s="16">
        <v>8.0</v>
      </c>
      <c r="AI30" s="16" t="s">
        <v>165</v>
      </c>
      <c r="AJ30" s="16" t="s">
        <v>165</v>
      </c>
      <c r="AK30" s="125">
        <v>8.0</v>
      </c>
      <c r="AL30" s="105">
        <f t="shared" si="5"/>
        <v>144</v>
      </c>
      <c r="AM30" s="48"/>
      <c r="AN30" s="110">
        <v>8.0</v>
      </c>
      <c r="AO30" s="16">
        <v>8.0</v>
      </c>
      <c r="AP30" s="16" t="s">
        <v>171</v>
      </c>
      <c r="AQ30" s="16">
        <v>8.0</v>
      </c>
      <c r="AR30" s="16" t="s">
        <v>165</v>
      </c>
      <c r="AS30" s="16" t="s">
        <v>165</v>
      </c>
      <c r="AT30" s="16">
        <v>8.0</v>
      </c>
      <c r="AU30" s="16">
        <v>8.0</v>
      </c>
      <c r="AV30" s="16">
        <v>8.0</v>
      </c>
      <c r="AW30" s="16">
        <v>8.0</v>
      </c>
      <c r="AX30" s="16">
        <v>8.0</v>
      </c>
      <c r="AY30" s="16" t="s">
        <v>165</v>
      </c>
      <c r="AZ30" s="16" t="s">
        <v>165</v>
      </c>
      <c r="BA30" s="16">
        <v>8.0</v>
      </c>
      <c r="BB30" s="16">
        <v>8.0</v>
      </c>
      <c r="BC30" s="16">
        <v>8.0</v>
      </c>
      <c r="BD30" s="16">
        <v>8.0</v>
      </c>
      <c r="BE30" s="16">
        <v>8.0</v>
      </c>
      <c r="BF30" s="16" t="s">
        <v>165</v>
      </c>
      <c r="BG30" s="16" t="s">
        <v>165</v>
      </c>
      <c r="BH30" s="16">
        <v>8.0</v>
      </c>
      <c r="BI30" s="16">
        <v>8.0</v>
      </c>
      <c r="BJ30" s="16">
        <v>8.0</v>
      </c>
      <c r="BK30" s="16">
        <v>8.0</v>
      </c>
      <c r="BL30" s="16">
        <v>8.0</v>
      </c>
      <c r="BM30" s="16" t="s">
        <v>165</v>
      </c>
      <c r="BN30" s="16" t="s">
        <v>165</v>
      </c>
      <c r="BO30" s="16" t="s">
        <v>245</v>
      </c>
      <c r="BP30" s="16" t="s">
        <v>245</v>
      </c>
      <c r="BQ30" s="16" t="s">
        <v>245</v>
      </c>
      <c r="BR30" s="105">
        <f t="shared" si="11"/>
        <v>144</v>
      </c>
      <c r="BS30" s="48"/>
      <c r="BT30" s="64">
        <v>8.0</v>
      </c>
      <c r="BU30" s="64">
        <v>8.0</v>
      </c>
      <c r="BV30" s="114" t="s">
        <v>165</v>
      </c>
      <c r="BW30" s="114" t="s">
        <v>165</v>
      </c>
      <c r="BX30" s="64">
        <v>8.0</v>
      </c>
      <c r="BY30" s="64">
        <v>8.0</v>
      </c>
      <c r="BZ30" s="64">
        <v>8.0</v>
      </c>
      <c r="CA30" s="64">
        <v>8.0</v>
      </c>
      <c r="CB30" s="64">
        <v>8.0</v>
      </c>
      <c r="CC30" s="114" t="s">
        <v>165</v>
      </c>
      <c r="CD30" s="114" t="s">
        <v>165</v>
      </c>
      <c r="CE30" s="64">
        <v>8.0</v>
      </c>
      <c r="CF30" s="64">
        <v>8.0</v>
      </c>
      <c r="CG30" s="64">
        <v>8.0</v>
      </c>
      <c r="CH30" s="64">
        <v>8.0</v>
      </c>
      <c r="CI30" s="64">
        <v>8.0</v>
      </c>
      <c r="CJ30" s="114" t="s">
        <v>165</v>
      </c>
      <c r="CK30" s="114" t="s">
        <v>165</v>
      </c>
      <c r="CL30" s="64">
        <v>8.0</v>
      </c>
      <c r="CM30" s="64">
        <v>8.0</v>
      </c>
      <c r="CN30" s="64">
        <v>8.0</v>
      </c>
      <c r="CO30" s="64">
        <v>8.0</v>
      </c>
      <c r="CP30" s="64">
        <v>8.0</v>
      </c>
      <c r="CQ30" s="114" t="s">
        <v>165</v>
      </c>
      <c r="CR30" s="114" t="s">
        <v>165</v>
      </c>
      <c r="CS30" s="64">
        <v>8.0</v>
      </c>
      <c r="CT30" s="64">
        <v>8.0</v>
      </c>
      <c r="CU30" s="64">
        <v>8.0</v>
      </c>
      <c r="CV30" s="64">
        <v>8.0</v>
      </c>
      <c r="CW30" s="64">
        <v>8.0</v>
      </c>
      <c r="CX30" s="114" t="s">
        <v>165</v>
      </c>
      <c r="CY30" s="105">
        <f t="shared" si="7"/>
        <v>176</v>
      </c>
      <c r="CZ30" s="48"/>
      <c r="DA30" s="113" t="s">
        <v>165</v>
      </c>
      <c r="DB30" s="113">
        <v>8.0</v>
      </c>
      <c r="DC30" s="113">
        <v>8.0</v>
      </c>
      <c r="DD30" s="113">
        <v>8.0</v>
      </c>
      <c r="DE30" s="113">
        <v>8.0</v>
      </c>
      <c r="DF30" s="113">
        <v>8.0</v>
      </c>
      <c r="DG30" s="58">
        <v>8.0</v>
      </c>
      <c r="DH30" s="113" t="s">
        <v>165</v>
      </c>
      <c r="DI30" s="58"/>
      <c r="DJ30" s="113">
        <v>8.0</v>
      </c>
      <c r="DK30" s="113">
        <v>8.0</v>
      </c>
      <c r="DL30" s="113">
        <v>8.0</v>
      </c>
      <c r="DM30" s="113">
        <v>8.0</v>
      </c>
      <c r="DN30" s="113" t="s">
        <v>165</v>
      </c>
      <c r="DO30" s="113" t="s">
        <v>165</v>
      </c>
      <c r="DP30" s="113">
        <v>8.0</v>
      </c>
      <c r="DQ30" s="113">
        <v>8.0</v>
      </c>
      <c r="DR30" s="113">
        <v>8.0</v>
      </c>
      <c r="DS30" s="113">
        <v>8.0</v>
      </c>
      <c r="DT30" s="113">
        <v>8.0</v>
      </c>
      <c r="DU30" s="113" t="s">
        <v>165</v>
      </c>
      <c r="DV30" s="113" t="s">
        <v>165</v>
      </c>
      <c r="DW30" s="58" t="s">
        <v>167</v>
      </c>
      <c r="DX30" s="58" t="s">
        <v>167</v>
      </c>
      <c r="DY30" s="58" t="s">
        <v>167</v>
      </c>
      <c r="DZ30" s="58" t="s">
        <v>167</v>
      </c>
      <c r="EA30" s="58" t="s">
        <v>167</v>
      </c>
      <c r="EB30" s="113" t="s">
        <v>165</v>
      </c>
      <c r="EC30" s="113" t="s">
        <v>165</v>
      </c>
      <c r="ED30" s="113">
        <v>8.0</v>
      </c>
      <c r="EE30" s="113">
        <v>8.0</v>
      </c>
      <c r="EF30" s="113">
        <f t="shared" si="8"/>
        <v>136</v>
      </c>
      <c r="EG30" s="48"/>
      <c r="EH30" s="15"/>
      <c r="EI30" s="15"/>
      <c r="EJ30" s="15"/>
      <c r="EK30" s="15"/>
      <c r="EL30" s="15"/>
      <c r="EM30" s="15"/>
      <c r="EN30" s="15"/>
      <c r="EO30" s="15"/>
      <c r="EP30" s="15"/>
      <c r="EQ30" s="15"/>
      <c r="ER30" s="15"/>
      <c r="ES30" s="15"/>
      <c r="ET30" s="15"/>
      <c r="EU30" s="15"/>
      <c r="EV30" s="15"/>
      <c r="EW30" s="15"/>
      <c r="EX30" s="15"/>
      <c r="EY30" s="15"/>
      <c r="EZ30" s="15"/>
      <c r="FA30" s="15"/>
      <c r="FB30" s="15"/>
      <c r="FC30" s="15"/>
      <c r="FD30" s="15"/>
      <c r="FE30" s="15"/>
      <c r="FF30" s="15"/>
      <c r="FG30" s="15"/>
      <c r="FH30" s="15"/>
      <c r="FI30" s="15"/>
      <c r="FJ30" s="15"/>
      <c r="FK30" s="15"/>
      <c r="FL30" s="105">
        <f t="shared" si="12"/>
        <v>0</v>
      </c>
      <c r="FM30" s="48"/>
      <c r="FN30" s="15"/>
      <c r="FO30" s="15"/>
      <c r="FP30" s="15"/>
      <c r="FQ30" s="15"/>
      <c r="FR30" s="15"/>
      <c r="FS30" s="15"/>
      <c r="FT30" s="15"/>
      <c r="FU30" s="15"/>
      <c r="FV30" s="15"/>
      <c r="FW30" s="15"/>
      <c r="FX30" s="15"/>
      <c r="FY30" s="15"/>
      <c r="FZ30" s="15"/>
      <c r="GA30" s="15"/>
      <c r="GB30" s="15"/>
      <c r="GC30" s="15"/>
      <c r="GD30" s="15"/>
      <c r="GE30" s="15"/>
      <c r="GF30" s="15"/>
      <c r="GG30" s="15"/>
      <c r="GH30" s="15"/>
      <c r="GI30" s="15"/>
      <c r="GJ30" s="15"/>
      <c r="GK30" s="15"/>
      <c r="GL30" s="15"/>
      <c r="GM30" s="15"/>
      <c r="GN30" s="15"/>
      <c r="GO30" s="15"/>
      <c r="GP30" s="15"/>
      <c r="GQ30" s="15"/>
      <c r="GR30" s="15"/>
      <c r="GS30" s="105">
        <f t="shared" si="13"/>
        <v>0</v>
      </c>
      <c r="GT30" s="48"/>
      <c r="GU30" s="15"/>
      <c r="GV30" s="15"/>
      <c r="GW30" s="15"/>
      <c r="GX30" s="15"/>
      <c r="GY30" s="15"/>
      <c r="GZ30" s="15"/>
      <c r="HA30" s="15"/>
      <c r="HB30" s="15"/>
      <c r="HC30" s="15"/>
      <c r="HD30" s="15"/>
      <c r="HE30" s="15"/>
    </row>
    <row r="31" ht="16.5" customHeight="1">
      <c r="A31" s="101" t="s">
        <v>259</v>
      </c>
      <c r="B31" s="106" t="str">
        <f>iferror(vlookup(A31,'SoS - Agents Info'!A:H,5,false),"")</f>
        <v>EN</v>
      </c>
      <c r="C31" s="107" t="str">
        <f>iferror(vlookup(A31,'SoS - Agents Info'!A:AQ,43,false),"")</f>
        <v>JM</v>
      </c>
      <c r="D31" s="108" t="str">
        <f>iferror(vlookup(A31,'SoS - Agents Info'!A:H,6,false),"")</f>
        <v>WE+WD</v>
      </c>
      <c r="E31" s="108" t="str">
        <f>iferror(vlookup(A31,'SoS - Agents Info'!A:H,7,false),"")</f>
        <v>09:00-18:00</v>
      </c>
      <c r="F31" s="109">
        <f>IFERROR(__xludf.DUMMYFUNCTION("sum(COUNTIFS(Filter(FILTER('Shiftplan SoS'!G$3:GU166,'Shiftplan SoS'!$G$1:$GU$1&lt;=today()),'Shiftplan SoS'!$A$3:$A166=A31),""&gt;0"",(Filter(FILTER('Shiftplan SoS'!G$3:GU166,'Shiftplan SoS'!$G$1:$GU$1&lt;=today()),'Shiftplan SoS'!$A$3:$A166=A31)),""&lt;12""))"),76.0)</f>
        <v>76</v>
      </c>
      <c r="G31" s="16"/>
      <c r="H31" s="16"/>
      <c r="I31" s="15"/>
      <c r="J31" s="15"/>
      <c r="K31" s="16">
        <v>8.0</v>
      </c>
      <c r="L31" s="16">
        <v>8.0</v>
      </c>
      <c r="M31" s="16">
        <v>8.0</v>
      </c>
      <c r="N31" s="16">
        <v>8.0</v>
      </c>
      <c r="O31" s="16">
        <v>8.0</v>
      </c>
      <c r="P31" s="16" t="s">
        <v>165</v>
      </c>
      <c r="Q31" s="16" t="s">
        <v>165</v>
      </c>
      <c r="R31" s="16">
        <v>8.0</v>
      </c>
      <c r="S31" s="16">
        <v>8.0</v>
      </c>
      <c r="T31" s="16">
        <v>8.0</v>
      </c>
      <c r="U31" s="118" t="s">
        <v>165</v>
      </c>
      <c r="V31" s="130" t="s">
        <v>165</v>
      </c>
      <c r="W31" s="16" t="s">
        <v>165</v>
      </c>
      <c r="X31" s="16" t="s">
        <v>165</v>
      </c>
      <c r="Y31" s="16">
        <v>8.0</v>
      </c>
      <c r="Z31" s="16">
        <v>8.0</v>
      </c>
      <c r="AA31" s="16">
        <v>8.0</v>
      </c>
      <c r="AB31" s="16">
        <v>8.0</v>
      </c>
      <c r="AC31" s="16">
        <v>8.0</v>
      </c>
      <c r="AD31" s="16" t="s">
        <v>165</v>
      </c>
      <c r="AE31" s="16" t="s">
        <v>165</v>
      </c>
      <c r="AF31" s="16">
        <v>8.0</v>
      </c>
      <c r="AG31" s="16">
        <v>8.0</v>
      </c>
      <c r="AH31" s="16">
        <v>8.0</v>
      </c>
      <c r="AI31" s="110">
        <v>8.0</v>
      </c>
      <c r="AJ31" s="110">
        <v>8.0</v>
      </c>
      <c r="AK31" s="70" t="s">
        <v>165</v>
      </c>
      <c r="AL31" s="105">
        <f t="shared" si="5"/>
        <v>144</v>
      </c>
      <c r="AM31" s="48"/>
      <c r="AN31" s="16" t="s">
        <v>165</v>
      </c>
      <c r="AO31" s="16">
        <v>8.0</v>
      </c>
      <c r="AP31" s="16">
        <v>8.0</v>
      </c>
      <c r="AQ31" s="16">
        <v>8.0</v>
      </c>
      <c r="AR31" s="16">
        <v>8.0</v>
      </c>
      <c r="AS31" s="16">
        <v>8.0</v>
      </c>
      <c r="AT31" s="16" t="s">
        <v>165</v>
      </c>
      <c r="AU31" s="16" t="s">
        <v>165</v>
      </c>
      <c r="AV31" s="16" t="s">
        <v>171</v>
      </c>
      <c r="AW31" s="16">
        <v>8.0</v>
      </c>
      <c r="AX31" s="16">
        <v>8.0</v>
      </c>
      <c r="AY31" s="16">
        <v>8.0</v>
      </c>
      <c r="AZ31" s="16">
        <v>8.0</v>
      </c>
      <c r="BA31" s="16" t="s">
        <v>165</v>
      </c>
      <c r="BB31" s="16" t="s">
        <v>165</v>
      </c>
      <c r="BC31" s="16">
        <v>8.0</v>
      </c>
      <c r="BD31" s="16">
        <v>8.0</v>
      </c>
      <c r="BE31" s="16">
        <v>8.0</v>
      </c>
      <c r="BF31" s="16">
        <v>8.0</v>
      </c>
      <c r="BG31" s="16">
        <v>8.0</v>
      </c>
      <c r="BH31" s="16" t="s">
        <v>165</v>
      </c>
      <c r="BI31" s="16" t="s">
        <v>165</v>
      </c>
      <c r="BJ31" s="16">
        <v>8.0</v>
      </c>
      <c r="BK31" s="16">
        <v>8.0</v>
      </c>
      <c r="BL31" s="16">
        <v>8.0</v>
      </c>
      <c r="BM31" s="16">
        <v>8.0</v>
      </c>
      <c r="BN31" s="16">
        <v>8.0</v>
      </c>
      <c r="BO31" s="16" t="s">
        <v>165</v>
      </c>
      <c r="BP31" s="16" t="s">
        <v>165</v>
      </c>
      <c r="BQ31" s="16">
        <v>8.0</v>
      </c>
      <c r="BR31" s="105">
        <f t="shared" si="11"/>
        <v>160</v>
      </c>
      <c r="BS31" s="48"/>
      <c r="BT31" s="16">
        <v>8.0</v>
      </c>
      <c r="BU31" s="16">
        <v>8.0</v>
      </c>
      <c r="BV31" s="16">
        <v>8.0</v>
      </c>
      <c r="BW31" s="16">
        <v>8.0</v>
      </c>
      <c r="BX31" s="16" t="s">
        <v>165</v>
      </c>
      <c r="BY31" s="16" t="s">
        <v>165</v>
      </c>
      <c r="BZ31" s="16">
        <v>8.0</v>
      </c>
      <c r="CA31" s="16">
        <v>8.0</v>
      </c>
      <c r="CB31" s="16">
        <v>8.0</v>
      </c>
      <c r="CC31" s="16">
        <v>8.0</v>
      </c>
      <c r="CD31" s="16">
        <v>8.0</v>
      </c>
      <c r="CE31" s="16" t="s">
        <v>165</v>
      </c>
      <c r="CF31" s="16" t="s">
        <v>165</v>
      </c>
      <c r="CG31" s="16">
        <v>8.0</v>
      </c>
      <c r="CH31" s="16">
        <v>8.0</v>
      </c>
      <c r="CI31" s="16">
        <v>8.0</v>
      </c>
      <c r="CJ31" s="16">
        <v>8.0</v>
      </c>
      <c r="CK31" s="16">
        <v>8.0</v>
      </c>
      <c r="CL31" s="16" t="s">
        <v>165</v>
      </c>
      <c r="CM31" s="16" t="s">
        <v>165</v>
      </c>
      <c r="CN31" s="16">
        <v>8.0</v>
      </c>
      <c r="CO31" s="16">
        <v>8.0</v>
      </c>
      <c r="CP31" s="16">
        <v>8.0</v>
      </c>
      <c r="CQ31" s="16">
        <v>8.0</v>
      </c>
      <c r="CR31" s="16">
        <v>8.0</v>
      </c>
      <c r="CS31" s="16" t="s">
        <v>165</v>
      </c>
      <c r="CT31" s="16" t="s">
        <v>165</v>
      </c>
      <c r="CU31" s="16" t="s">
        <v>167</v>
      </c>
      <c r="CV31" s="16" t="s">
        <v>167</v>
      </c>
      <c r="CW31" s="16" t="s">
        <v>167</v>
      </c>
      <c r="CX31" s="16" t="s">
        <v>167</v>
      </c>
      <c r="CY31" s="105">
        <f t="shared" si="7"/>
        <v>152</v>
      </c>
      <c r="CZ31" s="48"/>
      <c r="DA31" s="58" t="s">
        <v>167</v>
      </c>
      <c r="DB31" s="16" t="s">
        <v>165</v>
      </c>
      <c r="DC31" s="16" t="s">
        <v>165</v>
      </c>
      <c r="DD31" s="16" t="s">
        <v>171</v>
      </c>
      <c r="DE31" s="16">
        <v>8.0</v>
      </c>
      <c r="DF31" s="16">
        <v>8.0</v>
      </c>
      <c r="DG31" s="16">
        <v>8.0</v>
      </c>
      <c r="DH31" s="16">
        <v>8.0</v>
      </c>
      <c r="DI31" s="16" t="s">
        <v>165</v>
      </c>
      <c r="DJ31" s="16" t="s">
        <v>165</v>
      </c>
      <c r="DK31" s="16">
        <v>8.0</v>
      </c>
      <c r="DL31" s="16">
        <v>8.0</v>
      </c>
      <c r="DM31" s="16">
        <v>8.0</v>
      </c>
      <c r="DN31" s="16">
        <v>8.0</v>
      </c>
      <c r="DO31" s="16">
        <v>8.0</v>
      </c>
      <c r="DP31" s="16" t="s">
        <v>165</v>
      </c>
      <c r="DQ31" s="16" t="s">
        <v>165</v>
      </c>
      <c r="DR31" s="16">
        <v>8.0</v>
      </c>
      <c r="DS31" s="16">
        <v>8.0</v>
      </c>
      <c r="DT31" s="16">
        <v>8.0</v>
      </c>
      <c r="DU31" s="16">
        <v>8.0</v>
      </c>
      <c r="DV31" s="16">
        <v>8.0</v>
      </c>
      <c r="DW31" s="16" t="s">
        <v>165</v>
      </c>
      <c r="DX31" s="16" t="s">
        <v>165</v>
      </c>
      <c r="DY31" s="16">
        <v>8.0</v>
      </c>
      <c r="DZ31" s="16">
        <v>8.0</v>
      </c>
      <c r="EA31" s="16">
        <v>8.0</v>
      </c>
      <c r="EB31" s="16">
        <v>8.0</v>
      </c>
      <c r="EC31" s="16">
        <v>8.0</v>
      </c>
      <c r="ED31" s="58" t="s">
        <v>165</v>
      </c>
      <c r="EE31" s="58" t="s">
        <v>165</v>
      </c>
      <c r="EF31" s="113">
        <f t="shared" si="8"/>
        <v>152</v>
      </c>
      <c r="EG31" s="48"/>
      <c r="EH31" s="15"/>
      <c r="EI31" s="15"/>
      <c r="EJ31" s="15"/>
      <c r="EK31" s="15"/>
      <c r="EL31" s="15"/>
      <c r="EM31" s="15"/>
      <c r="EN31" s="15"/>
      <c r="EO31" s="15"/>
      <c r="EP31" s="15"/>
      <c r="EQ31" s="15"/>
      <c r="ER31" s="15"/>
      <c r="ES31" s="15"/>
      <c r="ET31" s="15"/>
      <c r="EU31" s="15"/>
      <c r="EV31" s="15"/>
      <c r="EW31" s="15"/>
      <c r="EX31" s="15"/>
      <c r="EY31" s="15"/>
      <c r="EZ31" s="15"/>
      <c r="FA31" s="15"/>
      <c r="FB31" s="15"/>
      <c r="FC31" s="15"/>
      <c r="FD31" s="15"/>
      <c r="FE31" s="15"/>
      <c r="FF31" s="15"/>
      <c r="FG31" s="15"/>
      <c r="FH31" s="15"/>
      <c r="FI31" s="15"/>
      <c r="FJ31" s="15"/>
      <c r="FK31" s="15"/>
      <c r="FL31" s="105">
        <f t="shared" si="12"/>
        <v>0</v>
      </c>
      <c r="FM31" s="48"/>
      <c r="FN31" s="15"/>
      <c r="FO31" s="15"/>
      <c r="FP31" s="15"/>
      <c r="FQ31" s="15"/>
      <c r="FR31" s="15"/>
      <c r="FS31" s="15"/>
      <c r="FT31" s="15"/>
      <c r="FU31" s="15"/>
      <c r="FV31" s="15"/>
      <c r="FW31" s="15"/>
      <c r="FX31" s="15"/>
      <c r="FY31" s="15"/>
      <c r="FZ31" s="15"/>
      <c r="GA31" s="15"/>
      <c r="GB31" s="15"/>
      <c r="GC31" s="15"/>
      <c r="GD31" s="15"/>
      <c r="GE31" s="15"/>
      <c r="GF31" s="15"/>
      <c r="GG31" s="15"/>
      <c r="GH31" s="15"/>
      <c r="GI31" s="15"/>
      <c r="GJ31" s="15"/>
      <c r="GK31" s="15"/>
      <c r="GL31" s="15"/>
      <c r="GM31" s="15"/>
      <c r="GN31" s="15"/>
      <c r="GO31" s="15"/>
      <c r="GP31" s="15"/>
      <c r="GQ31" s="15"/>
      <c r="GR31" s="15"/>
      <c r="GS31" s="105">
        <f t="shared" si="13"/>
        <v>0</v>
      </c>
      <c r="GT31" s="48"/>
      <c r="GU31" s="15"/>
      <c r="GV31" s="15"/>
      <c r="GW31" s="15"/>
      <c r="GX31" s="15"/>
      <c r="GY31" s="15"/>
      <c r="GZ31" s="15"/>
      <c r="HA31" s="15"/>
      <c r="HB31" s="15"/>
      <c r="HC31" s="15"/>
      <c r="HD31" s="15"/>
      <c r="HE31" s="15"/>
    </row>
    <row r="32" ht="16.5" customHeight="1">
      <c r="A32" s="102" t="s">
        <v>156</v>
      </c>
      <c r="B32" s="106" t="str">
        <f>iferror(vlookup(A32,'SoS - Agents Info'!A:H,5,false),"")</f>
        <v>EN</v>
      </c>
      <c r="C32" s="107" t="str">
        <f>iferror(vlookup(A32,'SoS - Agents Info'!A:AQ,43,false),"")</f>
        <v>FL</v>
      </c>
      <c r="D32" s="108" t="str">
        <f>iferror(vlookup(A32,'SoS - Agents Info'!A:H,6,false),"")</f>
        <v>WE+WD</v>
      </c>
      <c r="E32" s="108" t="str">
        <f>iferror(vlookup(A32,'SoS - Agents Info'!A:H,7,false),"")</f>
        <v>00:00-09:00</v>
      </c>
      <c r="F32" s="109">
        <f>IFERROR(__xludf.DUMMYFUNCTION("sum(COUNTIFS(Filter(FILTER('Shiftplan SoS'!G$3:GU166,'Shiftplan SoS'!$G$1:$GU$1&lt;=today()),'Shiftplan SoS'!$A$3:$A166=A32),""&gt;0"",(Filter(FILTER('Shiftplan SoS'!G$3:GU166,'Shiftplan SoS'!$G$1:$GU$1&lt;=today()),'Shiftplan SoS'!$A$3:$A166=A32)),""&lt;12""))"),77.0)</f>
        <v>77</v>
      </c>
      <c r="G32" s="16">
        <v>8.0</v>
      </c>
      <c r="H32" s="16">
        <v>8.0</v>
      </c>
      <c r="I32" s="16" t="s">
        <v>165</v>
      </c>
      <c r="J32" s="16" t="s">
        <v>165</v>
      </c>
      <c r="K32" s="16" t="s">
        <v>165</v>
      </c>
      <c r="L32" s="16" t="s">
        <v>165</v>
      </c>
      <c r="M32" s="16" t="s">
        <v>165</v>
      </c>
      <c r="N32" s="16">
        <v>8.0</v>
      </c>
      <c r="O32" s="16">
        <v>8.0</v>
      </c>
      <c r="P32" s="16" t="s">
        <v>165</v>
      </c>
      <c r="Q32" s="16" t="s">
        <v>165</v>
      </c>
      <c r="R32" s="16" t="s">
        <v>170</v>
      </c>
      <c r="S32" s="16" t="s">
        <v>165</v>
      </c>
      <c r="T32" s="16" t="s">
        <v>165</v>
      </c>
      <c r="U32" s="16">
        <v>8.0</v>
      </c>
      <c r="V32" s="16">
        <v>8.0</v>
      </c>
      <c r="W32" s="16">
        <v>8.0</v>
      </c>
      <c r="X32" s="16">
        <v>8.0</v>
      </c>
      <c r="Y32" s="16">
        <v>8.0</v>
      </c>
      <c r="Z32" s="16" t="s">
        <v>165</v>
      </c>
      <c r="AA32" s="16" t="s">
        <v>165</v>
      </c>
      <c r="AB32" s="16">
        <v>8.0</v>
      </c>
      <c r="AC32" s="16">
        <v>8.0</v>
      </c>
      <c r="AD32" s="16">
        <v>8.0</v>
      </c>
      <c r="AE32" s="16">
        <v>8.0</v>
      </c>
      <c r="AF32" s="16">
        <v>8.0</v>
      </c>
      <c r="AG32" s="16" t="s">
        <v>165</v>
      </c>
      <c r="AH32" s="16" t="s">
        <v>165</v>
      </c>
      <c r="AI32" s="110">
        <v>8.0</v>
      </c>
      <c r="AJ32" s="110">
        <v>8.0</v>
      </c>
      <c r="AK32" s="70">
        <v>8.0</v>
      </c>
      <c r="AL32" s="105">
        <f t="shared" si="5"/>
        <v>136</v>
      </c>
      <c r="AM32" s="48"/>
      <c r="AN32" s="16">
        <v>8.0</v>
      </c>
      <c r="AO32" s="16">
        <v>8.0</v>
      </c>
      <c r="AP32" s="16" t="s">
        <v>165</v>
      </c>
      <c r="AQ32" s="16" t="s">
        <v>165</v>
      </c>
      <c r="AR32" s="110">
        <v>8.0</v>
      </c>
      <c r="AS32" s="16" t="s">
        <v>245</v>
      </c>
      <c r="AT32" s="16">
        <v>8.0</v>
      </c>
      <c r="AU32" s="16">
        <v>8.0</v>
      </c>
      <c r="AV32" s="16">
        <v>8.0</v>
      </c>
      <c r="AW32" s="16">
        <v>8.0</v>
      </c>
      <c r="AX32" s="16" t="s">
        <v>165</v>
      </c>
      <c r="AY32" s="16">
        <v>8.0</v>
      </c>
      <c r="AZ32" s="16">
        <v>8.0</v>
      </c>
      <c r="BA32" s="16">
        <v>8.0</v>
      </c>
      <c r="BB32" s="16" t="s">
        <v>245</v>
      </c>
      <c r="BC32" s="16">
        <v>9.0</v>
      </c>
      <c r="BD32" s="16" t="s">
        <v>165</v>
      </c>
      <c r="BE32" s="16" t="s">
        <v>165</v>
      </c>
      <c r="BF32" s="16">
        <v>9.0</v>
      </c>
      <c r="BG32" s="16">
        <v>9.0</v>
      </c>
      <c r="BH32" s="16">
        <v>9.0</v>
      </c>
      <c r="BI32" s="16">
        <v>9.0</v>
      </c>
      <c r="BJ32" s="16">
        <v>9.0</v>
      </c>
      <c r="BK32" s="16" t="s">
        <v>165</v>
      </c>
      <c r="BL32" s="16" t="s">
        <v>165</v>
      </c>
      <c r="BM32" s="16">
        <v>9.0</v>
      </c>
      <c r="BN32" s="16">
        <v>9.0</v>
      </c>
      <c r="BO32" s="16">
        <v>8.0</v>
      </c>
      <c r="BP32" s="16">
        <v>8.0</v>
      </c>
      <c r="BQ32" s="16">
        <v>8.0</v>
      </c>
      <c r="BR32" s="105">
        <f t="shared" si="11"/>
        <v>176</v>
      </c>
      <c r="BS32" s="48"/>
      <c r="BT32" s="16" t="s">
        <v>165</v>
      </c>
      <c r="BU32" s="16" t="s">
        <v>165</v>
      </c>
      <c r="BV32" s="122">
        <v>8.0</v>
      </c>
      <c r="BW32" s="122">
        <v>8.0</v>
      </c>
      <c r="BX32" s="16" t="s">
        <v>245</v>
      </c>
      <c r="BY32" s="16">
        <v>9.0</v>
      </c>
      <c r="BZ32" s="16">
        <v>9.0</v>
      </c>
      <c r="CA32" s="16" t="s">
        <v>165</v>
      </c>
      <c r="CB32" s="16" t="s">
        <v>165</v>
      </c>
      <c r="CC32" s="16">
        <v>9.0</v>
      </c>
      <c r="CD32" s="16">
        <v>9.0</v>
      </c>
      <c r="CE32" s="16">
        <v>9.0</v>
      </c>
      <c r="CF32" s="16">
        <v>9.0</v>
      </c>
      <c r="CG32" s="16">
        <v>9.0</v>
      </c>
      <c r="CH32" s="16" t="s">
        <v>165</v>
      </c>
      <c r="CI32" s="16" t="s">
        <v>165</v>
      </c>
      <c r="CJ32" s="16">
        <v>9.0</v>
      </c>
      <c r="CK32" s="122">
        <v>8.0</v>
      </c>
      <c r="CL32" s="122">
        <v>8.0</v>
      </c>
      <c r="CM32" s="122">
        <v>8.0</v>
      </c>
      <c r="CN32" s="122">
        <v>8.0</v>
      </c>
      <c r="CO32" s="16" t="s">
        <v>165</v>
      </c>
      <c r="CP32" s="16" t="s">
        <v>165</v>
      </c>
      <c r="CQ32" s="122">
        <v>8.0</v>
      </c>
      <c r="CR32" s="122">
        <v>8.0</v>
      </c>
      <c r="CS32" s="122">
        <v>8.0</v>
      </c>
      <c r="CT32" s="122">
        <v>8.0</v>
      </c>
      <c r="CU32" s="16">
        <v>8.0</v>
      </c>
      <c r="CV32" s="16" t="s">
        <v>165</v>
      </c>
      <c r="CW32" s="16" t="s">
        <v>165</v>
      </c>
      <c r="CX32" s="122">
        <v>8.0</v>
      </c>
      <c r="CY32" s="105">
        <f t="shared" si="7"/>
        <v>168</v>
      </c>
      <c r="CZ32" s="48"/>
      <c r="DA32" s="58" t="s">
        <v>245</v>
      </c>
      <c r="DB32" s="58">
        <v>9.0</v>
      </c>
      <c r="DC32" s="58">
        <v>9.0</v>
      </c>
      <c r="DD32" s="58">
        <v>9.0</v>
      </c>
      <c r="DE32" s="113" t="s">
        <v>165</v>
      </c>
      <c r="DF32" s="113" t="s">
        <v>165</v>
      </c>
      <c r="DG32" s="58">
        <v>9.0</v>
      </c>
      <c r="DH32" s="58">
        <v>9.0</v>
      </c>
      <c r="DI32" s="58">
        <v>9.0</v>
      </c>
      <c r="DJ32" s="58">
        <v>9.0</v>
      </c>
      <c r="DK32" s="58">
        <v>9.0</v>
      </c>
      <c r="DL32" s="58" t="s">
        <v>165</v>
      </c>
      <c r="DM32" s="113" t="s">
        <v>165</v>
      </c>
      <c r="DN32" s="113">
        <v>8.0</v>
      </c>
      <c r="DO32" s="113">
        <v>8.0</v>
      </c>
      <c r="DP32" s="16" t="s">
        <v>170</v>
      </c>
      <c r="DQ32" s="122">
        <v>8.0</v>
      </c>
      <c r="DR32" s="122">
        <v>8.0</v>
      </c>
      <c r="DS32" s="16" t="s">
        <v>165</v>
      </c>
      <c r="DT32" s="16" t="s">
        <v>165</v>
      </c>
      <c r="DU32" s="122">
        <v>8.0</v>
      </c>
      <c r="DV32" s="122">
        <v>8.0</v>
      </c>
      <c r="DW32" s="122">
        <v>8.0</v>
      </c>
      <c r="DX32" s="16" t="s">
        <v>245</v>
      </c>
      <c r="DY32" s="16">
        <v>10.0</v>
      </c>
      <c r="DZ32" s="16" t="s">
        <v>165</v>
      </c>
      <c r="EA32" s="16" t="s">
        <v>165</v>
      </c>
      <c r="EB32" s="16">
        <v>10.0</v>
      </c>
      <c r="EC32" s="16" t="s">
        <v>245</v>
      </c>
      <c r="ED32" s="58">
        <v>10.0</v>
      </c>
      <c r="EE32" s="58">
        <v>10.0</v>
      </c>
      <c r="EF32" s="113">
        <f t="shared" si="8"/>
        <v>168</v>
      </c>
      <c r="EG32" s="48"/>
      <c r="EH32" s="15"/>
      <c r="EI32" s="15"/>
      <c r="EJ32" s="15"/>
      <c r="EK32" s="15"/>
      <c r="EL32" s="15"/>
      <c r="EM32" s="15"/>
      <c r="EN32" s="15"/>
      <c r="EO32" s="15"/>
      <c r="EP32" s="15"/>
      <c r="EQ32" s="15"/>
      <c r="ER32" s="15"/>
      <c r="ES32" s="15"/>
      <c r="ET32" s="15"/>
      <c r="EU32" s="15"/>
      <c r="EV32" s="15"/>
      <c r="EW32" s="15"/>
      <c r="EX32" s="15"/>
      <c r="EY32" s="15"/>
      <c r="EZ32" s="15"/>
      <c r="FA32" s="15"/>
      <c r="FB32" s="15"/>
      <c r="FC32" s="15"/>
      <c r="FD32" s="15"/>
      <c r="FE32" s="15"/>
      <c r="FF32" s="15"/>
      <c r="FG32" s="15"/>
      <c r="FH32" s="15"/>
      <c r="FI32" s="15"/>
      <c r="FJ32" s="15"/>
      <c r="FK32" s="15"/>
      <c r="FL32" s="105">
        <f t="shared" si="12"/>
        <v>0</v>
      </c>
      <c r="FM32" s="48"/>
      <c r="FN32" s="15"/>
      <c r="FO32" s="15"/>
      <c r="FP32" s="15"/>
      <c r="FQ32" s="15"/>
      <c r="FR32" s="15"/>
      <c r="FS32" s="15"/>
      <c r="FT32" s="15"/>
      <c r="FU32" s="15"/>
      <c r="FV32" s="15"/>
      <c r="FW32" s="15"/>
      <c r="FX32" s="15"/>
      <c r="FY32" s="15"/>
      <c r="FZ32" s="15"/>
      <c r="GA32" s="15"/>
      <c r="GB32" s="15"/>
      <c r="GC32" s="15"/>
      <c r="GD32" s="15"/>
      <c r="GE32" s="15"/>
      <c r="GF32" s="15"/>
      <c r="GG32" s="15"/>
      <c r="GH32" s="15"/>
      <c r="GI32" s="15"/>
      <c r="GJ32" s="15"/>
      <c r="GK32" s="15"/>
      <c r="GL32" s="15"/>
      <c r="GM32" s="15"/>
      <c r="GN32" s="15"/>
      <c r="GO32" s="15"/>
      <c r="GP32" s="15"/>
      <c r="GQ32" s="15"/>
      <c r="GR32" s="15"/>
      <c r="GS32" s="105">
        <f t="shared" si="13"/>
        <v>0</v>
      </c>
      <c r="GT32" s="48"/>
      <c r="GU32" s="15"/>
      <c r="GV32" s="15"/>
      <c r="GW32" s="15"/>
      <c r="GX32" s="15"/>
      <c r="GY32" s="15"/>
      <c r="GZ32" s="15"/>
      <c r="HA32" s="15"/>
      <c r="HB32" s="15"/>
      <c r="HC32" s="15"/>
      <c r="HD32" s="15"/>
      <c r="HE32" s="15"/>
    </row>
    <row r="33" ht="16.5" customHeight="1">
      <c r="A33" s="102" t="s">
        <v>153</v>
      </c>
      <c r="B33" s="106" t="str">
        <f>iferror(vlookup(A33,'SoS - Agents Info'!A:H,5,false),"")</f>
        <v>EN</v>
      </c>
      <c r="C33" s="107" t="str">
        <f>iferror(vlookup(A33,'SoS - Agents Info'!A:AQ,43,false),"")</f>
        <v>FL</v>
      </c>
      <c r="D33" s="108" t="str">
        <f>iferror(vlookup(A33,'SoS - Agents Info'!A:H,6,false),"")</f>
        <v>WE+WD</v>
      </c>
      <c r="E33" s="108" t="str">
        <f>iferror(vlookup(A33,'SoS - Agents Info'!A:H,7,false),"")</f>
        <v>00:00-09:00</v>
      </c>
      <c r="F33" s="109">
        <f>IFERROR(__xludf.DUMMYFUNCTION("sum(COUNTIFS(Filter(FILTER('Shiftplan SoS'!G$3:GU166,'Shiftplan SoS'!$G$1:$GU$1&lt;=today()),'Shiftplan SoS'!$A$3:$A166=A33),""&gt;0"",(Filter(FILTER('Shiftplan SoS'!G$3:GU166,'Shiftplan SoS'!$G$1:$GU$1&lt;=today()),'Shiftplan SoS'!$A$3:$A166=A33)),""&lt;12""))"),80.0)</f>
        <v>80</v>
      </c>
      <c r="G33" s="16">
        <v>8.0</v>
      </c>
      <c r="H33" s="16">
        <v>8.0</v>
      </c>
      <c r="I33" s="16" t="s">
        <v>165</v>
      </c>
      <c r="J33" s="16" t="s">
        <v>165</v>
      </c>
      <c r="K33" s="16" t="s">
        <v>165</v>
      </c>
      <c r="L33" s="16" t="s">
        <v>165</v>
      </c>
      <c r="M33" s="16" t="s">
        <v>165</v>
      </c>
      <c r="N33" s="16">
        <v>8.0</v>
      </c>
      <c r="O33" s="16">
        <v>8.0</v>
      </c>
      <c r="P33" s="16" t="s">
        <v>165</v>
      </c>
      <c r="Q33" s="16" t="s">
        <v>165</v>
      </c>
      <c r="R33" s="16" t="s">
        <v>170</v>
      </c>
      <c r="S33" s="16" t="s">
        <v>165</v>
      </c>
      <c r="T33" s="16" t="s">
        <v>165</v>
      </c>
      <c r="U33" s="16">
        <v>8.0</v>
      </c>
      <c r="V33" s="16">
        <v>8.0</v>
      </c>
      <c r="W33" s="16">
        <v>8.0</v>
      </c>
      <c r="X33" s="16">
        <v>8.0</v>
      </c>
      <c r="Y33" s="16">
        <v>8.0</v>
      </c>
      <c r="Z33" s="16" t="s">
        <v>165</v>
      </c>
      <c r="AA33" s="16" t="s">
        <v>165</v>
      </c>
      <c r="AB33" s="16">
        <v>8.0</v>
      </c>
      <c r="AC33" s="16">
        <v>8.0</v>
      </c>
      <c r="AD33" s="16">
        <v>8.0</v>
      </c>
      <c r="AE33" s="16">
        <v>8.0</v>
      </c>
      <c r="AF33" s="16">
        <v>8.0</v>
      </c>
      <c r="AG33" s="16" t="s">
        <v>165</v>
      </c>
      <c r="AH33" s="16" t="s">
        <v>165</v>
      </c>
      <c r="AI33" s="110">
        <v>8.0</v>
      </c>
      <c r="AJ33" s="110">
        <v>8.0</v>
      </c>
      <c r="AK33" s="70">
        <v>8.0</v>
      </c>
      <c r="AL33" s="105">
        <f t="shared" si="5"/>
        <v>136</v>
      </c>
      <c r="AM33" s="48"/>
      <c r="AN33" s="16">
        <v>8.0</v>
      </c>
      <c r="AO33" s="16">
        <v>8.0</v>
      </c>
      <c r="AP33" s="16" t="s">
        <v>165</v>
      </c>
      <c r="AQ33" s="16" t="s">
        <v>165</v>
      </c>
      <c r="AR33" s="110">
        <v>8.0</v>
      </c>
      <c r="AS33" s="16" t="s">
        <v>245</v>
      </c>
      <c r="AT33" s="16">
        <v>8.0</v>
      </c>
      <c r="AU33" s="16">
        <v>8.0</v>
      </c>
      <c r="AV33" s="16">
        <v>8.0</v>
      </c>
      <c r="AW33" s="16">
        <v>8.0</v>
      </c>
      <c r="AX33" s="16" t="s">
        <v>165</v>
      </c>
      <c r="AY33" s="16">
        <v>8.0</v>
      </c>
      <c r="AZ33" s="16">
        <v>8.0</v>
      </c>
      <c r="BA33" s="110">
        <v>8.0</v>
      </c>
      <c r="BB33" s="16" t="s">
        <v>245</v>
      </c>
      <c r="BC33" s="110">
        <v>9.0</v>
      </c>
      <c r="BD33" s="16" t="s">
        <v>165</v>
      </c>
      <c r="BE33" s="16" t="s">
        <v>165</v>
      </c>
      <c r="BF33" s="16">
        <v>9.0</v>
      </c>
      <c r="BG33" s="16">
        <v>9.0</v>
      </c>
      <c r="BH33" s="110">
        <v>9.0</v>
      </c>
      <c r="BI33" s="110">
        <v>9.0</v>
      </c>
      <c r="BJ33" s="16">
        <v>9.0</v>
      </c>
      <c r="BK33" s="16" t="s">
        <v>165</v>
      </c>
      <c r="BL33" s="16" t="s">
        <v>165</v>
      </c>
      <c r="BM33" s="16">
        <v>9.0</v>
      </c>
      <c r="BN33" s="16">
        <v>9.0</v>
      </c>
      <c r="BO33" s="16">
        <v>8.0</v>
      </c>
      <c r="BP33" s="16">
        <v>8.0</v>
      </c>
      <c r="BQ33" s="16">
        <v>8.0</v>
      </c>
      <c r="BR33" s="105">
        <f t="shared" si="11"/>
        <v>176</v>
      </c>
      <c r="BS33" s="48"/>
      <c r="BT33" s="16" t="s">
        <v>165</v>
      </c>
      <c r="BU33" s="16" t="s">
        <v>165</v>
      </c>
      <c r="BV33" s="122">
        <v>8.0</v>
      </c>
      <c r="BW33" s="122">
        <v>8.0</v>
      </c>
      <c r="BX33" s="122">
        <v>8.0</v>
      </c>
      <c r="BY33" s="122">
        <v>8.0</v>
      </c>
      <c r="BZ33" s="122">
        <v>8.0</v>
      </c>
      <c r="CA33" s="16" t="s">
        <v>165</v>
      </c>
      <c r="CB33" s="16" t="s">
        <v>165</v>
      </c>
      <c r="CC33" s="122">
        <v>8.0</v>
      </c>
      <c r="CD33" s="122">
        <v>8.0</v>
      </c>
      <c r="CE33" s="122">
        <v>8.0</v>
      </c>
      <c r="CF33" s="122">
        <v>8.0</v>
      </c>
      <c r="CG33" s="122">
        <v>8.0</v>
      </c>
      <c r="CH33" s="16" t="s">
        <v>165</v>
      </c>
      <c r="CI33" s="16" t="s">
        <v>165</v>
      </c>
      <c r="CJ33" s="122">
        <v>8.0</v>
      </c>
      <c r="CK33" s="122">
        <v>8.0</v>
      </c>
      <c r="CL33" s="122">
        <v>8.0</v>
      </c>
      <c r="CM33" s="122">
        <v>8.0</v>
      </c>
      <c r="CN33" s="122">
        <v>8.0</v>
      </c>
      <c r="CO33" s="16" t="s">
        <v>165</v>
      </c>
      <c r="CP33" s="16" t="s">
        <v>165</v>
      </c>
      <c r="CQ33" s="122">
        <v>8.0</v>
      </c>
      <c r="CR33" s="122">
        <v>8.0</v>
      </c>
      <c r="CS33" s="122">
        <v>8.0</v>
      </c>
      <c r="CT33" s="122">
        <v>8.0</v>
      </c>
      <c r="CU33" s="16">
        <v>8.0</v>
      </c>
      <c r="CV33" s="16" t="s">
        <v>165</v>
      </c>
      <c r="CW33" s="16" t="s">
        <v>165</v>
      </c>
      <c r="CX33" s="122">
        <v>8.0</v>
      </c>
      <c r="CY33" s="105">
        <f t="shared" si="7"/>
        <v>168</v>
      </c>
      <c r="CZ33" s="48"/>
      <c r="DA33" s="58" t="s">
        <v>245</v>
      </c>
      <c r="DB33" s="58">
        <v>9.0</v>
      </c>
      <c r="DC33" s="58">
        <v>9.0</v>
      </c>
      <c r="DD33" s="58">
        <v>9.0</v>
      </c>
      <c r="DE33" s="113" t="s">
        <v>165</v>
      </c>
      <c r="DF33" s="113" t="s">
        <v>165</v>
      </c>
      <c r="DG33" s="58">
        <v>9.0</v>
      </c>
      <c r="DH33" s="58">
        <v>9.0</v>
      </c>
      <c r="DI33" s="58">
        <v>9.0</v>
      </c>
      <c r="DJ33" s="58">
        <v>9.0</v>
      </c>
      <c r="DK33" s="58">
        <v>9.0</v>
      </c>
      <c r="DL33" s="113" t="s">
        <v>165</v>
      </c>
      <c r="DM33" s="113" t="s">
        <v>165</v>
      </c>
      <c r="DN33" s="113">
        <v>8.0</v>
      </c>
      <c r="DO33" s="113">
        <v>8.0</v>
      </c>
      <c r="DP33" s="113">
        <v>8.0</v>
      </c>
      <c r="DQ33" s="113">
        <v>8.0</v>
      </c>
      <c r="DR33" s="113">
        <v>8.0</v>
      </c>
      <c r="DS33" s="113" t="s">
        <v>165</v>
      </c>
      <c r="DT33" s="113" t="s">
        <v>165</v>
      </c>
      <c r="DU33" s="113">
        <v>8.0</v>
      </c>
      <c r="DV33" s="113">
        <v>8.0</v>
      </c>
      <c r="DW33" s="113">
        <v>8.0</v>
      </c>
      <c r="DX33" s="113">
        <v>8.0</v>
      </c>
      <c r="DY33" s="113">
        <v>8.0</v>
      </c>
      <c r="DZ33" s="113" t="s">
        <v>165</v>
      </c>
      <c r="EA33" s="113" t="s">
        <v>165</v>
      </c>
      <c r="EB33" s="113">
        <v>8.0</v>
      </c>
      <c r="EC33" s="58" t="s">
        <v>245</v>
      </c>
      <c r="ED33" s="58">
        <v>9.0</v>
      </c>
      <c r="EE33" s="58">
        <v>9.0</v>
      </c>
      <c r="EF33" s="113">
        <f t="shared" si="8"/>
        <v>178</v>
      </c>
      <c r="EG33" s="48"/>
      <c r="EH33" s="15"/>
      <c r="EI33" s="15"/>
      <c r="EJ33" s="15"/>
      <c r="EK33" s="15"/>
      <c r="EL33" s="15"/>
      <c r="EM33" s="15"/>
      <c r="EN33" s="15"/>
      <c r="EO33" s="15"/>
      <c r="EP33" s="15"/>
      <c r="EQ33" s="15"/>
      <c r="ER33" s="15"/>
      <c r="ES33" s="15"/>
      <c r="ET33" s="15"/>
      <c r="EU33" s="15"/>
      <c r="EV33" s="15"/>
      <c r="EW33" s="15"/>
      <c r="EX33" s="15"/>
      <c r="EY33" s="15"/>
      <c r="EZ33" s="15"/>
      <c r="FA33" s="15"/>
      <c r="FB33" s="15"/>
      <c r="FC33" s="15"/>
      <c r="FD33" s="15"/>
      <c r="FE33" s="15"/>
      <c r="FF33" s="15"/>
      <c r="FG33" s="15"/>
      <c r="FH33" s="15"/>
      <c r="FI33" s="15"/>
      <c r="FJ33" s="15"/>
      <c r="FK33" s="15"/>
      <c r="FL33" s="105">
        <f t="shared" si="12"/>
        <v>0</v>
      </c>
      <c r="FM33" s="48"/>
      <c r="FN33" s="15"/>
      <c r="FO33" s="15"/>
      <c r="FP33" s="15"/>
      <c r="FQ33" s="15"/>
      <c r="FR33" s="15"/>
      <c r="FS33" s="15"/>
      <c r="FT33" s="15"/>
      <c r="FU33" s="15"/>
      <c r="FV33" s="15"/>
      <c r="FW33" s="15"/>
      <c r="FX33" s="15"/>
      <c r="FY33" s="15"/>
      <c r="FZ33" s="15"/>
      <c r="GA33" s="15"/>
      <c r="GB33" s="15"/>
      <c r="GC33" s="15"/>
      <c r="GD33" s="15"/>
      <c r="GE33" s="15"/>
      <c r="GF33" s="15"/>
      <c r="GG33" s="15"/>
      <c r="GH33" s="15"/>
      <c r="GI33" s="15"/>
      <c r="GJ33" s="15"/>
      <c r="GK33" s="15"/>
      <c r="GL33" s="15"/>
      <c r="GM33" s="15"/>
      <c r="GN33" s="15"/>
      <c r="GO33" s="15"/>
      <c r="GP33" s="15"/>
      <c r="GQ33" s="15"/>
      <c r="GR33" s="15"/>
      <c r="GS33" s="105">
        <f t="shared" si="13"/>
        <v>0</v>
      </c>
      <c r="GT33" s="48"/>
      <c r="GU33" s="15"/>
      <c r="GV33" s="15"/>
      <c r="GW33" s="15"/>
      <c r="GX33" s="15"/>
      <c r="GY33" s="15"/>
      <c r="GZ33" s="15"/>
      <c r="HA33" s="15"/>
      <c r="HB33" s="15"/>
      <c r="HC33" s="15"/>
      <c r="HD33" s="15"/>
      <c r="HE33" s="15"/>
    </row>
    <row r="34" ht="16.5" customHeight="1">
      <c r="A34" s="102" t="s">
        <v>116</v>
      </c>
      <c r="B34" s="106" t="str">
        <f>iferror(vlookup(A34,'SoS - Agents Info'!A:H,5,false),"")</f>
        <v>EN</v>
      </c>
      <c r="C34" s="107" t="str">
        <f>iferror(vlookup(A34,'SoS - Agents Info'!A:AQ,43,false),"")</f>
        <v>JM</v>
      </c>
      <c r="D34" s="108" t="str">
        <f>iferror(vlookup(A34,'SoS - Agents Info'!A:H,6,false),"")</f>
        <v>WE+WD</v>
      </c>
      <c r="E34" s="108" t="str">
        <f>iferror(vlookup(A34,'SoS - Agents Info'!A:H,7,false),"")</f>
        <v>08:00-17:00</v>
      </c>
      <c r="F34" s="109">
        <f>IFERROR(__xludf.DUMMYFUNCTION("sum(COUNTIFS(Filter(FILTER('Shiftplan SoS'!G$3:GU166,'Shiftplan SoS'!$G$1:$GU$1&lt;=today()),'Shiftplan SoS'!$A$3:$A166=A34),""&gt;0"",(Filter(FILTER('Shiftplan SoS'!G$3:GU166,'Shiftplan SoS'!$G$1:$GU$1&lt;=today()),'Shiftplan SoS'!$A$3:$A166=A34)),""&lt;12""))"),82.0)</f>
        <v>82</v>
      </c>
      <c r="G34" s="16">
        <v>8.0</v>
      </c>
      <c r="H34" s="16">
        <v>8.0</v>
      </c>
      <c r="I34" s="16" t="s">
        <v>165</v>
      </c>
      <c r="J34" s="16" t="s">
        <v>165</v>
      </c>
      <c r="K34" s="16" t="s">
        <v>165</v>
      </c>
      <c r="L34" s="16" t="s">
        <v>165</v>
      </c>
      <c r="M34" s="16" t="s">
        <v>165</v>
      </c>
      <c r="N34" s="16">
        <v>8.0</v>
      </c>
      <c r="O34" s="16">
        <v>8.0</v>
      </c>
      <c r="P34" s="16" t="s">
        <v>165</v>
      </c>
      <c r="Q34" s="16" t="s">
        <v>165</v>
      </c>
      <c r="R34" s="16" t="s">
        <v>165</v>
      </c>
      <c r="S34" s="16" t="s">
        <v>165</v>
      </c>
      <c r="T34" s="16" t="s">
        <v>165</v>
      </c>
      <c r="U34" s="16">
        <v>8.0</v>
      </c>
      <c r="V34" s="16">
        <v>8.0</v>
      </c>
      <c r="W34" s="16">
        <v>8.0</v>
      </c>
      <c r="X34" s="16">
        <v>8.0</v>
      </c>
      <c r="Y34" s="16">
        <v>8.0</v>
      </c>
      <c r="Z34" s="16" t="s">
        <v>165</v>
      </c>
      <c r="AA34" s="16" t="s">
        <v>165</v>
      </c>
      <c r="AB34" s="16">
        <v>8.0</v>
      </c>
      <c r="AC34" s="16">
        <v>8.0</v>
      </c>
      <c r="AD34" s="16">
        <v>8.0</v>
      </c>
      <c r="AE34" s="16">
        <v>8.0</v>
      </c>
      <c r="AF34" s="16">
        <v>8.0</v>
      </c>
      <c r="AG34" s="16" t="s">
        <v>165</v>
      </c>
      <c r="AH34" s="16" t="s">
        <v>165</v>
      </c>
      <c r="AI34" s="110">
        <v>8.0</v>
      </c>
      <c r="AJ34" s="110">
        <v>8.0</v>
      </c>
      <c r="AK34" s="70">
        <v>8.0</v>
      </c>
      <c r="AL34" s="105">
        <f t="shared" si="5"/>
        <v>136</v>
      </c>
      <c r="AM34" s="48"/>
      <c r="AN34" s="122">
        <v>8.0</v>
      </c>
      <c r="AO34" s="122">
        <v>8.0</v>
      </c>
      <c r="AP34" s="122" t="s">
        <v>165</v>
      </c>
      <c r="AQ34" s="122" t="s">
        <v>165</v>
      </c>
      <c r="AR34" s="122">
        <v>8.0</v>
      </c>
      <c r="AS34" s="122">
        <v>8.0</v>
      </c>
      <c r="AT34" s="122">
        <v>8.0</v>
      </c>
      <c r="AU34" s="122">
        <v>8.0</v>
      </c>
      <c r="AV34" s="122">
        <v>8.0</v>
      </c>
      <c r="AW34" s="122" t="s">
        <v>165</v>
      </c>
      <c r="AX34" s="122" t="s">
        <v>165</v>
      </c>
      <c r="AY34" s="122">
        <v>8.0</v>
      </c>
      <c r="AZ34" s="122">
        <v>8.0</v>
      </c>
      <c r="BA34" s="122">
        <v>8.0</v>
      </c>
      <c r="BB34" s="122">
        <v>8.0</v>
      </c>
      <c r="BC34" s="122">
        <v>8.0</v>
      </c>
      <c r="BD34" s="122" t="s">
        <v>165</v>
      </c>
      <c r="BE34" s="122" t="s">
        <v>165</v>
      </c>
      <c r="BF34" s="122">
        <v>8.0</v>
      </c>
      <c r="BG34" s="122">
        <v>8.0</v>
      </c>
      <c r="BH34" s="122">
        <v>8.0</v>
      </c>
      <c r="BI34" s="122">
        <v>8.0</v>
      </c>
      <c r="BJ34" s="122">
        <v>8.0</v>
      </c>
      <c r="BK34" s="122" t="s">
        <v>165</v>
      </c>
      <c r="BL34" s="122" t="s">
        <v>165</v>
      </c>
      <c r="BM34" s="122">
        <v>8.0</v>
      </c>
      <c r="BN34" s="122">
        <v>8.0</v>
      </c>
      <c r="BO34" s="122">
        <v>8.0</v>
      </c>
      <c r="BP34" s="122">
        <v>8.0</v>
      </c>
      <c r="BQ34" s="122">
        <v>8.0</v>
      </c>
      <c r="BR34" s="105">
        <f t="shared" si="11"/>
        <v>176</v>
      </c>
      <c r="BS34" s="48"/>
      <c r="BT34" s="122" t="s">
        <v>165</v>
      </c>
      <c r="BU34" s="122" t="s">
        <v>165</v>
      </c>
      <c r="BV34" s="122">
        <v>8.0</v>
      </c>
      <c r="BW34" s="122">
        <v>8.0</v>
      </c>
      <c r="BX34" s="122">
        <v>8.0</v>
      </c>
      <c r="BY34" s="122">
        <v>8.0</v>
      </c>
      <c r="BZ34" s="122">
        <v>8.0</v>
      </c>
      <c r="CA34" s="122" t="s">
        <v>165</v>
      </c>
      <c r="CB34" s="122" t="s">
        <v>165</v>
      </c>
      <c r="CC34" s="122">
        <v>8.0</v>
      </c>
      <c r="CD34" s="122">
        <v>8.0</v>
      </c>
      <c r="CE34" s="122">
        <v>8.0</v>
      </c>
      <c r="CF34" s="16" t="s">
        <v>245</v>
      </c>
      <c r="CG34" s="122">
        <v>8.0</v>
      </c>
      <c r="CH34" s="122" t="s">
        <v>165</v>
      </c>
      <c r="CI34" s="122" t="s">
        <v>165</v>
      </c>
      <c r="CJ34" s="122">
        <v>8.0</v>
      </c>
      <c r="CK34" s="122">
        <v>8.0</v>
      </c>
      <c r="CL34" s="122">
        <v>8.0</v>
      </c>
      <c r="CM34" s="122">
        <v>8.0</v>
      </c>
      <c r="CN34" s="122">
        <v>8.0</v>
      </c>
      <c r="CO34" s="122" t="s">
        <v>165</v>
      </c>
      <c r="CP34" s="122" t="s">
        <v>165</v>
      </c>
      <c r="CQ34" s="122">
        <v>8.0</v>
      </c>
      <c r="CR34" s="122">
        <v>8.0</v>
      </c>
      <c r="CS34" s="122">
        <v>8.0</v>
      </c>
      <c r="CT34" s="122">
        <v>8.0</v>
      </c>
      <c r="CU34" s="122">
        <v>8.0</v>
      </c>
      <c r="CV34" s="122" t="s">
        <v>165</v>
      </c>
      <c r="CW34" s="122" t="s">
        <v>165</v>
      </c>
      <c r="CX34" s="122">
        <v>8.0</v>
      </c>
      <c r="CY34" s="105">
        <f t="shared" si="7"/>
        <v>160</v>
      </c>
      <c r="CZ34" s="48"/>
      <c r="DA34" s="113">
        <v>8.0</v>
      </c>
      <c r="DB34" s="113">
        <v>8.0</v>
      </c>
      <c r="DC34" s="113">
        <v>8.0</v>
      </c>
      <c r="DD34" s="113">
        <v>8.0</v>
      </c>
      <c r="DE34" s="113" t="s">
        <v>165</v>
      </c>
      <c r="DF34" s="113" t="s">
        <v>165</v>
      </c>
      <c r="DG34" s="113">
        <v>8.0</v>
      </c>
      <c r="DH34" s="113">
        <v>8.0</v>
      </c>
      <c r="DI34" s="113">
        <v>8.0</v>
      </c>
      <c r="DJ34" s="58">
        <v>8.0</v>
      </c>
      <c r="DK34" s="58">
        <v>4.0</v>
      </c>
      <c r="DL34" s="113" t="s">
        <v>165</v>
      </c>
      <c r="DM34" s="113" t="s">
        <v>165</v>
      </c>
      <c r="DN34" s="58">
        <v>9.0</v>
      </c>
      <c r="DO34" s="58">
        <v>9.0</v>
      </c>
      <c r="DP34" s="58">
        <v>9.0</v>
      </c>
      <c r="DQ34" s="58">
        <v>9.0</v>
      </c>
      <c r="DR34" s="113">
        <v>8.0</v>
      </c>
      <c r="DS34" s="113" t="s">
        <v>165</v>
      </c>
      <c r="DT34" s="113" t="s">
        <v>165</v>
      </c>
      <c r="DU34" s="113">
        <v>8.0</v>
      </c>
      <c r="DV34" s="113">
        <v>8.0</v>
      </c>
      <c r="DW34" s="113">
        <v>8.0</v>
      </c>
      <c r="DX34" s="58">
        <v>8.0</v>
      </c>
      <c r="DY34" s="58">
        <v>8.0</v>
      </c>
      <c r="DZ34" s="113" t="s">
        <v>165</v>
      </c>
      <c r="EA34" s="113" t="s">
        <v>165</v>
      </c>
      <c r="EB34" s="58">
        <v>8.0</v>
      </c>
      <c r="EC34" s="58">
        <v>8.0</v>
      </c>
      <c r="ED34" s="58">
        <v>8.0</v>
      </c>
      <c r="EE34" s="58">
        <v>8.0</v>
      </c>
      <c r="EF34" s="113">
        <f t="shared" si="8"/>
        <v>184</v>
      </c>
      <c r="EG34" s="48"/>
      <c r="EH34" s="15"/>
      <c r="EI34" s="15"/>
      <c r="EJ34" s="15"/>
      <c r="EK34" s="15"/>
      <c r="EL34" s="15"/>
      <c r="EM34" s="15"/>
      <c r="EN34" s="15"/>
      <c r="EO34" s="15"/>
      <c r="EP34" s="15"/>
      <c r="EQ34" s="15"/>
      <c r="ER34" s="15"/>
      <c r="ES34" s="15"/>
      <c r="ET34" s="15"/>
      <c r="EU34" s="15"/>
      <c r="EV34" s="15"/>
      <c r="EW34" s="15"/>
      <c r="EX34" s="15"/>
      <c r="EY34" s="15"/>
      <c r="EZ34" s="15"/>
      <c r="FA34" s="15"/>
      <c r="FB34" s="15"/>
      <c r="FC34" s="15"/>
      <c r="FD34" s="15"/>
      <c r="FE34" s="15"/>
      <c r="FF34" s="15"/>
      <c r="FG34" s="15"/>
      <c r="FH34" s="15"/>
      <c r="FI34" s="15"/>
      <c r="FJ34" s="15"/>
      <c r="FK34" s="15"/>
      <c r="FL34" s="105">
        <f t="shared" si="12"/>
        <v>0</v>
      </c>
      <c r="FM34" s="48"/>
      <c r="FN34" s="15"/>
      <c r="FO34" s="15"/>
      <c r="FP34" s="15"/>
      <c r="FQ34" s="15"/>
      <c r="FR34" s="15"/>
      <c r="FS34" s="15"/>
      <c r="FT34" s="15"/>
      <c r="FU34" s="15"/>
      <c r="FV34" s="15"/>
      <c r="FW34" s="15"/>
      <c r="FX34" s="15"/>
      <c r="FY34" s="15"/>
      <c r="FZ34" s="15"/>
      <c r="GA34" s="15"/>
      <c r="GB34" s="15"/>
      <c r="GC34" s="15"/>
      <c r="GD34" s="15"/>
      <c r="GE34" s="15"/>
      <c r="GF34" s="15"/>
      <c r="GG34" s="15"/>
      <c r="GH34" s="15"/>
      <c r="GI34" s="15"/>
      <c r="GJ34" s="15"/>
      <c r="GK34" s="15"/>
      <c r="GL34" s="15"/>
      <c r="GM34" s="15"/>
      <c r="GN34" s="15"/>
      <c r="GO34" s="15"/>
      <c r="GP34" s="15"/>
      <c r="GQ34" s="15"/>
      <c r="GR34" s="15"/>
      <c r="GS34" s="105">
        <f t="shared" si="13"/>
        <v>0</v>
      </c>
      <c r="GT34" s="48"/>
      <c r="GU34" s="15"/>
      <c r="GV34" s="15"/>
      <c r="GW34" s="15"/>
      <c r="GX34" s="15"/>
      <c r="GY34" s="15"/>
      <c r="GZ34" s="15"/>
      <c r="HA34" s="15"/>
      <c r="HB34" s="15"/>
      <c r="HC34" s="15"/>
      <c r="HD34" s="15"/>
      <c r="HE34" s="15"/>
    </row>
    <row r="35" ht="16.5" customHeight="1">
      <c r="A35" s="101" t="s">
        <v>119</v>
      </c>
      <c r="B35" s="108" t="s">
        <v>254</v>
      </c>
      <c r="C35" s="107" t="str">
        <f>iferror(vlookup(A35,'SoS - Agents Info'!A:AQ,43,false),"")</f>
        <v>ZR</v>
      </c>
      <c r="D35" s="108" t="str">
        <f>iferror(vlookup(A35,'SoS - Agents Info'!A:H,6,false),"")</f>
        <v>WE+WD</v>
      </c>
      <c r="E35" s="108" t="str">
        <f>iferror(vlookup(A35,'SoS - Agents Info'!A:H,7,false),"")</f>
        <v>08:00-17:00</v>
      </c>
      <c r="F35" s="109">
        <f>IFERROR(__xludf.DUMMYFUNCTION("sum(COUNTIFS(Filter(FILTER('Shiftplan SoS'!G$3:GU166,'Shiftplan SoS'!$G$1:$GU$1&lt;=today()),'Shiftplan SoS'!$A$3:$A166=A35),""&gt;0"",(Filter(FILTER('Shiftplan SoS'!G$3:GU166,'Shiftplan SoS'!$G$1:$GU$1&lt;=today()),'Shiftplan SoS'!$A$3:$A166=A35)),""&lt;12""))"),80.0)</f>
        <v>80</v>
      </c>
      <c r="G35" s="16" t="s">
        <v>165</v>
      </c>
      <c r="H35" s="16" t="s">
        <v>165</v>
      </c>
      <c r="I35" s="16" t="s">
        <v>165</v>
      </c>
      <c r="J35" s="16" t="s">
        <v>165</v>
      </c>
      <c r="K35" s="16" t="s">
        <v>165</v>
      </c>
      <c r="L35" s="16" t="s">
        <v>165</v>
      </c>
      <c r="M35" s="16" t="s">
        <v>165</v>
      </c>
      <c r="N35" s="16">
        <v>8.0</v>
      </c>
      <c r="O35" s="16">
        <v>8.0</v>
      </c>
      <c r="P35" s="16" t="s">
        <v>165</v>
      </c>
      <c r="Q35" s="16" t="s">
        <v>165</v>
      </c>
      <c r="R35" s="16">
        <v>8.0</v>
      </c>
      <c r="S35" s="16" t="s">
        <v>165</v>
      </c>
      <c r="T35" s="16" t="s">
        <v>165</v>
      </c>
      <c r="U35" s="16">
        <v>8.0</v>
      </c>
      <c r="V35" s="16">
        <v>8.0</v>
      </c>
      <c r="W35" s="16" t="s">
        <v>165</v>
      </c>
      <c r="X35" s="16" t="s">
        <v>165</v>
      </c>
      <c r="Y35" s="16">
        <v>8.0</v>
      </c>
      <c r="Z35" s="16">
        <v>8.0</v>
      </c>
      <c r="AA35" s="16">
        <v>8.0</v>
      </c>
      <c r="AB35" s="16">
        <v>8.0</v>
      </c>
      <c r="AC35" s="16">
        <v>8.0</v>
      </c>
      <c r="AD35" s="16" t="s">
        <v>165</v>
      </c>
      <c r="AE35" s="16" t="s">
        <v>165</v>
      </c>
      <c r="AF35" s="16">
        <v>8.0</v>
      </c>
      <c r="AG35" s="16">
        <v>8.0</v>
      </c>
      <c r="AH35" s="16">
        <v>8.0</v>
      </c>
      <c r="AI35" s="110">
        <v>8.0</v>
      </c>
      <c r="AJ35" s="110">
        <v>8.0</v>
      </c>
      <c r="AK35" s="70" t="s">
        <v>165</v>
      </c>
      <c r="AL35" s="105">
        <f t="shared" si="5"/>
        <v>120</v>
      </c>
      <c r="AM35" s="48"/>
      <c r="AN35" s="16" t="s">
        <v>165</v>
      </c>
      <c r="AO35" s="16" t="s">
        <v>245</v>
      </c>
      <c r="AP35" s="16">
        <v>8.0</v>
      </c>
      <c r="AQ35" s="16">
        <v>8.0</v>
      </c>
      <c r="AR35" s="16">
        <v>8.0</v>
      </c>
      <c r="AS35" s="16" t="s">
        <v>245</v>
      </c>
      <c r="AT35" s="16" t="s">
        <v>165</v>
      </c>
      <c r="AU35" s="16" t="s">
        <v>165</v>
      </c>
      <c r="AV35" s="16">
        <v>8.0</v>
      </c>
      <c r="AW35" s="16">
        <v>8.0</v>
      </c>
      <c r="AX35" s="16">
        <v>8.0</v>
      </c>
      <c r="AY35" s="16">
        <v>8.0</v>
      </c>
      <c r="AZ35" s="16">
        <v>8.0</v>
      </c>
      <c r="BA35" s="16" t="s">
        <v>165</v>
      </c>
      <c r="BB35" s="16" t="s">
        <v>165</v>
      </c>
      <c r="BC35" s="16">
        <v>8.0</v>
      </c>
      <c r="BD35" s="16">
        <v>8.0</v>
      </c>
      <c r="BE35" s="16">
        <v>8.0</v>
      </c>
      <c r="BF35" s="16">
        <v>8.0</v>
      </c>
      <c r="BG35" s="16">
        <v>8.0</v>
      </c>
      <c r="BH35" s="16" t="s">
        <v>165</v>
      </c>
      <c r="BI35" s="16">
        <v>8.0</v>
      </c>
      <c r="BJ35" s="16">
        <v>8.0</v>
      </c>
      <c r="BK35" s="16">
        <v>8.0</v>
      </c>
      <c r="BL35" s="16">
        <v>8.0</v>
      </c>
      <c r="BM35" s="16">
        <v>8.0</v>
      </c>
      <c r="BN35" s="16">
        <v>8.0</v>
      </c>
      <c r="BO35" s="16" t="s">
        <v>165</v>
      </c>
      <c r="BP35" s="16">
        <v>8.0</v>
      </c>
      <c r="BQ35" s="16">
        <v>8.0</v>
      </c>
      <c r="BR35" s="105">
        <f t="shared" si="11"/>
        <v>168</v>
      </c>
      <c r="BS35" s="48"/>
      <c r="BT35" s="16">
        <v>8.0</v>
      </c>
      <c r="BU35" s="16">
        <v>8.0</v>
      </c>
      <c r="BV35" s="16">
        <v>8.0</v>
      </c>
      <c r="BW35" s="16">
        <v>8.0</v>
      </c>
      <c r="BX35" s="16" t="s">
        <v>165</v>
      </c>
      <c r="BY35" s="16" t="s">
        <v>165</v>
      </c>
      <c r="BZ35" s="16">
        <v>8.0</v>
      </c>
      <c r="CA35" s="16">
        <v>8.0</v>
      </c>
      <c r="CB35" s="16">
        <v>8.0</v>
      </c>
      <c r="CC35" s="16">
        <v>8.0</v>
      </c>
      <c r="CD35" s="16">
        <v>8.0</v>
      </c>
      <c r="CE35" s="16" t="s">
        <v>165</v>
      </c>
      <c r="CF35" s="16" t="s">
        <v>165</v>
      </c>
      <c r="CG35" s="16">
        <v>8.0</v>
      </c>
      <c r="CH35" s="16">
        <v>8.0</v>
      </c>
      <c r="CI35" s="16">
        <v>8.0</v>
      </c>
      <c r="CJ35" s="16">
        <v>8.0</v>
      </c>
      <c r="CK35" s="16">
        <v>8.0</v>
      </c>
      <c r="CL35" s="16" t="s">
        <v>165</v>
      </c>
      <c r="CM35" s="16" t="s">
        <v>165</v>
      </c>
      <c r="CN35" s="16">
        <v>8.0</v>
      </c>
      <c r="CO35" s="16">
        <v>8.0</v>
      </c>
      <c r="CP35" s="16">
        <v>8.0</v>
      </c>
      <c r="CQ35" s="16">
        <v>8.0</v>
      </c>
      <c r="CR35" s="16">
        <v>8.0</v>
      </c>
      <c r="CS35" s="16" t="s">
        <v>165</v>
      </c>
      <c r="CT35" s="16" t="s">
        <v>165</v>
      </c>
      <c r="CU35" s="16">
        <v>8.0</v>
      </c>
      <c r="CV35" s="131">
        <v>8.0</v>
      </c>
      <c r="CW35" s="131">
        <v>8.0</v>
      </c>
      <c r="CX35" s="131">
        <v>8.0</v>
      </c>
      <c r="CY35" s="105">
        <f t="shared" si="7"/>
        <v>184</v>
      </c>
      <c r="CZ35" s="48"/>
      <c r="DA35" s="113">
        <v>8.0</v>
      </c>
      <c r="DB35" s="16" t="s">
        <v>165</v>
      </c>
      <c r="DC35" s="16" t="s">
        <v>165</v>
      </c>
      <c r="DD35" s="16">
        <v>8.0</v>
      </c>
      <c r="DE35" s="16">
        <v>8.0</v>
      </c>
      <c r="DF35" s="16">
        <v>8.0</v>
      </c>
      <c r="DG35" s="16">
        <v>8.0</v>
      </c>
      <c r="DH35" s="16" t="s">
        <v>245</v>
      </c>
      <c r="DI35" s="16" t="s">
        <v>165</v>
      </c>
      <c r="DJ35" s="16">
        <v>8.0</v>
      </c>
      <c r="DK35" s="16">
        <v>8.0</v>
      </c>
      <c r="DL35" s="16">
        <v>8.0</v>
      </c>
      <c r="DM35" s="16">
        <v>8.0</v>
      </c>
      <c r="DN35" s="16">
        <v>8.0</v>
      </c>
      <c r="DO35" s="16">
        <v>8.0</v>
      </c>
      <c r="DP35" s="16" t="s">
        <v>165</v>
      </c>
      <c r="DQ35" s="16" t="s">
        <v>165</v>
      </c>
      <c r="DR35" s="16">
        <v>8.0</v>
      </c>
      <c r="DS35" s="16">
        <v>8.0</v>
      </c>
      <c r="DT35" s="16">
        <v>8.0</v>
      </c>
      <c r="DU35" s="16">
        <v>8.0</v>
      </c>
      <c r="DV35" s="16">
        <v>8.0</v>
      </c>
      <c r="DW35" s="16" t="s">
        <v>165</v>
      </c>
      <c r="DX35" s="16" t="s">
        <v>165</v>
      </c>
      <c r="DY35" s="16">
        <v>8.0</v>
      </c>
      <c r="DZ35" s="16">
        <v>8.0</v>
      </c>
      <c r="EA35" s="16">
        <v>8.0</v>
      </c>
      <c r="EB35" s="16">
        <v>8.0</v>
      </c>
      <c r="EC35" s="16">
        <v>8.0</v>
      </c>
      <c r="ED35" s="58" t="s">
        <v>165</v>
      </c>
      <c r="EE35" s="58" t="s">
        <v>165</v>
      </c>
      <c r="EF35" s="113">
        <f t="shared" si="8"/>
        <v>168</v>
      </c>
      <c r="EG35" s="48"/>
      <c r="EH35" s="15"/>
      <c r="EI35" s="15"/>
      <c r="EJ35" s="15"/>
      <c r="EK35" s="15"/>
      <c r="EL35" s="15"/>
      <c r="EM35" s="15"/>
      <c r="EN35" s="15"/>
      <c r="EO35" s="15"/>
      <c r="EP35" s="15"/>
      <c r="EQ35" s="15"/>
      <c r="ER35" s="15"/>
      <c r="ES35" s="15"/>
      <c r="ET35" s="15"/>
      <c r="EU35" s="15"/>
      <c r="EV35" s="15"/>
      <c r="EW35" s="15"/>
      <c r="EX35" s="15"/>
      <c r="EY35" s="15"/>
      <c r="EZ35" s="15"/>
      <c r="FA35" s="15"/>
      <c r="FB35" s="15"/>
      <c r="FC35" s="15"/>
      <c r="FD35" s="15"/>
      <c r="FE35" s="15"/>
      <c r="FF35" s="15"/>
      <c r="FG35" s="15"/>
      <c r="FH35" s="15"/>
      <c r="FI35" s="15"/>
      <c r="FJ35" s="15"/>
      <c r="FK35" s="15"/>
      <c r="FL35" s="105">
        <f t="shared" si="12"/>
        <v>0</v>
      </c>
      <c r="FM35" s="48"/>
      <c r="FN35" s="15"/>
      <c r="FO35" s="15"/>
      <c r="FP35" s="15"/>
      <c r="FQ35" s="15"/>
      <c r="FR35" s="15"/>
      <c r="FS35" s="15"/>
      <c r="FT35" s="15"/>
      <c r="FU35" s="15"/>
      <c r="FV35" s="15"/>
      <c r="FW35" s="15"/>
      <c r="FX35" s="15"/>
      <c r="FY35" s="15"/>
      <c r="FZ35" s="15"/>
      <c r="GA35" s="15"/>
      <c r="GB35" s="15"/>
      <c r="GC35" s="15"/>
      <c r="GD35" s="15"/>
      <c r="GE35" s="15"/>
      <c r="GF35" s="15"/>
      <c r="GG35" s="15"/>
      <c r="GH35" s="15"/>
      <c r="GI35" s="15"/>
      <c r="GJ35" s="15"/>
      <c r="GK35" s="15"/>
      <c r="GL35" s="15"/>
      <c r="GM35" s="15"/>
      <c r="GN35" s="15"/>
      <c r="GO35" s="15"/>
      <c r="GP35" s="15"/>
      <c r="GQ35" s="15"/>
      <c r="GR35" s="15"/>
      <c r="GS35" s="105">
        <f t="shared" si="13"/>
        <v>0</v>
      </c>
      <c r="GT35" s="48"/>
      <c r="GU35" s="15"/>
      <c r="GV35" s="15"/>
      <c r="GW35" s="15"/>
      <c r="GX35" s="15"/>
      <c r="GY35" s="15"/>
      <c r="GZ35" s="15"/>
      <c r="HA35" s="15"/>
      <c r="HB35" s="15"/>
      <c r="HC35" s="15"/>
      <c r="HD35" s="15"/>
      <c r="HE35" s="15"/>
    </row>
    <row r="36" ht="16.5" customHeight="1">
      <c r="A36" s="102" t="s">
        <v>128</v>
      </c>
      <c r="B36" s="106" t="str">
        <f>iferror(vlookup(A36,'SoS - Agents Info'!A:H,5,false),"")</f>
        <v>DE</v>
      </c>
      <c r="C36" s="107" t="str">
        <f>iferror(vlookup(A36,'SoS - Agents Info'!A:AQ,43,false),"")</f>
        <v>RA+VM</v>
      </c>
      <c r="D36" s="108" t="str">
        <f>iferror(vlookup(A36,'SoS - Agents Info'!A:H,6,false),"")</f>
        <v>WD</v>
      </c>
      <c r="E36" s="108" t="str">
        <f>iferror(vlookup(A36,'SoS - Agents Info'!A:H,7,false),"")</f>
        <v>16:00-01:00</v>
      </c>
      <c r="F36" s="109">
        <f>IFERROR(__xludf.DUMMYFUNCTION("sum(COUNTIFS(Filter(FILTER('Shiftplan SoS'!G$3:GU166,'Shiftplan SoS'!$G$1:$GU$1&lt;=today()),'Shiftplan SoS'!$A$3:$A166=A36),""&gt;0"",(Filter(FILTER('Shiftplan SoS'!G$3:GU166,'Shiftplan SoS'!$G$1:$GU$1&lt;=today()),'Shiftplan SoS'!$A$3:$A166=A36)),""&lt;12""))"),64.0)</f>
        <v>64</v>
      </c>
      <c r="G36" s="16" t="s">
        <v>165</v>
      </c>
      <c r="H36" s="16" t="s">
        <v>165</v>
      </c>
      <c r="I36" s="16">
        <v>8.0</v>
      </c>
      <c r="J36" s="16">
        <v>8.0</v>
      </c>
      <c r="K36" s="16">
        <v>8.0</v>
      </c>
      <c r="L36" s="16">
        <v>8.0</v>
      </c>
      <c r="M36" s="16">
        <v>8.0</v>
      </c>
      <c r="N36" s="16" t="s">
        <v>165</v>
      </c>
      <c r="O36" s="16" t="s">
        <v>165</v>
      </c>
      <c r="P36" s="16">
        <v>8.0</v>
      </c>
      <c r="Q36" s="16" t="s">
        <v>245</v>
      </c>
      <c r="R36" s="16" t="s">
        <v>245</v>
      </c>
      <c r="S36" s="16" t="s">
        <v>171</v>
      </c>
      <c r="T36" s="16" t="s">
        <v>167</v>
      </c>
      <c r="U36" s="16" t="s">
        <v>165</v>
      </c>
      <c r="V36" s="16" t="s">
        <v>165</v>
      </c>
      <c r="W36" s="16">
        <v>8.0</v>
      </c>
      <c r="X36" s="16">
        <v>8.0</v>
      </c>
      <c r="Y36" s="16">
        <v>8.0</v>
      </c>
      <c r="Z36" s="16">
        <v>8.0</v>
      </c>
      <c r="AA36" s="16">
        <v>8.0</v>
      </c>
      <c r="AB36" s="16" t="s">
        <v>165</v>
      </c>
      <c r="AC36" s="16" t="s">
        <v>165</v>
      </c>
      <c r="AD36" s="16" t="s">
        <v>171</v>
      </c>
      <c r="AE36" s="16">
        <v>8.0</v>
      </c>
      <c r="AF36" s="16">
        <v>8.0</v>
      </c>
      <c r="AG36" s="16">
        <v>8.0</v>
      </c>
      <c r="AH36" s="16">
        <v>8.0</v>
      </c>
      <c r="AI36" s="16" t="s">
        <v>165</v>
      </c>
      <c r="AJ36" s="16" t="s">
        <v>165</v>
      </c>
      <c r="AK36" s="70" t="s">
        <v>245</v>
      </c>
      <c r="AL36" s="105">
        <f t="shared" si="5"/>
        <v>120</v>
      </c>
      <c r="AM36" s="48"/>
      <c r="AN36" s="16">
        <v>8.0</v>
      </c>
      <c r="AO36" s="16">
        <v>8.0</v>
      </c>
      <c r="AP36" s="16" t="s">
        <v>171</v>
      </c>
      <c r="AQ36" s="16" t="s">
        <v>167</v>
      </c>
      <c r="AR36" s="16" t="s">
        <v>165</v>
      </c>
      <c r="AS36" s="16" t="s">
        <v>165</v>
      </c>
      <c r="AT36" s="16" t="s">
        <v>167</v>
      </c>
      <c r="AU36" s="16" t="s">
        <v>167</v>
      </c>
      <c r="AV36" s="16">
        <v>8.0</v>
      </c>
      <c r="AW36" s="16">
        <v>8.0</v>
      </c>
      <c r="AX36" s="16">
        <v>8.0</v>
      </c>
      <c r="AY36" s="16" t="s">
        <v>165</v>
      </c>
      <c r="AZ36" s="16" t="s">
        <v>165</v>
      </c>
      <c r="BA36" s="16">
        <v>8.0</v>
      </c>
      <c r="BB36" s="16">
        <v>8.0</v>
      </c>
      <c r="BC36" s="16">
        <v>8.0</v>
      </c>
      <c r="BD36" s="16">
        <v>8.0</v>
      </c>
      <c r="BE36" s="16">
        <v>8.0</v>
      </c>
      <c r="BF36" s="16" t="s">
        <v>165</v>
      </c>
      <c r="BG36" s="16" t="s">
        <v>165</v>
      </c>
      <c r="BH36" s="16" t="s">
        <v>245</v>
      </c>
      <c r="BI36" s="16" t="s">
        <v>169</v>
      </c>
      <c r="BJ36" s="16">
        <v>8.0</v>
      </c>
      <c r="BK36" s="16" t="s">
        <v>169</v>
      </c>
      <c r="BL36" s="16" t="s">
        <v>169</v>
      </c>
      <c r="BM36" s="16" t="s">
        <v>165</v>
      </c>
      <c r="BN36" s="16" t="s">
        <v>165</v>
      </c>
      <c r="BO36" s="110">
        <v>8.0</v>
      </c>
      <c r="BP36" s="110">
        <v>8.0</v>
      </c>
      <c r="BQ36" s="110">
        <v>8.0</v>
      </c>
      <c r="BR36" s="105">
        <f t="shared" si="11"/>
        <v>112</v>
      </c>
      <c r="BS36" s="48"/>
      <c r="BT36" s="121">
        <v>8.0</v>
      </c>
      <c r="BU36" s="121">
        <v>8.0</v>
      </c>
      <c r="BV36" s="114" t="s">
        <v>165</v>
      </c>
      <c r="BW36" s="114" t="s">
        <v>165</v>
      </c>
      <c r="BX36" s="121">
        <v>8.0</v>
      </c>
      <c r="BY36" s="121">
        <v>8.0</v>
      </c>
      <c r="BZ36" s="121">
        <v>8.0</v>
      </c>
      <c r="CA36" s="121">
        <v>8.0</v>
      </c>
      <c r="CB36" s="64">
        <v>8.0</v>
      </c>
      <c r="CC36" s="114" t="s">
        <v>165</v>
      </c>
      <c r="CD36" s="114" t="s">
        <v>165</v>
      </c>
      <c r="CE36" s="25" t="s">
        <v>167</v>
      </c>
      <c r="CF36" s="25" t="s">
        <v>167</v>
      </c>
      <c r="CG36" s="25" t="s">
        <v>245</v>
      </c>
      <c r="CH36" s="25" t="s">
        <v>245</v>
      </c>
      <c r="CI36" s="25" t="s">
        <v>245</v>
      </c>
      <c r="CJ36" s="114" t="s">
        <v>165</v>
      </c>
      <c r="CK36" s="114" t="s">
        <v>165</v>
      </c>
      <c r="CL36" s="121">
        <v>8.0</v>
      </c>
      <c r="CM36" s="121">
        <v>8.0</v>
      </c>
      <c r="CN36" s="121">
        <v>8.0</v>
      </c>
      <c r="CO36" s="121">
        <v>8.0</v>
      </c>
      <c r="CP36" s="25" t="s">
        <v>167</v>
      </c>
      <c r="CQ36" s="114" t="s">
        <v>165</v>
      </c>
      <c r="CR36" s="114" t="s">
        <v>165</v>
      </c>
      <c r="CS36" s="121">
        <v>8.0</v>
      </c>
      <c r="CT36" s="121">
        <v>8.0</v>
      </c>
      <c r="CU36" s="121">
        <v>8.0</v>
      </c>
      <c r="CV36" s="121">
        <v>8.0</v>
      </c>
      <c r="CW36" s="121">
        <v>8.0</v>
      </c>
      <c r="CX36" s="114" t="s">
        <v>165</v>
      </c>
      <c r="CY36" s="105">
        <f t="shared" si="7"/>
        <v>128</v>
      </c>
      <c r="CZ36" s="48"/>
      <c r="DA36" s="113" t="s">
        <v>165</v>
      </c>
      <c r="DB36" s="123">
        <v>8.0</v>
      </c>
      <c r="DC36" s="123">
        <v>8.0</v>
      </c>
      <c r="DD36" s="123">
        <v>8.0</v>
      </c>
      <c r="DE36" s="123">
        <v>8.0</v>
      </c>
      <c r="DF36" s="123">
        <v>8.0</v>
      </c>
      <c r="DG36" s="113" t="s">
        <v>165</v>
      </c>
      <c r="DH36" s="113" t="s">
        <v>165</v>
      </c>
      <c r="DI36" s="123">
        <v>8.0</v>
      </c>
      <c r="DJ36" s="123">
        <v>8.0</v>
      </c>
      <c r="DK36" s="58" t="s">
        <v>169</v>
      </c>
      <c r="DL36" s="58" t="s">
        <v>169</v>
      </c>
      <c r="DM36" s="58" t="s">
        <v>169</v>
      </c>
      <c r="DN36" s="113" t="s">
        <v>165</v>
      </c>
      <c r="DO36" s="113" t="s">
        <v>165</v>
      </c>
      <c r="DP36" s="123">
        <v>8.0</v>
      </c>
      <c r="DQ36" s="123">
        <v>8.0</v>
      </c>
      <c r="DR36" s="123">
        <v>8.0</v>
      </c>
      <c r="DS36" s="123">
        <v>8.0</v>
      </c>
      <c r="DT36" s="123">
        <v>8.0</v>
      </c>
      <c r="DU36" s="113" t="s">
        <v>165</v>
      </c>
      <c r="DV36" s="113" t="s">
        <v>165</v>
      </c>
      <c r="DW36" s="123">
        <v>8.0</v>
      </c>
      <c r="DX36" s="123">
        <v>8.0</v>
      </c>
      <c r="DY36" s="113">
        <v>8.0</v>
      </c>
      <c r="DZ36" s="113">
        <v>8.0</v>
      </c>
      <c r="EA36" s="123">
        <v>8.0</v>
      </c>
      <c r="EB36" s="113" t="s">
        <v>165</v>
      </c>
      <c r="EC36" s="113" t="s">
        <v>165</v>
      </c>
      <c r="ED36" s="113">
        <v>8.0</v>
      </c>
      <c r="EE36" s="113">
        <v>8.0</v>
      </c>
      <c r="EF36" s="113">
        <f t="shared" si="8"/>
        <v>152</v>
      </c>
      <c r="EG36" s="48"/>
      <c r="EH36" s="15"/>
      <c r="EI36" s="15"/>
      <c r="EJ36" s="15"/>
      <c r="EK36" s="15"/>
      <c r="EL36" s="15"/>
      <c r="EM36" s="15"/>
      <c r="EN36" s="15"/>
      <c r="EO36" s="15"/>
      <c r="EP36" s="15"/>
      <c r="EQ36" s="15"/>
      <c r="ER36" s="15"/>
      <c r="ES36" s="15"/>
      <c r="ET36" s="15"/>
      <c r="EU36" s="15"/>
      <c r="EV36" s="15"/>
      <c r="EW36" s="15"/>
      <c r="EX36" s="15"/>
      <c r="EY36" s="15"/>
      <c r="EZ36" s="15"/>
      <c r="FA36" s="15"/>
      <c r="FB36" s="15"/>
      <c r="FC36" s="15"/>
      <c r="FD36" s="15"/>
      <c r="FE36" s="15"/>
      <c r="FF36" s="15"/>
      <c r="FG36" s="15"/>
      <c r="FH36" s="15"/>
      <c r="FI36" s="15"/>
      <c r="FJ36" s="15"/>
      <c r="FK36" s="15"/>
      <c r="FL36" s="105">
        <f t="shared" si="12"/>
        <v>0</v>
      </c>
      <c r="FM36" s="48"/>
      <c r="FN36" s="15"/>
      <c r="FO36" s="15"/>
      <c r="FP36" s="15"/>
      <c r="FQ36" s="15"/>
      <c r="FR36" s="15"/>
      <c r="FS36" s="15"/>
      <c r="FT36" s="15"/>
      <c r="FU36" s="15"/>
      <c r="FV36" s="15"/>
      <c r="FW36" s="15"/>
      <c r="FX36" s="15"/>
      <c r="FY36" s="15"/>
      <c r="FZ36" s="15"/>
      <c r="GA36" s="15"/>
      <c r="GB36" s="15"/>
      <c r="GC36" s="15"/>
      <c r="GD36" s="15"/>
      <c r="GE36" s="15"/>
      <c r="GF36" s="15"/>
      <c r="GG36" s="15"/>
      <c r="GH36" s="15"/>
      <c r="GI36" s="15"/>
      <c r="GJ36" s="15"/>
      <c r="GK36" s="15"/>
      <c r="GL36" s="15"/>
      <c r="GM36" s="15"/>
      <c r="GN36" s="15"/>
      <c r="GO36" s="15"/>
      <c r="GP36" s="15"/>
      <c r="GQ36" s="15"/>
      <c r="GR36" s="15"/>
      <c r="GS36" s="105">
        <f t="shared" si="13"/>
        <v>0</v>
      </c>
      <c r="GT36" s="48"/>
      <c r="GU36" s="15"/>
      <c r="GV36" s="15"/>
      <c r="GW36" s="15"/>
      <c r="GX36" s="15"/>
      <c r="GY36" s="15"/>
      <c r="GZ36" s="15"/>
      <c r="HA36" s="15"/>
      <c r="HB36" s="15"/>
      <c r="HC36" s="15"/>
      <c r="HD36" s="15"/>
      <c r="HE36" s="15"/>
    </row>
    <row r="37" ht="16.5" customHeight="1">
      <c r="A37" s="102" t="s">
        <v>135</v>
      </c>
      <c r="B37" s="106" t="str">
        <f>iferror(vlookup(A37,'SoS - Agents Info'!A:H,5,false),"")</f>
        <v>ES</v>
      </c>
      <c r="C37" s="107" t="str">
        <f>iferror(vlookup(A37,'SoS - Agents Info'!A:AQ,43,false),"")</f>
        <v>RA+VM</v>
      </c>
      <c r="D37" s="108" t="str">
        <f>iferror(vlookup(A37,'SoS - Agents Info'!A:H,6,false),"")</f>
        <v>WE+WD</v>
      </c>
      <c r="E37" s="108" t="str">
        <f>iferror(vlookup(A37,'SoS - Agents Info'!A:H,7,false),"")</f>
        <v>16:00-01:00</v>
      </c>
      <c r="F37" s="109">
        <f>IFERROR(__xludf.DUMMYFUNCTION("sum(COUNTIFS(Filter(FILTER('Shiftplan SoS'!G$3:GU166,'Shiftplan SoS'!$G$1:$GU$1&lt;=today()),'Shiftplan SoS'!$A$3:$A166=A37),""&gt;0"",(Filter(FILTER('Shiftplan SoS'!G$3:GU166,'Shiftplan SoS'!$G$1:$GU$1&lt;=today()),'Shiftplan SoS'!$A$3:$A166=A37)),""&lt;12""))"),81.0)</f>
        <v>81</v>
      </c>
      <c r="G37" s="28">
        <v>8.0</v>
      </c>
      <c r="H37" s="28">
        <v>8.0</v>
      </c>
      <c r="I37" s="132" t="s">
        <v>165</v>
      </c>
      <c r="J37" s="132" t="s">
        <v>165</v>
      </c>
      <c r="K37" s="132" t="s">
        <v>165</v>
      </c>
      <c r="L37" s="132" t="s">
        <v>165</v>
      </c>
      <c r="M37" s="132" t="s">
        <v>165</v>
      </c>
      <c r="N37" s="28">
        <v>8.0</v>
      </c>
      <c r="O37" s="133" t="s">
        <v>170</v>
      </c>
      <c r="P37" s="132" t="s">
        <v>165</v>
      </c>
      <c r="Q37" s="132" t="s">
        <v>165</v>
      </c>
      <c r="R37" s="28">
        <v>8.0</v>
      </c>
      <c r="S37" s="28">
        <v>8.0</v>
      </c>
      <c r="T37" s="28">
        <v>8.0</v>
      </c>
      <c r="U37" s="133" t="s">
        <v>165</v>
      </c>
      <c r="V37" s="133" t="s">
        <v>165</v>
      </c>
      <c r="W37" s="132">
        <v>8.0</v>
      </c>
      <c r="X37" s="132">
        <v>8.0</v>
      </c>
      <c r="Y37" s="28">
        <v>8.0</v>
      </c>
      <c r="Z37" s="28">
        <v>8.0</v>
      </c>
      <c r="AA37" s="28">
        <v>8.0</v>
      </c>
      <c r="AB37" s="133" t="s">
        <v>165</v>
      </c>
      <c r="AC37" s="133" t="s">
        <v>165</v>
      </c>
      <c r="AD37" s="132">
        <v>8.0</v>
      </c>
      <c r="AE37" s="132">
        <v>8.0</v>
      </c>
      <c r="AF37" s="28">
        <v>8.0</v>
      </c>
      <c r="AG37" s="28">
        <v>8.0</v>
      </c>
      <c r="AH37" s="28">
        <v>8.0</v>
      </c>
      <c r="AI37" s="133" t="s">
        <v>165</v>
      </c>
      <c r="AJ37" s="28" t="s">
        <v>165</v>
      </c>
      <c r="AK37" s="70">
        <v>8.0</v>
      </c>
      <c r="AL37" s="105">
        <f t="shared" si="5"/>
        <v>136</v>
      </c>
      <c r="AM37" s="48"/>
      <c r="AN37" s="110">
        <v>8.0</v>
      </c>
      <c r="AO37" s="110">
        <v>8.0</v>
      </c>
      <c r="AP37" s="16">
        <v>8.0</v>
      </c>
      <c r="AQ37" s="110">
        <v>8.0</v>
      </c>
      <c r="AR37" s="16" t="s">
        <v>165</v>
      </c>
      <c r="AS37" s="16" t="s">
        <v>165</v>
      </c>
      <c r="AT37" s="16" t="s">
        <v>165</v>
      </c>
      <c r="AU37" s="16" t="s">
        <v>165</v>
      </c>
      <c r="AV37" s="110">
        <v>8.0</v>
      </c>
      <c r="AW37" s="110">
        <v>8.0</v>
      </c>
      <c r="AX37" s="110">
        <v>8.0</v>
      </c>
      <c r="AY37" s="16">
        <v>8.0</v>
      </c>
      <c r="AZ37" s="16">
        <v>8.0</v>
      </c>
      <c r="BA37" s="16" t="s">
        <v>165</v>
      </c>
      <c r="BB37" s="16" t="s">
        <v>165</v>
      </c>
      <c r="BC37" s="110">
        <v>8.0</v>
      </c>
      <c r="BD37" s="110">
        <v>8.0</v>
      </c>
      <c r="BE37" s="110">
        <v>8.0</v>
      </c>
      <c r="BF37" s="16">
        <v>8.0</v>
      </c>
      <c r="BG37" s="16">
        <v>8.0</v>
      </c>
      <c r="BH37" s="16" t="s">
        <v>165</v>
      </c>
      <c r="BI37" s="16" t="s">
        <v>165</v>
      </c>
      <c r="BJ37" s="110">
        <v>8.0</v>
      </c>
      <c r="BK37" s="110">
        <v>8.0</v>
      </c>
      <c r="BL37" s="110">
        <v>8.0</v>
      </c>
      <c r="BM37" s="16">
        <v>8.0</v>
      </c>
      <c r="BN37" s="16">
        <v>8.0</v>
      </c>
      <c r="BO37" s="16" t="s">
        <v>165</v>
      </c>
      <c r="BP37" s="16" t="s">
        <v>165</v>
      </c>
      <c r="BQ37" s="110">
        <v>8.0</v>
      </c>
      <c r="BR37" s="105">
        <f t="shared" si="11"/>
        <v>160</v>
      </c>
      <c r="BS37" s="48"/>
      <c r="BT37" s="110">
        <v>8.0</v>
      </c>
      <c r="BU37" s="110">
        <v>8.0</v>
      </c>
      <c r="BV37" s="16">
        <v>8.0</v>
      </c>
      <c r="BW37" s="16">
        <v>8.0</v>
      </c>
      <c r="BX37" s="16" t="s">
        <v>165</v>
      </c>
      <c r="BY37" s="16" t="s">
        <v>165</v>
      </c>
      <c r="BZ37" s="110">
        <v>8.0</v>
      </c>
      <c r="CA37" s="121">
        <v>8.0</v>
      </c>
      <c r="CB37" s="134">
        <v>8.0</v>
      </c>
      <c r="CC37" s="64">
        <v>8.0</v>
      </c>
      <c r="CD37" s="64">
        <v>8.0</v>
      </c>
      <c r="CE37" s="114" t="s">
        <v>165</v>
      </c>
      <c r="CF37" s="114" t="s">
        <v>165</v>
      </c>
      <c r="CG37" s="121">
        <v>8.0</v>
      </c>
      <c r="CH37" s="121">
        <v>8.0</v>
      </c>
      <c r="CI37" s="121">
        <v>8.0</v>
      </c>
      <c r="CJ37" s="64">
        <v>8.0</v>
      </c>
      <c r="CK37" s="64">
        <v>8.0</v>
      </c>
      <c r="CL37" s="114" t="s">
        <v>165</v>
      </c>
      <c r="CM37" s="114" t="s">
        <v>165</v>
      </c>
      <c r="CN37" s="121">
        <v>8.0</v>
      </c>
      <c r="CO37" s="121">
        <v>8.0</v>
      </c>
      <c r="CP37" s="121">
        <v>8.0</v>
      </c>
      <c r="CQ37" s="121">
        <v>8.0</v>
      </c>
      <c r="CR37" s="121">
        <v>8.0</v>
      </c>
      <c r="CS37" s="114" t="s">
        <v>165</v>
      </c>
      <c r="CT37" s="114" t="s">
        <v>165</v>
      </c>
      <c r="CU37" s="121">
        <v>8.0</v>
      </c>
      <c r="CV37" s="121">
        <v>8.0</v>
      </c>
      <c r="CW37" s="121">
        <v>8.0</v>
      </c>
      <c r="CX37" s="64">
        <v>8.0</v>
      </c>
      <c r="CY37" s="105">
        <f t="shared" si="7"/>
        <v>184</v>
      </c>
      <c r="CZ37" s="48"/>
      <c r="DA37" s="113">
        <v>8.0</v>
      </c>
      <c r="DB37" s="113" t="s">
        <v>165</v>
      </c>
      <c r="DC37" s="113" t="s">
        <v>165</v>
      </c>
      <c r="DD37" s="123">
        <v>8.0</v>
      </c>
      <c r="DE37" s="123">
        <v>8.0</v>
      </c>
      <c r="DF37" s="123">
        <v>8.0</v>
      </c>
      <c r="DG37" s="123">
        <v>8.0</v>
      </c>
      <c r="DH37" s="58" t="s">
        <v>245</v>
      </c>
      <c r="DI37" s="113" t="s">
        <v>165</v>
      </c>
      <c r="DJ37" s="113" t="s">
        <v>165</v>
      </c>
      <c r="DK37" s="123">
        <v>8.0</v>
      </c>
      <c r="DL37" s="123">
        <v>8.0</v>
      </c>
      <c r="DM37" s="123">
        <v>8.0</v>
      </c>
      <c r="DN37" s="113">
        <v>8.0</v>
      </c>
      <c r="DO37" s="113">
        <v>8.0</v>
      </c>
      <c r="DP37" s="113" t="s">
        <v>165</v>
      </c>
      <c r="DQ37" s="124">
        <v>8.0</v>
      </c>
      <c r="DR37" s="123">
        <v>8.0</v>
      </c>
      <c r="DS37" s="123">
        <v>8.0</v>
      </c>
      <c r="DT37" s="123">
        <v>8.0</v>
      </c>
      <c r="DU37" s="113">
        <v>8.0</v>
      </c>
      <c r="DV37" s="113">
        <v>8.0</v>
      </c>
      <c r="DW37" s="113" t="s">
        <v>165</v>
      </c>
      <c r="DX37" s="113" t="s">
        <v>165</v>
      </c>
      <c r="DY37" s="113">
        <v>8.0</v>
      </c>
      <c r="DZ37" s="113">
        <v>8.0</v>
      </c>
      <c r="EA37" s="123">
        <v>8.0</v>
      </c>
      <c r="EB37" s="113">
        <v>8.0</v>
      </c>
      <c r="EC37" s="113">
        <v>8.0</v>
      </c>
      <c r="ED37" s="113" t="s">
        <v>165</v>
      </c>
      <c r="EE37" s="113" t="s">
        <v>165</v>
      </c>
      <c r="EF37" s="113">
        <f t="shared" si="8"/>
        <v>168</v>
      </c>
      <c r="EG37" s="48"/>
      <c r="EH37" s="15"/>
      <c r="EI37" s="15"/>
      <c r="EJ37" s="15"/>
      <c r="EK37" s="15"/>
      <c r="EL37" s="15"/>
      <c r="EM37" s="15"/>
      <c r="EN37" s="15"/>
      <c r="EO37" s="15"/>
      <c r="EP37" s="15"/>
      <c r="EQ37" s="15"/>
      <c r="ER37" s="15"/>
      <c r="ES37" s="15"/>
      <c r="ET37" s="15"/>
      <c r="EU37" s="15"/>
      <c r="EV37" s="15"/>
      <c r="EW37" s="15"/>
      <c r="EX37" s="15"/>
      <c r="EY37" s="15"/>
      <c r="EZ37" s="15"/>
      <c r="FA37" s="15"/>
      <c r="FB37" s="15"/>
      <c r="FC37" s="15"/>
      <c r="FD37" s="15"/>
      <c r="FE37" s="15"/>
      <c r="FF37" s="15"/>
      <c r="FG37" s="15"/>
      <c r="FH37" s="15"/>
      <c r="FI37" s="15"/>
      <c r="FJ37" s="15"/>
      <c r="FK37" s="15"/>
      <c r="FL37" s="105">
        <f t="shared" si="12"/>
        <v>0</v>
      </c>
      <c r="FM37" s="48"/>
      <c r="FN37" s="15"/>
      <c r="FO37" s="15"/>
      <c r="FP37" s="15"/>
      <c r="FQ37" s="15"/>
      <c r="FR37" s="15"/>
      <c r="FS37" s="15"/>
      <c r="FT37" s="15"/>
      <c r="FU37" s="15"/>
      <c r="FV37" s="15"/>
      <c r="FW37" s="15"/>
      <c r="FX37" s="15"/>
      <c r="FY37" s="15"/>
      <c r="FZ37" s="15"/>
      <c r="GA37" s="15"/>
      <c r="GB37" s="15"/>
      <c r="GC37" s="15"/>
      <c r="GD37" s="15"/>
      <c r="GE37" s="15"/>
      <c r="GF37" s="15"/>
      <c r="GG37" s="15"/>
      <c r="GH37" s="15"/>
      <c r="GI37" s="15"/>
      <c r="GJ37" s="15"/>
      <c r="GK37" s="15"/>
      <c r="GL37" s="15"/>
      <c r="GM37" s="15"/>
      <c r="GN37" s="15"/>
      <c r="GO37" s="15"/>
      <c r="GP37" s="15"/>
      <c r="GQ37" s="15"/>
      <c r="GR37" s="15"/>
      <c r="GS37" s="105">
        <f t="shared" si="13"/>
        <v>0</v>
      </c>
      <c r="GT37" s="48"/>
      <c r="GU37" s="15"/>
      <c r="GV37" s="15"/>
      <c r="GW37" s="15"/>
      <c r="GX37" s="15"/>
      <c r="GY37" s="15"/>
      <c r="GZ37" s="15"/>
      <c r="HA37" s="15"/>
      <c r="HB37" s="15"/>
      <c r="HC37" s="15"/>
      <c r="HD37" s="15"/>
      <c r="HE37" s="15"/>
    </row>
    <row r="38" ht="16.5" customHeight="1">
      <c r="A38" s="101" t="s">
        <v>260</v>
      </c>
      <c r="B38" s="106" t="str">
        <f>iferror(vlookup(A38,'SoS - Agents Info'!A:H,5,false),"")</f>
        <v>EN</v>
      </c>
      <c r="C38" s="107" t="str">
        <f>iferror(vlookup(A38,'SoS - Agents Info'!A:AQ,43,false),"")</f>
        <v>JM</v>
      </c>
      <c r="D38" s="108" t="str">
        <f>iferror(vlookup(A38,'SoS - Agents Info'!A:H,6,false),"")</f>
        <v>WE+WD</v>
      </c>
      <c r="E38" s="108" t="str">
        <f>iferror(vlookup(A38,'SoS - Agents Info'!A:H,7,false),"")</f>
        <v>08:00-17:00</v>
      </c>
      <c r="F38" s="109">
        <f>IFERROR(__xludf.DUMMYFUNCTION("sum(COUNTIFS(Filter(FILTER('Shiftplan SoS'!G$3:GU166,'Shiftplan SoS'!$G$1:$GU$1&lt;=today()),'Shiftplan SoS'!$A$3:$A166=A38),""&gt;0"",(Filter(FILTER('Shiftplan SoS'!G$3:GU166,'Shiftplan SoS'!$G$1:$GU$1&lt;=today()),'Shiftplan SoS'!$A$3:$A166=A38)),""&lt;12""))"),80.0)</f>
        <v>80</v>
      </c>
      <c r="G38" s="135"/>
      <c r="H38" s="135"/>
      <c r="I38" s="135"/>
      <c r="J38" s="135"/>
      <c r="K38" s="135"/>
      <c r="L38" s="135"/>
      <c r="M38" s="135"/>
      <c r="N38" s="135"/>
      <c r="O38" s="135"/>
      <c r="P38" s="16">
        <v>8.0</v>
      </c>
      <c r="Q38" s="16">
        <v>8.0</v>
      </c>
      <c r="R38" s="16">
        <v>8.0</v>
      </c>
      <c r="S38" s="16" t="s">
        <v>165</v>
      </c>
      <c r="T38" s="16" t="s">
        <v>165</v>
      </c>
      <c r="U38" s="16">
        <v>8.0</v>
      </c>
      <c r="V38" s="16">
        <v>8.0</v>
      </c>
      <c r="W38" s="16">
        <v>8.0</v>
      </c>
      <c r="X38" s="16">
        <v>8.0</v>
      </c>
      <c r="Y38" s="16">
        <v>8.0</v>
      </c>
      <c r="Z38" s="16" t="s">
        <v>165</v>
      </c>
      <c r="AA38" s="16" t="s">
        <v>165</v>
      </c>
      <c r="AB38" s="16">
        <v>8.0</v>
      </c>
      <c r="AC38" s="16">
        <v>8.0</v>
      </c>
      <c r="AD38" s="16">
        <v>8.0</v>
      </c>
      <c r="AE38" s="16">
        <v>8.0</v>
      </c>
      <c r="AF38" s="16">
        <v>8.0</v>
      </c>
      <c r="AG38" s="16" t="s">
        <v>165</v>
      </c>
      <c r="AH38" s="16" t="s">
        <v>165</v>
      </c>
      <c r="AI38" s="110">
        <v>8.0</v>
      </c>
      <c r="AJ38" s="110">
        <v>8.0</v>
      </c>
      <c r="AK38" s="70">
        <v>8.0</v>
      </c>
      <c r="AL38" s="105">
        <f t="shared" si="5"/>
        <v>128</v>
      </c>
      <c r="AM38" s="48"/>
      <c r="AN38" s="16">
        <v>8.0</v>
      </c>
      <c r="AO38" s="16">
        <v>8.0</v>
      </c>
      <c r="AP38" s="16" t="s">
        <v>165</v>
      </c>
      <c r="AQ38" s="16" t="s">
        <v>165</v>
      </c>
      <c r="AR38" s="16">
        <v>8.0</v>
      </c>
      <c r="AS38" s="16">
        <v>8.0</v>
      </c>
      <c r="AT38" s="16">
        <v>8.0</v>
      </c>
      <c r="AU38" s="16">
        <v>8.0</v>
      </c>
      <c r="AV38" s="16">
        <v>8.0</v>
      </c>
      <c r="AW38" s="16" t="s">
        <v>165</v>
      </c>
      <c r="AX38" s="16" t="s">
        <v>165</v>
      </c>
      <c r="AY38" s="16">
        <v>8.0</v>
      </c>
      <c r="AZ38" s="16">
        <v>8.0</v>
      </c>
      <c r="BA38" s="16">
        <v>8.0</v>
      </c>
      <c r="BB38" s="16">
        <v>8.0</v>
      </c>
      <c r="BC38" s="16">
        <v>8.0</v>
      </c>
      <c r="BD38" s="16" t="s">
        <v>165</v>
      </c>
      <c r="BE38" s="16" t="s">
        <v>165</v>
      </c>
      <c r="BF38" s="16">
        <v>8.0</v>
      </c>
      <c r="BG38" s="16">
        <v>8.0</v>
      </c>
      <c r="BH38" s="16">
        <v>8.0</v>
      </c>
      <c r="BI38" s="16">
        <v>8.0</v>
      </c>
      <c r="BJ38" s="16">
        <v>8.0</v>
      </c>
      <c r="BK38" s="16" t="s">
        <v>165</v>
      </c>
      <c r="BL38" s="16" t="s">
        <v>165</v>
      </c>
      <c r="BM38" s="16">
        <v>8.0</v>
      </c>
      <c r="BN38" s="16">
        <v>8.0</v>
      </c>
      <c r="BO38" s="16">
        <v>8.0</v>
      </c>
      <c r="BP38" s="16">
        <v>8.0</v>
      </c>
      <c r="BQ38" s="16">
        <v>8.0</v>
      </c>
      <c r="BR38" s="105">
        <f t="shared" si="11"/>
        <v>176</v>
      </c>
      <c r="BS38" s="48"/>
      <c r="BT38" s="16" t="s">
        <v>165</v>
      </c>
      <c r="BU38" s="16" t="s">
        <v>165</v>
      </c>
      <c r="BV38" s="16">
        <v>8.0</v>
      </c>
      <c r="BW38" s="16">
        <v>8.0</v>
      </c>
      <c r="BX38" s="16">
        <v>8.0</v>
      </c>
      <c r="BY38" s="16">
        <v>8.0</v>
      </c>
      <c r="BZ38" s="16">
        <v>8.0</v>
      </c>
      <c r="CA38" s="16" t="s">
        <v>165</v>
      </c>
      <c r="CB38" s="16" t="s">
        <v>165</v>
      </c>
      <c r="CC38" s="16">
        <v>8.0</v>
      </c>
      <c r="CD38" s="16">
        <v>8.0</v>
      </c>
      <c r="CE38" s="16">
        <v>8.0</v>
      </c>
      <c r="CF38" s="16">
        <v>8.0</v>
      </c>
      <c r="CG38" s="16">
        <v>8.0</v>
      </c>
      <c r="CH38" s="16" t="s">
        <v>165</v>
      </c>
      <c r="CI38" s="16" t="s">
        <v>165</v>
      </c>
      <c r="CJ38" s="16">
        <v>8.0</v>
      </c>
      <c r="CK38" s="16" t="s">
        <v>245</v>
      </c>
      <c r="CL38" s="16">
        <v>8.0</v>
      </c>
      <c r="CM38" s="16">
        <v>8.0</v>
      </c>
      <c r="CN38" s="16">
        <v>8.0</v>
      </c>
      <c r="CO38" s="16" t="s">
        <v>165</v>
      </c>
      <c r="CP38" s="16" t="s">
        <v>165</v>
      </c>
      <c r="CQ38" s="16">
        <v>8.0</v>
      </c>
      <c r="CR38" s="16">
        <v>8.0</v>
      </c>
      <c r="CS38" s="16">
        <v>8.0</v>
      </c>
      <c r="CT38" s="16">
        <v>8.0</v>
      </c>
      <c r="CU38" s="16">
        <v>8.0</v>
      </c>
      <c r="CV38" s="16" t="s">
        <v>165</v>
      </c>
      <c r="CW38" s="16" t="s">
        <v>165</v>
      </c>
      <c r="CX38" s="16" t="s">
        <v>169</v>
      </c>
      <c r="CY38" s="105">
        <f t="shared" si="7"/>
        <v>152</v>
      </c>
      <c r="CZ38" s="48"/>
      <c r="DA38" s="113">
        <v>8.0</v>
      </c>
      <c r="DB38" s="113">
        <v>8.0</v>
      </c>
      <c r="DC38" s="113">
        <v>8.0</v>
      </c>
      <c r="DD38" s="113">
        <v>8.0</v>
      </c>
      <c r="DE38" s="113" t="s">
        <v>165</v>
      </c>
      <c r="DF38" s="113" t="s">
        <v>165</v>
      </c>
      <c r="DG38" s="113">
        <v>8.0</v>
      </c>
      <c r="DH38" s="113">
        <v>8.0</v>
      </c>
      <c r="DI38" s="113">
        <v>8.0</v>
      </c>
      <c r="DJ38" s="113">
        <v>8.0</v>
      </c>
      <c r="DK38" s="113">
        <v>8.0</v>
      </c>
      <c r="DL38" s="113" t="s">
        <v>165</v>
      </c>
      <c r="DM38" s="113" t="s">
        <v>165</v>
      </c>
      <c r="DN38" s="113">
        <v>8.0</v>
      </c>
      <c r="DO38" s="113">
        <v>8.0</v>
      </c>
      <c r="DP38" s="113">
        <v>8.0</v>
      </c>
      <c r="DQ38" s="113">
        <v>8.0</v>
      </c>
      <c r="DR38" s="113">
        <v>8.0</v>
      </c>
      <c r="DS38" s="113" t="s">
        <v>165</v>
      </c>
      <c r="DT38" s="113" t="s">
        <v>165</v>
      </c>
      <c r="DU38" s="58" t="s">
        <v>245</v>
      </c>
      <c r="DV38" s="113">
        <v>8.0</v>
      </c>
      <c r="DW38" s="113">
        <v>8.0</v>
      </c>
      <c r="DX38" s="113">
        <v>8.0</v>
      </c>
      <c r="DY38" s="113">
        <v>8.0</v>
      </c>
      <c r="DZ38" s="58">
        <v>8.0</v>
      </c>
      <c r="EA38" s="113" t="s">
        <v>165</v>
      </c>
      <c r="EB38" s="113">
        <v>8.0</v>
      </c>
      <c r="EC38" s="113">
        <v>8.0</v>
      </c>
      <c r="ED38" s="113">
        <v>8.0</v>
      </c>
      <c r="EE38" s="113">
        <v>8.0</v>
      </c>
      <c r="EF38" s="113">
        <f t="shared" si="8"/>
        <v>184</v>
      </c>
      <c r="EG38" s="48"/>
      <c r="EH38" s="15"/>
      <c r="EI38" s="15"/>
      <c r="EJ38" s="15"/>
      <c r="EK38" s="15"/>
      <c r="EL38" s="15"/>
      <c r="EM38" s="15"/>
      <c r="EN38" s="15"/>
      <c r="EO38" s="15"/>
      <c r="EP38" s="15"/>
      <c r="EQ38" s="15"/>
      <c r="ER38" s="15"/>
      <c r="ES38" s="15"/>
      <c r="ET38" s="15"/>
      <c r="EU38" s="15"/>
      <c r="EV38" s="15"/>
      <c r="EW38" s="15"/>
      <c r="EX38" s="15"/>
      <c r="EY38" s="15"/>
      <c r="EZ38" s="15"/>
      <c r="FA38" s="15"/>
      <c r="FB38" s="15"/>
      <c r="FC38" s="15"/>
      <c r="FD38" s="15"/>
      <c r="FE38" s="15"/>
      <c r="FF38" s="15"/>
      <c r="FG38" s="15"/>
      <c r="FH38" s="15"/>
      <c r="FI38" s="15"/>
      <c r="FJ38" s="15"/>
      <c r="FK38" s="15"/>
      <c r="FL38" s="105">
        <f t="shared" si="12"/>
        <v>0</v>
      </c>
      <c r="FM38" s="48"/>
      <c r="FN38" s="15"/>
      <c r="FO38" s="15"/>
      <c r="FP38" s="15"/>
      <c r="FQ38" s="15"/>
      <c r="FR38" s="15"/>
      <c r="FS38" s="15"/>
      <c r="FT38" s="15"/>
      <c r="FU38" s="15"/>
      <c r="FV38" s="15"/>
      <c r="FW38" s="15"/>
      <c r="FX38" s="15"/>
      <c r="FY38" s="15"/>
      <c r="FZ38" s="15"/>
      <c r="GA38" s="15"/>
      <c r="GB38" s="15"/>
      <c r="GC38" s="15"/>
      <c r="GD38" s="15"/>
      <c r="GE38" s="15"/>
      <c r="GF38" s="15"/>
      <c r="GG38" s="15"/>
      <c r="GH38" s="15"/>
      <c r="GI38" s="15"/>
      <c r="GJ38" s="15"/>
      <c r="GK38" s="15"/>
      <c r="GL38" s="15"/>
      <c r="GM38" s="15"/>
      <c r="GN38" s="15"/>
      <c r="GO38" s="15"/>
      <c r="GP38" s="15"/>
      <c r="GQ38" s="15"/>
      <c r="GR38" s="15"/>
      <c r="GS38" s="105">
        <f t="shared" si="13"/>
        <v>0</v>
      </c>
      <c r="GT38" s="48"/>
      <c r="GU38" s="15"/>
      <c r="GV38" s="15"/>
      <c r="GW38" s="15"/>
      <c r="GX38" s="15"/>
      <c r="GY38" s="15"/>
      <c r="GZ38" s="15"/>
      <c r="HA38" s="15"/>
      <c r="HB38" s="15"/>
      <c r="HC38" s="15"/>
      <c r="HD38" s="15"/>
      <c r="HE38" s="15"/>
    </row>
    <row r="39" ht="16.5" customHeight="1">
      <c r="A39" s="101" t="s">
        <v>261</v>
      </c>
      <c r="B39" s="106" t="str">
        <f>iferror(vlookup(A39,'SoS - Agents Info'!A:H,5,false),"")</f>
        <v>RU</v>
      </c>
      <c r="C39" s="107" t="str">
        <f>iferror(vlookup(A39,'SoS - Agents Info'!A:AQ,43,false),"")</f>
        <v>JM</v>
      </c>
      <c r="D39" s="108" t="str">
        <f>iferror(vlookup(A39,'SoS - Agents Info'!A:H,6,false),"")</f>
        <v>WE+WD</v>
      </c>
      <c r="E39" s="108" t="str">
        <f>iferror(vlookup(A39,'SoS - Agents Info'!A:H,7,false),"")</f>
        <v>08:00-17:00</v>
      </c>
      <c r="F39" s="109">
        <f>IFERROR(__xludf.DUMMYFUNCTION("sum(COUNTIFS(Filter(FILTER('Shiftplan SoS'!G$3:GU166,'Shiftplan SoS'!$G$1:$GU$1&lt;=today()),'Shiftplan SoS'!$A$3:$A166=A39),""&gt;0"",(Filter(FILTER('Shiftplan SoS'!G$3:GU166,'Shiftplan SoS'!$G$1:$GU$1&lt;=today()),'Shiftplan SoS'!$A$3:$A166=A39)),""&lt;12""))"),82.0)</f>
        <v>82</v>
      </c>
      <c r="G39" s="135"/>
      <c r="H39" s="135"/>
      <c r="I39" s="135"/>
      <c r="J39" s="135"/>
      <c r="K39" s="135"/>
      <c r="L39" s="135"/>
      <c r="M39" s="135"/>
      <c r="N39" s="135"/>
      <c r="O39" s="135"/>
      <c r="P39" s="16">
        <v>8.0</v>
      </c>
      <c r="Q39" s="16">
        <v>8.0</v>
      </c>
      <c r="R39" s="16">
        <v>8.0</v>
      </c>
      <c r="S39" s="16">
        <v>8.0</v>
      </c>
      <c r="T39" s="16">
        <v>8.0</v>
      </c>
      <c r="U39" s="16" t="s">
        <v>165</v>
      </c>
      <c r="V39" s="16" t="s">
        <v>165</v>
      </c>
      <c r="W39" s="16">
        <v>8.0</v>
      </c>
      <c r="X39" s="16">
        <v>8.0</v>
      </c>
      <c r="Y39" s="16">
        <v>8.0</v>
      </c>
      <c r="Z39" s="16">
        <v>8.0</v>
      </c>
      <c r="AA39" s="16">
        <v>8.0</v>
      </c>
      <c r="AB39" s="16" t="s">
        <v>165</v>
      </c>
      <c r="AC39" s="16" t="s">
        <v>165</v>
      </c>
      <c r="AD39" s="16">
        <v>8.0</v>
      </c>
      <c r="AE39" s="16">
        <v>8.0</v>
      </c>
      <c r="AF39" s="16">
        <v>8.0</v>
      </c>
      <c r="AG39" s="16">
        <v>8.0</v>
      </c>
      <c r="AH39" s="16" t="s">
        <v>165</v>
      </c>
      <c r="AI39" s="16" t="s">
        <v>165</v>
      </c>
      <c r="AJ39" s="110">
        <v>8.0</v>
      </c>
      <c r="AK39" s="70">
        <v>8.0</v>
      </c>
      <c r="AL39" s="105">
        <f t="shared" si="5"/>
        <v>128</v>
      </c>
      <c r="AM39" s="48"/>
      <c r="AN39" s="16">
        <v>8.0</v>
      </c>
      <c r="AO39" s="16">
        <v>8.0</v>
      </c>
      <c r="AP39" s="16">
        <v>8.0</v>
      </c>
      <c r="AQ39" s="16" t="s">
        <v>165</v>
      </c>
      <c r="AR39" s="16" t="s">
        <v>165</v>
      </c>
      <c r="AS39" s="16">
        <v>8.0</v>
      </c>
      <c r="AT39" s="16">
        <v>8.0</v>
      </c>
      <c r="AU39" s="16">
        <v>8.0</v>
      </c>
      <c r="AV39" s="16">
        <v>8.0</v>
      </c>
      <c r="AW39" s="16">
        <v>8.0</v>
      </c>
      <c r="AX39" s="16" t="s">
        <v>165</v>
      </c>
      <c r="AY39" s="16" t="s">
        <v>165</v>
      </c>
      <c r="AZ39" s="16">
        <v>8.0</v>
      </c>
      <c r="BA39" s="16">
        <v>8.0</v>
      </c>
      <c r="BB39" s="16">
        <v>8.0</v>
      </c>
      <c r="BC39" s="16">
        <v>8.0</v>
      </c>
      <c r="BD39" s="16">
        <v>8.0</v>
      </c>
      <c r="BE39" s="16">
        <v>8.0</v>
      </c>
      <c r="BF39" s="16" t="s">
        <v>165</v>
      </c>
      <c r="BG39" s="16" t="s">
        <v>245</v>
      </c>
      <c r="BH39" s="16">
        <v>8.0</v>
      </c>
      <c r="BI39" s="16">
        <v>8.0</v>
      </c>
      <c r="BJ39" s="16">
        <v>8.0</v>
      </c>
      <c r="BK39" s="16">
        <v>8.0</v>
      </c>
      <c r="BL39" s="16" t="s">
        <v>165</v>
      </c>
      <c r="BM39" s="16" t="s">
        <v>165</v>
      </c>
      <c r="BN39" s="16">
        <v>8.0</v>
      </c>
      <c r="BO39" s="16">
        <v>8.0</v>
      </c>
      <c r="BP39" s="16">
        <v>8.0</v>
      </c>
      <c r="BQ39" s="16">
        <v>8.0</v>
      </c>
      <c r="BR39" s="105">
        <f t="shared" si="11"/>
        <v>176</v>
      </c>
      <c r="BS39" s="48"/>
      <c r="BT39" s="16">
        <v>8.0</v>
      </c>
      <c r="BU39" s="16" t="s">
        <v>165</v>
      </c>
      <c r="BV39" s="16" t="s">
        <v>165</v>
      </c>
      <c r="BW39" s="16">
        <v>8.0</v>
      </c>
      <c r="BX39" s="16">
        <v>8.0</v>
      </c>
      <c r="BY39" s="16">
        <v>8.0</v>
      </c>
      <c r="BZ39" s="16">
        <v>8.0</v>
      </c>
      <c r="CA39" s="16">
        <v>8.0</v>
      </c>
      <c r="CB39" s="16" t="s">
        <v>165</v>
      </c>
      <c r="CC39" s="16" t="s">
        <v>165</v>
      </c>
      <c r="CD39" s="16">
        <v>8.0</v>
      </c>
      <c r="CE39" s="16">
        <v>8.0</v>
      </c>
      <c r="CF39" s="16">
        <v>8.0</v>
      </c>
      <c r="CG39" s="16">
        <v>8.0</v>
      </c>
      <c r="CH39" s="16">
        <v>8.0</v>
      </c>
      <c r="CI39" s="16">
        <v>8.0</v>
      </c>
      <c r="CJ39" s="16" t="s">
        <v>165</v>
      </c>
      <c r="CK39" s="16" t="s">
        <v>245</v>
      </c>
      <c r="CL39" s="16">
        <v>8.0</v>
      </c>
      <c r="CM39" s="16">
        <v>8.0</v>
      </c>
      <c r="CN39" s="16">
        <v>8.0</v>
      </c>
      <c r="CO39" s="16">
        <v>8.0</v>
      </c>
      <c r="CP39" s="16" t="s">
        <v>165</v>
      </c>
      <c r="CQ39" s="16" t="s">
        <v>165</v>
      </c>
      <c r="CR39" s="16">
        <v>8.0</v>
      </c>
      <c r="CS39" s="16">
        <v>8.0</v>
      </c>
      <c r="CT39" s="16">
        <v>8.0</v>
      </c>
      <c r="CU39" s="16">
        <v>8.0</v>
      </c>
      <c r="CV39" s="16">
        <v>8.0</v>
      </c>
      <c r="CW39" s="16" t="s">
        <v>165</v>
      </c>
      <c r="CX39" s="16" t="s">
        <v>165</v>
      </c>
      <c r="CY39" s="105">
        <f t="shared" si="7"/>
        <v>168</v>
      </c>
      <c r="CZ39" s="48"/>
      <c r="DA39" s="136" t="s">
        <v>245</v>
      </c>
      <c r="DB39" s="113">
        <v>8.0</v>
      </c>
      <c r="DC39" s="113">
        <v>8.0</v>
      </c>
      <c r="DD39" s="113">
        <v>8.0</v>
      </c>
      <c r="DE39" s="113">
        <v>8.0</v>
      </c>
      <c r="DF39" s="58">
        <v>8.0</v>
      </c>
      <c r="DG39" s="113" t="s">
        <v>165</v>
      </c>
      <c r="DH39" s="113">
        <v>8.0</v>
      </c>
      <c r="DI39" s="113">
        <v>8.0</v>
      </c>
      <c r="DJ39" s="113">
        <v>8.0</v>
      </c>
      <c r="DK39" s="113">
        <v>8.0</v>
      </c>
      <c r="DL39" s="113">
        <v>8.0</v>
      </c>
      <c r="DM39" s="113" t="s">
        <v>165</v>
      </c>
      <c r="DN39" s="113" t="s">
        <v>165</v>
      </c>
      <c r="DO39" s="113">
        <v>8.0</v>
      </c>
      <c r="DP39" s="113">
        <v>8.0</v>
      </c>
      <c r="DQ39" s="113">
        <v>8.0</v>
      </c>
      <c r="DR39" s="113">
        <v>8.0</v>
      </c>
      <c r="DS39" s="113">
        <v>8.0</v>
      </c>
      <c r="DT39" s="113" t="s">
        <v>165</v>
      </c>
      <c r="DU39" s="113" t="s">
        <v>165</v>
      </c>
      <c r="DV39" s="113">
        <v>8.0</v>
      </c>
      <c r="DW39" s="113">
        <v>8.0</v>
      </c>
      <c r="DX39" s="113">
        <v>8.0</v>
      </c>
      <c r="DY39" s="113">
        <v>8.0</v>
      </c>
      <c r="DZ39" s="113">
        <v>8.0</v>
      </c>
      <c r="EA39" s="113" t="s">
        <v>165</v>
      </c>
      <c r="EB39" s="113" t="s">
        <v>165</v>
      </c>
      <c r="EC39" s="113">
        <v>8.0</v>
      </c>
      <c r="ED39" s="113">
        <v>8.0</v>
      </c>
      <c r="EE39" s="113">
        <v>8.0</v>
      </c>
      <c r="EF39" s="113">
        <f t="shared" si="8"/>
        <v>184</v>
      </c>
      <c r="EG39" s="48"/>
      <c r="EH39" s="15"/>
      <c r="EI39" s="15"/>
      <c r="EJ39" s="15"/>
      <c r="EK39" s="15"/>
      <c r="EL39" s="15"/>
      <c r="EM39" s="15"/>
      <c r="EN39" s="15"/>
      <c r="EO39" s="15"/>
      <c r="EP39" s="15"/>
      <c r="EQ39" s="15"/>
      <c r="ER39" s="15"/>
      <c r="ES39" s="15"/>
      <c r="ET39" s="15"/>
      <c r="EU39" s="15"/>
      <c r="EV39" s="15"/>
      <c r="EW39" s="15"/>
      <c r="EX39" s="15"/>
      <c r="EY39" s="15"/>
      <c r="EZ39" s="15"/>
      <c r="FA39" s="15"/>
      <c r="FB39" s="15"/>
      <c r="FC39" s="15"/>
      <c r="FD39" s="15"/>
      <c r="FE39" s="15"/>
      <c r="FF39" s="15"/>
      <c r="FG39" s="15"/>
      <c r="FH39" s="15"/>
      <c r="FI39" s="15"/>
      <c r="FJ39" s="15"/>
      <c r="FK39" s="15"/>
      <c r="FL39" s="105">
        <f t="shared" si="12"/>
        <v>0</v>
      </c>
      <c r="FM39" s="48"/>
      <c r="FN39" s="15"/>
      <c r="FO39" s="15"/>
      <c r="FP39" s="15"/>
      <c r="FQ39" s="15"/>
      <c r="FR39" s="15"/>
      <c r="FS39" s="15"/>
      <c r="FT39" s="15"/>
      <c r="FU39" s="15"/>
      <c r="FV39" s="15"/>
      <c r="FW39" s="15"/>
      <c r="FX39" s="15"/>
      <c r="FY39" s="15"/>
      <c r="FZ39" s="15"/>
      <c r="GA39" s="15"/>
      <c r="GB39" s="15"/>
      <c r="GC39" s="15"/>
      <c r="GD39" s="15"/>
      <c r="GE39" s="15"/>
      <c r="GF39" s="15"/>
      <c r="GG39" s="15"/>
      <c r="GH39" s="15"/>
      <c r="GI39" s="15"/>
      <c r="GJ39" s="15"/>
      <c r="GK39" s="15"/>
      <c r="GL39" s="15"/>
      <c r="GM39" s="15"/>
      <c r="GN39" s="15"/>
      <c r="GO39" s="15"/>
      <c r="GP39" s="15"/>
      <c r="GQ39" s="15"/>
      <c r="GR39" s="15"/>
      <c r="GS39" s="105">
        <f t="shared" si="13"/>
        <v>0</v>
      </c>
      <c r="GT39" s="48"/>
      <c r="GU39" s="15"/>
      <c r="GV39" s="15"/>
      <c r="GW39" s="15"/>
      <c r="GX39" s="15"/>
      <c r="GY39" s="15"/>
      <c r="GZ39" s="15"/>
      <c r="HA39" s="15"/>
      <c r="HB39" s="15"/>
      <c r="HC39" s="15"/>
      <c r="HD39" s="15"/>
      <c r="HE39" s="15"/>
    </row>
    <row r="40" ht="16.5" customHeight="1">
      <c r="A40" s="101" t="s">
        <v>262</v>
      </c>
      <c r="B40" s="106" t="str">
        <f>iferror(vlookup(A40,'SoS - Agents Info'!A:H,5,false),"")</f>
        <v>FR</v>
      </c>
      <c r="C40" s="107" t="str">
        <f>iferror(vlookup(A40,'SoS - Agents Info'!A:AQ,43,false),"")</f>
        <v>JM</v>
      </c>
      <c r="D40" s="108" t="str">
        <f>iferror(vlookup(A40,'SoS - Agents Info'!A:H,6,false),"")</f>
        <v>WD</v>
      </c>
      <c r="E40" s="108" t="str">
        <f>iferror(vlookup(A40,'SoS - Agents Info'!A:H,7,false),"")</f>
        <v>08:00-17:00</v>
      </c>
      <c r="F40" s="109">
        <f>IFERROR(__xludf.DUMMYFUNCTION("sum(COUNTIFS(Filter(FILTER('Shiftplan SoS'!G$3:GU166,'Shiftplan SoS'!$G$1:$GU$1&lt;=today()),'Shiftplan SoS'!$A$3:$A166=A40),""&gt;0"",(Filter(FILTER('Shiftplan SoS'!G$3:GU166,'Shiftplan SoS'!$G$1:$GU$1&lt;=today()),'Shiftplan SoS'!$A$3:$A166=A40)),""&lt;12""))"),72.0)</f>
        <v>72</v>
      </c>
      <c r="G40" s="135"/>
      <c r="H40" s="135"/>
      <c r="I40" s="135"/>
      <c r="J40" s="135"/>
      <c r="K40" s="135"/>
      <c r="L40" s="135"/>
      <c r="M40" s="135"/>
      <c r="N40" s="135"/>
      <c r="O40" s="135"/>
      <c r="P40" s="135"/>
      <c r="Q40" s="16">
        <v>8.0</v>
      </c>
      <c r="R40" s="16">
        <v>8.0</v>
      </c>
      <c r="S40" s="16">
        <v>8.0</v>
      </c>
      <c r="T40" s="16">
        <v>8.0</v>
      </c>
      <c r="U40" s="16" t="s">
        <v>165</v>
      </c>
      <c r="V40" s="16" t="s">
        <v>165</v>
      </c>
      <c r="W40" s="16">
        <v>8.0</v>
      </c>
      <c r="X40" s="16">
        <v>8.0</v>
      </c>
      <c r="Y40" s="16">
        <v>8.0</v>
      </c>
      <c r="Z40" s="16">
        <v>8.0</v>
      </c>
      <c r="AA40" s="16">
        <v>8.0</v>
      </c>
      <c r="AB40" s="16" t="s">
        <v>165</v>
      </c>
      <c r="AC40" s="16" t="s">
        <v>165</v>
      </c>
      <c r="AD40" s="16">
        <v>8.0</v>
      </c>
      <c r="AE40" s="16">
        <v>8.0</v>
      </c>
      <c r="AF40" s="16">
        <v>8.0</v>
      </c>
      <c r="AG40" s="16">
        <v>8.0</v>
      </c>
      <c r="AH40" s="16">
        <v>8.0</v>
      </c>
      <c r="AI40" s="16" t="s">
        <v>165</v>
      </c>
      <c r="AJ40" s="16" t="s">
        <v>165</v>
      </c>
      <c r="AK40" s="125">
        <v>8.0</v>
      </c>
      <c r="AL40" s="105">
        <f t="shared" si="5"/>
        <v>120</v>
      </c>
      <c r="AM40" s="48"/>
      <c r="AN40" s="110">
        <v>8.0</v>
      </c>
      <c r="AO40" s="16">
        <v>8.0</v>
      </c>
      <c r="AP40" s="16">
        <v>8.0</v>
      </c>
      <c r="AQ40" s="16">
        <v>8.0</v>
      </c>
      <c r="AR40" s="16" t="s">
        <v>165</v>
      </c>
      <c r="AS40" s="16" t="s">
        <v>165</v>
      </c>
      <c r="AT40" s="16">
        <v>8.0</v>
      </c>
      <c r="AU40" s="16">
        <v>8.0</v>
      </c>
      <c r="AV40" s="16">
        <v>8.0</v>
      </c>
      <c r="AW40" s="16">
        <v>8.0</v>
      </c>
      <c r="AX40" s="16">
        <v>8.0</v>
      </c>
      <c r="AY40" s="16" t="s">
        <v>165</v>
      </c>
      <c r="AZ40" s="16" t="s">
        <v>165</v>
      </c>
      <c r="BA40" s="16">
        <v>8.0</v>
      </c>
      <c r="BB40" s="16">
        <v>8.0</v>
      </c>
      <c r="BC40" s="16">
        <v>8.0</v>
      </c>
      <c r="BD40" s="16">
        <v>8.0</v>
      </c>
      <c r="BE40" s="16">
        <v>8.0</v>
      </c>
      <c r="BF40" s="16" t="s">
        <v>165</v>
      </c>
      <c r="BG40" s="16" t="s">
        <v>165</v>
      </c>
      <c r="BH40" s="16">
        <v>8.0</v>
      </c>
      <c r="BI40" s="16">
        <v>8.0</v>
      </c>
      <c r="BJ40" s="16">
        <v>8.0</v>
      </c>
      <c r="BK40" s="16" t="s">
        <v>171</v>
      </c>
      <c r="BL40" s="16" t="s">
        <v>167</v>
      </c>
      <c r="BM40" s="16" t="s">
        <v>165</v>
      </c>
      <c r="BN40" s="16" t="s">
        <v>165</v>
      </c>
      <c r="BO40" s="16">
        <v>8.0</v>
      </c>
      <c r="BP40" s="16">
        <v>8.0</v>
      </c>
      <c r="BQ40" s="16">
        <v>8.0</v>
      </c>
      <c r="BR40" s="105">
        <f t="shared" si="11"/>
        <v>160</v>
      </c>
      <c r="BS40" s="48"/>
      <c r="BT40" s="64">
        <v>8.0</v>
      </c>
      <c r="BU40" s="64">
        <v>8.0</v>
      </c>
      <c r="BV40" s="114" t="s">
        <v>165</v>
      </c>
      <c r="BW40" s="114" t="s">
        <v>165</v>
      </c>
      <c r="BX40" s="64">
        <v>8.0</v>
      </c>
      <c r="BY40" s="64">
        <v>8.0</v>
      </c>
      <c r="BZ40" s="64">
        <v>8.0</v>
      </c>
      <c r="CA40" s="64">
        <v>8.0</v>
      </c>
      <c r="CB40" s="64">
        <v>8.0</v>
      </c>
      <c r="CC40" s="114" t="s">
        <v>165</v>
      </c>
      <c r="CD40" s="114" t="s">
        <v>165</v>
      </c>
      <c r="CE40" s="16" t="s">
        <v>167</v>
      </c>
      <c r="CF40" s="16" t="s">
        <v>167</v>
      </c>
      <c r="CG40" s="16" t="s">
        <v>167</v>
      </c>
      <c r="CH40" s="16" t="s">
        <v>167</v>
      </c>
      <c r="CI40" s="16" t="s">
        <v>167</v>
      </c>
      <c r="CJ40" s="16" t="s">
        <v>165</v>
      </c>
      <c r="CK40" s="16" t="s">
        <v>165</v>
      </c>
      <c r="CL40" s="64">
        <v>8.0</v>
      </c>
      <c r="CM40" s="64">
        <v>8.0</v>
      </c>
      <c r="CN40" s="64">
        <v>8.0</v>
      </c>
      <c r="CO40" s="64">
        <v>8.0</v>
      </c>
      <c r="CP40" s="64">
        <v>8.0</v>
      </c>
      <c r="CQ40" s="114" t="s">
        <v>165</v>
      </c>
      <c r="CR40" s="114" t="s">
        <v>165</v>
      </c>
      <c r="CS40" s="64">
        <v>8.0</v>
      </c>
      <c r="CT40" s="64">
        <v>8.0</v>
      </c>
      <c r="CU40" s="64">
        <v>8.0</v>
      </c>
      <c r="CV40" s="64">
        <v>8.0</v>
      </c>
      <c r="CW40" s="64">
        <v>8.0</v>
      </c>
      <c r="CX40" s="114" t="s">
        <v>165</v>
      </c>
      <c r="CY40" s="105">
        <f t="shared" si="7"/>
        <v>136</v>
      </c>
      <c r="CZ40" s="48"/>
      <c r="DA40" s="113" t="s">
        <v>165</v>
      </c>
      <c r="DB40" s="113">
        <v>8.0</v>
      </c>
      <c r="DC40" s="113">
        <v>8.0</v>
      </c>
      <c r="DD40" s="113">
        <v>8.0</v>
      </c>
      <c r="DE40" s="113">
        <v>8.0</v>
      </c>
      <c r="DF40" s="113">
        <v>8.0</v>
      </c>
      <c r="DG40" s="113" t="s">
        <v>165</v>
      </c>
      <c r="DH40" s="113" t="s">
        <v>165</v>
      </c>
      <c r="DI40" s="113">
        <v>8.0</v>
      </c>
      <c r="DJ40" s="113">
        <v>8.0</v>
      </c>
      <c r="DK40" s="58" t="s">
        <v>167</v>
      </c>
      <c r="DL40" s="58" t="s">
        <v>169</v>
      </c>
      <c r="DM40" s="113">
        <v>8.0</v>
      </c>
      <c r="DN40" s="113" t="s">
        <v>165</v>
      </c>
      <c r="DO40" s="113" t="s">
        <v>165</v>
      </c>
      <c r="DP40" s="113">
        <v>8.0</v>
      </c>
      <c r="DQ40" s="113">
        <v>8.0</v>
      </c>
      <c r="DR40" s="113">
        <v>8.0</v>
      </c>
      <c r="DS40" s="113">
        <v>8.0</v>
      </c>
      <c r="DT40" s="113">
        <v>8.0</v>
      </c>
      <c r="DU40" s="113" t="s">
        <v>165</v>
      </c>
      <c r="DV40" s="113" t="s">
        <v>165</v>
      </c>
      <c r="DW40" s="113">
        <v>8.0</v>
      </c>
      <c r="DX40" s="113">
        <v>8.0</v>
      </c>
      <c r="DY40" s="113">
        <v>8.0</v>
      </c>
      <c r="DZ40" s="113">
        <v>8.0</v>
      </c>
      <c r="EA40" s="113">
        <v>8.0</v>
      </c>
      <c r="EB40" s="113" t="s">
        <v>165</v>
      </c>
      <c r="EC40" s="113" t="s">
        <v>165</v>
      </c>
      <c r="ED40" s="113">
        <v>8.0</v>
      </c>
      <c r="EE40" s="113">
        <v>8.0</v>
      </c>
      <c r="EF40" s="113">
        <f t="shared" si="8"/>
        <v>160</v>
      </c>
      <c r="EG40" s="48"/>
      <c r="EH40" s="15"/>
      <c r="EI40" s="15"/>
      <c r="EJ40" s="15"/>
      <c r="EK40" s="15"/>
      <c r="EL40" s="15"/>
      <c r="EM40" s="15"/>
      <c r="EN40" s="15"/>
      <c r="EO40" s="15"/>
      <c r="EP40" s="15"/>
      <c r="EQ40" s="15"/>
      <c r="ER40" s="15"/>
      <c r="ES40" s="15"/>
      <c r="ET40" s="15"/>
      <c r="EU40" s="15"/>
      <c r="EV40" s="15"/>
      <c r="EW40" s="15"/>
      <c r="EX40" s="15"/>
      <c r="EY40" s="15"/>
      <c r="EZ40" s="15"/>
      <c r="FA40" s="15"/>
      <c r="FB40" s="15"/>
      <c r="FC40" s="15"/>
      <c r="FD40" s="15"/>
      <c r="FE40" s="15"/>
      <c r="FF40" s="15"/>
      <c r="FG40" s="15"/>
      <c r="FH40" s="15"/>
      <c r="FI40" s="15"/>
      <c r="FJ40" s="15"/>
      <c r="FK40" s="15"/>
      <c r="FL40" s="105">
        <f t="shared" si="12"/>
        <v>0</v>
      </c>
      <c r="FM40" s="48"/>
      <c r="FN40" s="15"/>
      <c r="FO40" s="15"/>
      <c r="FP40" s="15"/>
      <c r="FQ40" s="15"/>
      <c r="FR40" s="15"/>
      <c r="FS40" s="15"/>
      <c r="FT40" s="15"/>
      <c r="FU40" s="15"/>
      <c r="FV40" s="15"/>
      <c r="FW40" s="15"/>
      <c r="FX40" s="15"/>
      <c r="FY40" s="15"/>
      <c r="FZ40" s="15"/>
      <c r="GA40" s="15"/>
      <c r="GB40" s="15"/>
      <c r="GC40" s="15"/>
      <c r="GD40" s="15"/>
      <c r="GE40" s="15"/>
      <c r="GF40" s="15"/>
      <c r="GG40" s="15"/>
      <c r="GH40" s="15"/>
      <c r="GI40" s="15"/>
      <c r="GJ40" s="15"/>
      <c r="GK40" s="15"/>
      <c r="GL40" s="15"/>
      <c r="GM40" s="15"/>
      <c r="GN40" s="15"/>
      <c r="GO40" s="15"/>
      <c r="GP40" s="15"/>
      <c r="GQ40" s="15"/>
      <c r="GR40" s="15"/>
      <c r="GS40" s="105">
        <f t="shared" si="13"/>
        <v>0</v>
      </c>
      <c r="GT40" s="48"/>
      <c r="GU40" s="15"/>
      <c r="GV40" s="15"/>
      <c r="GW40" s="15"/>
      <c r="GX40" s="15"/>
      <c r="GY40" s="15"/>
      <c r="GZ40" s="15"/>
      <c r="HA40" s="15"/>
      <c r="HB40" s="15"/>
      <c r="HC40" s="15"/>
      <c r="HD40" s="15"/>
      <c r="HE40" s="15"/>
    </row>
    <row r="41" ht="16.5" customHeight="1">
      <c r="A41" s="101" t="s">
        <v>263</v>
      </c>
      <c r="B41" s="106" t="str">
        <f>iferror(vlookup(A41,'SoS - Agents Info'!A:H,5,false),"")</f>
        <v>ES</v>
      </c>
      <c r="C41" s="107" t="str">
        <f>iferror(vlookup(A41,'SoS - Agents Info'!A:AQ,43,false),"")</f>
        <v>RA+VM</v>
      </c>
      <c r="D41" s="108" t="str">
        <f>iferror(vlookup(A41,'SoS - Agents Info'!A:H,6,false),"")</f>
        <v>WE+WD</v>
      </c>
      <c r="E41" s="108" t="str">
        <f>iferror(vlookup(A41,'SoS - Agents Info'!A:H,7,false),"")</f>
        <v>16:00-01:00</v>
      </c>
      <c r="F41" s="109">
        <f>IFERROR(__xludf.DUMMYFUNCTION("sum(COUNTIFS(Filter(FILTER('Shiftplan SoS'!G$3:GU166,'Shiftplan SoS'!$G$1:$GU$1&lt;=today()),'Shiftplan SoS'!$A$3:$A166=A41),""&gt;0"",(Filter(FILTER('Shiftplan SoS'!G$3:GU166,'Shiftplan SoS'!$G$1:$GU$1&lt;=today()),'Shiftplan SoS'!$A$3:$A166=A41)),""&lt;12""))"),81.0)</f>
        <v>81</v>
      </c>
      <c r="G41" s="135"/>
      <c r="H41" s="135"/>
      <c r="I41" s="135"/>
      <c r="J41" s="135"/>
      <c r="K41" s="135"/>
      <c r="L41" s="135"/>
      <c r="M41" s="135"/>
      <c r="N41" s="135"/>
      <c r="O41" s="135"/>
      <c r="P41" s="135"/>
      <c r="Q41" s="16">
        <v>8.0</v>
      </c>
      <c r="R41" s="16">
        <v>8.0</v>
      </c>
      <c r="S41" s="16">
        <v>8.0</v>
      </c>
      <c r="T41" s="16">
        <v>8.0</v>
      </c>
      <c r="U41" s="16">
        <v>8.0</v>
      </c>
      <c r="V41" s="16" t="s">
        <v>165</v>
      </c>
      <c r="W41" s="16" t="s">
        <v>165</v>
      </c>
      <c r="X41" s="16">
        <v>8.0</v>
      </c>
      <c r="Y41" s="16">
        <v>8.0</v>
      </c>
      <c r="Z41" s="16">
        <v>8.0</v>
      </c>
      <c r="AA41" s="16">
        <v>8.0</v>
      </c>
      <c r="AB41" s="16">
        <v>8.0</v>
      </c>
      <c r="AC41" s="16" t="s">
        <v>165</v>
      </c>
      <c r="AD41" s="16" t="s">
        <v>165</v>
      </c>
      <c r="AE41" s="16">
        <v>8.0</v>
      </c>
      <c r="AF41" s="16">
        <v>8.0</v>
      </c>
      <c r="AG41" s="16">
        <v>8.0</v>
      </c>
      <c r="AH41" s="16">
        <v>8.0</v>
      </c>
      <c r="AI41" s="110">
        <v>8.0</v>
      </c>
      <c r="AJ41" s="16" t="s">
        <v>165</v>
      </c>
      <c r="AK41" s="125" t="s">
        <v>165</v>
      </c>
      <c r="AL41" s="105">
        <f t="shared" si="5"/>
        <v>120</v>
      </c>
      <c r="AM41" s="48"/>
      <c r="AN41" s="110">
        <v>8.0</v>
      </c>
      <c r="AO41" s="110">
        <v>8.0</v>
      </c>
      <c r="AP41" s="16">
        <v>8.0</v>
      </c>
      <c r="AQ41" s="110">
        <v>8.0</v>
      </c>
      <c r="AR41" s="16">
        <v>8.0</v>
      </c>
      <c r="AS41" s="16" t="s">
        <v>165</v>
      </c>
      <c r="AT41" s="16" t="s">
        <v>165</v>
      </c>
      <c r="AU41" s="110">
        <v>8.0</v>
      </c>
      <c r="AV41" s="110">
        <v>8.0</v>
      </c>
      <c r="AW41" s="110">
        <v>8.0</v>
      </c>
      <c r="AX41" s="110">
        <v>8.0</v>
      </c>
      <c r="AY41" s="16">
        <v>8.0</v>
      </c>
      <c r="AZ41" s="16" t="s">
        <v>165</v>
      </c>
      <c r="BA41" s="16" t="s">
        <v>165</v>
      </c>
      <c r="BB41" s="110">
        <v>8.0</v>
      </c>
      <c r="BC41" s="110">
        <v>8.0</v>
      </c>
      <c r="BD41" s="110">
        <v>8.0</v>
      </c>
      <c r="BE41" s="110">
        <v>8.0</v>
      </c>
      <c r="BF41" s="16">
        <v>8.0</v>
      </c>
      <c r="BG41" s="16" t="s">
        <v>165</v>
      </c>
      <c r="BH41" s="16" t="s">
        <v>165</v>
      </c>
      <c r="BI41" s="110">
        <v>8.0</v>
      </c>
      <c r="BJ41" s="16">
        <v>8.0</v>
      </c>
      <c r="BK41" s="110">
        <v>8.0</v>
      </c>
      <c r="BL41" s="110">
        <v>8.0</v>
      </c>
      <c r="BM41" s="16">
        <v>8.0</v>
      </c>
      <c r="BN41" s="16" t="s">
        <v>165</v>
      </c>
      <c r="BO41" s="16" t="s">
        <v>165</v>
      </c>
      <c r="BP41" s="110">
        <v>8.0</v>
      </c>
      <c r="BQ41" s="110">
        <v>8.0</v>
      </c>
      <c r="BR41" s="105">
        <f t="shared" si="11"/>
        <v>176</v>
      </c>
      <c r="BS41" s="48"/>
      <c r="BT41" s="110">
        <v>8.0</v>
      </c>
      <c r="BU41" s="110">
        <v>8.0</v>
      </c>
      <c r="BV41" s="16">
        <v>8.0</v>
      </c>
      <c r="BW41" s="16" t="s">
        <v>165</v>
      </c>
      <c r="BX41" s="16" t="s">
        <v>165</v>
      </c>
      <c r="BY41" s="110">
        <v>8.0</v>
      </c>
      <c r="BZ41" s="110">
        <v>8.0</v>
      </c>
      <c r="CA41" s="110">
        <v>8.0</v>
      </c>
      <c r="CB41" s="53">
        <v>8.0</v>
      </c>
      <c r="CC41" s="16" t="s">
        <v>245</v>
      </c>
      <c r="CD41" s="16" t="s">
        <v>165</v>
      </c>
      <c r="CE41" s="16" t="s">
        <v>165</v>
      </c>
      <c r="CF41" s="110">
        <v>8.0</v>
      </c>
      <c r="CG41" s="110">
        <v>8.0</v>
      </c>
      <c r="CH41" s="110">
        <v>8.0</v>
      </c>
      <c r="CI41" s="110">
        <v>8.0</v>
      </c>
      <c r="CJ41" s="16">
        <v>8.0</v>
      </c>
      <c r="CK41" s="16" t="s">
        <v>165</v>
      </c>
      <c r="CL41" s="110">
        <v>8.0</v>
      </c>
      <c r="CM41" s="110">
        <v>8.0</v>
      </c>
      <c r="CN41" s="110">
        <v>8.0</v>
      </c>
      <c r="CO41" s="110">
        <v>8.0</v>
      </c>
      <c r="CP41" s="110">
        <v>8.0</v>
      </c>
      <c r="CQ41" s="110">
        <v>8.0</v>
      </c>
      <c r="CR41" s="16" t="s">
        <v>165</v>
      </c>
      <c r="CS41" s="16" t="s">
        <v>165</v>
      </c>
      <c r="CT41" s="110">
        <v>8.0</v>
      </c>
      <c r="CU41" s="110">
        <v>8.0</v>
      </c>
      <c r="CV41" s="131">
        <v>8.0</v>
      </c>
      <c r="CW41" s="131">
        <v>8.0</v>
      </c>
      <c r="CX41" s="131">
        <v>8.0</v>
      </c>
      <c r="CY41" s="105">
        <f t="shared" si="7"/>
        <v>184</v>
      </c>
      <c r="CZ41" s="48"/>
      <c r="DA41" s="113" t="s">
        <v>165</v>
      </c>
      <c r="DB41" s="113" t="s">
        <v>165</v>
      </c>
      <c r="DC41" s="123">
        <v>8.0</v>
      </c>
      <c r="DD41" s="123">
        <v>8.0</v>
      </c>
      <c r="DE41" s="123">
        <v>8.0</v>
      </c>
      <c r="DF41" s="123">
        <v>8.0</v>
      </c>
      <c r="DG41" s="123">
        <v>8.0</v>
      </c>
      <c r="DH41" s="113" t="s">
        <v>165</v>
      </c>
      <c r="DI41" s="113" t="s">
        <v>165</v>
      </c>
      <c r="DJ41" s="123">
        <v>8.0</v>
      </c>
      <c r="DK41" s="123">
        <v>8.0</v>
      </c>
      <c r="DL41" s="123">
        <v>8.0</v>
      </c>
      <c r="DM41" s="123">
        <v>8.0</v>
      </c>
      <c r="DN41" s="113">
        <v>8.0</v>
      </c>
      <c r="DO41" s="113" t="s">
        <v>165</v>
      </c>
      <c r="DP41" s="113" t="s">
        <v>165</v>
      </c>
      <c r="DQ41" s="123">
        <v>8.0</v>
      </c>
      <c r="DR41" s="123">
        <v>8.0</v>
      </c>
      <c r="DS41" s="123">
        <v>8.0</v>
      </c>
      <c r="DT41" s="123">
        <v>8.0</v>
      </c>
      <c r="DU41" s="113">
        <v>8.0</v>
      </c>
      <c r="DV41" s="113" t="s">
        <v>165</v>
      </c>
      <c r="DW41" s="113" t="s">
        <v>165</v>
      </c>
      <c r="DX41" s="123">
        <v>8.0</v>
      </c>
      <c r="DY41" s="113">
        <v>8.0</v>
      </c>
      <c r="DZ41" s="113">
        <v>8.0</v>
      </c>
      <c r="EA41" s="123">
        <v>8.0</v>
      </c>
      <c r="EB41" s="113">
        <v>8.0</v>
      </c>
      <c r="EC41" s="113" t="s">
        <v>165</v>
      </c>
      <c r="ED41" s="113" t="s">
        <v>165</v>
      </c>
      <c r="EE41" s="113">
        <v>8.0</v>
      </c>
      <c r="EF41" s="113">
        <f t="shared" si="8"/>
        <v>168</v>
      </c>
      <c r="EG41" s="48"/>
      <c r="EH41" s="15"/>
      <c r="EI41" s="15"/>
      <c r="EJ41" s="15"/>
      <c r="EK41" s="15"/>
      <c r="EL41" s="15"/>
      <c r="EM41" s="15"/>
      <c r="EN41" s="15"/>
      <c r="EO41" s="15"/>
      <c r="EP41" s="15"/>
      <c r="EQ41" s="15"/>
      <c r="ER41" s="15"/>
      <c r="ES41" s="15"/>
      <c r="ET41" s="15"/>
      <c r="EU41" s="15"/>
      <c r="EV41" s="15"/>
      <c r="EW41" s="15"/>
      <c r="EX41" s="15"/>
      <c r="EY41" s="15"/>
      <c r="EZ41" s="15"/>
      <c r="FA41" s="15"/>
      <c r="FB41" s="15"/>
      <c r="FC41" s="15"/>
      <c r="FD41" s="15"/>
      <c r="FE41" s="15"/>
      <c r="FF41" s="15"/>
      <c r="FG41" s="15"/>
      <c r="FH41" s="15"/>
      <c r="FI41" s="15"/>
      <c r="FJ41" s="15"/>
      <c r="FK41" s="15"/>
      <c r="FL41" s="105">
        <f t="shared" si="12"/>
        <v>0</v>
      </c>
      <c r="FM41" s="48"/>
      <c r="FN41" s="15"/>
      <c r="FO41" s="15"/>
      <c r="FP41" s="15"/>
      <c r="FQ41" s="15"/>
      <c r="FR41" s="15"/>
      <c r="FS41" s="15"/>
      <c r="FT41" s="15"/>
      <c r="FU41" s="15"/>
      <c r="FV41" s="15"/>
      <c r="FW41" s="15"/>
      <c r="FX41" s="15"/>
      <c r="FY41" s="15"/>
      <c r="FZ41" s="15"/>
      <c r="GA41" s="15"/>
      <c r="GB41" s="15"/>
      <c r="GC41" s="15"/>
      <c r="GD41" s="15"/>
      <c r="GE41" s="15"/>
      <c r="GF41" s="15"/>
      <c r="GG41" s="15"/>
      <c r="GH41" s="15"/>
      <c r="GI41" s="15"/>
      <c r="GJ41" s="15"/>
      <c r="GK41" s="15"/>
      <c r="GL41" s="15"/>
      <c r="GM41" s="15"/>
      <c r="GN41" s="15"/>
      <c r="GO41" s="15"/>
      <c r="GP41" s="15"/>
      <c r="GQ41" s="15"/>
      <c r="GR41" s="15"/>
      <c r="GS41" s="105">
        <f t="shared" si="13"/>
        <v>0</v>
      </c>
      <c r="GT41" s="48"/>
      <c r="GU41" s="15"/>
      <c r="GV41" s="15"/>
      <c r="GW41" s="15"/>
      <c r="GX41" s="15"/>
      <c r="GY41" s="15"/>
      <c r="GZ41" s="15"/>
      <c r="HA41" s="15"/>
      <c r="HB41" s="15"/>
      <c r="HC41" s="15"/>
      <c r="HD41" s="15"/>
      <c r="HE41" s="15"/>
    </row>
    <row r="42" ht="16.5" customHeight="1">
      <c r="A42" s="127" t="s">
        <v>264</v>
      </c>
      <c r="B42" s="108" t="s">
        <v>254</v>
      </c>
      <c r="C42" s="107" t="str">
        <f>iferror(vlookup(A42,'SoS - Agents Info'!A:AQ,43,false),"")</f>
        <v>NM</v>
      </c>
      <c r="D42" s="108" t="str">
        <f>iferror(vlookup(A42,'SoS - Agents Info'!A:H,6,false),"")</f>
        <v>WD</v>
      </c>
      <c r="E42" s="108" t="str">
        <f>iferror(vlookup(A42,'SoS - Agents Info'!A:H,7,false),"")</f>
        <v>01:00-08:00</v>
      </c>
      <c r="F42" s="109">
        <f>IFERROR(__xludf.DUMMYFUNCTION("sum(COUNTIFS(Filter(FILTER('Shiftplan SoS'!G$3:GU166,'Shiftplan SoS'!$G$1:$GU$1&lt;=today()),'Shiftplan SoS'!$A$3:$A166=A42),""&gt;0"",(Filter(FILTER('Shiftplan SoS'!G$3:GU166,'Shiftplan SoS'!$G$1:$GU$1&lt;=today()),'Shiftplan SoS'!$A$3:$A166=A42)),""&lt;12""))"),81.0)</f>
        <v>81</v>
      </c>
      <c r="G42" s="137"/>
      <c r="H42" s="135"/>
      <c r="I42" s="135"/>
      <c r="J42" s="135"/>
      <c r="K42" s="135"/>
      <c r="L42" s="135"/>
      <c r="M42" s="135"/>
      <c r="N42" s="135"/>
      <c r="O42" s="135"/>
      <c r="P42" s="135"/>
      <c r="Q42" s="16">
        <v>8.0</v>
      </c>
      <c r="R42" s="16">
        <v>8.0</v>
      </c>
      <c r="S42" s="16">
        <v>8.0</v>
      </c>
      <c r="T42" s="16">
        <v>8.0</v>
      </c>
      <c r="U42" s="16" t="s">
        <v>165</v>
      </c>
      <c r="V42" s="16" t="s">
        <v>165</v>
      </c>
      <c r="W42" s="16">
        <v>8.0</v>
      </c>
      <c r="X42" s="16">
        <v>8.0</v>
      </c>
      <c r="Y42" s="16">
        <v>8.0</v>
      </c>
      <c r="Z42" s="16">
        <v>8.0</v>
      </c>
      <c r="AA42" s="16">
        <v>8.0</v>
      </c>
      <c r="AB42" s="16" t="s">
        <v>165</v>
      </c>
      <c r="AC42" s="16" t="s">
        <v>165</v>
      </c>
      <c r="AD42" s="16">
        <v>8.0</v>
      </c>
      <c r="AE42" s="16">
        <v>8.0</v>
      </c>
      <c r="AF42" s="16">
        <v>8.0</v>
      </c>
      <c r="AG42" s="16">
        <v>8.0</v>
      </c>
      <c r="AH42" s="16">
        <v>8.0</v>
      </c>
      <c r="AI42" s="16" t="s">
        <v>165</v>
      </c>
      <c r="AJ42" s="16" t="s">
        <v>165</v>
      </c>
      <c r="AK42" s="70">
        <v>8.0</v>
      </c>
      <c r="AL42" s="105">
        <f t="shared" si="5"/>
        <v>120</v>
      </c>
      <c r="AM42" s="48"/>
      <c r="AN42" s="16">
        <v>8.0</v>
      </c>
      <c r="AO42" s="16">
        <v>8.0</v>
      </c>
      <c r="AP42" s="16">
        <v>8.0</v>
      </c>
      <c r="AQ42" s="16">
        <v>8.0</v>
      </c>
      <c r="AR42" s="16" t="s">
        <v>165</v>
      </c>
      <c r="AS42" s="16" t="s">
        <v>165</v>
      </c>
      <c r="AT42" s="16" t="s">
        <v>265</v>
      </c>
      <c r="AU42" s="16" t="s">
        <v>245</v>
      </c>
      <c r="AV42" s="16">
        <v>8.0</v>
      </c>
      <c r="AW42" s="16">
        <v>8.0</v>
      </c>
      <c r="AX42" s="16">
        <v>8.0</v>
      </c>
      <c r="AY42" s="16" t="s">
        <v>165</v>
      </c>
      <c r="AZ42" s="16" t="s">
        <v>165</v>
      </c>
      <c r="BA42" s="16">
        <v>8.0</v>
      </c>
      <c r="BB42" s="16">
        <v>8.0</v>
      </c>
      <c r="BC42" s="16">
        <v>8.0</v>
      </c>
      <c r="BD42" s="16">
        <v>8.0</v>
      </c>
      <c r="BE42" s="16">
        <v>8.0</v>
      </c>
      <c r="BF42" s="16" t="s">
        <v>165</v>
      </c>
      <c r="BG42" s="16" t="s">
        <v>165</v>
      </c>
      <c r="BH42" s="16">
        <v>8.0</v>
      </c>
      <c r="BI42" s="16">
        <v>8.0</v>
      </c>
      <c r="BJ42" s="16">
        <v>8.0</v>
      </c>
      <c r="BK42" s="16">
        <v>8.0</v>
      </c>
      <c r="BL42" s="16">
        <v>8.0</v>
      </c>
      <c r="BM42" s="16" t="s">
        <v>165</v>
      </c>
      <c r="BN42" s="16" t="s">
        <v>165</v>
      </c>
      <c r="BO42" s="16">
        <v>8.0</v>
      </c>
      <c r="BP42" s="16">
        <v>8.0</v>
      </c>
      <c r="BQ42" s="16">
        <v>8.0</v>
      </c>
      <c r="BR42" s="105">
        <f t="shared" si="11"/>
        <v>160</v>
      </c>
      <c r="BS42" s="48"/>
      <c r="BT42" s="64">
        <v>8.0</v>
      </c>
      <c r="BU42" s="64">
        <v>8.0</v>
      </c>
      <c r="BV42" s="114" t="s">
        <v>165</v>
      </c>
      <c r="BW42" s="114" t="s">
        <v>165</v>
      </c>
      <c r="BX42" s="64">
        <v>8.0</v>
      </c>
      <c r="BY42" s="64">
        <v>8.0</v>
      </c>
      <c r="BZ42" s="64">
        <v>8.0</v>
      </c>
      <c r="CA42" s="64">
        <v>8.0</v>
      </c>
      <c r="CB42" s="64">
        <v>8.0</v>
      </c>
      <c r="CC42" s="114" t="s">
        <v>165</v>
      </c>
      <c r="CD42" s="114" t="s">
        <v>165</v>
      </c>
      <c r="CE42" s="64">
        <v>8.0</v>
      </c>
      <c r="CF42" s="64">
        <v>8.0</v>
      </c>
      <c r="CG42" s="64">
        <v>8.0</v>
      </c>
      <c r="CH42" s="64">
        <v>8.0</v>
      </c>
      <c r="CI42" s="64">
        <v>8.0</v>
      </c>
      <c r="CJ42" s="114" t="s">
        <v>165</v>
      </c>
      <c r="CK42" s="114" t="s">
        <v>165</v>
      </c>
      <c r="CL42" s="64">
        <v>8.0</v>
      </c>
      <c r="CM42" s="64">
        <v>8.0</v>
      </c>
      <c r="CN42" s="64">
        <v>8.0</v>
      </c>
      <c r="CO42" s="64">
        <v>8.0</v>
      </c>
      <c r="CP42" s="64">
        <v>8.0</v>
      </c>
      <c r="CQ42" s="114" t="s">
        <v>165</v>
      </c>
      <c r="CR42" s="114" t="s">
        <v>165</v>
      </c>
      <c r="CS42" s="25" t="s">
        <v>167</v>
      </c>
      <c r="CT42" s="64">
        <v>8.0</v>
      </c>
      <c r="CU42" s="64">
        <v>8.0</v>
      </c>
      <c r="CV42" s="25">
        <v>10.0</v>
      </c>
      <c r="CW42" s="25">
        <v>10.0</v>
      </c>
      <c r="CX42" s="128">
        <v>8.0</v>
      </c>
      <c r="CY42" s="105">
        <f t="shared" si="7"/>
        <v>180</v>
      </c>
      <c r="CZ42" s="48"/>
      <c r="DA42" s="58">
        <v>8.0</v>
      </c>
      <c r="DB42" s="58">
        <v>10.0</v>
      </c>
      <c r="DC42" s="58">
        <v>10.0</v>
      </c>
      <c r="DD42" s="58">
        <v>10.0</v>
      </c>
      <c r="DE42" s="58">
        <v>10.0</v>
      </c>
      <c r="DF42" s="58">
        <v>10.0</v>
      </c>
      <c r="DG42" s="58">
        <v>5.0</v>
      </c>
      <c r="DH42" s="58">
        <v>5.0</v>
      </c>
      <c r="DI42" s="64">
        <v>8.0</v>
      </c>
      <c r="DJ42" s="25">
        <v>8.0</v>
      </c>
      <c r="DK42" s="25" t="s">
        <v>165</v>
      </c>
      <c r="DL42" s="25" t="s">
        <v>165</v>
      </c>
      <c r="DM42" s="64">
        <v>8.0</v>
      </c>
      <c r="DN42" s="64">
        <v>8.0</v>
      </c>
      <c r="DO42" s="64">
        <v>8.0</v>
      </c>
      <c r="DP42" s="25" t="s">
        <v>165</v>
      </c>
      <c r="DQ42" s="25" t="s">
        <v>165</v>
      </c>
      <c r="DR42" s="25" t="s">
        <v>245</v>
      </c>
      <c r="DS42" s="64">
        <v>8.0</v>
      </c>
      <c r="DT42" s="64">
        <v>8.0</v>
      </c>
      <c r="DU42" s="128">
        <v>8.0</v>
      </c>
      <c r="DV42" s="128">
        <v>8.0</v>
      </c>
      <c r="DW42" s="113" t="s">
        <v>165</v>
      </c>
      <c r="DX42" s="25">
        <v>8.0</v>
      </c>
      <c r="DY42" s="64">
        <v>8.0</v>
      </c>
      <c r="DZ42" s="64">
        <v>8.0</v>
      </c>
      <c r="EA42" s="64">
        <v>8.0</v>
      </c>
      <c r="EB42" s="128">
        <v>8.0</v>
      </c>
      <c r="EC42" s="128">
        <v>8.0</v>
      </c>
      <c r="ED42" s="58">
        <v>2.0</v>
      </c>
      <c r="EE42" s="58" t="s">
        <v>165</v>
      </c>
      <c r="EF42" s="113">
        <f t="shared" si="8"/>
        <v>190</v>
      </c>
      <c r="EG42" s="48"/>
      <c r="EH42" s="15"/>
      <c r="EI42" s="15"/>
      <c r="EJ42" s="15"/>
      <c r="EK42" s="15"/>
      <c r="EL42" s="15"/>
      <c r="EM42" s="15"/>
      <c r="EN42" s="15"/>
      <c r="EO42" s="15"/>
      <c r="EP42" s="15"/>
      <c r="EQ42" s="15"/>
      <c r="ER42" s="15"/>
      <c r="ES42" s="15"/>
      <c r="ET42" s="15"/>
      <c r="EU42" s="15"/>
      <c r="EV42" s="15"/>
      <c r="EW42" s="15"/>
      <c r="EX42" s="15"/>
      <c r="EY42" s="15"/>
      <c r="EZ42" s="15"/>
      <c r="FA42" s="15"/>
      <c r="FB42" s="15"/>
      <c r="FC42" s="15"/>
      <c r="FD42" s="15"/>
      <c r="FE42" s="15"/>
      <c r="FF42" s="15"/>
      <c r="FG42" s="15"/>
      <c r="FH42" s="15"/>
      <c r="FI42" s="15"/>
      <c r="FJ42" s="15"/>
      <c r="FK42" s="15"/>
      <c r="FL42" s="105">
        <f t="shared" si="12"/>
        <v>0</v>
      </c>
      <c r="FM42" s="48"/>
      <c r="FN42" s="15"/>
      <c r="FO42" s="15"/>
      <c r="FP42" s="15"/>
      <c r="FQ42" s="15"/>
      <c r="FR42" s="15"/>
      <c r="FS42" s="15"/>
      <c r="FT42" s="15"/>
      <c r="FU42" s="15"/>
      <c r="FV42" s="15"/>
      <c r="FW42" s="15"/>
      <c r="FX42" s="15"/>
      <c r="FY42" s="15"/>
      <c r="FZ42" s="15"/>
      <c r="GA42" s="15"/>
      <c r="GB42" s="15"/>
      <c r="GC42" s="15"/>
      <c r="GD42" s="15"/>
      <c r="GE42" s="15"/>
      <c r="GF42" s="15"/>
      <c r="GG42" s="15"/>
      <c r="GH42" s="15"/>
      <c r="GI42" s="15"/>
      <c r="GJ42" s="15"/>
      <c r="GK42" s="15"/>
      <c r="GL42" s="15"/>
      <c r="GM42" s="15"/>
      <c r="GN42" s="15"/>
      <c r="GO42" s="15"/>
      <c r="GP42" s="15"/>
      <c r="GQ42" s="15"/>
      <c r="GR42" s="15"/>
      <c r="GS42" s="105">
        <f t="shared" si="13"/>
        <v>0</v>
      </c>
      <c r="GT42" s="48"/>
      <c r="GU42" s="15"/>
      <c r="GV42" s="15"/>
      <c r="GW42" s="15"/>
      <c r="GX42" s="15"/>
      <c r="GY42" s="15"/>
      <c r="GZ42" s="15"/>
      <c r="HA42" s="15"/>
      <c r="HB42" s="15"/>
      <c r="HC42" s="15"/>
      <c r="HD42" s="15"/>
      <c r="HE42" s="15"/>
    </row>
    <row r="43" ht="16.5" customHeight="1">
      <c r="A43" s="102" t="s">
        <v>266</v>
      </c>
      <c r="B43" s="106" t="str">
        <f>iferror(vlookup(A43,'SoS - Agents Info'!A:H,5,false),"")</f>
        <v>PL</v>
      </c>
      <c r="C43" s="107" t="str">
        <f>iferror(vlookup(A43,'SoS - Agents Info'!A:AQ,43,false),"")</f>
        <v>JM</v>
      </c>
      <c r="D43" s="108" t="str">
        <f>iferror(vlookup(A43,'SoS - Agents Info'!A:H,6,false),"")</f>
        <v>WE+WD</v>
      </c>
      <c r="E43" s="108" t="str">
        <f>iferror(vlookup(A43,'SoS - Agents Info'!A:H,7,false),"")</f>
        <v>08:00-17:00</v>
      </c>
      <c r="F43" s="109">
        <f>IFERROR(__xludf.DUMMYFUNCTION("sum(COUNTIFS(Filter(FILTER('Shiftplan SoS'!G$3:GU166,'Shiftplan SoS'!$G$1:$GU$1&lt;=today()),'Shiftplan SoS'!$A$3:$A166=A43),""&gt;0"",(Filter(FILTER('Shiftplan SoS'!G$3:GU166,'Shiftplan SoS'!$G$1:$GU$1&lt;=today()),'Shiftplan SoS'!$A$3:$A166=A43)),""&lt;12""))"),81.0)</f>
        <v>81</v>
      </c>
      <c r="G43" s="16" t="s">
        <v>165</v>
      </c>
      <c r="H43" s="16" t="s">
        <v>165</v>
      </c>
      <c r="I43" s="16" t="s">
        <v>165</v>
      </c>
      <c r="J43" s="16" t="s">
        <v>165</v>
      </c>
      <c r="K43" s="16" t="s">
        <v>165</v>
      </c>
      <c r="L43" s="16" t="s">
        <v>165</v>
      </c>
      <c r="M43" s="16" t="s">
        <v>165</v>
      </c>
      <c r="N43" s="16">
        <v>8.0</v>
      </c>
      <c r="O43" s="16">
        <v>8.0</v>
      </c>
      <c r="P43" s="16" t="s">
        <v>165</v>
      </c>
      <c r="Q43" s="16" t="s">
        <v>165</v>
      </c>
      <c r="R43" s="16" t="s">
        <v>165</v>
      </c>
      <c r="S43" s="16" t="s">
        <v>165</v>
      </c>
      <c r="T43" s="16" t="s">
        <v>165</v>
      </c>
      <c r="U43" s="16">
        <v>8.0</v>
      </c>
      <c r="V43" s="16">
        <v>8.0</v>
      </c>
      <c r="W43" s="16">
        <v>8.0</v>
      </c>
      <c r="X43" s="16">
        <v>8.0</v>
      </c>
      <c r="Y43" s="16">
        <v>8.0</v>
      </c>
      <c r="Z43" s="16" t="s">
        <v>165</v>
      </c>
      <c r="AA43" s="16" t="s">
        <v>165</v>
      </c>
      <c r="AB43" s="16">
        <v>8.0</v>
      </c>
      <c r="AC43" s="16">
        <v>8.0</v>
      </c>
      <c r="AD43" s="16">
        <v>8.0</v>
      </c>
      <c r="AE43" s="16">
        <v>8.0</v>
      </c>
      <c r="AF43" s="16">
        <v>8.0</v>
      </c>
      <c r="AG43" s="16" t="s">
        <v>165</v>
      </c>
      <c r="AH43" s="16" t="s">
        <v>165</v>
      </c>
      <c r="AI43" s="110">
        <v>8.0</v>
      </c>
      <c r="AJ43" s="110">
        <v>8.0</v>
      </c>
      <c r="AK43" s="70">
        <v>8.0</v>
      </c>
      <c r="AL43" s="105">
        <f t="shared" si="5"/>
        <v>120</v>
      </c>
      <c r="AM43" s="48"/>
      <c r="AN43" s="122">
        <v>8.0</v>
      </c>
      <c r="AO43" s="122">
        <v>8.0</v>
      </c>
      <c r="AP43" s="122" t="s">
        <v>165</v>
      </c>
      <c r="AQ43" s="122" t="s">
        <v>165</v>
      </c>
      <c r="AR43" s="122">
        <v>8.0</v>
      </c>
      <c r="AS43" s="122">
        <v>8.0</v>
      </c>
      <c r="AT43" s="122">
        <v>8.0</v>
      </c>
      <c r="AU43" s="122">
        <v>8.0</v>
      </c>
      <c r="AV43" s="122">
        <v>8.0</v>
      </c>
      <c r="AW43" s="122" t="s">
        <v>165</v>
      </c>
      <c r="AX43" s="122" t="s">
        <v>165</v>
      </c>
      <c r="AY43" s="122">
        <v>8.0</v>
      </c>
      <c r="AZ43" s="122">
        <v>8.0</v>
      </c>
      <c r="BA43" s="122">
        <v>8.0</v>
      </c>
      <c r="BB43" s="122">
        <v>8.0</v>
      </c>
      <c r="BC43" s="122">
        <v>8.0</v>
      </c>
      <c r="BD43" s="122" t="s">
        <v>165</v>
      </c>
      <c r="BE43" s="122" t="s">
        <v>165</v>
      </c>
      <c r="BF43" s="122">
        <v>8.0</v>
      </c>
      <c r="BG43" s="122">
        <v>8.0</v>
      </c>
      <c r="BH43" s="122">
        <v>8.0</v>
      </c>
      <c r="BI43" s="122">
        <v>8.0</v>
      </c>
      <c r="BJ43" s="122">
        <v>8.0</v>
      </c>
      <c r="BK43" s="122" t="s">
        <v>165</v>
      </c>
      <c r="BL43" s="122" t="s">
        <v>165</v>
      </c>
      <c r="BM43" s="122">
        <v>8.0</v>
      </c>
      <c r="BN43" s="122">
        <v>8.0</v>
      </c>
      <c r="BO43" s="122">
        <v>8.0</v>
      </c>
      <c r="BP43" s="122">
        <v>8.0</v>
      </c>
      <c r="BQ43" s="122">
        <v>8.0</v>
      </c>
      <c r="BR43" s="105">
        <f t="shared" si="11"/>
        <v>176</v>
      </c>
      <c r="BS43" s="48"/>
      <c r="BT43" s="122" t="s">
        <v>165</v>
      </c>
      <c r="BU43" s="122" t="s">
        <v>165</v>
      </c>
      <c r="BV43" s="122">
        <v>8.0</v>
      </c>
      <c r="BW43" s="122">
        <v>8.0</v>
      </c>
      <c r="BX43" s="122">
        <v>8.0</v>
      </c>
      <c r="BY43" s="122">
        <v>8.0</v>
      </c>
      <c r="BZ43" s="122">
        <v>8.0</v>
      </c>
      <c r="CA43" s="122" t="s">
        <v>165</v>
      </c>
      <c r="CB43" s="122" t="s">
        <v>165</v>
      </c>
      <c r="CC43" s="122">
        <v>8.0</v>
      </c>
      <c r="CD43" s="122">
        <v>8.0</v>
      </c>
      <c r="CE43" s="122">
        <v>8.0</v>
      </c>
      <c r="CF43" s="122">
        <v>8.0</v>
      </c>
      <c r="CG43" s="122">
        <v>8.0</v>
      </c>
      <c r="CH43" s="122" t="s">
        <v>165</v>
      </c>
      <c r="CI43" s="122" t="s">
        <v>165</v>
      </c>
      <c r="CJ43" s="122">
        <v>8.0</v>
      </c>
      <c r="CK43" s="122">
        <v>8.0</v>
      </c>
      <c r="CL43" s="122">
        <v>8.0</v>
      </c>
      <c r="CM43" s="122">
        <v>8.0</v>
      </c>
      <c r="CN43" s="122">
        <v>8.0</v>
      </c>
      <c r="CO43" s="122" t="s">
        <v>165</v>
      </c>
      <c r="CP43" s="122" t="s">
        <v>165</v>
      </c>
      <c r="CQ43" s="122">
        <v>8.0</v>
      </c>
      <c r="CR43" s="122">
        <v>8.0</v>
      </c>
      <c r="CS43" s="122">
        <v>8.0</v>
      </c>
      <c r="CT43" s="122">
        <v>8.0</v>
      </c>
      <c r="CU43" s="122">
        <v>8.0</v>
      </c>
      <c r="CV43" s="122" t="s">
        <v>165</v>
      </c>
      <c r="CW43" s="122" t="s">
        <v>165</v>
      </c>
      <c r="CX43" s="122">
        <v>8.0</v>
      </c>
      <c r="CY43" s="105">
        <f t="shared" si="7"/>
        <v>168</v>
      </c>
      <c r="CZ43" s="48"/>
      <c r="DA43" s="113">
        <v>8.0</v>
      </c>
      <c r="DB43" s="113">
        <v>8.0</v>
      </c>
      <c r="DC43" s="113">
        <v>8.0</v>
      </c>
      <c r="DD43" s="113">
        <v>8.0</v>
      </c>
      <c r="DE43" s="113" t="s">
        <v>165</v>
      </c>
      <c r="DF43" s="113" t="s">
        <v>165</v>
      </c>
      <c r="DG43" s="113">
        <v>8.0</v>
      </c>
      <c r="DH43" s="113">
        <v>8.0</v>
      </c>
      <c r="DI43" s="113">
        <v>8.0</v>
      </c>
      <c r="DJ43" s="113">
        <v>8.0</v>
      </c>
      <c r="DK43" s="113">
        <v>8.0</v>
      </c>
      <c r="DL43" s="113" t="s">
        <v>165</v>
      </c>
      <c r="DM43" s="113" t="s">
        <v>165</v>
      </c>
      <c r="DN43" s="113">
        <v>8.0</v>
      </c>
      <c r="DO43" s="113">
        <v>8.0</v>
      </c>
      <c r="DP43" s="113">
        <v>8.0</v>
      </c>
      <c r="DQ43" s="113">
        <v>8.0</v>
      </c>
      <c r="DR43" s="113">
        <v>8.0</v>
      </c>
      <c r="DS43" s="113" t="s">
        <v>165</v>
      </c>
      <c r="DT43" s="113" t="s">
        <v>165</v>
      </c>
      <c r="DU43" s="113">
        <v>8.0</v>
      </c>
      <c r="DV43" s="113">
        <v>8.0</v>
      </c>
      <c r="DW43" s="113">
        <v>8.0</v>
      </c>
      <c r="DX43" s="113">
        <v>8.0</v>
      </c>
      <c r="DY43" s="113">
        <v>8.0</v>
      </c>
      <c r="DZ43" s="113" t="s">
        <v>165</v>
      </c>
      <c r="EA43" s="113" t="s">
        <v>165</v>
      </c>
      <c r="EB43" s="113">
        <v>8.0</v>
      </c>
      <c r="EC43" s="113">
        <v>8.0</v>
      </c>
      <c r="ED43" s="113">
        <v>8.0</v>
      </c>
      <c r="EE43" s="113">
        <v>8.0</v>
      </c>
      <c r="EF43" s="113">
        <f t="shared" si="8"/>
        <v>184</v>
      </c>
      <c r="EG43" s="48"/>
      <c r="EH43" s="15"/>
      <c r="EI43" s="15"/>
      <c r="EJ43" s="15"/>
      <c r="EK43" s="15"/>
      <c r="EL43" s="15"/>
      <c r="EM43" s="15"/>
      <c r="EN43" s="15"/>
      <c r="EO43" s="15"/>
      <c r="EP43" s="15"/>
      <c r="EQ43" s="15"/>
      <c r="ER43" s="15"/>
      <c r="ES43" s="15"/>
      <c r="ET43" s="15"/>
      <c r="EU43" s="15"/>
      <c r="EV43" s="15"/>
      <c r="EW43" s="15"/>
      <c r="EX43" s="15"/>
      <c r="EY43" s="15"/>
      <c r="EZ43" s="15"/>
      <c r="FA43" s="15"/>
      <c r="FB43" s="15"/>
      <c r="FC43" s="15"/>
      <c r="FD43" s="15"/>
      <c r="FE43" s="15"/>
      <c r="FF43" s="15"/>
      <c r="FG43" s="15"/>
      <c r="FH43" s="15"/>
      <c r="FI43" s="15"/>
      <c r="FJ43" s="15"/>
      <c r="FK43" s="15"/>
      <c r="FL43" s="105">
        <f t="shared" si="12"/>
        <v>0</v>
      </c>
      <c r="FM43" s="48"/>
      <c r="FN43" s="15"/>
      <c r="FO43" s="15"/>
      <c r="FP43" s="15"/>
      <c r="FQ43" s="15"/>
      <c r="FR43" s="15"/>
      <c r="FS43" s="15"/>
      <c r="FT43" s="15"/>
      <c r="FU43" s="15"/>
      <c r="FV43" s="15"/>
      <c r="FW43" s="15"/>
      <c r="FX43" s="15"/>
      <c r="FY43" s="15"/>
      <c r="FZ43" s="15"/>
      <c r="GA43" s="15"/>
      <c r="GB43" s="15"/>
      <c r="GC43" s="15"/>
      <c r="GD43" s="15"/>
      <c r="GE43" s="15"/>
      <c r="GF43" s="15"/>
      <c r="GG43" s="15"/>
      <c r="GH43" s="15"/>
      <c r="GI43" s="15"/>
      <c r="GJ43" s="15"/>
      <c r="GK43" s="15"/>
      <c r="GL43" s="15"/>
      <c r="GM43" s="15"/>
      <c r="GN43" s="15"/>
      <c r="GO43" s="15"/>
      <c r="GP43" s="15"/>
      <c r="GQ43" s="15"/>
      <c r="GR43" s="15"/>
      <c r="GS43" s="105">
        <f t="shared" si="13"/>
        <v>0</v>
      </c>
      <c r="GT43" s="48"/>
      <c r="GU43" s="15"/>
      <c r="GV43" s="15"/>
      <c r="GW43" s="15"/>
      <c r="GX43" s="15"/>
      <c r="GY43" s="15"/>
      <c r="GZ43" s="15"/>
      <c r="HA43" s="15"/>
      <c r="HB43" s="15"/>
      <c r="HC43" s="15"/>
      <c r="HD43" s="15"/>
      <c r="HE43" s="15"/>
    </row>
    <row r="44" ht="16.5" customHeight="1">
      <c r="A44" s="102" t="s">
        <v>117</v>
      </c>
      <c r="B44" s="106" t="str">
        <f>iferror(vlookup(A44,'SoS - Agents Info'!A:H,5,false),"")</f>
        <v>EN</v>
      </c>
      <c r="C44" s="107" t="str">
        <f>iferror(vlookup(A44,'SoS - Agents Info'!A:AQ,43,false),"")</f>
        <v>RA+VM</v>
      </c>
      <c r="D44" s="108" t="str">
        <f>iferror(vlookup(A44,'SoS - Agents Info'!A:H,6,false),"")</f>
        <v>WE+WD</v>
      </c>
      <c r="E44" s="108" t="str">
        <f>iferror(vlookup(A44,'SoS - Agents Info'!A:H,7,false),"")</f>
        <v>16:00-01:00</v>
      </c>
      <c r="F44" s="109">
        <f>IFERROR(__xludf.DUMMYFUNCTION("sum(COUNTIFS(Filter(FILTER('Shiftplan SoS'!G$3:GU166,'Shiftplan SoS'!$G$1:$GU$1&lt;=today()),'Shiftplan SoS'!$A$3:$A166=A44),""&gt;0"",(Filter(FILTER('Shiftplan SoS'!G$3:GU166,'Shiftplan SoS'!$G$1:$GU$1&lt;=today()),'Shiftplan SoS'!$A$3:$A166=A44)),""&lt;12""))"),85.0)</f>
        <v>85</v>
      </c>
      <c r="G44" s="16">
        <v>8.0</v>
      </c>
      <c r="H44" s="16">
        <v>8.0</v>
      </c>
      <c r="I44" s="16" t="s">
        <v>165</v>
      </c>
      <c r="J44" s="16" t="s">
        <v>165</v>
      </c>
      <c r="K44" s="16" t="s">
        <v>165</v>
      </c>
      <c r="L44" s="16" t="s">
        <v>165</v>
      </c>
      <c r="M44" s="16" t="s">
        <v>165</v>
      </c>
      <c r="N44" s="16">
        <v>8.0</v>
      </c>
      <c r="O44" s="16">
        <v>8.0</v>
      </c>
      <c r="P44" s="16" t="s">
        <v>165</v>
      </c>
      <c r="Q44" s="16" t="s">
        <v>165</v>
      </c>
      <c r="R44" s="16">
        <v>8.0</v>
      </c>
      <c r="S44" s="16" t="s">
        <v>165</v>
      </c>
      <c r="T44" s="16" t="s">
        <v>165</v>
      </c>
      <c r="U44" s="16">
        <v>8.0</v>
      </c>
      <c r="V44" s="16">
        <v>8.0</v>
      </c>
      <c r="W44" s="16">
        <v>8.0</v>
      </c>
      <c r="X44" s="16">
        <v>8.0</v>
      </c>
      <c r="Y44" s="16">
        <v>8.0</v>
      </c>
      <c r="Z44" s="16" t="s">
        <v>165</v>
      </c>
      <c r="AA44" s="16" t="s">
        <v>165</v>
      </c>
      <c r="AB44" s="16">
        <v>8.0</v>
      </c>
      <c r="AC44" s="16">
        <v>8.0</v>
      </c>
      <c r="AD44" s="16">
        <v>8.0</v>
      </c>
      <c r="AE44" s="16">
        <v>8.0</v>
      </c>
      <c r="AF44" s="16">
        <v>8.0</v>
      </c>
      <c r="AG44" s="16" t="s">
        <v>165</v>
      </c>
      <c r="AH44" s="16" t="s">
        <v>165</v>
      </c>
      <c r="AI44" s="110">
        <v>8.0</v>
      </c>
      <c r="AJ44" s="110">
        <v>8.0</v>
      </c>
      <c r="AK44" s="125">
        <v>8.0</v>
      </c>
      <c r="AL44" s="105">
        <f t="shared" si="5"/>
        <v>144</v>
      </c>
      <c r="AM44" s="48"/>
      <c r="AN44" s="129">
        <v>8.0</v>
      </c>
      <c r="AO44" s="129">
        <v>8.0</v>
      </c>
      <c r="AP44" s="122" t="s">
        <v>165</v>
      </c>
      <c r="AQ44" s="122" t="s">
        <v>165</v>
      </c>
      <c r="AR44" s="122">
        <v>8.0</v>
      </c>
      <c r="AS44" s="122">
        <v>8.0</v>
      </c>
      <c r="AT44" s="129">
        <v>8.0</v>
      </c>
      <c r="AU44" s="129">
        <v>8.0</v>
      </c>
      <c r="AV44" s="129">
        <v>8.0</v>
      </c>
      <c r="AW44" s="122" t="s">
        <v>165</v>
      </c>
      <c r="AX44" s="122" t="s">
        <v>165</v>
      </c>
      <c r="AY44" s="122">
        <v>8.0</v>
      </c>
      <c r="AZ44" s="122">
        <v>8.0</v>
      </c>
      <c r="BA44" s="129">
        <v>8.0</v>
      </c>
      <c r="BB44" s="129">
        <v>8.0</v>
      </c>
      <c r="BC44" s="129">
        <v>8.0</v>
      </c>
      <c r="BD44" s="122" t="s">
        <v>165</v>
      </c>
      <c r="BE44" s="122" t="s">
        <v>165</v>
      </c>
      <c r="BF44" s="122">
        <v>8.0</v>
      </c>
      <c r="BG44" s="122">
        <v>8.0</v>
      </c>
      <c r="BH44" s="129">
        <v>8.0</v>
      </c>
      <c r="BI44" s="129">
        <v>8.0</v>
      </c>
      <c r="BJ44" s="122">
        <v>8.0</v>
      </c>
      <c r="BK44" s="122" t="s">
        <v>165</v>
      </c>
      <c r="BL44" s="122" t="s">
        <v>165</v>
      </c>
      <c r="BM44" s="122">
        <v>8.0</v>
      </c>
      <c r="BN44" s="122">
        <v>8.0</v>
      </c>
      <c r="BO44" s="129">
        <v>8.0</v>
      </c>
      <c r="BP44" s="129">
        <v>8.0</v>
      </c>
      <c r="BQ44" s="129">
        <v>8.0</v>
      </c>
      <c r="BR44" s="105">
        <f t="shared" si="11"/>
        <v>176</v>
      </c>
      <c r="BS44" s="48"/>
      <c r="BT44" s="122" t="s">
        <v>165</v>
      </c>
      <c r="BU44" s="122" t="s">
        <v>165</v>
      </c>
      <c r="BV44" s="122">
        <v>8.0</v>
      </c>
      <c r="BW44" s="122">
        <v>8.0</v>
      </c>
      <c r="BX44" s="129">
        <v>8.0</v>
      </c>
      <c r="BY44" s="129">
        <v>8.0</v>
      </c>
      <c r="BZ44" s="129">
        <v>8.0</v>
      </c>
      <c r="CA44" s="122" t="s">
        <v>165</v>
      </c>
      <c r="CB44" s="122" t="s">
        <v>165</v>
      </c>
      <c r="CC44" s="122">
        <v>8.0</v>
      </c>
      <c r="CD44" s="122">
        <v>8.0</v>
      </c>
      <c r="CE44" s="129">
        <v>8.0</v>
      </c>
      <c r="CF44" s="129">
        <v>8.0</v>
      </c>
      <c r="CG44" s="129">
        <v>8.0</v>
      </c>
      <c r="CH44" s="122" t="s">
        <v>165</v>
      </c>
      <c r="CI44" s="122" t="s">
        <v>165</v>
      </c>
      <c r="CJ44" s="122">
        <v>8.0</v>
      </c>
      <c r="CK44" s="122">
        <v>8.0</v>
      </c>
      <c r="CL44" s="129">
        <v>8.0</v>
      </c>
      <c r="CM44" s="129">
        <v>8.0</v>
      </c>
      <c r="CN44" s="129">
        <v>8.0</v>
      </c>
      <c r="CO44" s="122" t="s">
        <v>165</v>
      </c>
      <c r="CP44" s="122" t="s">
        <v>165</v>
      </c>
      <c r="CQ44" s="129">
        <v>8.0</v>
      </c>
      <c r="CR44" s="129">
        <v>8.0</v>
      </c>
      <c r="CS44" s="129">
        <v>8.0</v>
      </c>
      <c r="CT44" s="129">
        <v>8.0</v>
      </c>
      <c r="CU44" s="129">
        <v>8.0</v>
      </c>
      <c r="CV44" s="122" t="s">
        <v>165</v>
      </c>
      <c r="CW44" s="122" t="s">
        <v>165</v>
      </c>
      <c r="CX44" s="122">
        <v>8.0</v>
      </c>
      <c r="CY44" s="105">
        <f t="shared" si="7"/>
        <v>168</v>
      </c>
      <c r="CZ44" s="48"/>
      <c r="DA44" s="113">
        <v>8.0</v>
      </c>
      <c r="DB44" s="123">
        <v>8.0</v>
      </c>
      <c r="DC44" s="124">
        <v>6.0</v>
      </c>
      <c r="DD44" s="123">
        <v>8.0</v>
      </c>
      <c r="DE44" s="113" t="s">
        <v>165</v>
      </c>
      <c r="DF44" s="113" t="s">
        <v>165</v>
      </c>
      <c r="DG44" s="123">
        <v>8.0</v>
      </c>
      <c r="DH44" s="123">
        <v>8.0</v>
      </c>
      <c r="DI44" s="123">
        <v>8.0</v>
      </c>
      <c r="DJ44" s="123">
        <v>8.0</v>
      </c>
      <c r="DK44" s="123">
        <v>8.0</v>
      </c>
      <c r="DL44" s="124">
        <v>2.0</v>
      </c>
      <c r="DM44" s="113" t="s">
        <v>165</v>
      </c>
      <c r="DN44" s="113">
        <v>8.0</v>
      </c>
      <c r="DO44" s="113">
        <v>8.0</v>
      </c>
      <c r="DP44" s="123">
        <v>8.0</v>
      </c>
      <c r="DQ44" s="123">
        <v>8.0</v>
      </c>
      <c r="DR44" s="123">
        <v>8.0</v>
      </c>
      <c r="DS44" s="113" t="s">
        <v>165</v>
      </c>
      <c r="DT44" s="113" t="s">
        <v>165</v>
      </c>
      <c r="DU44" s="113">
        <v>8.0</v>
      </c>
      <c r="DV44" s="113">
        <v>8.0</v>
      </c>
      <c r="DW44" s="123">
        <v>8.0</v>
      </c>
      <c r="DX44" s="123">
        <v>8.0</v>
      </c>
      <c r="DY44" s="113">
        <v>8.0</v>
      </c>
      <c r="DZ44" s="113" t="s">
        <v>165</v>
      </c>
      <c r="EA44" s="113" t="s">
        <v>165</v>
      </c>
      <c r="EB44" s="113">
        <v>8.0</v>
      </c>
      <c r="EC44" s="113">
        <v>8.0</v>
      </c>
      <c r="ED44" s="113">
        <v>8.0</v>
      </c>
      <c r="EE44" s="113">
        <v>8.0</v>
      </c>
      <c r="EF44" s="113">
        <f t="shared" si="8"/>
        <v>184</v>
      </c>
      <c r="EG44" s="48"/>
      <c r="EH44" s="15"/>
      <c r="EI44" s="15"/>
      <c r="EJ44" s="15"/>
      <c r="EK44" s="15"/>
      <c r="EL44" s="15"/>
      <c r="EM44" s="15"/>
      <c r="EN44" s="15"/>
      <c r="EO44" s="15"/>
      <c r="EP44" s="15"/>
      <c r="EQ44" s="15"/>
      <c r="ER44" s="15"/>
      <c r="ES44" s="15"/>
      <c r="ET44" s="15"/>
      <c r="EU44" s="15"/>
      <c r="EV44" s="15"/>
      <c r="EW44" s="15"/>
      <c r="EX44" s="15"/>
      <c r="EY44" s="15"/>
      <c r="EZ44" s="15"/>
      <c r="FA44" s="15"/>
      <c r="FB44" s="15"/>
      <c r="FC44" s="15"/>
      <c r="FD44" s="15"/>
      <c r="FE44" s="15"/>
      <c r="FF44" s="15"/>
      <c r="FG44" s="15"/>
      <c r="FH44" s="15"/>
      <c r="FI44" s="15"/>
      <c r="FJ44" s="15"/>
      <c r="FK44" s="15"/>
      <c r="FL44" s="105">
        <f t="shared" si="12"/>
        <v>0</v>
      </c>
      <c r="FM44" s="48"/>
      <c r="FN44" s="15"/>
      <c r="FO44" s="15"/>
      <c r="FP44" s="15"/>
      <c r="FQ44" s="15"/>
      <c r="FR44" s="15"/>
      <c r="FS44" s="15"/>
      <c r="FT44" s="15"/>
      <c r="FU44" s="15"/>
      <c r="FV44" s="15"/>
      <c r="FW44" s="15"/>
      <c r="FX44" s="15"/>
      <c r="FY44" s="15"/>
      <c r="FZ44" s="15"/>
      <c r="GA44" s="15"/>
      <c r="GB44" s="15"/>
      <c r="GC44" s="15"/>
      <c r="GD44" s="15"/>
      <c r="GE44" s="15"/>
      <c r="GF44" s="15"/>
      <c r="GG44" s="15"/>
      <c r="GH44" s="15"/>
      <c r="GI44" s="15"/>
      <c r="GJ44" s="15"/>
      <c r="GK44" s="15"/>
      <c r="GL44" s="15"/>
      <c r="GM44" s="15"/>
      <c r="GN44" s="15"/>
      <c r="GO44" s="15"/>
      <c r="GP44" s="15"/>
      <c r="GQ44" s="15"/>
      <c r="GR44" s="15"/>
      <c r="GS44" s="105">
        <f t="shared" si="13"/>
        <v>0</v>
      </c>
      <c r="GT44" s="48"/>
      <c r="GU44" s="15"/>
      <c r="GV44" s="15"/>
      <c r="GW44" s="15"/>
      <c r="GX44" s="15"/>
      <c r="GY44" s="15"/>
      <c r="GZ44" s="15"/>
      <c r="HA44" s="15"/>
      <c r="HB44" s="15"/>
      <c r="HC44" s="15"/>
      <c r="HD44" s="15"/>
      <c r="HE44" s="15"/>
    </row>
    <row r="45" ht="16.5" customHeight="1">
      <c r="A45" s="101" t="s">
        <v>267</v>
      </c>
      <c r="B45" s="106" t="str">
        <f>iferror(vlookup(A45,'SoS - Agents Info'!A:H,5,false),"")</f>
        <v>EN</v>
      </c>
      <c r="C45" s="107" t="str">
        <f>iferror(vlookup(A45,'SoS - Agents Info'!A:AQ,43,false),"")</f>
        <v>JM</v>
      </c>
      <c r="D45" s="108" t="str">
        <f>iferror(vlookup(A45,'SoS - Agents Info'!A:H,6,false),"")</f>
        <v>WD</v>
      </c>
      <c r="E45" s="108" t="str">
        <f>iferror(vlookup(A45,'SoS - Agents Info'!A:H,7,false),"")</f>
        <v>09:00-18:00</v>
      </c>
      <c r="F45" s="109">
        <f>IFERROR(__xludf.DUMMYFUNCTION("sum(COUNTIFS(Filter(FILTER('Shiftplan SoS'!G$3:GU166,'Shiftplan SoS'!$G$1:$GU$1&lt;=today()),'Shiftplan SoS'!$A$3:$A166=A45),""&gt;0"",(Filter(FILTER('Shiftplan SoS'!G$3:GU166,'Shiftplan SoS'!$G$1:$GU$1&lt;=today()),'Shiftplan SoS'!$A$3:$A166=A45)),""&lt;12""))"),68.0)</f>
        <v>68</v>
      </c>
      <c r="G45" s="135"/>
      <c r="H45" s="135"/>
      <c r="I45" s="135"/>
      <c r="J45" s="135"/>
      <c r="K45" s="135"/>
      <c r="L45" s="135"/>
      <c r="M45" s="135"/>
      <c r="N45" s="135"/>
      <c r="O45" s="135"/>
      <c r="P45" s="135"/>
      <c r="Q45" s="135"/>
      <c r="R45" s="16">
        <v>8.0</v>
      </c>
      <c r="S45" s="16">
        <v>8.0</v>
      </c>
      <c r="T45" s="16">
        <v>8.0</v>
      </c>
      <c r="U45" s="16" t="s">
        <v>165</v>
      </c>
      <c r="V45" s="16" t="s">
        <v>165</v>
      </c>
      <c r="W45" s="16" t="s">
        <v>167</v>
      </c>
      <c r="X45" s="16">
        <v>8.0</v>
      </c>
      <c r="Y45" s="16">
        <v>8.0</v>
      </c>
      <c r="Z45" s="16">
        <v>8.0</v>
      </c>
      <c r="AA45" s="16">
        <v>8.0</v>
      </c>
      <c r="AB45" s="16" t="s">
        <v>165</v>
      </c>
      <c r="AC45" s="16" t="s">
        <v>165</v>
      </c>
      <c r="AD45" s="16">
        <v>8.0</v>
      </c>
      <c r="AE45" s="16">
        <v>8.0</v>
      </c>
      <c r="AF45" s="16">
        <v>8.0</v>
      </c>
      <c r="AG45" s="16">
        <v>8.0</v>
      </c>
      <c r="AH45" s="16">
        <v>8.0</v>
      </c>
      <c r="AI45" s="16" t="s">
        <v>165</v>
      </c>
      <c r="AJ45" s="16" t="s">
        <v>165</v>
      </c>
      <c r="AK45" s="125">
        <v>8.0</v>
      </c>
      <c r="AL45" s="105">
        <f t="shared" si="5"/>
        <v>104</v>
      </c>
      <c r="AM45" s="48"/>
      <c r="AN45" s="110">
        <v>8.0</v>
      </c>
      <c r="AO45" s="16">
        <v>8.0</v>
      </c>
      <c r="AP45" s="16" t="s">
        <v>167</v>
      </c>
      <c r="AQ45" s="16" t="s">
        <v>167</v>
      </c>
      <c r="AR45" s="16" t="s">
        <v>165</v>
      </c>
      <c r="AS45" s="16" t="s">
        <v>165</v>
      </c>
      <c r="AT45" s="16" t="s">
        <v>171</v>
      </c>
      <c r="AU45" s="16">
        <v>8.0</v>
      </c>
      <c r="AV45" s="16">
        <v>8.0</v>
      </c>
      <c r="AW45" s="16">
        <v>8.0</v>
      </c>
      <c r="AX45" s="16">
        <v>8.0</v>
      </c>
      <c r="AY45" s="16" t="s">
        <v>165</v>
      </c>
      <c r="AZ45" s="16" t="s">
        <v>165</v>
      </c>
      <c r="BA45" s="16">
        <v>8.0</v>
      </c>
      <c r="BB45" s="16">
        <v>8.0</v>
      </c>
      <c r="BC45" s="16">
        <v>8.0</v>
      </c>
      <c r="BD45" s="16">
        <v>8.0</v>
      </c>
      <c r="BE45" s="16" t="s">
        <v>167</v>
      </c>
      <c r="BF45" s="16" t="s">
        <v>165</v>
      </c>
      <c r="BG45" s="16" t="s">
        <v>165</v>
      </c>
      <c r="BH45" s="16">
        <v>8.0</v>
      </c>
      <c r="BI45" s="16">
        <v>8.0</v>
      </c>
      <c r="BJ45" s="16">
        <v>8.0</v>
      </c>
      <c r="BK45" s="16">
        <v>8.0</v>
      </c>
      <c r="BL45" s="16">
        <v>8.0</v>
      </c>
      <c r="BM45" s="16" t="s">
        <v>165</v>
      </c>
      <c r="BN45" s="16" t="s">
        <v>165</v>
      </c>
      <c r="BO45" s="16">
        <v>8.0</v>
      </c>
      <c r="BP45" s="16">
        <v>8.0</v>
      </c>
      <c r="BQ45" s="16">
        <v>8.0</v>
      </c>
      <c r="BR45" s="105">
        <f t="shared" si="11"/>
        <v>144</v>
      </c>
      <c r="BS45" s="48"/>
      <c r="BT45" s="64">
        <v>8.0</v>
      </c>
      <c r="BU45" s="25" t="s">
        <v>245</v>
      </c>
      <c r="BV45" s="114" t="s">
        <v>165</v>
      </c>
      <c r="BW45" s="114" t="s">
        <v>165</v>
      </c>
      <c r="BX45" s="64">
        <v>8.0</v>
      </c>
      <c r="BY45" s="64">
        <v>8.0</v>
      </c>
      <c r="BZ45" s="64">
        <v>8.0</v>
      </c>
      <c r="CA45" s="64">
        <v>8.0</v>
      </c>
      <c r="CB45" s="64">
        <v>8.0</v>
      </c>
      <c r="CC45" s="114" t="s">
        <v>165</v>
      </c>
      <c r="CD45" s="114" t="s">
        <v>165</v>
      </c>
      <c r="CE45" s="25" t="s">
        <v>245</v>
      </c>
      <c r="CF45" s="64">
        <v>8.0</v>
      </c>
      <c r="CG45" s="64">
        <v>8.0</v>
      </c>
      <c r="CH45" s="64">
        <v>8.0</v>
      </c>
      <c r="CI45" s="64">
        <v>8.0</v>
      </c>
      <c r="CJ45" s="114" t="s">
        <v>165</v>
      </c>
      <c r="CK45" s="114" t="s">
        <v>165</v>
      </c>
      <c r="CL45" s="16" t="s">
        <v>167</v>
      </c>
      <c r="CM45" s="64">
        <v>8.0</v>
      </c>
      <c r="CN45" s="64">
        <v>8.0</v>
      </c>
      <c r="CO45" s="64">
        <v>8.0</v>
      </c>
      <c r="CP45" s="64">
        <v>8.0</v>
      </c>
      <c r="CQ45" s="114" t="s">
        <v>165</v>
      </c>
      <c r="CR45" s="114" t="s">
        <v>165</v>
      </c>
      <c r="CS45" s="64">
        <v>8.0</v>
      </c>
      <c r="CT45" s="64">
        <v>8.0</v>
      </c>
      <c r="CU45" s="64">
        <v>8.0</v>
      </c>
      <c r="CV45" s="64">
        <v>8.0</v>
      </c>
      <c r="CW45" s="64">
        <v>8.0</v>
      </c>
      <c r="CX45" s="114" t="s">
        <v>165</v>
      </c>
      <c r="CY45" s="105">
        <f t="shared" si="7"/>
        <v>152</v>
      </c>
      <c r="CZ45" s="48"/>
      <c r="DA45" s="113" t="s">
        <v>165</v>
      </c>
      <c r="DB45" s="113" t="s">
        <v>171</v>
      </c>
      <c r="DC45" s="113">
        <v>8.0</v>
      </c>
      <c r="DD45" s="113">
        <v>8.0</v>
      </c>
      <c r="DE45" s="113">
        <v>8.0</v>
      </c>
      <c r="DF45" s="113">
        <v>8.0</v>
      </c>
      <c r="DG45" s="113" t="s">
        <v>165</v>
      </c>
      <c r="DH45" s="113" t="s">
        <v>165</v>
      </c>
      <c r="DI45" s="113">
        <v>8.0</v>
      </c>
      <c r="DJ45" s="113">
        <v>8.0</v>
      </c>
      <c r="DK45" s="113">
        <v>8.0</v>
      </c>
      <c r="DL45" s="113">
        <v>8.0</v>
      </c>
      <c r="DM45" s="58" t="s">
        <v>169</v>
      </c>
      <c r="DN45" s="113" t="s">
        <v>165</v>
      </c>
      <c r="DO45" s="113" t="s">
        <v>165</v>
      </c>
      <c r="DP45" s="113">
        <v>8.0</v>
      </c>
      <c r="DQ45" s="113">
        <v>8.0</v>
      </c>
      <c r="DR45" s="113">
        <v>8.0</v>
      </c>
      <c r="DS45" s="113">
        <v>8.0</v>
      </c>
      <c r="DT45" s="58" t="s">
        <v>169</v>
      </c>
      <c r="DU45" s="113" t="s">
        <v>165</v>
      </c>
      <c r="DV45" s="113" t="s">
        <v>165</v>
      </c>
      <c r="DW45" s="58" t="s">
        <v>167</v>
      </c>
      <c r="DX45" s="113">
        <v>8.0</v>
      </c>
      <c r="DY45" s="113">
        <v>8.0</v>
      </c>
      <c r="DZ45" s="113">
        <v>8.0</v>
      </c>
      <c r="EA45" s="113">
        <v>8.0</v>
      </c>
      <c r="EB45" s="113" t="s">
        <v>165</v>
      </c>
      <c r="EC45" s="113" t="s">
        <v>165</v>
      </c>
      <c r="ED45" s="113">
        <v>8.0</v>
      </c>
      <c r="EE45" s="113">
        <v>8.0</v>
      </c>
      <c r="EF45" s="113">
        <f t="shared" si="8"/>
        <v>144</v>
      </c>
      <c r="EG45" s="48"/>
      <c r="EH45" s="15"/>
      <c r="EI45" s="15"/>
      <c r="EJ45" s="15"/>
      <c r="EK45" s="15"/>
      <c r="EL45" s="15"/>
      <c r="EM45" s="15"/>
      <c r="EN45" s="15"/>
      <c r="EO45" s="15"/>
      <c r="EP45" s="15"/>
      <c r="EQ45" s="15"/>
      <c r="ER45" s="15"/>
      <c r="ES45" s="15"/>
      <c r="ET45" s="15"/>
      <c r="EU45" s="15"/>
      <c r="EV45" s="15"/>
      <c r="EW45" s="15"/>
      <c r="EX45" s="15"/>
      <c r="EY45" s="15"/>
      <c r="EZ45" s="15"/>
      <c r="FA45" s="15"/>
      <c r="FB45" s="15"/>
      <c r="FC45" s="15"/>
      <c r="FD45" s="15"/>
      <c r="FE45" s="15"/>
      <c r="FF45" s="15"/>
      <c r="FG45" s="15"/>
      <c r="FH45" s="15"/>
      <c r="FI45" s="15"/>
      <c r="FJ45" s="15"/>
      <c r="FK45" s="15"/>
      <c r="FL45" s="105">
        <f t="shared" si="12"/>
        <v>0</v>
      </c>
      <c r="FM45" s="48"/>
      <c r="FN45" s="15"/>
      <c r="FO45" s="15"/>
      <c r="FP45" s="15"/>
      <c r="FQ45" s="15"/>
      <c r="FR45" s="15"/>
      <c r="FS45" s="15"/>
      <c r="FT45" s="15"/>
      <c r="FU45" s="15"/>
      <c r="FV45" s="15"/>
      <c r="FW45" s="15"/>
      <c r="FX45" s="15"/>
      <c r="FY45" s="15"/>
      <c r="FZ45" s="15"/>
      <c r="GA45" s="15"/>
      <c r="GB45" s="15"/>
      <c r="GC45" s="15"/>
      <c r="GD45" s="15"/>
      <c r="GE45" s="15"/>
      <c r="GF45" s="15"/>
      <c r="GG45" s="15"/>
      <c r="GH45" s="15"/>
      <c r="GI45" s="15"/>
      <c r="GJ45" s="15"/>
      <c r="GK45" s="15"/>
      <c r="GL45" s="15"/>
      <c r="GM45" s="15"/>
      <c r="GN45" s="15"/>
      <c r="GO45" s="15"/>
      <c r="GP45" s="15"/>
      <c r="GQ45" s="15"/>
      <c r="GR45" s="15"/>
      <c r="GS45" s="105">
        <f t="shared" si="13"/>
        <v>0</v>
      </c>
      <c r="GT45" s="48"/>
      <c r="GU45" s="15"/>
      <c r="GV45" s="15"/>
      <c r="GW45" s="15"/>
      <c r="GX45" s="15"/>
      <c r="GY45" s="15"/>
      <c r="GZ45" s="15"/>
      <c r="HA45" s="15"/>
      <c r="HB45" s="15"/>
      <c r="HC45" s="15"/>
      <c r="HD45" s="15"/>
      <c r="HE45" s="15"/>
    </row>
    <row r="46" ht="16.5" customHeight="1">
      <c r="A46" s="101" t="s">
        <v>268</v>
      </c>
      <c r="B46" s="106" t="str">
        <f>iferror(vlookup(A46,'SoS - Agents Info'!A:H,5,false),"")</f>
        <v>EN</v>
      </c>
      <c r="C46" s="107" t="str">
        <f>iferror(vlookup(A46,'SoS - Agents Info'!A:AQ,43,false),"")</f>
        <v>JM</v>
      </c>
      <c r="D46" s="108" t="str">
        <f>iferror(vlookup(A46,'SoS - Agents Info'!A:H,6,false),"")</f>
        <v>WE</v>
      </c>
      <c r="E46" s="108" t="str">
        <f>iferror(vlookup(A46,'SoS - Agents Info'!A:H,7,false),"")</f>
        <v>08:00-17:00</v>
      </c>
      <c r="F46" s="109">
        <f>IFERROR(__xludf.DUMMYFUNCTION("sum(COUNTIFS(Filter(FILTER('Shiftplan SoS'!G$3:GU166,'Shiftplan SoS'!$G$1:$GU$1&lt;=today()),'Shiftplan SoS'!$A$3:$A166=A46),""&gt;0"",(Filter(FILTER('Shiftplan SoS'!G$3:GU166,'Shiftplan SoS'!$G$1:$GU$1&lt;=today()),'Shiftplan SoS'!$A$3:$A166=A46)),""&lt;12""))"),36.0)</f>
        <v>36</v>
      </c>
      <c r="G46" s="16" t="s">
        <v>165</v>
      </c>
      <c r="H46" s="16" t="s">
        <v>165</v>
      </c>
      <c r="I46" s="16">
        <v>8.0</v>
      </c>
      <c r="J46" s="16">
        <v>8.0</v>
      </c>
      <c r="K46" s="16">
        <v>8.0</v>
      </c>
      <c r="L46" s="16">
        <v>8.0</v>
      </c>
      <c r="M46" s="16">
        <v>8.0</v>
      </c>
      <c r="N46" s="16" t="s">
        <v>165</v>
      </c>
      <c r="O46" s="16" t="s">
        <v>165</v>
      </c>
      <c r="P46" s="16" t="s">
        <v>165</v>
      </c>
      <c r="Q46" s="16" t="s">
        <v>165</v>
      </c>
      <c r="R46" s="16" t="s">
        <v>165</v>
      </c>
      <c r="S46" s="16" t="s">
        <v>165</v>
      </c>
      <c r="T46" s="16" t="s">
        <v>165</v>
      </c>
      <c r="U46" s="16">
        <v>8.0</v>
      </c>
      <c r="V46" s="16">
        <v>8.0</v>
      </c>
      <c r="W46" s="16" t="s">
        <v>165</v>
      </c>
      <c r="X46" s="16" t="s">
        <v>165</v>
      </c>
      <c r="Y46" s="16" t="s">
        <v>165</v>
      </c>
      <c r="Z46" s="16" t="s">
        <v>165</v>
      </c>
      <c r="AA46" s="16" t="s">
        <v>165</v>
      </c>
      <c r="AB46" s="16">
        <v>8.0</v>
      </c>
      <c r="AC46" s="16">
        <v>8.0</v>
      </c>
      <c r="AD46" s="16" t="s">
        <v>165</v>
      </c>
      <c r="AE46" s="16" t="s">
        <v>165</v>
      </c>
      <c r="AF46" s="16" t="s">
        <v>165</v>
      </c>
      <c r="AG46" s="16" t="s">
        <v>165</v>
      </c>
      <c r="AH46" s="16" t="s">
        <v>165</v>
      </c>
      <c r="AI46" s="110">
        <v>8.0</v>
      </c>
      <c r="AJ46" s="110">
        <v>8.0</v>
      </c>
      <c r="AK46" s="70" t="s">
        <v>165</v>
      </c>
      <c r="AL46" s="105">
        <f t="shared" si="5"/>
        <v>88</v>
      </c>
      <c r="AM46" s="48"/>
      <c r="AN46" s="16" t="s">
        <v>165</v>
      </c>
      <c r="AO46" s="16" t="s">
        <v>165</v>
      </c>
      <c r="AP46" s="16" t="s">
        <v>165</v>
      </c>
      <c r="AQ46" s="16" t="s">
        <v>165</v>
      </c>
      <c r="AR46" s="16">
        <v>8.0</v>
      </c>
      <c r="AS46" s="16">
        <v>8.0</v>
      </c>
      <c r="AT46" s="16" t="s">
        <v>165</v>
      </c>
      <c r="AU46" s="16" t="s">
        <v>165</v>
      </c>
      <c r="AV46" s="16" t="s">
        <v>165</v>
      </c>
      <c r="AW46" s="16" t="s">
        <v>165</v>
      </c>
      <c r="AX46" s="16" t="s">
        <v>165</v>
      </c>
      <c r="AY46" s="16">
        <v>8.0</v>
      </c>
      <c r="AZ46" s="16">
        <v>8.0</v>
      </c>
      <c r="BA46" s="16" t="s">
        <v>165</v>
      </c>
      <c r="BB46" s="16" t="s">
        <v>165</v>
      </c>
      <c r="BC46" s="16" t="s">
        <v>165</v>
      </c>
      <c r="BD46" s="16" t="s">
        <v>165</v>
      </c>
      <c r="BE46" s="16" t="s">
        <v>165</v>
      </c>
      <c r="BF46" s="16">
        <v>8.0</v>
      </c>
      <c r="BG46" s="16">
        <v>8.0</v>
      </c>
      <c r="BH46" s="16" t="s">
        <v>165</v>
      </c>
      <c r="BI46" s="16" t="s">
        <v>165</v>
      </c>
      <c r="BJ46" s="16" t="s">
        <v>165</v>
      </c>
      <c r="BK46" s="16" t="s">
        <v>165</v>
      </c>
      <c r="BL46" s="16" t="s">
        <v>165</v>
      </c>
      <c r="BM46" s="16">
        <v>8.0</v>
      </c>
      <c r="BN46" s="16">
        <v>8.0</v>
      </c>
      <c r="BO46" s="16" t="s">
        <v>165</v>
      </c>
      <c r="BP46" s="16" t="s">
        <v>165</v>
      </c>
      <c r="BQ46" s="16" t="s">
        <v>165</v>
      </c>
      <c r="BR46" s="105">
        <f t="shared" si="11"/>
        <v>64</v>
      </c>
      <c r="BS46" s="48"/>
      <c r="BT46" s="16" t="s">
        <v>165</v>
      </c>
      <c r="BU46" s="16" t="s">
        <v>165</v>
      </c>
      <c r="BV46" s="16">
        <v>8.0</v>
      </c>
      <c r="BW46" s="16">
        <v>8.0</v>
      </c>
      <c r="BX46" s="16" t="s">
        <v>165</v>
      </c>
      <c r="BY46" s="16" t="s">
        <v>165</v>
      </c>
      <c r="BZ46" s="16" t="s">
        <v>165</v>
      </c>
      <c r="CA46" s="16" t="s">
        <v>165</v>
      </c>
      <c r="CB46" s="16" t="s">
        <v>165</v>
      </c>
      <c r="CC46" s="16">
        <v>8.0</v>
      </c>
      <c r="CD46" s="16">
        <v>8.0</v>
      </c>
      <c r="CE46" s="16" t="s">
        <v>165</v>
      </c>
      <c r="CF46" s="16" t="s">
        <v>165</v>
      </c>
      <c r="CG46" s="16" t="s">
        <v>165</v>
      </c>
      <c r="CH46" s="16" t="s">
        <v>165</v>
      </c>
      <c r="CI46" s="16" t="s">
        <v>165</v>
      </c>
      <c r="CJ46" s="16">
        <v>8.0</v>
      </c>
      <c r="CK46" s="16">
        <v>8.0</v>
      </c>
      <c r="CL46" s="16" t="s">
        <v>165</v>
      </c>
      <c r="CM46" s="16" t="s">
        <v>165</v>
      </c>
      <c r="CN46" s="16" t="s">
        <v>165</v>
      </c>
      <c r="CO46" s="16" t="s">
        <v>165</v>
      </c>
      <c r="CP46" s="16" t="s">
        <v>165</v>
      </c>
      <c r="CQ46" s="16">
        <v>8.0</v>
      </c>
      <c r="CR46" s="16" t="s">
        <v>245</v>
      </c>
      <c r="CS46" s="16" t="s">
        <v>165</v>
      </c>
      <c r="CT46" s="16" t="s">
        <v>165</v>
      </c>
      <c r="CU46" s="16" t="s">
        <v>165</v>
      </c>
      <c r="CV46" s="16" t="s">
        <v>165</v>
      </c>
      <c r="CW46" s="16" t="s">
        <v>165</v>
      </c>
      <c r="CX46" s="16">
        <v>8.0</v>
      </c>
      <c r="CY46" s="105">
        <f t="shared" si="7"/>
        <v>64</v>
      </c>
      <c r="CZ46" s="48"/>
      <c r="DA46" s="113">
        <v>8.0</v>
      </c>
      <c r="DB46" s="113" t="s">
        <v>165</v>
      </c>
      <c r="DC46" s="113" t="s">
        <v>165</v>
      </c>
      <c r="DD46" s="113" t="s">
        <v>165</v>
      </c>
      <c r="DE46" s="113" t="s">
        <v>165</v>
      </c>
      <c r="DF46" s="113" t="s">
        <v>165</v>
      </c>
      <c r="DG46" s="113">
        <v>8.0</v>
      </c>
      <c r="DH46" s="113">
        <v>8.0</v>
      </c>
      <c r="DI46" s="113" t="s">
        <v>165</v>
      </c>
      <c r="DJ46" s="113" t="s">
        <v>165</v>
      </c>
      <c r="DK46" s="113" t="s">
        <v>165</v>
      </c>
      <c r="DL46" s="113" t="s">
        <v>165</v>
      </c>
      <c r="DM46" s="113" t="s">
        <v>165</v>
      </c>
      <c r="DN46" s="113">
        <v>8.0</v>
      </c>
      <c r="DO46" s="113">
        <v>8.0</v>
      </c>
      <c r="DP46" s="113" t="s">
        <v>165</v>
      </c>
      <c r="DQ46" s="113" t="s">
        <v>165</v>
      </c>
      <c r="DR46" s="113" t="s">
        <v>165</v>
      </c>
      <c r="DS46" s="113" t="s">
        <v>165</v>
      </c>
      <c r="DT46" s="113" t="s">
        <v>165</v>
      </c>
      <c r="DU46" s="113">
        <v>8.0</v>
      </c>
      <c r="DV46" s="113">
        <v>8.0</v>
      </c>
      <c r="DW46" s="113" t="s">
        <v>165</v>
      </c>
      <c r="DX46" s="113" t="s">
        <v>165</v>
      </c>
      <c r="DY46" s="113" t="s">
        <v>165</v>
      </c>
      <c r="DZ46" s="113" t="s">
        <v>165</v>
      </c>
      <c r="EA46" s="113" t="s">
        <v>165</v>
      </c>
      <c r="EB46" s="113">
        <v>8.0</v>
      </c>
      <c r="EC46" s="113">
        <v>8.0</v>
      </c>
      <c r="ED46" s="113" t="s">
        <v>165</v>
      </c>
      <c r="EE46" s="113" t="s">
        <v>165</v>
      </c>
      <c r="EF46" s="113">
        <f t="shared" si="8"/>
        <v>72</v>
      </c>
      <c r="EG46" s="48"/>
      <c r="EH46" s="15"/>
      <c r="EI46" s="15"/>
      <c r="EJ46" s="15"/>
      <c r="EK46" s="15"/>
      <c r="EL46" s="15"/>
      <c r="EM46" s="15"/>
      <c r="EN46" s="15"/>
      <c r="EO46" s="15"/>
      <c r="EP46" s="15"/>
      <c r="EQ46" s="15"/>
      <c r="ER46" s="15"/>
      <c r="ES46" s="15"/>
      <c r="ET46" s="15"/>
      <c r="EU46" s="15"/>
      <c r="EV46" s="15"/>
      <c r="EW46" s="15"/>
      <c r="EX46" s="15"/>
      <c r="EY46" s="15"/>
      <c r="EZ46" s="15"/>
      <c r="FA46" s="15"/>
      <c r="FB46" s="15"/>
      <c r="FC46" s="15"/>
      <c r="FD46" s="15"/>
      <c r="FE46" s="15"/>
      <c r="FF46" s="15"/>
      <c r="FG46" s="15"/>
      <c r="FH46" s="15"/>
      <c r="FI46" s="15"/>
      <c r="FJ46" s="15"/>
      <c r="FK46" s="15"/>
      <c r="FL46" s="105">
        <f t="shared" si="12"/>
        <v>0</v>
      </c>
      <c r="FM46" s="48"/>
      <c r="FN46" s="15"/>
      <c r="FO46" s="15"/>
      <c r="FP46" s="15"/>
      <c r="FQ46" s="15"/>
      <c r="FR46" s="15"/>
      <c r="FS46" s="15"/>
      <c r="FT46" s="15"/>
      <c r="FU46" s="15"/>
      <c r="FV46" s="15"/>
      <c r="FW46" s="15"/>
      <c r="FX46" s="15"/>
      <c r="FY46" s="15"/>
      <c r="FZ46" s="15"/>
      <c r="GA46" s="15"/>
      <c r="GB46" s="15"/>
      <c r="GC46" s="15"/>
      <c r="GD46" s="15"/>
      <c r="GE46" s="15"/>
      <c r="GF46" s="15"/>
      <c r="GG46" s="15"/>
      <c r="GH46" s="15"/>
      <c r="GI46" s="15"/>
      <c r="GJ46" s="15"/>
      <c r="GK46" s="15"/>
      <c r="GL46" s="15"/>
      <c r="GM46" s="15"/>
      <c r="GN46" s="15"/>
      <c r="GO46" s="15"/>
      <c r="GP46" s="15"/>
      <c r="GQ46" s="15"/>
      <c r="GR46" s="15"/>
      <c r="GS46" s="105">
        <f t="shared" si="13"/>
        <v>0</v>
      </c>
      <c r="GT46" s="48"/>
      <c r="GU46" s="15"/>
      <c r="GV46" s="15"/>
      <c r="GW46" s="15"/>
      <c r="GX46" s="15"/>
      <c r="GY46" s="15"/>
      <c r="GZ46" s="15"/>
      <c r="HA46" s="15"/>
      <c r="HB46" s="15"/>
      <c r="HC46" s="15"/>
      <c r="HD46" s="15"/>
      <c r="HE46" s="15"/>
    </row>
    <row r="47" ht="16.5" customHeight="1">
      <c r="A47" s="102" t="s">
        <v>269</v>
      </c>
      <c r="B47" s="106" t="str">
        <f>iferror(vlookup(A47,'SoS - Agents Info'!A:H,5,false),"")</f>
        <v/>
      </c>
      <c r="C47" s="107" t="str">
        <f>iferror(vlookup(A47,'SoS - Agents Info'!A:AQ,43,false),"")</f>
        <v/>
      </c>
      <c r="D47" s="108" t="str">
        <f>iferror(vlookup(A47,'SoS - Agents Info'!A:H,6,false),"")</f>
        <v/>
      </c>
      <c r="E47" s="108" t="str">
        <f>iferror(vlookup(A47,'SoS - Agents Info'!A:H,7,false),"")</f>
        <v/>
      </c>
      <c r="F47" s="109">
        <f>IFERROR(__xludf.DUMMYFUNCTION("sum(COUNTIFS(Filter(FILTER('Shiftplan SoS'!G$3:GU166,'Shiftplan SoS'!$G$1:$GU$1&lt;=today()),'Shiftplan SoS'!$A$3:$A166=A47),""&gt;0"",(Filter(FILTER('Shiftplan SoS'!G$3:GU166,'Shiftplan SoS'!$G$1:$GU$1&lt;=today()),'Shiftplan SoS'!$A$3:$A166=A47)),""&lt;12""))"),71.0)</f>
        <v>71</v>
      </c>
      <c r="G47" s="16">
        <v>8.0</v>
      </c>
      <c r="H47" s="16">
        <v>8.0</v>
      </c>
      <c r="I47" s="16" t="s">
        <v>165</v>
      </c>
      <c r="J47" s="16" t="s">
        <v>165</v>
      </c>
      <c r="K47" s="16" t="s">
        <v>165</v>
      </c>
      <c r="L47" s="16" t="s">
        <v>165</v>
      </c>
      <c r="M47" s="16" t="s">
        <v>165</v>
      </c>
      <c r="N47" s="16">
        <v>8.0</v>
      </c>
      <c r="O47" s="16">
        <v>8.0</v>
      </c>
      <c r="P47" s="16" t="s">
        <v>165</v>
      </c>
      <c r="Q47" s="16" t="s">
        <v>165</v>
      </c>
      <c r="R47" s="16">
        <v>8.0</v>
      </c>
      <c r="S47" s="16">
        <v>8.0</v>
      </c>
      <c r="T47" s="16">
        <v>8.0</v>
      </c>
      <c r="U47" s="16">
        <v>8.0</v>
      </c>
      <c r="V47" s="16">
        <v>8.0</v>
      </c>
      <c r="W47" s="16" t="s">
        <v>165</v>
      </c>
      <c r="X47" s="16" t="s">
        <v>165</v>
      </c>
      <c r="Y47" s="16">
        <v>8.0</v>
      </c>
      <c r="Z47" s="16">
        <v>8.0</v>
      </c>
      <c r="AA47" s="16">
        <v>8.0</v>
      </c>
      <c r="AB47" s="16">
        <v>8.0</v>
      </c>
      <c r="AC47" s="16">
        <v>8.0</v>
      </c>
      <c r="AD47" s="16" t="s">
        <v>165</v>
      </c>
      <c r="AE47" s="16" t="s">
        <v>165</v>
      </c>
      <c r="AF47" s="16">
        <v>8.0</v>
      </c>
      <c r="AG47" s="16">
        <v>8.0</v>
      </c>
      <c r="AH47" s="16">
        <v>8.0</v>
      </c>
      <c r="AI47" s="110">
        <v>8.0</v>
      </c>
      <c r="AJ47" s="16" t="s">
        <v>245</v>
      </c>
      <c r="AK47" s="70" t="s">
        <v>165</v>
      </c>
      <c r="AL47" s="105">
        <f t="shared" si="5"/>
        <v>144</v>
      </c>
      <c r="AM47" s="48"/>
      <c r="AN47" s="16" t="s">
        <v>165</v>
      </c>
      <c r="AO47" s="110">
        <v>8.0</v>
      </c>
      <c r="AP47" s="16">
        <v>8.0</v>
      </c>
      <c r="AQ47" s="110">
        <v>8.0</v>
      </c>
      <c r="AR47" s="16">
        <v>8.0</v>
      </c>
      <c r="AS47" s="16">
        <v>8.0</v>
      </c>
      <c r="AT47" s="16" t="s">
        <v>165</v>
      </c>
      <c r="AU47" s="16" t="s">
        <v>165</v>
      </c>
      <c r="AV47" s="110">
        <v>8.0</v>
      </c>
      <c r="AW47" s="110">
        <v>8.0</v>
      </c>
      <c r="AX47" s="110">
        <v>8.0</v>
      </c>
      <c r="AY47" s="16">
        <v>8.0</v>
      </c>
      <c r="AZ47" s="16">
        <v>8.0</v>
      </c>
      <c r="BA47" s="16" t="s">
        <v>165</v>
      </c>
      <c r="BB47" s="16" t="s">
        <v>165</v>
      </c>
      <c r="BC47" s="110">
        <v>8.0</v>
      </c>
      <c r="BD47" s="110">
        <v>8.0</v>
      </c>
      <c r="BE47" s="110">
        <v>8.0</v>
      </c>
      <c r="BF47" s="16">
        <v>8.0</v>
      </c>
      <c r="BG47" s="16">
        <v>8.0</v>
      </c>
      <c r="BH47" s="16" t="s">
        <v>165</v>
      </c>
      <c r="BI47" s="16" t="s">
        <v>165</v>
      </c>
      <c r="BJ47" s="110">
        <v>8.0</v>
      </c>
      <c r="BK47" s="110">
        <v>8.0</v>
      </c>
      <c r="BL47" s="110">
        <v>8.0</v>
      </c>
      <c r="BM47" s="16">
        <v>8.0</v>
      </c>
      <c r="BN47" s="16">
        <v>8.0</v>
      </c>
      <c r="BO47" s="16" t="s">
        <v>165</v>
      </c>
      <c r="BP47" s="16" t="s">
        <v>165</v>
      </c>
      <c r="BQ47" s="110">
        <v>8.0</v>
      </c>
      <c r="BR47" s="105">
        <f t="shared" si="11"/>
        <v>168</v>
      </c>
      <c r="BS47" s="48"/>
      <c r="BT47" s="110">
        <v>8.0</v>
      </c>
      <c r="BU47" s="110">
        <v>8.0</v>
      </c>
      <c r="BV47" s="16">
        <v>8.0</v>
      </c>
      <c r="BW47" s="16">
        <v>8.0</v>
      </c>
      <c r="BX47" s="16" t="s">
        <v>165</v>
      </c>
      <c r="BY47" s="16" t="s">
        <v>165</v>
      </c>
      <c r="BZ47" s="110">
        <v>8.0</v>
      </c>
      <c r="CA47" s="110">
        <v>8.0</v>
      </c>
      <c r="CB47" s="16">
        <v>8.0</v>
      </c>
      <c r="CC47" s="16">
        <v>8.0</v>
      </c>
      <c r="CD47" s="16">
        <v>8.0</v>
      </c>
      <c r="CE47" s="16" t="s">
        <v>165</v>
      </c>
      <c r="CF47" s="16" t="s">
        <v>165</v>
      </c>
      <c r="CG47" s="16">
        <v>8.0</v>
      </c>
      <c r="CH47" s="16">
        <v>8.0</v>
      </c>
      <c r="CI47" s="16">
        <v>8.0</v>
      </c>
      <c r="CJ47" s="16">
        <v>8.0</v>
      </c>
      <c r="CK47" s="16">
        <v>8.0</v>
      </c>
      <c r="CL47" s="16" t="s">
        <v>165</v>
      </c>
      <c r="CM47" s="16" t="s">
        <v>165</v>
      </c>
      <c r="CN47" s="110">
        <v>8.0</v>
      </c>
      <c r="CO47" s="110">
        <v>8.0</v>
      </c>
      <c r="CP47" s="110">
        <v>8.0</v>
      </c>
      <c r="CQ47" s="110">
        <v>8.0</v>
      </c>
      <c r="CR47" s="110">
        <v>8.0</v>
      </c>
      <c r="CS47" s="16" t="s">
        <v>165</v>
      </c>
      <c r="CT47" s="16" t="s">
        <v>165</v>
      </c>
      <c r="CU47" s="110">
        <v>8.0</v>
      </c>
      <c r="CV47" s="110">
        <v>8.0</v>
      </c>
      <c r="CW47" s="110">
        <v>8.0</v>
      </c>
      <c r="CX47" s="16">
        <v>8.0</v>
      </c>
      <c r="CY47" s="105">
        <f t="shared" si="7"/>
        <v>184</v>
      </c>
      <c r="CZ47" s="48"/>
      <c r="DA47" s="113">
        <v>8.0</v>
      </c>
      <c r="DB47" s="113" t="s">
        <v>165</v>
      </c>
      <c r="DC47" s="113" t="s">
        <v>165</v>
      </c>
      <c r="DD47" s="113" t="s">
        <v>165</v>
      </c>
      <c r="DE47" s="113" t="s">
        <v>165</v>
      </c>
      <c r="DF47" s="113" t="s">
        <v>165</v>
      </c>
      <c r="DG47" s="123">
        <v>8.0</v>
      </c>
      <c r="DH47" s="123">
        <v>8.0</v>
      </c>
      <c r="DI47" s="113" t="s">
        <v>165</v>
      </c>
      <c r="DJ47" s="113" t="s">
        <v>165</v>
      </c>
      <c r="DK47" s="113" t="s">
        <v>165</v>
      </c>
      <c r="DL47" s="113" t="s">
        <v>165</v>
      </c>
      <c r="DM47" s="113" t="s">
        <v>165</v>
      </c>
      <c r="DN47" s="113">
        <v>8.0</v>
      </c>
      <c r="DO47" s="113">
        <v>8.0</v>
      </c>
      <c r="DP47" s="113" t="s">
        <v>165</v>
      </c>
      <c r="DQ47" s="113" t="s">
        <v>165</v>
      </c>
      <c r="DR47" s="113" t="s">
        <v>165</v>
      </c>
      <c r="DS47" s="113" t="s">
        <v>165</v>
      </c>
      <c r="DT47" s="113" t="s">
        <v>165</v>
      </c>
      <c r="DU47" s="113">
        <v>8.0</v>
      </c>
      <c r="DV47" s="113">
        <v>8.0</v>
      </c>
      <c r="DW47" s="113" t="s">
        <v>165</v>
      </c>
      <c r="DX47" s="113" t="s">
        <v>165</v>
      </c>
      <c r="DY47" s="113" t="s">
        <v>165</v>
      </c>
      <c r="DZ47" s="113" t="s">
        <v>165</v>
      </c>
      <c r="EA47" s="113" t="s">
        <v>165</v>
      </c>
      <c r="EB47" s="113">
        <v>8.0</v>
      </c>
      <c r="EC47" s="113">
        <v>8.0</v>
      </c>
      <c r="ED47" s="113" t="s">
        <v>165</v>
      </c>
      <c r="EE47" s="113" t="s">
        <v>165</v>
      </c>
      <c r="EF47" s="113">
        <f t="shared" si="8"/>
        <v>72</v>
      </c>
      <c r="EG47" s="48"/>
      <c r="EH47" s="15"/>
      <c r="EI47" s="15"/>
      <c r="EJ47" s="15"/>
      <c r="EK47" s="15"/>
      <c r="EL47" s="15"/>
      <c r="EM47" s="15"/>
      <c r="EN47" s="15"/>
      <c r="EO47" s="15"/>
      <c r="EP47" s="15"/>
      <c r="EQ47" s="15"/>
      <c r="ER47" s="15"/>
      <c r="ES47" s="15"/>
      <c r="ET47" s="15"/>
      <c r="EU47" s="15"/>
      <c r="EV47" s="15"/>
      <c r="EW47" s="15"/>
      <c r="EX47" s="15"/>
      <c r="EY47" s="15"/>
      <c r="EZ47" s="15"/>
      <c r="FA47" s="15"/>
      <c r="FB47" s="15"/>
      <c r="FC47" s="15"/>
      <c r="FD47" s="15"/>
      <c r="FE47" s="15"/>
      <c r="FF47" s="15"/>
      <c r="FG47" s="15"/>
      <c r="FH47" s="15"/>
      <c r="FI47" s="15"/>
      <c r="FJ47" s="15"/>
      <c r="FK47" s="15"/>
      <c r="FL47" s="105">
        <f t="shared" si="12"/>
        <v>0</v>
      </c>
      <c r="FM47" s="48"/>
      <c r="FN47" s="15"/>
      <c r="FO47" s="15"/>
      <c r="FP47" s="15"/>
      <c r="FQ47" s="15"/>
      <c r="FR47" s="15"/>
      <c r="FS47" s="15"/>
      <c r="FT47" s="15"/>
      <c r="FU47" s="15"/>
      <c r="FV47" s="15"/>
      <c r="FW47" s="15"/>
      <c r="FX47" s="15"/>
      <c r="FY47" s="15"/>
      <c r="FZ47" s="15"/>
      <c r="GA47" s="15"/>
      <c r="GB47" s="15"/>
      <c r="GC47" s="15"/>
      <c r="GD47" s="15"/>
      <c r="GE47" s="15"/>
      <c r="GF47" s="15"/>
      <c r="GG47" s="15"/>
      <c r="GH47" s="15"/>
      <c r="GI47" s="15"/>
      <c r="GJ47" s="15"/>
      <c r="GK47" s="15"/>
      <c r="GL47" s="15"/>
      <c r="GM47" s="15"/>
      <c r="GN47" s="15"/>
      <c r="GO47" s="15"/>
      <c r="GP47" s="15"/>
      <c r="GQ47" s="15"/>
      <c r="GR47" s="15"/>
      <c r="GS47" s="105">
        <f t="shared" si="13"/>
        <v>0</v>
      </c>
      <c r="GT47" s="48"/>
      <c r="GU47" s="15"/>
      <c r="GV47" s="15"/>
      <c r="GW47" s="15"/>
      <c r="GX47" s="15"/>
      <c r="GY47" s="15"/>
      <c r="GZ47" s="15"/>
      <c r="HA47" s="15"/>
      <c r="HB47" s="15"/>
      <c r="HC47" s="15"/>
      <c r="HD47" s="15"/>
      <c r="HE47" s="15"/>
    </row>
    <row r="48" ht="16.5" customHeight="1">
      <c r="A48" s="101" t="s">
        <v>270</v>
      </c>
      <c r="B48" s="106" t="str">
        <f>iferror(vlookup(A48,'SoS - Agents Info'!A:H,5,false),"")</f>
        <v>EN</v>
      </c>
      <c r="C48" s="107" t="str">
        <f>iferror(vlookup(A48,'SoS - Agents Info'!A:AQ,43,false),"")</f>
        <v>JM</v>
      </c>
      <c r="D48" s="108" t="str">
        <f>iferror(vlookup(A48,'SoS - Agents Info'!A:H,6,false),"")</f>
        <v>WD</v>
      </c>
      <c r="E48" s="108" t="str">
        <f>iferror(vlookup(A48,'SoS - Agents Info'!A:H,7,false),"")</f>
        <v>09:00-18:00</v>
      </c>
      <c r="F48" s="109">
        <f>IFERROR(__xludf.DUMMYFUNCTION("sum(COUNTIFS(Filter(FILTER('Shiftplan SoS'!G$3:GU166,'Shiftplan SoS'!$G$1:$GU$1&lt;=today()),'Shiftplan SoS'!$A$3:$A166=A48),""&gt;0"",(Filter(FILTER('Shiftplan SoS'!G$3:GU166,'Shiftplan SoS'!$G$1:$GU$1&lt;=today()),'Shiftplan SoS'!$A$3:$A166=A48)),""&lt;12""))"),72.0)</f>
        <v>72</v>
      </c>
      <c r="G48" s="137"/>
      <c r="H48" s="137"/>
      <c r="I48" s="135"/>
      <c r="J48" s="135"/>
      <c r="K48" s="135"/>
      <c r="L48" s="135"/>
      <c r="M48" s="135"/>
      <c r="N48" s="135"/>
      <c r="O48" s="135"/>
      <c r="P48" s="135"/>
      <c r="Q48" s="135"/>
      <c r="R48" s="16">
        <v>8.0</v>
      </c>
      <c r="S48" s="16">
        <v>8.0</v>
      </c>
      <c r="T48" s="16">
        <v>8.0</v>
      </c>
      <c r="U48" s="16" t="s">
        <v>165</v>
      </c>
      <c r="V48" s="16" t="s">
        <v>165</v>
      </c>
      <c r="W48" s="16">
        <v>8.0</v>
      </c>
      <c r="X48" s="16">
        <v>8.0</v>
      </c>
      <c r="Y48" s="16">
        <v>8.0</v>
      </c>
      <c r="Z48" s="16">
        <v>8.0</v>
      </c>
      <c r="AA48" s="16">
        <v>8.0</v>
      </c>
      <c r="AB48" s="16" t="s">
        <v>165</v>
      </c>
      <c r="AC48" s="16" t="s">
        <v>165</v>
      </c>
      <c r="AD48" s="16" t="s">
        <v>171</v>
      </c>
      <c r="AE48" s="16" t="s">
        <v>171</v>
      </c>
      <c r="AF48" s="16">
        <v>8.0</v>
      </c>
      <c r="AG48" s="16">
        <v>8.0</v>
      </c>
      <c r="AH48" s="16">
        <v>8.0</v>
      </c>
      <c r="AI48" s="16" t="s">
        <v>165</v>
      </c>
      <c r="AJ48" s="16" t="s">
        <v>165</v>
      </c>
      <c r="AK48" s="125">
        <v>8.0</v>
      </c>
      <c r="AL48" s="105">
        <f t="shared" si="5"/>
        <v>96</v>
      </c>
      <c r="AM48" s="48"/>
      <c r="AN48" s="110">
        <v>8.0</v>
      </c>
      <c r="AO48" s="16">
        <v>8.0</v>
      </c>
      <c r="AP48" s="16">
        <v>8.0</v>
      </c>
      <c r="AQ48" s="16">
        <v>8.0</v>
      </c>
      <c r="AR48" s="16" t="s">
        <v>165</v>
      </c>
      <c r="AS48" s="16" t="s">
        <v>165</v>
      </c>
      <c r="AT48" s="16">
        <v>8.0</v>
      </c>
      <c r="AU48" s="16">
        <v>8.0</v>
      </c>
      <c r="AV48" s="16">
        <v>8.0</v>
      </c>
      <c r="AW48" s="16">
        <v>8.0</v>
      </c>
      <c r="AX48" s="16">
        <v>8.0</v>
      </c>
      <c r="AY48" s="16" t="s">
        <v>165</v>
      </c>
      <c r="AZ48" s="16" t="s">
        <v>165</v>
      </c>
      <c r="BA48" s="16" t="s">
        <v>167</v>
      </c>
      <c r="BB48" s="16" t="s">
        <v>167</v>
      </c>
      <c r="BC48" s="16">
        <v>8.0</v>
      </c>
      <c r="BD48" s="16">
        <v>8.0</v>
      </c>
      <c r="BE48" s="16">
        <v>8.0</v>
      </c>
      <c r="BF48" s="16" t="s">
        <v>165</v>
      </c>
      <c r="BG48" s="16" t="s">
        <v>165</v>
      </c>
      <c r="BH48" s="16" t="s">
        <v>171</v>
      </c>
      <c r="BI48" s="16">
        <v>8.0</v>
      </c>
      <c r="BJ48" s="16">
        <v>8.0</v>
      </c>
      <c r="BK48" s="16">
        <v>8.0</v>
      </c>
      <c r="BL48" s="16">
        <v>8.0</v>
      </c>
      <c r="BM48" s="16" t="s">
        <v>165</v>
      </c>
      <c r="BN48" s="16" t="s">
        <v>165</v>
      </c>
      <c r="BO48" s="16">
        <v>8.0</v>
      </c>
      <c r="BP48" s="16">
        <v>8.0</v>
      </c>
      <c r="BQ48" s="16">
        <v>8.0</v>
      </c>
      <c r="BR48" s="105">
        <f t="shared" si="11"/>
        <v>152</v>
      </c>
      <c r="BS48" s="48"/>
      <c r="BT48" s="64">
        <v>8.0</v>
      </c>
      <c r="BU48" s="64">
        <v>8.0</v>
      </c>
      <c r="BV48" s="114" t="s">
        <v>165</v>
      </c>
      <c r="BW48" s="114" t="s">
        <v>165</v>
      </c>
      <c r="BX48" s="64">
        <v>8.0</v>
      </c>
      <c r="BY48" s="64">
        <v>8.0</v>
      </c>
      <c r="BZ48" s="64">
        <v>8.0</v>
      </c>
      <c r="CA48" s="64">
        <v>8.0</v>
      </c>
      <c r="CB48" s="25" t="s">
        <v>171</v>
      </c>
      <c r="CC48" s="114" t="s">
        <v>165</v>
      </c>
      <c r="CD48" s="114" t="s">
        <v>165</v>
      </c>
      <c r="CE48" s="64">
        <v>8.0</v>
      </c>
      <c r="CF48" s="64">
        <v>8.0</v>
      </c>
      <c r="CG48" s="64">
        <v>8.0</v>
      </c>
      <c r="CH48" s="64">
        <v>8.0</v>
      </c>
      <c r="CI48" s="64">
        <v>8.0</v>
      </c>
      <c r="CJ48" s="114" t="s">
        <v>165</v>
      </c>
      <c r="CK48" s="114" t="s">
        <v>165</v>
      </c>
      <c r="CL48" s="64">
        <v>8.0</v>
      </c>
      <c r="CM48" s="64">
        <v>8.0</v>
      </c>
      <c r="CN48" s="64">
        <v>8.0</v>
      </c>
      <c r="CO48" s="64">
        <v>8.0</v>
      </c>
      <c r="CP48" s="64">
        <v>8.0</v>
      </c>
      <c r="CQ48" s="114" t="s">
        <v>165</v>
      </c>
      <c r="CR48" s="114" t="s">
        <v>165</v>
      </c>
      <c r="CS48" s="64">
        <v>8.0</v>
      </c>
      <c r="CT48" s="64">
        <v>8.0</v>
      </c>
      <c r="CU48" s="64">
        <v>8.0</v>
      </c>
      <c r="CV48" s="64">
        <v>8.0</v>
      </c>
      <c r="CW48" s="64">
        <v>8.0</v>
      </c>
      <c r="CX48" s="114" t="s">
        <v>165</v>
      </c>
      <c r="CY48" s="105">
        <f t="shared" si="7"/>
        <v>168</v>
      </c>
      <c r="CZ48" s="48"/>
      <c r="DA48" s="113" t="s">
        <v>165</v>
      </c>
      <c r="DB48" s="113">
        <v>8.0</v>
      </c>
      <c r="DC48" s="113">
        <v>8.0</v>
      </c>
      <c r="DD48" s="113">
        <v>8.0</v>
      </c>
      <c r="DE48" s="113">
        <v>8.0</v>
      </c>
      <c r="DF48" s="113">
        <v>8.0</v>
      </c>
      <c r="DG48" s="113" t="s">
        <v>165</v>
      </c>
      <c r="DH48" s="113" t="s">
        <v>165</v>
      </c>
      <c r="DI48" s="113">
        <v>8.0</v>
      </c>
      <c r="DJ48" s="113">
        <v>8.0</v>
      </c>
      <c r="DK48" s="113">
        <v>8.0</v>
      </c>
      <c r="DL48" s="113">
        <v>8.0</v>
      </c>
      <c r="DM48" s="113">
        <v>8.0</v>
      </c>
      <c r="DN48" s="58">
        <v>8.0</v>
      </c>
      <c r="DO48" s="113" t="s">
        <v>165</v>
      </c>
      <c r="DP48" s="113" t="s">
        <v>171</v>
      </c>
      <c r="DQ48" s="58" t="s">
        <v>245</v>
      </c>
      <c r="DR48" s="113">
        <v>8.0</v>
      </c>
      <c r="DS48" s="113">
        <v>8.0</v>
      </c>
      <c r="DT48" s="113">
        <v>8.0</v>
      </c>
      <c r="DU48" s="113" t="s">
        <v>165</v>
      </c>
      <c r="DV48" s="113" t="s">
        <v>165</v>
      </c>
      <c r="DW48" s="113">
        <v>8.0</v>
      </c>
      <c r="DX48" s="113">
        <v>8.0</v>
      </c>
      <c r="DY48" s="58" t="s">
        <v>169</v>
      </c>
      <c r="DZ48" s="113">
        <v>8.0</v>
      </c>
      <c r="EA48" s="113">
        <v>8.0</v>
      </c>
      <c r="EB48" s="113" t="s">
        <v>165</v>
      </c>
      <c r="EC48" s="113" t="s">
        <v>165</v>
      </c>
      <c r="ED48" s="113">
        <v>8.0</v>
      </c>
      <c r="EE48" s="113">
        <v>8.0</v>
      </c>
      <c r="EF48" s="113">
        <f t="shared" si="8"/>
        <v>160</v>
      </c>
      <c r="EG48" s="48"/>
      <c r="EH48" s="15"/>
      <c r="EI48" s="15"/>
      <c r="EJ48" s="15"/>
      <c r="EK48" s="15"/>
      <c r="EL48" s="15"/>
      <c r="EM48" s="15"/>
      <c r="EN48" s="15"/>
      <c r="EO48" s="15"/>
      <c r="EP48" s="15"/>
      <c r="EQ48" s="15"/>
      <c r="ER48" s="15"/>
      <c r="ES48" s="15"/>
      <c r="ET48" s="15"/>
      <c r="EU48" s="15"/>
      <c r="EV48" s="15"/>
      <c r="EW48" s="15"/>
      <c r="EX48" s="15"/>
      <c r="EY48" s="15"/>
      <c r="EZ48" s="15"/>
      <c r="FA48" s="15"/>
      <c r="FB48" s="15"/>
      <c r="FC48" s="15"/>
      <c r="FD48" s="15"/>
      <c r="FE48" s="15"/>
      <c r="FF48" s="15"/>
      <c r="FG48" s="15"/>
      <c r="FH48" s="15"/>
      <c r="FI48" s="15"/>
      <c r="FJ48" s="15"/>
      <c r="FK48" s="15"/>
      <c r="FL48" s="105">
        <f t="shared" si="12"/>
        <v>0</v>
      </c>
      <c r="FM48" s="48"/>
      <c r="FN48" s="15"/>
      <c r="FO48" s="15"/>
      <c r="FP48" s="15"/>
      <c r="FQ48" s="15"/>
      <c r="FR48" s="15"/>
      <c r="FS48" s="15"/>
      <c r="FT48" s="15"/>
      <c r="FU48" s="15"/>
      <c r="FV48" s="15"/>
      <c r="FW48" s="15"/>
      <c r="FX48" s="15"/>
      <c r="FY48" s="15"/>
      <c r="FZ48" s="15"/>
      <c r="GA48" s="15"/>
      <c r="GB48" s="15"/>
      <c r="GC48" s="15"/>
      <c r="GD48" s="15"/>
      <c r="GE48" s="15"/>
      <c r="GF48" s="15"/>
      <c r="GG48" s="15"/>
      <c r="GH48" s="15"/>
      <c r="GI48" s="15"/>
      <c r="GJ48" s="15"/>
      <c r="GK48" s="15"/>
      <c r="GL48" s="15"/>
      <c r="GM48" s="15"/>
      <c r="GN48" s="15"/>
      <c r="GO48" s="15"/>
      <c r="GP48" s="15"/>
      <c r="GQ48" s="15"/>
      <c r="GR48" s="15"/>
      <c r="GS48" s="105">
        <f t="shared" si="13"/>
        <v>0</v>
      </c>
      <c r="GT48" s="48"/>
      <c r="GU48" s="15"/>
      <c r="GV48" s="15"/>
      <c r="GW48" s="15"/>
      <c r="GX48" s="15"/>
      <c r="GY48" s="15"/>
      <c r="GZ48" s="15"/>
      <c r="HA48" s="15"/>
      <c r="HB48" s="15"/>
      <c r="HC48" s="15"/>
      <c r="HD48" s="15"/>
      <c r="HE48" s="15"/>
    </row>
    <row r="49" ht="16.5" customHeight="1">
      <c r="A49" s="102" t="s">
        <v>118</v>
      </c>
      <c r="B49" s="106" t="str">
        <f>iferror(vlookup(A49,'SoS - Agents Info'!A:H,5,false),"")</f>
        <v>EN</v>
      </c>
      <c r="C49" s="107" t="str">
        <f>iferror(vlookup(A49,'SoS - Agents Info'!A:AQ,43,false),"")</f>
        <v>FL</v>
      </c>
      <c r="D49" s="108" t="str">
        <f>iferror(vlookup(A49,'SoS - Agents Info'!A:H,6,false),"")</f>
        <v>WE</v>
      </c>
      <c r="E49" s="108" t="str">
        <f>iferror(vlookup(A49,'SoS - Agents Info'!A:H,7,false),"")</f>
        <v>00:00-09:00</v>
      </c>
      <c r="F49" s="109">
        <f>IFERROR(__xludf.DUMMYFUNCTION("sum(COUNTIFS(Filter(FILTER('Shiftplan SoS'!G$3:GU166,'Shiftplan SoS'!$G$1:$GU$1&lt;=today()),'Shiftplan SoS'!$A$3:$A166=A49),""&gt;0"",(Filter(FILTER('Shiftplan SoS'!G$3:GU166,'Shiftplan SoS'!$G$1:$GU$1&lt;=today()),'Shiftplan SoS'!$A$3:$A166=A49)),""&lt;12""))"),36.0)</f>
        <v>36</v>
      </c>
      <c r="G49" s="16">
        <v>8.0</v>
      </c>
      <c r="H49" s="16">
        <v>8.0</v>
      </c>
      <c r="I49" s="16" t="s">
        <v>165</v>
      </c>
      <c r="J49" s="16" t="s">
        <v>165</v>
      </c>
      <c r="K49" s="16" t="s">
        <v>165</v>
      </c>
      <c r="L49" s="16" t="s">
        <v>165</v>
      </c>
      <c r="M49" s="16" t="s">
        <v>165</v>
      </c>
      <c r="N49" s="16">
        <v>8.0</v>
      </c>
      <c r="O49" s="16">
        <v>8.0</v>
      </c>
      <c r="P49" s="16" t="s">
        <v>165</v>
      </c>
      <c r="Q49" s="16" t="s">
        <v>165</v>
      </c>
      <c r="R49" s="16" t="s">
        <v>165</v>
      </c>
      <c r="S49" s="16" t="s">
        <v>165</v>
      </c>
      <c r="T49" s="16" t="s">
        <v>165</v>
      </c>
      <c r="U49" s="16">
        <v>8.0</v>
      </c>
      <c r="V49" s="16">
        <v>8.0</v>
      </c>
      <c r="W49" s="16" t="s">
        <v>165</v>
      </c>
      <c r="X49" s="16" t="s">
        <v>165</v>
      </c>
      <c r="Y49" s="16" t="s">
        <v>165</v>
      </c>
      <c r="Z49" s="16" t="s">
        <v>165</v>
      </c>
      <c r="AA49" s="16" t="s">
        <v>165</v>
      </c>
      <c r="AB49" s="16">
        <v>8.0</v>
      </c>
      <c r="AC49" s="16">
        <v>8.0</v>
      </c>
      <c r="AD49" s="16" t="s">
        <v>165</v>
      </c>
      <c r="AE49" s="16" t="s">
        <v>165</v>
      </c>
      <c r="AF49" s="16" t="s">
        <v>165</v>
      </c>
      <c r="AG49" s="16" t="s">
        <v>165</v>
      </c>
      <c r="AH49" s="16" t="s">
        <v>165</v>
      </c>
      <c r="AI49" s="110">
        <v>8.0</v>
      </c>
      <c r="AJ49" s="110">
        <v>8.0</v>
      </c>
      <c r="AK49" s="70" t="s">
        <v>165</v>
      </c>
      <c r="AL49" s="105">
        <f t="shared" si="5"/>
        <v>80</v>
      </c>
      <c r="AM49" s="48"/>
      <c r="AN49" s="16" t="s">
        <v>165</v>
      </c>
      <c r="AO49" s="16" t="s">
        <v>165</v>
      </c>
      <c r="AP49" s="16" t="s">
        <v>165</v>
      </c>
      <c r="AQ49" s="16" t="s">
        <v>165</v>
      </c>
      <c r="AR49" s="110">
        <v>8.0</v>
      </c>
      <c r="AS49" s="16">
        <v>8.0</v>
      </c>
      <c r="AT49" s="16" t="s">
        <v>165</v>
      </c>
      <c r="AU49" s="16" t="s">
        <v>165</v>
      </c>
      <c r="AV49" s="16" t="s">
        <v>165</v>
      </c>
      <c r="AW49" s="16" t="s">
        <v>165</v>
      </c>
      <c r="AX49" s="16" t="s">
        <v>165</v>
      </c>
      <c r="AY49" s="16">
        <v>8.0</v>
      </c>
      <c r="AZ49" s="16">
        <v>8.0</v>
      </c>
      <c r="BA49" s="16" t="s">
        <v>165</v>
      </c>
      <c r="BB49" s="16" t="s">
        <v>165</v>
      </c>
      <c r="BC49" s="16" t="s">
        <v>165</v>
      </c>
      <c r="BD49" s="16" t="s">
        <v>165</v>
      </c>
      <c r="BE49" s="16" t="s">
        <v>165</v>
      </c>
      <c r="BF49" s="16">
        <v>8.0</v>
      </c>
      <c r="BG49" s="16">
        <v>8.0</v>
      </c>
      <c r="BH49" s="16" t="s">
        <v>165</v>
      </c>
      <c r="BI49" s="16" t="s">
        <v>165</v>
      </c>
      <c r="BJ49" s="16" t="s">
        <v>165</v>
      </c>
      <c r="BK49" s="16" t="s">
        <v>165</v>
      </c>
      <c r="BL49" s="16" t="s">
        <v>165</v>
      </c>
      <c r="BM49" s="16">
        <v>8.0</v>
      </c>
      <c r="BN49" s="16">
        <v>8.0</v>
      </c>
      <c r="BO49" s="16" t="s">
        <v>165</v>
      </c>
      <c r="BP49" s="16" t="s">
        <v>165</v>
      </c>
      <c r="BQ49" s="16" t="s">
        <v>165</v>
      </c>
      <c r="BR49" s="105">
        <f t="shared" si="11"/>
        <v>64</v>
      </c>
      <c r="BS49" s="48"/>
      <c r="BT49" s="16" t="s">
        <v>165</v>
      </c>
      <c r="BU49" s="16" t="s">
        <v>165</v>
      </c>
      <c r="BV49" s="16">
        <v>8.0</v>
      </c>
      <c r="BW49" s="16">
        <v>8.0</v>
      </c>
      <c r="BX49" s="16" t="s">
        <v>165</v>
      </c>
      <c r="BY49" s="16" t="s">
        <v>165</v>
      </c>
      <c r="BZ49" s="16" t="s">
        <v>165</v>
      </c>
      <c r="CA49" s="16" t="s">
        <v>165</v>
      </c>
      <c r="CB49" s="16" t="s">
        <v>165</v>
      </c>
      <c r="CC49" s="16">
        <v>8.0</v>
      </c>
      <c r="CD49" s="16">
        <v>8.0</v>
      </c>
      <c r="CE49" s="16" t="s">
        <v>165</v>
      </c>
      <c r="CF49" s="16" t="s">
        <v>165</v>
      </c>
      <c r="CG49" s="16" t="s">
        <v>165</v>
      </c>
      <c r="CH49" s="16" t="s">
        <v>165</v>
      </c>
      <c r="CI49" s="16" t="s">
        <v>165</v>
      </c>
      <c r="CJ49" s="16">
        <v>8.0</v>
      </c>
      <c r="CK49" s="16">
        <v>8.0</v>
      </c>
      <c r="CL49" s="16" t="s">
        <v>165</v>
      </c>
      <c r="CM49" s="16" t="s">
        <v>165</v>
      </c>
      <c r="CN49" s="16" t="s">
        <v>165</v>
      </c>
      <c r="CO49" s="16" t="s">
        <v>165</v>
      </c>
      <c r="CP49" s="16" t="s">
        <v>165</v>
      </c>
      <c r="CQ49" s="16">
        <v>8.0</v>
      </c>
      <c r="CR49" s="16">
        <v>8.0</v>
      </c>
      <c r="CS49" s="16" t="s">
        <v>165</v>
      </c>
      <c r="CT49" s="16" t="s">
        <v>165</v>
      </c>
      <c r="CU49" s="16" t="s">
        <v>165</v>
      </c>
      <c r="CV49" s="16" t="s">
        <v>165</v>
      </c>
      <c r="CW49" s="16" t="s">
        <v>165</v>
      </c>
      <c r="CX49" s="16">
        <v>8.0</v>
      </c>
      <c r="CY49" s="105">
        <f t="shared" si="7"/>
        <v>72</v>
      </c>
      <c r="CZ49" s="48"/>
      <c r="DA49" s="113">
        <v>8.0</v>
      </c>
      <c r="DB49" s="113" t="s">
        <v>165</v>
      </c>
      <c r="DC49" s="113" t="s">
        <v>165</v>
      </c>
      <c r="DD49" s="113" t="s">
        <v>165</v>
      </c>
      <c r="DE49" s="113" t="s">
        <v>165</v>
      </c>
      <c r="DF49" s="113" t="s">
        <v>165</v>
      </c>
      <c r="DG49" s="113">
        <v>8.0</v>
      </c>
      <c r="DH49" s="113">
        <v>8.0</v>
      </c>
      <c r="DI49" s="113" t="s">
        <v>165</v>
      </c>
      <c r="DJ49" s="113" t="s">
        <v>165</v>
      </c>
      <c r="DK49" s="113" t="s">
        <v>165</v>
      </c>
      <c r="DL49" s="113" t="s">
        <v>165</v>
      </c>
      <c r="DM49" s="113" t="s">
        <v>165</v>
      </c>
      <c r="DN49" s="113">
        <v>8.0</v>
      </c>
      <c r="DO49" s="113">
        <v>8.0</v>
      </c>
      <c r="DP49" s="113" t="s">
        <v>165</v>
      </c>
      <c r="DQ49" s="113" t="s">
        <v>165</v>
      </c>
      <c r="DR49" s="113" t="s">
        <v>165</v>
      </c>
      <c r="DS49" s="113" t="s">
        <v>165</v>
      </c>
      <c r="DT49" s="113" t="s">
        <v>165</v>
      </c>
      <c r="DU49" s="113">
        <v>8.0</v>
      </c>
      <c r="DV49" s="113">
        <v>8.0</v>
      </c>
      <c r="DW49" s="113" t="s">
        <v>165</v>
      </c>
      <c r="DX49" s="113" t="s">
        <v>165</v>
      </c>
      <c r="DY49" s="113" t="s">
        <v>165</v>
      </c>
      <c r="DZ49" s="113" t="s">
        <v>165</v>
      </c>
      <c r="EA49" s="113" t="s">
        <v>165</v>
      </c>
      <c r="EB49" s="113">
        <v>8.0</v>
      </c>
      <c r="EC49" s="113">
        <v>8.0</v>
      </c>
      <c r="ED49" s="113" t="s">
        <v>165</v>
      </c>
      <c r="EE49" s="113" t="s">
        <v>165</v>
      </c>
      <c r="EF49" s="113">
        <f t="shared" si="8"/>
        <v>72</v>
      </c>
      <c r="EG49" s="48"/>
      <c r="EH49" s="15"/>
      <c r="EI49" s="15"/>
      <c r="EJ49" s="15"/>
      <c r="EK49" s="15"/>
      <c r="EL49" s="15"/>
      <c r="EM49" s="15"/>
      <c r="EN49" s="15"/>
      <c r="EO49" s="15"/>
      <c r="EP49" s="15"/>
      <c r="EQ49" s="15"/>
      <c r="ER49" s="15"/>
      <c r="ES49" s="15"/>
      <c r="ET49" s="15"/>
      <c r="EU49" s="15"/>
      <c r="EV49" s="15"/>
      <c r="EW49" s="15"/>
      <c r="EX49" s="15"/>
      <c r="EY49" s="15"/>
      <c r="EZ49" s="15"/>
      <c r="FA49" s="15"/>
      <c r="FB49" s="15"/>
      <c r="FC49" s="15"/>
      <c r="FD49" s="15"/>
      <c r="FE49" s="15"/>
      <c r="FF49" s="15"/>
      <c r="FG49" s="15"/>
      <c r="FH49" s="15"/>
      <c r="FI49" s="15"/>
      <c r="FJ49" s="15"/>
      <c r="FK49" s="15"/>
      <c r="FL49" s="105">
        <f t="shared" si="12"/>
        <v>0</v>
      </c>
      <c r="FM49" s="48"/>
      <c r="FN49" s="15"/>
      <c r="FO49" s="15"/>
      <c r="FP49" s="15"/>
      <c r="FQ49" s="15"/>
      <c r="FR49" s="15"/>
      <c r="FS49" s="15"/>
      <c r="FT49" s="15"/>
      <c r="FU49" s="15"/>
      <c r="FV49" s="15"/>
      <c r="FW49" s="15"/>
      <c r="FX49" s="15"/>
      <c r="FY49" s="15"/>
      <c r="FZ49" s="15"/>
      <c r="GA49" s="15"/>
      <c r="GB49" s="15"/>
      <c r="GC49" s="15"/>
      <c r="GD49" s="15"/>
      <c r="GE49" s="15"/>
      <c r="GF49" s="15"/>
      <c r="GG49" s="15"/>
      <c r="GH49" s="15"/>
      <c r="GI49" s="15"/>
      <c r="GJ49" s="15"/>
      <c r="GK49" s="15"/>
      <c r="GL49" s="15"/>
      <c r="GM49" s="15"/>
      <c r="GN49" s="15"/>
      <c r="GO49" s="15"/>
      <c r="GP49" s="15"/>
      <c r="GQ49" s="15"/>
      <c r="GR49" s="15"/>
      <c r="GS49" s="105">
        <f t="shared" si="13"/>
        <v>0</v>
      </c>
      <c r="GT49" s="48"/>
      <c r="GU49" s="15"/>
      <c r="GV49" s="15"/>
      <c r="GW49" s="15"/>
      <c r="GX49" s="15"/>
      <c r="GY49" s="15"/>
      <c r="GZ49" s="15"/>
      <c r="HA49" s="15"/>
      <c r="HB49" s="15"/>
      <c r="HC49" s="15"/>
      <c r="HD49" s="15"/>
      <c r="HE49" s="15"/>
    </row>
    <row r="50" ht="16.5" customHeight="1">
      <c r="A50" s="102" t="s">
        <v>271</v>
      </c>
      <c r="B50" s="106" t="str">
        <f>iferror(vlookup(A50,'SoS - Agents Info'!A:H,5,false),"")</f>
        <v>EN</v>
      </c>
      <c r="C50" s="107" t="str">
        <f>iferror(vlookup(A50,'SoS - Agents Info'!A:AQ,43,false),"")</f>
        <v>FL</v>
      </c>
      <c r="D50" s="108" t="str">
        <f>iferror(vlookup(A50,'SoS - Agents Info'!A:H,6,false),"")</f>
        <v>WE+WD</v>
      </c>
      <c r="E50" s="108" t="str">
        <f>iferror(vlookup(A50,'SoS - Agents Info'!A:H,7,false),"")</f>
        <v>00:00-09:00</v>
      </c>
      <c r="F50" s="109">
        <f>IFERROR(__xludf.DUMMYFUNCTION("sum(COUNTIFS(Filter(FILTER('Shiftplan SoS'!G$3:GU166,'Shiftplan SoS'!$G$1:$GU$1&lt;=today()),'Shiftplan SoS'!$A$3:$A166=A50),""&gt;0"",(Filter(FILTER('Shiftplan SoS'!G$3:GU166,'Shiftplan SoS'!$G$1:$GU$1&lt;=today()),'Shiftplan SoS'!$A$3:$A166=A50)),""&lt;12""))"),76.0)</f>
        <v>76</v>
      </c>
      <c r="G50" s="16">
        <v>8.0</v>
      </c>
      <c r="H50" s="16">
        <v>8.0</v>
      </c>
      <c r="I50" s="16" t="s">
        <v>165</v>
      </c>
      <c r="J50" s="16" t="s">
        <v>165</v>
      </c>
      <c r="K50" s="16" t="s">
        <v>165</v>
      </c>
      <c r="L50" s="16" t="s">
        <v>165</v>
      </c>
      <c r="M50" s="16" t="s">
        <v>165</v>
      </c>
      <c r="N50" s="16">
        <v>8.0</v>
      </c>
      <c r="O50" s="16">
        <v>8.0</v>
      </c>
      <c r="P50" s="16" t="s">
        <v>165</v>
      </c>
      <c r="Q50" s="16" t="s">
        <v>165</v>
      </c>
      <c r="R50" s="16" t="s">
        <v>165</v>
      </c>
      <c r="S50" s="16" t="s">
        <v>165</v>
      </c>
      <c r="T50" s="16" t="s">
        <v>165</v>
      </c>
      <c r="U50" s="16">
        <v>8.0</v>
      </c>
      <c r="V50" s="16">
        <v>8.0</v>
      </c>
      <c r="W50" s="16" t="s">
        <v>165</v>
      </c>
      <c r="X50" s="16" t="s">
        <v>165</v>
      </c>
      <c r="Y50" s="16" t="s">
        <v>165</v>
      </c>
      <c r="Z50" s="16" t="s">
        <v>165</v>
      </c>
      <c r="AA50" s="16" t="s">
        <v>165</v>
      </c>
      <c r="AB50" s="16">
        <v>8.0</v>
      </c>
      <c r="AC50" s="16" t="s">
        <v>165</v>
      </c>
      <c r="AD50" s="16">
        <v>8.0</v>
      </c>
      <c r="AE50" s="16" t="s">
        <v>165</v>
      </c>
      <c r="AF50" s="16" t="s">
        <v>165</v>
      </c>
      <c r="AG50" s="16" t="s">
        <v>165</v>
      </c>
      <c r="AH50" s="16" t="s">
        <v>165</v>
      </c>
      <c r="AI50" s="110">
        <v>8.0</v>
      </c>
      <c r="AJ50" s="110">
        <v>8.0</v>
      </c>
      <c r="AK50" s="70" t="s">
        <v>165</v>
      </c>
      <c r="AL50" s="105">
        <f t="shared" si="5"/>
        <v>80</v>
      </c>
      <c r="AM50" s="48"/>
      <c r="AN50" s="16">
        <v>8.0</v>
      </c>
      <c r="AO50" s="16">
        <v>8.0</v>
      </c>
      <c r="AP50" s="16" t="s">
        <v>165</v>
      </c>
      <c r="AQ50" s="16" t="s">
        <v>165</v>
      </c>
      <c r="AR50" s="110">
        <v>8.0</v>
      </c>
      <c r="AS50" s="16">
        <v>8.0</v>
      </c>
      <c r="AT50" s="16">
        <v>8.0</v>
      </c>
      <c r="AU50" s="16">
        <v>8.0</v>
      </c>
      <c r="AV50" s="16">
        <v>8.0</v>
      </c>
      <c r="AW50" s="16" t="s">
        <v>165</v>
      </c>
      <c r="AX50" s="16" t="s">
        <v>165</v>
      </c>
      <c r="AY50" s="16">
        <v>8.0</v>
      </c>
      <c r="AZ50" s="16">
        <v>8.0</v>
      </c>
      <c r="BA50" s="16">
        <v>8.0</v>
      </c>
      <c r="BB50" s="16">
        <v>8.0</v>
      </c>
      <c r="BC50" s="16">
        <v>8.0</v>
      </c>
      <c r="BD50" s="16" t="s">
        <v>165</v>
      </c>
      <c r="BE50" s="16" t="s">
        <v>165</v>
      </c>
      <c r="BF50" s="16">
        <v>8.0</v>
      </c>
      <c r="BG50" s="16" t="s">
        <v>245</v>
      </c>
      <c r="BH50" s="16">
        <v>8.0</v>
      </c>
      <c r="BI50" s="16">
        <v>4.0</v>
      </c>
      <c r="BJ50" s="16">
        <v>8.0</v>
      </c>
      <c r="BK50" s="16">
        <v>4.0</v>
      </c>
      <c r="BL50" s="16" t="s">
        <v>165</v>
      </c>
      <c r="BM50" s="16">
        <v>8.0</v>
      </c>
      <c r="BN50" s="16">
        <v>8.0</v>
      </c>
      <c r="BO50" s="16">
        <v>8.0</v>
      </c>
      <c r="BP50" s="16">
        <v>8.0</v>
      </c>
      <c r="BQ50" s="16">
        <v>8.0</v>
      </c>
      <c r="BR50" s="105">
        <f t="shared" si="11"/>
        <v>168</v>
      </c>
      <c r="BS50" s="48"/>
      <c r="BT50" s="16" t="s">
        <v>165</v>
      </c>
      <c r="BU50" s="16" t="s">
        <v>165</v>
      </c>
      <c r="BV50" s="110">
        <v>8.0</v>
      </c>
      <c r="BW50" s="16">
        <v>8.0</v>
      </c>
      <c r="BX50" s="16" t="s">
        <v>245</v>
      </c>
      <c r="BY50" s="16">
        <v>8.0</v>
      </c>
      <c r="BZ50" s="16">
        <v>8.0</v>
      </c>
      <c r="CA50" s="16" t="s">
        <v>165</v>
      </c>
      <c r="CB50" s="16" t="s">
        <v>165</v>
      </c>
      <c r="CC50" s="110">
        <v>8.0</v>
      </c>
      <c r="CD50" s="16">
        <v>8.0</v>
      </c>
      <c r="CE50" s="16">
        <v>8.0</v>
      </c>
      <c r="CF50" s="16">
        <v>8.0</v>
      </c>
      <c r="CG50" s="16">
        <v>8.0</v>
      </c>
      <c r="CH50" s="16" t="s">
        <v>165</v>
      </c>
      <c r="CI50" s="16" t="s">
        <v>165</v>
      </c>
      <c r="CJ50" s="110">
        <v>8.0</v>
      </c>
      <c r="CK50" s="16">
        <v>8.0</v>
      </c>
      <c r="CL50" s="16">
        <v>8.0</v>
      </c>
      <c r="CM50" s="16">
        <v>8.0</v>
      </c>
      <c r="CN50" s="16">
        <v>4.0</v>
      </c>
      <c r="CO50" s="16">
        <v>4.0</v>
      </c>
      <c r="CP50" s="16" t="s">
        <v>165</v>
      </c>
      <c r="CQ50" s="110">
        <v>8.0</v>
      </c>
      <c r="CR50" s="16">
        <v>8.0</v>
      </c>
      <c r="CS50" s="16">
        <v>8.0</v>
      </c>
      <c r="CT50" s="16">
        <v>8.0</v>
      </c>
      <c r="CU50" s="16">
        <v>8.0</v>
      </c>
      <c r="CV50" s="16" t="s">
        <v>165</v>
      </c>
      <c r="CW50" s="16" t="s">
        <v>165</v>
      </c>
      <c r="CX50" s="110">
        <v>8.0</v>
      </c>
      <c r="CY50" s="105">
        <f t="shared" si="7"/>
        <v>160</v>
      </c>
      <c r="CZ50" s="48"/>
      <c r="DA50" s="113">
        <v>8.0</v>
      </c>
      <c r="DB50" s="113">
        <v>8.0</v>
      </c>
      <c r="DC50" s="113">
        <v>8.0</v>
      </c>
      <c r="DD50" s="113">
        <v>8.0</v>
      </c>
      <c r="DE50" s="113" t="s">
        <v>165</v>
      </c>
      <c r="DF50" s="113" t="s">
        <v>165</v>
      </c>
      <c r="DG50" s="113">
        <v>8.0</v>
      </c>
      <c r="DH50" s="113">
        <v>8.0</v>
      </c>
      <c r="DI50" s="113">
        <v>8.0</v>
      </c>
      <c r="DJ50" s="58">
        <v>4.0</v>
      </c>
      <c r="DK50" s="58" t="s">
        <v>245</v>
      </c>
      <c r="DL50" s="113" t="s">
        <v>165</v>
      </c>
      <c r="DM50" s="113" t="s">
        <v>165</v>
      </c>
      <c r="DN50" s="113">
        <v>8.0</v>
      </c>
      <c r="DO50" s="113">
        <v>8.0</v>
      </c>
      <c r="DP50" s="113">
        <v>8.0</v>
      </c>
      <c r="DQ50" s="113">
        <v>8.0</v>
      </c>
      <c r="DR50" s="113">
        <v>8.0</v>
      </c>
      <c r="DS50" s="58">
        <v>4.0</v>
      </c>
      <c r="DT50" s="113" t="s">
        <v>165</v>
      </c>
      <c r="DU50" s="113">
        <v>8.0</v>
      </c>
      <c r="DV50" s="113">
        <v>8.0</v>
      </c>
      <c r="DW50" s="113">
        <v>8.0</v>
      </c>
      <c r="DX50" s="113">
        <v>8.0</v>
      </c>
      <c r="DY50" s="113">
        <v>8.0</v>
      </c>
      <c r="DZ50" s="113" t="s">
        <v>165</v>
      </c>
      <c r="EA50" s="113" t="s">
        <v>165</v>
      </c>
      <c r="EB50" s="113">
        <v>8.0</v>
      </c>
      <c r="EC50" s="113">
        <v>8.0</v>
      </c>
      <c r="ED50" s="113">
        <v>8.0</v>
      </c>
      <c r="EE50" s="113">
        <v>8.0</v>
      </c>
      <c r="EF50" s="113">
        <f t="shared" si="8"/>
        <v>176</v>
      </c>
      <c r="EG50" s="48"/>
      <c r="EH50" s="15"/>
      <c r="EI50" s="15"/>
      <c r="EJ50" s="15"/>
      <c r="EK50" s="15"/>
      <c r="EL50" s="15"/>
      <c r="EM50" s="15"/>
      <c r="EN50" s="15"/>
      <c r="EO50" s="15"/>
      <c r="EP50" s="15"/>
      <c r="EQ50" s="15"/>
      <c r="ER50" s="15"/>
      <c r="ES50" s="15"/>
      <c r="ET50" s="15"/>
      <c r="EU50" s="15"/>
      <c r="EV50" s="15"/>
      <c r="EW50" s="15"/>
      <c r="EX50" s="15"/>
      <c r="EY50" s="15"/>
      <c r="EZ50" s="15"/>
      <c r="FA50" s="15"/>
      <c r="FB50" s="15"/>
      <c r="FC50" s="15"/>
      <c r="FD50" s="15"/>
      <c r="FE50" s="15"/>
      <c r="FF50" s="15"/>
      <c r="FG50" s="15"/>
      <c r="FH50" s="15"/>
      <c r="FI50" s="15"/>
      <c r="FJ50" s="15"/>
      <c r="FK50" s="15"/>
      <c r="FL50" s="105">
        <f t="shared" si="12"/>
        <v>0</v>
      </c>
      <c r="FM50" s="48"/>
      <c r="FN50" s="15"/>
      <c r="FO50" s="15"/>
      <c r="FP50" s="15"/>
      <c r="FQ50" s="15"/>
      <c r="FR50" s="15"/>
      <c r="FS50" s="15"/>
      <c r="FT50" s="15"/>
      <c r="FU50" s="15"/>
      <c r="FV50" s="15"/>
      <c r="FW50" s="15"/>
      <c r="FX50" s="15"/>
      <c r="FY50" s="15"/>
      <c r="FZ50" s="15"/>
      <c r="GA50" s="15"/>
      <c r="GB50" s="15"/>
      <c r="GC50" s="15"/>
      <c r="GD50" s="15"/>
      <c r="GE50" s="15"/>
      <c r="GF50" s="15"/>
      <c r="GG50" s="15"/>
      <c r="GH50" s="15"/>
      <c r="GI50" s="15"/>
      <c r="GJ50" s="15"/>
      <c r="GK50" s="15"/>
      <c r="GL50" s="15"/>
      <c r="GM50" s="15"/>
      <c r="GN50" s="15"/>
      <c r="GO50" s="15"/>
      <c r="GP50" s="15"/>
      <c r="GQ50" s="15"/>
      <c r="GR50" s="15"/>
      <c r="GS50" s="105">
        <f t="shared" si="13"/>
        <v>0</v>
      </c>
      <c r="GT50" s="48"/>
      <c r="GU50" s="15"/>
      <c r="GV50" s="15"/>
      <c r="GW50" s="15"/>
      <c r="GX50" s="15"/>
      <c r="GY50" s="15"/>
      <c r="GZ50" s="15"/>
      <c r="HA50" s="15"/>
      <c r="HB50" s="15"/>
      <c r="HC50" s="15"/>
      <c r="HD50" s="15"/>
      <c r="HE50" s="15"/>
    </row>
    <row r="51" ht="16.5" customHeight="1">
      <c r="A51" s="102" t="s">
        <v>120</v>
      </c>
      <c r="B51" s="106" t="str">
        <f>iferror(vlookup(A51,'SoS - Agents Info'!A:H,5,false),"")</f>
        <v>EN</v>
      </c>
      <c r="C51" s="107" t="str">
        <f>iferror(vlookup(A51,'SoS - Agents Info'!A:AQ,43,false),"")</f>
        <v>RA+VM</v>
      </c>
      <c r="D51" s="108" t="str">
        <f>iferror(vlookup(A51,'SoS - Agents Info'!A:H,6,false),"")</f>
        <v>WE+WD</v>
      </c>
      <c r="E51" s="108" t="str">
        <f>iferror(vlookup(A51,'SoS - Agents Info'!A:H,7,false),"")</f>
        <v>16:00-01:00</v>
      </c>
      <c r="F51" s="109">
        <f>IFERROR(__xludf.DUMMYFUNCTION("sum(COUNTIFS(Filter(FILTER('Shiftplan SoS'!G$3:GU166,'Shiftplan SoS'!$G$1:$GU$1&lt;=today()),'Shiftplan SoS'!$A$3:$A166=A51),""&gt;0"",(Filter(FILTER('Shiftplan SoS'!G$3:GU166,'Shiftplan SoS'!$G$1:$GU$1&lt;=today()),'Shiftplan SoS'!$A$3:$A166=A51)),""&lt;12""))"),39.0)</f>
        <v>39</v>
      </c>
      <c r="G51" s="16">
        <v>8.0</v>
      </c>
      <c r="H51" s="16">
        <v>8.0</v>
      </c>
      <c r="I51" s="16" t="s">
        <v>165</v>
      </c>
      <c r="J51" s="16" t="s">
        <v>165</v>
      </c>
      <c r="K51" s="16" t="s">
        <v>165</v>
      </c>
      <c r="L51" s="16" t="s">
        <v>165</v>
      </c>
      <c r="M51" s="16" t="s">
        <v>165</v>
      </c>
      <c r="N51" s="16">
        <v>8.0</v>
      </c>
      <c r="O51" s="16">
        <v>8.0</v>
      </c>
      <c r="P51" s="16" t="s">
        <v>165</v>
      </c>
      <c r="Q51" s="16" t="s">
        <v>165</v>
      </c>
      <c r="R51" s="16" t="s">
        <v>165</v>
      </c>
      <c r="S51" s="16" t="s">
        <v>165</v>
      </c>
      <c r="T51" s="16" t="s">
        <v>165</v>
      </c>
      <c r="U51" s="16">
        <v>8.0</v>
      </c>
      <c r="V51" s="16">
        <v>8.0</v>
      </c>
      <c r="W51" s="16" t="s">
        <v>165</v>
      </c>
      <c r="X51" s="16" t="s">
        <v>165</v>
      </c>
      <c r="Y51" s="16" t="s">
        <v>165</v>
      </c>
      <c r="Z51" s="16" t="s">
        <v>165</v>
      </c>
      <c r="AA51" s="16" t="s">
        <v>165</v>
      </c>
      <c r="AB51" s="16">
        <v>8.0</v>
      </c>
      <c r="AC51" s="16">
        <v>8.0</v>
      </c>
      <c r="AD51" s="16" t="s">
        <v>165</v>
      </c>
      <c r="AE51" s="16" t="s">
        <v>165</v>
      </c>
      <c r="AF51" s="16" t="s">
        <v>165</v>
      </c>
      <c r="AG51" s="16" t="s">
        <v>165</v>
      </c>
      <c r="AH51" s="16" t="s">
        <v>165</v>
      </c>
      <c r="AI51" s="110">
        <v>8.0</v>
      </c>
      <c r="AJ51" s="110">
        <v>8.0</v>
      </c>
      <c r="AK51" s="70" t="s">
        <v>165</v>
      </c>
      <c r="AL51" s="105">
        <f t="shared" si="5"/>
        <v>80</v>
      </c>
      <c r="AM51" s="48"/>
      <c r="AN51" s="16" t="s">
        <v>165</v>
      </c>
      <c r="AO51" s="16" t="s">
        <v>165</v>
      </c>
      <c r="AP51" s="16" t="s">
        <v>165</v>
      </c>
      <c r="AQ51" s="16" t="s">
        <v>165</v>
      </c>
      <c r="AR51" s="16">
        <v>8.0</v>
      </c>
      <c r="AS51" s="16">
        <v>8.0</v>
      </c>
      <c r="AT51" s="16" t="s">
        <v>165</v>
      </c>
      <c r="AU51" s="16" t="s">
        <v>165</v>
      </c>
      <c r="AV51" s="16" t="s">
        <v>165</v>
      </c>
      <c r="AW51" s="16" t="s">
        <v>165</v>
      </c>
      <c r="AX51" s="16" t="s">
        <v>165</v>
      </c>
      <c r="AY51" s="16">
        <v>8.0</v>
      </c>
      <c r="AZ51" s="16">
        <v>8.0</v>
      </c>
      <c r="BA51" s="16" t="s">
        <v>165</v>
      </c>
      <c r="BB51" s="16" t="s">
        <v>165</v>
      </c>
      <c r="BC51" s="16" t="s">
        <v>165</v>
      </c>
      <c r="BD51" s="16" t="s">
        <v>165</v>
      </c>
      <c r="BE51" s="16" t="s">
        <v>165</v>
      </c>
      <c r="BF51" s="16">
        <v>8.0</v>
      </c>
      <c r="BG51" s="16">
        <v>8.0</v>
      </c>
      <c r="BH51" s="16" t="s">
        <v>165</v>
      </c>
      <c r="BI51" s="16" t="s">
        <v>165</v>
      </c>
      <c r="BJ51" s="16" t="s">
        <v>165</v>
      </c>
      <c r="BK51" s="16" t="s">
        <v>165</v>
      </c>
      <c r="BL51" s="16" t="s">
        <v>165</v>
      </c>
      <c r="BM51" s="16">
        <v>8.0</v>
      </c>
      <c r="BN51" s="16">
        <v>8.0</v>
      </c>
      <c r="BO51" s="16" t="s">
        <v>165</v>
      </c>
      <c r="BP51" s="16" t="s">
        <v>165</v>
      </c>
      <c r="BQ51" s="16" t="s">
        <v>165</v>
      </c>
      <c r="BR51" s="105">
        <f t="shared" si="11"/>
        <v>64</v>
      </c>
      <c r="BS51" s="48"/>
      <c r="BT51" s="16" t="s">
        <v>165</v>
      </c>
      <c r="BU51" s="16" t="s">
        <v>165</v>
      </c>
      <c r="BV51" s="16">
        <v>8.0</v>
      </c>
      <c r="BW51" s="16">
        <v>8.0</v>
      </c>
      <c r="BX51" s="16" t="s">
        <v>165</v>
      </c>
      <c r="BY51" s="16" t="s">
        <v>165</v>
      </c>
      <c r="BZ51" s="16" t="s">
        <v>165</v>
      </c>
      <c r="CA51" s="16" t="s">
        <v>165</v>
      </c>
      <c r="CB51" s="16" t="s">
        <v>165</v>
      </c>
      <c r="CC51" s="16">
        <v>8.0</v>
      </c>
      <c r="CD51" s="16">
        <v>8.0</v>
      </c>
      <c r="CE51" s="16" t="s">
        <v>165</v>
      </c>
      <c r="CF51" s="16" t="s">
        <v>165</v>
      </c>
      <c r="CG51" s="16" t="s">
        <v>165</v>
      </c>
      <c r="CH51" s="16" t="s">
        <v>165</v>
      </c>
      <c r="CI51" s="16" t="s">
        <v>165</v>
      </c>
      <c r="CJ51" s="16">
        <v>8.0</v>
      </c>
      <c r="CK51" s="16">
        <v>8.0</v>
      </c>
      <c r="CL51" s="16" t="s">
        <v>165</v>
      </c>
      <c r="CM51" s="16" t="s">
        <v>165</v>
      </c>
      <c r="CN51" s="16" t="s">
        <v>165</v>
      </c>
      <c r="CO51" s="16" t="s">
        <v>165</v>
      </c>
      <c r="CP51" s="16" t="s">
        <v>165</v>
      </c>
      <c r="CQ51" s="110">
        <v>8.0</v>
      </c>
      <c r="CR51" s="110">
        <v>8.0</v>
      </c>
      <c r="CS51" s="16" t="s">
        <v>165</v>
      </c>
      <c r="CT51" s="16" t="s">
        <v>165</v>
      </c>
      <c r="CU51" s="16" t="s">
        <v>165</v>
      </c>
      <c r="CV51" s="16" t="s">
        <v>165</v>
      </c>
      <c r="CW51" s="16" t="s">
        <v>165</v>
      </c>
      <c r="CX51" s="16">
        <v>8.0</v>
      </c>
      <c r="CY51" s="105">
        <f t="shared" si="7"/>
        <v>72</v>
      </c>
      <c r="CZ51" s="48"/>
      <c r="DA51" s="113">
        <v>8.0</v>
      </c>
      <c r="DB51" s="113" t="s">
        <v>165</v>
      </c>
      <c r="DC51" s="113" t="s">
        <v>165</v>
      </c>
      <c r="DD51" s="113" t="s">
        <v>165</v>
      </c>
      <c r="DE51" s="113" t="s">
        <v>165</v>
      </c>
      <c r="DF51" s="113" t="s">
        <v>165</v>
      </c>
      <c r="DG51" s="123">
        <v>8.0</v>
      </c>
      <c r="DH51" s="123">
        <v>8.0</v>
      </c>
      <c r="DI51" s="113" t="s">
        <v>165</v>
      </c>
      <c r="DJ51" s="113" t="s">
        <v>165</v>
      </c>
      <c r="DK51" s="113" t="s">
        <v>165</v>
      </c>
      <c r="DL51" s="113" t="s">
        <v>165</v>
      </c>
      <c r="DM51" s="113" t="s">
        <v>165</v>
      </c>
      <c r="DN51" s="113">
        <v>8.0</v>
      </c>
      <c r="DO51" s="113">
        <v>8.0</v>
      </c>
      <c r="DP51" s="113" t="s">
        <v>165</v>
      </c>
      <c r="DQ51" s="113" t="s">
        <v>165</v>
      </c>
      <c r="DR51" s="113" t="s">
        <v>165</v>
      </c>
      <c r="DS51" s="113" t="s">
        <v>165</v>
      </c>
      <c r="DT51" s="113" t="s">
        <v>165</v>
      </c>
      <c r="DU51" s="113">
        <v>8.0</v>
      </c>
      <c r="DV51" s="113">
        <v>8.0</v>
      </c>
      <c r="DW51" s="113" t="s">
        <v>165</v>
      </c>
      <c r="DX51" s="113" t="s">
        <v>165</v>
      </c>
      <c r="DY51" s="58">
        <v>8.0</v>
      </c>
      <c r="DZ51" s="58">
        <v>8.0</v>
      </c>
      <c r="EA51" s="58">
        <v>8.0</v>
      </c>
      <c r="EB51" s="58">
        <v>7.0</v>
      </c>
      <c r="EC51" s="58" t="s">
        <v>165</v>
      </c>
      <c r="ED51" s="113" t="s">
        <v>165</v>
      </c>
      <c r="EE51" s="58">
        <v>8.0</v>
      </c>
      <c r="EF51" s="113">
        <f t="shared" si="8"/>
        <v>95</v>
      </c>
      <c r="EG51" s="48"/>
      <c r="EH51" s="15"/>
      <c r="EI51" s="15"/>
      <c r="EJ51" s="15"/>
      <c r="EK51" s="15"/>
      <c r="EL51" s="15"/>
      <c r="EM51" s="15"/>
      <c r="EN51" s="15"/>
      <c r="EO51" s="15"/>
      <c r="EP51" s="15"/>
      <c r="EQ51" s="15"/>
      <c r="ER51" s="15"/>
      <c r="ES51" s="15"/>
      <c r="ET51" s="15"/>
      <c r="EU51" s="15"/>
      <c r="EV51" s="15"/>
      <c r="EW51" s="15"/>
      <c r="EX51" s="15"/>
      <c r="EY51" s="15"/>
      <c r="EZ51" s="15"/>
      <c r="FA51" s="15"/>
      <c r="FB51" s="15"/>
      <c r="FC51" s="15"/>
      <c r="FD51" s="15"/>
      <c r="FE51" s="15"/>
      <c r="FF51" s="15"/>
      <c r="FG51" s="15"/>
      <c r="FH51" s="15"/>
      <c r="FI51" s="15"/>
      <c r="FJ51" s="15"/>
      <c r="FK51" s="15"/>
      <c r="FL51" s="105">
        <f t="shared" si="12"/>
        <v>0</v>
      </c>
      <c r="FM51" s="48"/>
      <c r="FN51" s="15"/>
      <c r="FO51" s="15"/>
      <c r="FP51" s="15"/>
      <c r="FQ51" s="15"/>
      <c r="FR51" s="15"/>
      <c r="FS51" s="15"/>
      <c r="FT51" s="15"/>
      <c r="FU51" s="15"/>
      <c r="FV51" s="15"/>
      <c r="FW51" s="15"/>
      <c r="FX51" s="15"/>
      <c r="FY51" s="15"/>
      <c r="FZ51" s="15"/>
      <c r="GA51" s="15"/>
      <c r="GB51" s="15"/>
      <c r="GC51" s="15"/>
      <c r="GD51" s="15"/>
      <c r="GE51" s="15"/>
      <c r="GF51" s="15"/>
      <c r="GG51" s="15"/>
      <c r="GH51" s="15"/>
      <c r="GI51" s="15"/>
      <c r="GJ51" s="15"/>
      <c r="GK51" s="15"/>
      <c r="GL51" s="15"/>
      <c r="GM51" s="15"/>
      <c r="GN51" s="15"/>
      <c r="GO51" s="15"/>
      <c r="GP51" s="15"/>
      <c r="GQ51" s="15"/>
      <c r="GR51" s="15"/>
      <c r="GS51" s="105">
        <f t="shared" si="13"/>
        <v>0</v>
      </c>
      <c r="GT51" s="48"/>
      <c r="GU51" s="15"/>
      <c r="GV51" s="15"/>
      <c r="GW51" s="15"/>
      <c r="GX51" s="15"/>
      <c r="GY51" s="15"/>
      <c r="GZ51" s="15"/>
      <c r="HA51" s="15"/>
      <c r="HB51" s="15"/>
      <c r="HC51" s="15"/>
      <c r="HD51" s="15"/>
      <c r="HE51" s="15"/>
    </row>
    <row r="52" ht="16.5" customHeight="1">
      <c r="A52" s="102" t="s">
        <v>155</v>
      </c>
      <c r="B52" s="106" t="str">
        <f>iferror(vlookup(A52,'SoS - Agents Info'!A:H,5,false),"")</f>
        <v>EN</v>
      </c>
      <c r="C52" s="107" t="str">
        <f>iferror(vlookup(A52,'SoS - Agents Info'!A:AQ,43,false),"")</f>
        <v>RA+VM</v>
      </c>
      <c r="D52" s="108" t="str">
        <f>iferror(vlookup(A52,'SoS - Agents Info'!A:H,6,false),"")</f>
        <v>WE+WD</v>
      </c>
      <c r="E52" s="108" t="str">
        <f>iferror(vlookup(A52,'SoS - Agents Info'!A:H,7,false),"")</f>
        <v>16:00-01:00</v>
      </c>
      <c r="F52" s="109">
        <f>IFERROR(__xludf.DUMMYFUNCTION("sum(COUNTIFS(Filter(FILTER('Shiftplan SoS'!G$3:GU166,'Shiftplan SoS'!$G$1:$GU$1&lt;=today()),'Shiftplan SoS'!$A$3:$A166=A52),""&gt;0"",(Filter(FILTER('Shiftplan SoS'!G$3:GU166,'Shiftplan SoS'!$G$1:$GU$1&lt;=today()),'Shiftplan SoS'!$A$3:$A166=A52)),""&lt;12""))"),36.0)</f>
        <v>36</v>
      </c>
      <c r="G52" s="16">
        <v>8.0</v>
      </c>
      <c r="H52" s="16">
        <v>8.0</v>
      </c>
      <c r="I52" s="16" t="s">
        <v>165</v>
      </c>
      <c r="J52" s="16" t="s">
        <v>165</v>
      </c>
      <c r="K52" s="16" t="s">
        <v>165</v>
      </c>
      <c r="L52" s="16" t="s">
        <v>165</v>
      </c>
      <c r="M52" s="16" t="s">
        <v>165</v>
      </c>
      <c r="N52" s="16">
        <v>8.0</v>
      </c>
      <c r="O52" s="16">
        <v>8.0</v>
      </c>
      <c r="P52" s="16" t="s">
        <v>165</v>
      </c>
      <c r="Q52" s="16" t="s">
        <v>165</v>
      </c>
      <c r="R52" s="16" t="s">
        <v>165</v>
      </c>
      <c r="S52" s="16" t="s">
        <v>165</v>
      </c>
      <c r="T52" s="16" t="s">
        <v>165</v>
      </c>
      <c r="U52" s="16">
        <v>8.0</v>
      </c>
      <c r="V52" s="16">
        <v>8.0</v>
      </c>
      <c r="W52" s="16" t="s">
        <v>165</v>
      </c>
      <c r="X52" s="16" t="s">
        <v>165</v>
      </c>
      <c r="Y52" s="16" t="s">
        <v>165</v>
      </c>
      <c r="Z52" s="16" t="s">
        <v>165</v>
      </c>
      <c r="AA52" s="16" t="s">
        <v>165</v>
      </c>
      <c r="AB52" s="16">
        <v>8.0</v>
      </c>
      <c r="AC52" s="16">
        <v>8.0</v>
      </c>
      <c r="AD52" s="16" t="s">
        <v>165</v>
      </c>
      <c r="AE52" s="16" t="s">
        <v>165</v>
      </c>
      <c r="AF52" s="16" t="s">
        <v>165</v>
      </c>
      <c r="AG52" s="16" t="s">
        <v>165</v>
      </c>
      <c r="AH52" s="16" t="s">
        <v>165</v>
      </c>
      <c r="AI52" s="110">
        <v>8.0</v>
      </c>
      <c r="AJ52" s="110">
        <v>8.0</v>
      </c>
      <c r="AK52" s="70" t="s">
        <v>165</v>
      </c>
      <c r="AL52" s="105">
        <f t="shared" si="5"/>
        <v>80</v>
      </c>
      <c r="AM52" s="48"/>
      <c r="AN52" s="16" t="s">
        <v>165</v>
      </c>
      <c r="AO52" s="16" t="s">
        <v>165</v>
      </c>
      <c r="AP52" s="16" t="s">
        <v>165</v>
      </c>
      <c r="AQ52" s="16" t="s">
        <v>165</v>
      </c>
      <c r="AR52" s="16">
        <v>8.0</v>
      </c>
      <c r="AS52" s="16">
        <v>8.0</v>
      </c>
      <c r="AT52" s="16" t="s">
        <v>165</v>
      </c>
      <c r="AU52" s="16" t="s">
        <v>165</v>
      </c>
      <c r="AV52" s="16" t="s">
        <v>165</v>
      </c>
      <c r="AW52" s="16" t="s">
        <v>165</v>
      </c>
      <c r="AX52" s="16" t="s">
        <v>165</v>
      </c>
      <c r="AY52" s="16">
        <v>8.0</v>
      </c>
      <c r="AZ52" s="16">
        <v>8.0</v>
      </c>
      <c r="BA52" s="16" t="s">
        <v>165</v>
      </c>
      <c r="BB52" s="16" t="s">
        <v>165</v>
      </c>
      <c r="BC52" s="16" t="s">
        <v>165</v>
      </c>
      <c r="BD52" s="16" t="s">
        <v>165</v>
      </c>
      <c r="BE52" s="16" t="s">
        <v>165</v>
      </c>
      <c r="BF52" s="16">
        <v>8.0</v>
      </c>
      <c r="BG52" s="16">
        <v>8.0</v>
      </c>
      <c r="BH52" s="16" t="s">
        <v>165</v>
      </c>
      <c r="BI52" s="16" t="s">
        <v>165</v>
      </c>
      <c r="BJ52" s="16" t="s">
        <v>165</v>
      </c>
      <c r="BK52" s="16" t="s">
        <v>165</v>
      </c>
      <c r="BL52" s="16" t="s">
        <v>165</v>
      </c>
      <c r="BM52" s="16">
        <v>8.0</v>
      </c>
      <c r="BN52" s="16">
        <v>8.0</v>
      </c>
      <c r="BO52" s="16" t="s">
        <v>165</v>
      </c>
      <c r="BP52" s="16" t="s">
        <v>165</v>
      </c>
      <c r="BQ52" s="16" t="s">
        <v>165</v>
      </c>
      <c r="BR52" s="105">
        <f t="shared" si="11"/>
        <v>64</v>
      </c>
      <c r="BS52" s="48"/>
      <c r="BT52" s="16" t="s">
        <v>165</v>
      </c>
      <c r="BU52" s="16" t="s">
        <v>165</v>
      </c>
      <c r="BV52" s="16">
        <v>8.0</v>
      </c>
      <c r="BW52" s="16">
        <v>8.0</v>
      </c>
      <c r="BX52" s="16" t="s">
        <v>165</v>
      </c>
      <c r="BY52" s="16" t="s">
        <v>165</v>
      </c>
      <c r="BZ52" s="16" t="s">
        <v>165</v>
      </c>
      <c r="CA52" s="16" t="s">
        <v>165</v>
      </c>
      <c r="CB52" s="16" t="s">
        <v>165</v>
      </c>
      <c r="CC52" s="16">
        <v>8.0</v>
      </c>
      <c r="CD52" s="16">
        <v>8.0</v>
      </c>
      <c r="CE52" s="16" t="s">
        <v>165</v>
      </c>
      <c r="CF52" s="16" t="s">
        <v>165</v>
      </c>
      <c r="CG52" s="16" t="s">
        <v>165</v>
      </c>
      <c r="CH52" s="16" t="s">
        <v>165</v>
      </c>
      <c r="CI52" s="16" t="s">
        <v>165</v>
      </c>
      <c r="CJ52" s="16">
        <v>8.0</v>
      </c>
      <c r="CK52" s="16">
        <v>8.0</v>
      </c>
      <c r="CL52" s="16" t="s">
        <v>165</v>
      </c>
      <c r="CM52" s="16" t="s">
        <v>165</v>
      </c>
      <c r="CN52" s="16" t="s">
        <v>165</v>
      </c>
      <c r="CO52" s="16" t="s">
        <v>165</v>
      </c>
      <c r="CP52" s="16" t="s">
        <v>165</v>
      </c>
      <c r="CQ52" s="110">
        <v>8.0</v>
      </c>
      <c r="CR52" s="110">
        <v>8.0</v>
      </c>
      <c r="CS52" s="16" t="s">
        <v>165</v>
      </c>
      <c r="CT52" s="16" t="s">
        <v>165</v>
      </c>
      <c r="CU52" s="16" t="s">
        <v>165</v>
      </c>
      <c r="CV52" s="16" t="s">
        <v>165</v>
      </c>
      <c r="CW52" s="16" t="s">
        <v>165</v>
      </c>
      <c r="CX52" s="16">
        <v>8.0</v>
      </c>
      <c r="CY52" s="105">
        <f t="shared" si="7"/>
        <v>72</v>
      </c>
      <c r="CZ52" s="48"/>
      <c r="DA52" s="113">
        <v>8.0</v>
      </c>
      <c r="DB52" s="113" t="s">
        <v>165</v>
      </c>
      <c r="DC52" s="113" t="s">
        <v>165</v>
      </c>
      <c r="DD52" s="113" t="s">
        <v>165</v>
      </c>
      <c r="DE52" s="113" t="s">
        <v>165</v>
      </c>
      <c r="DF52" s="113" t="s">
        <v>165</v>
      </c>
      <c r="DG52" s="113">
        <v>8.0</v>
      </c>
      <c r="DH52" s="113">
        <v>8.0</v>
      </c>
      <c r="DI52" s="113" t="s">
        <v>165</v>
      </c>
      <c r="DJ52" s="113" t="s">
        <v>165</v>
      </c>
      <c r="DK52" s="113" t="s">
        <v>165</v>
      </c>
      <c r="DL52" s="113" t="s">
        <v>165</v>
      </c>
      <c r="DM52" s="113" t="s">
        <v>165</v>
      </c>
      <c r="DN52" s="113">
        <v>8.0</v>
      </c>
      <c r="DO52" s="113">
        <v>8.0</v>
      </c>
      <c r="DP52" s="113" t="s">
        <v>165</v>
      </c>
      <c r="DQ52" s="113" t="s">
        <v>165</v>
      </c>
      <c r="DR52" s="113" t="s">
        <v>165</v>
      </c>
      <c r="DS52" s="113" t="s">
        <v>165</v>
      </c>
      <c r="DT52" s="113" t="s">
        <v>165</v>
      </c>
      <c r="DU52" s="113">
        <v>8.0</v>
      </c>
      <c r="DV52" s="113">
        <v>8.0</v>
      </c>
      <c r="DW52" s="113" t="s">
        <v>165</v>
      </c>
      <c r="DX52" s="113" t="s">
        <v>165</v>
      </c>
      <c r="DY52" s="113" t="s">
        <v>165</v>
      </c>
      <c r="DZ52" s="113" t="s">
        <v>165</v>
      </c>
      <c r="EA52" s="113" t="s">
        <v>165</v>
      </c>
      <c r="EB52" s="113">
        <v>8.0</v>
      </c>
      <c r="EC52" s="113">
        <v>8.0</v>
      </c>
      <c r="ED52" s="113" t="s">
        <v>165</v>
      </c>
      <c r="EE52" s="113" t="s">
        <v>165</v>
      </c>
      <c r="EF52" s="113">
        <f t="shared" si="8"/>
        <v>72</v>
      </c>
      <c r="EG52" s="48"/>
      <c r="EH52" s="15"/>
      <c r="EI52" s="15"/>
      <c r="EJ52" s="15"/>
      <c r="EK52" s="15"/>
      <c r="EL52" s="15"/>
      <c r="EM52" s="15"/>
      <c r="EN52" s="15"/>
      <c r="EO52" s="15"/>
      <c r="EP52" s="15"/>
      <c r="EQ52" s="15"/>
      <c r="ER52" s="15"/>
      <c r="ES52" s="15"/>
      <c r="ET52" s="15"/>
      <c r="EU52" s="15"/>
      <c r="EV52" s="15"/>
      <c r="EW52" s="15"/>
      <c r="EX52" s="15"/>
      <c r="EY52" s="15"/>
      <c r="EZ52" s="15"/>
      <c r="FA52" s="15"/>
      <c r="FB52" s="15"/>
      <c r="FC52" s="15"/>
      <c r="FD52" s="15"/>
      <c r="FE52" s="15"/>
      <c r="FF52" s="15"/>
      <c r="FG52" s="15"/>
      <c r="FH52" s="15"/>
      <c r="FI52" s="15"/>
      <c r="FJ52" s="15"/>
      <c r="FK52" s="15"/>
      <c r="FL52" s="105">
        <f t="shared" si="12"/>
        <v>0</v>
      </c>
      <c r="FM52" s="48"/>
      <c r="FN52" s="15"/>
      <c r="FO52" s="15"/>
      <c r="FP52" s="15"/>
      <c r="FQ52" s="15"/>
      <c r="FR52" s="15"/>
      <c r="FS52" s="15"/>
      <c r="FT52" s="15"/>
      <c r="FU52" s="15"/>
      <c r="FV52" s="15"/>
      <c r="FW52" s="15"/>
      <c r="FX52" s="15"/>
      <c r="FY52" s="15"/>
      <c r="FZ52" s="15"/>
      <c r="GA52" s="15"/>
      <c r="GB52" s="15"/>
      <c r="GC52" s="15"/>
      <c r="GD52" s="15"/>
      <c r="GE52" s="15"/>
      <c r="GF52" s="15"/>
      <c r="GG52" s="15"/>
      <c r="GH52" s="15"/>
      <c r="GI52" s="15"/>
      <c r="GJ52" s="15"/>
      <c r="GK52" s="15"/>
      <c r="GL52" s="15"/>
      <c r="GM52" s="15"/>
      <c r="GN52" s="15"/>
      <c r="GO52" s="15"/>
      <c r="GP52" s="15"/>
      <c r="GQ52" s="15"/>
      <c r="GR52" s="15"/>
      <c r="GS52" s="105">
        <f t="shared" si="13"/>
        <v>0</v>
      </c>
      <c r="GT52" s="48"/>
      <c r="GU52" s="15"/>
      <c r="GV52" s="15"/>
      <c r="GW52" s="15"/>
      <c r="GX52" s="15"/>
      <c r="GY52" s="15"/>
      <c r="GZ52" s="15"/>
      <c r="HA52" s="15"/>
      <c r="HB52" s="15"/>
      <c r="HC52" s="15"/>
      <c r="HD52" s="15"/>
      <c r="HE52" s="15"/>
    </row>
    <row r="53" ht="16.5" customHeight="1">
      <c r="A53" s="102" t="s">
        <v>272</v>
      </c>
      <c r="B53" s="106" t="str">
        <f>iferror(vlookup(A53,'SoS - Agents Info'!A:H,5,false),"")</f>
        <v>ES</v>
      </c>
      <c r="C53" s="107" t="str">
        <f>iferror(vlookup(A53,'SoS - Agents Info'!A:AQ,43,false),"")</f>
        <v>JM</v>
      </c>
      <c r="D53" s="108" t="str">
        <f>iferror(vlookup(A53,'SoS - Agents Info'!A:H,6,false),"")</f>
        <v>WE</v>
      </c>
      <c r="E53" s="108" t="str">
        <f>iferror(vlookup(A53,'SoS - Agents Info'!A:H,7,false),"")</f>
        <v>09:00-18:00</v>
      </c>
      <c r="F53" s="109">
        <f>IFERROR(__xludf.DUMMYFUNCTION("sum(COUNTIFS(Filter(FILTER('Shiftplan SoS'!G$3:GU166,'Shiftplan SoS'!$G$1:$GU$1&lt;=today()),'Shiftplan SoS'!$A$3:$A166=A53),""&gt;0"",(Filter(FILTER('Shiftplan SoS'!G$3:GU166,'Shiftplan SoS'!$G$1:$GU$1&lt;=today()),'Shiftplan SoS'!$A$3:$A166=A53)),""&lt;12""))"),36.0)</f>
        <v>36</v>
      </c>
      <c r="G53" s="16">
        <v>8.0</v>
      </c>
      <c r="H53" s="16">
        <v>8.0</v>
      </c>
      <c r="I53" s="16" t="s">
        <v>165</v>
      </c>
      <c r="J53" s="16" t="s">
        <v>165</v>
      </c>
      <c r="K53" s="16" t="s">
        <v>165</v>
      </c>
      <c r="L53" s="16" t="s">
        <v>165</v>
      </c>
      <c r="M53" s="16" t="s">
        <v>165</v>
      </c>
      <c r="N53" s="16">
        <v>8.0</v>
      </c>
      <c r="O53" s="16">
        <v>8.0</v>
      </c>
      <c r="P53" s="16" t="s">
        <v>165</v>
      </c>
      <c r="Q53" s="16" t="s">
        <v>165</v>
      </c>
      <c r="R53" s="16" t="s">
        <v>165</v>
      </c>
      <c r="S53" s="16" t="s">
        <v>165</v>
      </c>
      <c r="T53" s="16" t="s">
        <v>165</v>
      </c>
      <c r="U53" s="16">
        <v>8.0</v>
      </c>
      <c r="V53" s="16">
        <v>8.0</v>
      </c>
      <c r="W53" s="16" t="s">
        <v>165</v>
      </c>
      <c r="X53" s="16" t="s">
        <v>165</v>
      </c>
      <c r="Y53" s="16" t="s">
        <v>165</v>
      </c>
      <c r="Z53" s="16" t="s">
        <v>165</v>
      </c>
      <c r="AA53" s="16" t="s">
        <v>165</v>
      </c>
      <c r="AB53" s="16">
        <v>8.0</v>
      </c>
      <c r="AC53" s="16">
        <v>8.0</v>
      </c>
      <c r="AD53" s="16" t="s">
        <v>165</v>
      </c>
      <c r="AE53" s="16" t="s">
        <v>165</v>
      </c>
      <c r="AF53" s="16" t="s">
        <v>165</v>
      </c>
      <c r="AG53" s="16" t="s">
        <v>165</v>
      </c>
      <c r="AH53" s="16" t="s">
        <v>165</v>
      </c>
      <c r="AI53" s="110">
        <v>8.0</v>
      </c>
      <c r="AJ53" s="110">
        <v>8.0</v>
      </c>
      <c r="AK53" s="70" t="s">
        <v>165</v>
      </c>
      <c r="AL53" s="105">
        <f t="shared" si="5"/>
        <v>80</v>
      </c>
      <c r="AM53" s="48"/>
      <c r="AN53" s="16" t="s">
        <v>165</v>
      </c>
      <c r="AO53" s="16" t="s">
        <v>165</v>
      </c>
      <c r="AP53" s="16" t="s">
        <v>165</v>
      </c>
      <c r="AQ53" s="16" t="s">
        <v>165</v>
      </c>
      <c r="AR53" s="16">
        <v>8.0</v>
      </c>
      <c r="AS53" s="16">
        <v>8.0</v>
      </c>
      <c r="AT53" s="16" t="s">
        <v>165</v>
      </c>
      <c r="AU53" s="16" t="s">
        <v>165</v>
      </c>
      <c r="AV53" s="16" t="s">
        <v>165</v>
      </c>
      <c r="AW53" s="16" t="s">
        <v>165</v>
      </c>
      <c r="AX53" s="16" t="s">
        <v>165</v>
      </c>
      <c r="AY53" s="16">
        <v>8.0</v>
      </c>
      <c r="AZ53" s="16">
        <v>8.0</v>
      </c>
      <c r="BA53" s="16" t="s">
        <v>165</v>
      </c>
      <c r="BB53" s="16" t="s">
        <v>165</v>
      </c>
      <c r="BC53" s="16" t="s">
        <v>165</v>
      </c>
      <c r="BD53" s="16" t="s">
        <v>165</v>
      </c>
      <c r="BE53" s="16" t="s">
        <v>165</v>
      </c>
      <c r="BF53" s="16">
        <v>8.0</v>
      </c>
      <c r="BG53" s="16">
        <v>8.0</v>
      </c>
      <c r="BH53" s="16" t="s">
        <v>165</v>
      </c>
      <c r="BI53" s="16" t="s">
        <v>165</v>
      </c>
      <c r="BJ53" s="16" t="s">
        <v>165</v>
      </c>
      <c r="BK53" s="16" t="s">
        <v>165</v>
      </c>
      <c r="BL53" s="16" t="s">
        <v>165</v>
      </c>
      <c r="BM53" s="16">
        <v>8.0</v>
      </c>
      <c r="BN53" s="16">
        <v>8.0</v>
      </c>
      <c r="BO53" s="16" t="s">
        <v>165</v>
      </c>
      <c r="BP53" s="16" t="s">
        <v>165</v>
      </c>
      <c r="BQ53" s="16" t="s">
        <v>165</v>
      </c>
      <c r="BR53" s="105">
        <f t="shared" si="11"/>
        <v>64</v>
      </c>
      <c r="BS53" s="48"/>
      <c r="BT53" s="16" t="s">
        <v>165</v>
      </c>
      <c r="BU53" s="16" t="s">
        <v>165</v>
      </c>
      <c r="BV53" s="16">
        <v>8.0</v>
      </c>
      <c r="BW53" s="16">
        <v>8.0</v>
      </c>
      <c r="BX53" s="16" t="s">
        <v>165</v>
      </c>
      <c r="BY53" s="16" t="s">
        <v>165</v>
      </c>
      <c r="BZ53" s="16" t="s">
        <v>165</v>
      </c>
      <c r="CA53" s="16" t="s">
        <v>165</v>
      </c>
      <c r="CB53" s="16" t="s">
        <v>165</v>
      </c>
      <c r="CC53" s="16">
        <v>8.0</v>
      </c>
      <c r="CD53" s="16">
        <v>8.0</v>
      </c>
      <c r="CE53" s="16" t="s">
        <v>165</v>
      </c>
      <c r="CF53" s="16" t="s">
        <v>165</v>
      </c>
      <c r="CG53" s="16" t="s">
        <v>165</v>
      </c>
      <c r="CH53" s="16" t="s">
        <v>165</v>
      </c>
      <c r="CI53" s="16" t="s">
        <v>165</v>
      </c>
      <c r="CJ53" s="16">
        <v>8.0</v>
      </c>
      <c r="CK53" s="16">
        <v>8.0</v>
      </c>
      <c r="CL53" s="16" t="s">
        <v>165</v>
      </c>
      <c r="CM53" s="16" t="s">
        <v>165</v>
      </c>
      <c r="CN53" s="16" t="s">
        <v>165</v>
      </c>
      <c r="CO53" s="16" t="s">
        <v>165</v>
      </c>
      <c r="CP53" s="16" t="s">
        <v>165</v>
      </c>
      <c r="CQ53" s="16">
        <v>8.0</v>
      </c>
      <c r="CR53" s="16">
        <v>8.0</v>
      </c>
      <c r="CS53" s="16" t="s">
        <v>165</v>
      </c>
      <c r="CT53" s="16" t="s">
        <v>165</v>
      </c>
      <c r="CU53" s="16" t="s">
        <v>165</v>
      </c>
      <c r="CV53" s="16" t="s">
        <v>165</v>
      </c>
      <c r="CW53" s="16" t="s">
        <v>165</v>
      </c>
      <c r="CX53" s="16">
        <v>8.0</v>
      </c>
      <c r="CY53" s="105">
        <f t="shared" si="7"/>
        <v>72</v>
      </c>
      <c r="CZ53" s="48"/>
      <c r="DA53" s="113">
        <v>8.0</v>
      </c>
      <c r="DB53" s="113" t="s">
        <v>165</v>
      </c>
      <c r="DC53" s="113" t="s">
        <v>165</v>
      </c>
      <c r="DD53" s="113" t="s">
        <v>165</v>
      </c>
      <c r="DE53" s="113" t="s">
        <v>165</v>
      </c>
      <c r="DF53" s="113" t="s">
        <v>165</v>
      </c>
      <c r="DG53" s="113">
        <v>8.0</v>
      </c>
      <c r="DH53" s="113">
        <v>8.0</v>
      </c>
      <c r="DI53" s="113" t="s">
        <v>165</v>
      </c>
      <c r="DJ53" s="113" t="s">
        <v>165</v>
      </c>
      <c r="DK53" s="113" t="s">
        <v>165</v>
      </c>
      <c r="DL53" s="113" t="s">
        <v>165</v>
      </c>
      <c r="DM53" s="113" t="s">
        <v>165</v>
      </c>
      <c r="DN53" s="113">
        <v>8.0</v>
      </c>
      <c r="DO53" s="113">
        <v>8.0</v>
      </c>
      <c r="DP53" s="113" t="s">
        <v>165</v>
      </c>
      <c r="DQ53" s="113" t="s">
        <v>165</v>
      </c>
      <c r="DR53" s="113" t="s">
        <v>165</v>
      </c>
      <c r="DS53" s="113" t="s">
        <v>165</v>
      </c>
      <c r="DT53" s="113" t="s">
        <v>165</v>
      </c>
      <c r="DU53" s="113">
        <v>8.0</v>
      </c>
      <c r="DV53" s="113">
        <v>8.0</v>
      </c>
      <c r="DW53" s="113" t="s">
        <v>165</v>
      </c>
      <c r="DX53" s="113" t="s">
        <v>165</v>
      </c>
      <c r="DY53" s="113" t="s">
        <v>165</v>
      </c>
      <c r="DZ53" s="113" t="s">
        <v>165</v>
      </c>
      <c r="EA53" s="113" t="s">
        <v>165</v>
      </c>
      <c r="EB53" s="113">
        <v>8.0</v>
      </c>
      <c r="EC53" s="113">
        <v>8.0</v>
      </c>
      <c r="ED53" s="113" t="s">
        <v>165</v>
      </c>
      <c r="EE53" s="113" t="s">
        <v>165</v>
      </c>
      <c r="EF53" s="113">
        <f t="shared" si="8"/>
        <v>72</v>
      </c>
      <c r="EG53" s="48"/>
      <c r="EH53" s="15"/>
      <c r="EI53" s="15"/>
      <c r="EJ53" s="15"/>
      <c r="EK53" s="15"/>
      <c r="EL53" s="15"/>
      <c r="EM53" s="15"/>
      <c r="EN53" s="15"/>
      <c r="EO53" s="15"/>
      <c r="EP53" s="15"/>
      <c r="EQ53" s="15"/>
      <c r="ER53" s="15"/>
      <c r="ES53" s="15"/>
      <c r="ET53" s="15"/>
      <c r="EU53" s="15"/>
      <c r="EV53" s="15"/>
      <c r="EW53" s="15"/>
      <c r="EX53" s="15"/>
      <c r="EY53" s="15"/>
      <c r="EZ53" s="15"/>
      <c r="FA53" s="15"/>
      <c r="FB53" s="15"/>
      <c r="FC53" s="15"/>
      <c r="FD53" s="15"/>
      <c r="FE53" s="15"/>
      <c r="FF53" s="15"/>
      <c r="FG53" s="15"/>
      <c r="FH53" s="15"/>
      <c r="FI53" s="15"/>
      <c r="FJ53" s="15"/>
      <c r="FK53" s="15"/>
      <c r="FL53" s="105">
        <f t="shared" si="12"/>
        <v>0</v>
      </c>
      <c r="FM53" s="48"/>
      <c r="FN53" s="15"/>
      <c r="FO53" s="15"/>
      <c r="FP53" s="15"/>
      <c r="FQ53" s="15"/>
      <c r="FR53" s="15"/>
      <c r="FS53" s="15"/>
      <c r="FT53" s="15"/>
      <c r="FU53" s="15"/>
      <c r="FV53" s="15"/>
      <c r="FW53" s="15"/>
      <c r="FX53" s="15"/>
      <c r="FY53" s="15"/>
      <c r="FZ53" s="15"/>
      <c r="GA53" s="15"/>
      <c r="GB53" s="15"/>
      <c r="GC53" s="15"/>
      <c r="GD53" s="15"/>
      <c r="GE53" s="15"/>
      <c r="GF53" s="15"/>
      <c r="GG53" s="15"/>
      <c r="GH53" s="15"/>
      <c r="GI53" s="15"/>
      <c r="GJ53" s="15"/>
      <c r="GK53" s="15"/>
      <c r="GL53" s="15"/>
      <c r="GM53" s="15"/>
      <c r="GN53" s="15"/>
      <c r="GO53" s="15"/>
      <c r="GP53" s="15"/>
      <c r="GQ53" s="15"/>
      <c r="GR53" s="15"/>
      <c r="GS53" s="105">
        <f t="shared" si="13"/>
        <v>0</v>
      </c>
      <c r="GT53" s="48"/>
      <c r="GU53" s="15"/>
      <c r="GV53" s="15"/>
      <c r="GW53" s="15"/>
      <c r="GX53" s="15"/>
      <c r="GY53" s="15"/>
      <c r="GZ53" s="15"/>
      <c r="HA53" s="15"/>
      <c r="HB53" s="15"/>
      <c r="HC53" s="15"/>
      <c r="HD53" s="15"/>
      <c r="HE53" s="15"/>
    </row>
    <row r="54" ht="16.5" customHeight="1">
      <c r="A54" s="101" t="s">
        <v>273</v>
      </c>
      <c r="B54" s="106" t="str">
        <f>iferror(vlookup(A54,'SoS - Agents Info'!A:H,5,false),"")</f>
        <v>PT</v>
      </c>
      <c r="C54" s="107" t="str">
        <f>iferror(vlookup(A54,'SoS - Agents Info'!A:AQ,43,false),"")</f>
        <v>JM</v>
      </c>
      <c r="D54" s="108" t="str">
        <f>iferror(vlookup(A54,'SoS - Agents Info'!A:H,6,false),"")</f>
        <v>WD</v>
      </c>
      <c r="E54" s="108" t="str">
        <f>iferror(vlookup(A54,'SoS - Agents Info'!A:H,7,false),"")</f>
        <v>08:00-17:00</v>
      </c>
      <c r="F54" s="109">
        <f>IFERROR(__xludf.DUMMYFUNCTION("sum(COUNTIFS(Filter(FILTER('Shiftplan SoS'!G$3:GU166,'Shiftplan SoS'!$G$1:$GU$1&lt;=today()),'Shiftplan SoS'!$A$3:$A166=A54),""&gt;0"",(Filter(FILTER('Shiftplan SoS'!G$3:GU166,'Shiftplan SoS'!$G$1:$GU$1&lt;=today()),'Shiftplan SoS'!$A$3:$A166=A54)),""&lt;12""))"),75.0)</f>
        <v>75</v>
      </c>
      <c r="G54" s="135"/>
      <c r="H54" s="135"/>
      <c r="I54" s="135"/>
      <c r="J54" s="135"/>
      <c r="K54" s="135"/>
      <c r="L54" s="135"/>
      <c r="M54" s="135"/>
      <c r="N54" s="135"/>
      <c r="O54" s="135"/>
      <c r="P54" s="135"/>
      <c r="Q54" s="135"/>
      <c r="R54" s="137"/>
      <c r="S54" s="135"/>
      <c r="T54" s="135"/>
      <c r="U54" s="135"/>
      <c r="V54" s="135"/>
      <c r="W54" s="16">
        <v>8.0</v>
      </c>
      <c r="X54" s="16">
        <v>8.0</v>
      </c>
      <c r="Y54" s="16">
        <v>8.0</v>
      </c>
      <c r="Z54" s="16">
        <v>8.0</v>
      </c>
      <c r="AA54" s="16">
        <v>8.0</v>
      </c>
      <c r="AB54" s="16" t="s">
        <v>165</v>
      </c>
      <c r="AC54" s="16" t="s">
        <v>165</v>
      </c>
      <c r="AD54" s="16">
        <v>8.0</v>
      </c>
      <c r="AE54" s="16">
        <v>8.0</v>
      </c>
      <c r="AF54" s="16">
        <v>8.0</v>
      </c>
      <c r="AG54" s="16">
        <v>8.0</v>
      </c>
      <c r="AH54" s="16">
        <v>8.0</v>
      </c>
      <c r="AI54" s="16" t="s">
        <v>165</v>
      </c>
      <c r="AJ54" s="16" t="s">
        <v>165</v>
      </c>
      <c r="AK54" s="125">
        <v>8.0</v>
      </c>
      <c r="AL54" s="105">
        <f t="shared" si="5"/>
        <v>88</v>
      </c>
      <c r="AM54" s="48"/>
      <c r="AN54" s="110">
        <v>8.0</v>
      </c>
      <c r="AO54" s="16">
        <v>8.0</v>
      </c>
      <c r="AP54" s="16" t="s">
        <v>171</v>
      </c>
      <c r="AQ54" s="16">
        <v>8.0</v>
      </c>
      <c r="AR54" s="16" t="s">
        <v>165</v>
      </c>
      <c r="AS54" s="16" t="s">
        <v>165</v>
      </c>
      <c r="AT54" s="16">
        <v>8.0</v>
      </c>
      <c r="AU54" s="16">
        <v>8.0</v>
      </c>
      <c r="AV54" s="16">
        <v>8.0</v>
      </c>
      <c r="AW54" s="16">
        <v>8.0</v>
      </c>
      <c r="AX54" s="16">
        <v>8.0</v>
      </c>
      <c r="AY54" s="16" t="s">
        <v>165</v>
      </c>
      <c r="AZ54" s="16" t="s">
        <v>165</v>
      </c>
      <c r="BA54" s="110">
        <v>8.0</v>
      </c>
      <c r="BB54" s="110">
        <v>8.0</v>
      </c>
      <c r="BC54" s="110">
        <v>8.0</v>
      </c>
      <c r="BD54" s="110">
        <v>8.0</v>
      </c>
      <c r="BE54" s="110">
        <v>8.0</v>
      </c>
      <c r="BF54" s="16" t="s">
        <v>165</v>
      </c>
      <c r="BG54" s="16" t="s">
        <v>165</v>
      </c>
      <c r="BH54" s="110">
        <v>8.0</v>
      </c>
      <c r="BI54" s="110">
        <v>8.0</v>
      </c>
      <c r="BJ54" s="16">
        <v>8.0</v>
      </c>
      <c r="BK54" s="110">
        <v>8.0</v>
      </c>
      <c r="BL54" s="110">
        <v>8.0</v>
      </c>
      <c r="BM54" s="16" t="s">
        <v>165</v>
      </c>
      <c r="BN54" s="16" t="s">
        <v>165</v>
      </c>
      <c r="BO54" s="16">
        <v>8.0</v>
      </c>
      <c r="BP54" s="16">
        <v>8.0</v>
      </c>
      <c r="BQ54" s="16">
        <v>8.0</v>
      </c>
      <c r="BR54" s="105">
        <f t="shared" si="11"/>
        <v>168</v>
      </c>
      <c r="BS54" s="48"/>
      <c r="BT54" s="64">
        <v>8.0</v>
      </c>
      <c r="BU54" s="64">
        <v>8.0</v>
      </c>
      <c r="BV54" s="114" t="s">
        <v>165</v>
      </c>
      <c r="BW54" s="114" t="s">
        <v>165</v>
      </c>
      <c r="BX54" s="64">
        <v>8.0</v>
      </c>
      <c r="BY54" s="64">
        <v>8.0</v>
      </c>
      <c r="BZ54" s="64">
        <v>8.0</v>
      </c>
      <c r="CA54" s="64">
        <v>8.0</v>
      </c>
      <c r="CB54" s="25" t="s">
        <v>171</v>
      </c>
      <c r="CC54" s="114" t="s">
        <v>165</v>
      </c>
      <c r="CD54" s="114" t="s">
        <v>165</v>
      </c>
      <c r="CE54" s="64">
        <v>8.0</v>
      </c>
      <c r="CF54" s="64">
        <v>8.0</v>
      </c>
      <c r="CG54" s="64">
        <v>8.0</v>
      </c>
      <c r="CH54" s="64">
        <v>8.0</v>
      </c>
      <c r="CI54" s="64">
        <v>8.0</v>
      </c>
      <c r="CJ54" s="114" t="s">
        <v>165</v>
      </c>
      <c r="CK54" s="114" t="s">
        <v>165</v>
      </c>
      <c r="CL54" s="64">
        <v>8.0</v>
      </c>
      <c r="CM54" s="64">
        <v>8.0</v>
      </c>
      <c r="CN54" s="64">
        <v>8.0</v>
      </c>
      <c r="CO54" s="64">
        <v>8.0</v>
      </c>
      <c r="CP54" s="64">
        <v>8.0</v>
      </c>
      <c r="CQ54" s="114" t="s">
        <v>165</v>
      </c>
      <c r="CR54" s="114" t="s">
        <v>165</v>
      </c>
      <c r="CS54" s="64">
        <v>8.0</v>
      </c>
      <c r="CT54" s="64">
        <v>8.0</v>
      </c>
      <c r="CU54" s="64">
        <v>8.0</v>
      </c>
      <c r="CV54" s="64">
        <v>8.0</v>
      </c>
      <c r="CW54" s="64">
        <v>8.0</v>
      </c>
      <c r="CX54" s="114" t="s">
        <v>165</v>
      </c>
      <c r="CY54" s="105">
        <f t="shared" si="7"/>
        <v>168</v>
      </c>
      <c r="CZ54" s="48"/>
      <c r="DA54" s="113" t="s">
        <v>165</v>
      </c>
      <c r="DB54" s="113">
        <v>8.0</v>
      </c>
      <c r="DC54" s="113">
        <v>8.0</v>
      </c>
      <c r="DD54" s="113">
        <v>8.0</v>
      </c>
      <c r="DE54" s="113">
        <v>8.0</v>
      </c>
      <c r="DF54" s="113">
        <v>8.0</v>
      </c>
      <c r="DG54" s="113" t="s">
        <v>165</v>
      </c>
      <c r="DH54" s="113" t="s">
        <v>165</v>
      </c>
      <c r="DI54" s="113">
        <v>8.0</v>
      </c>
      <c r="DJ54" s="113">
        <v>8.0</v>
      </c>
      <c r="DK54" s="113">
        <v>8.0</v>
      </c>
      <c r="DL54" s="113">
        <v>8.0</v>
      </c>
      <c r="DM54" s="113">
        <v>8.0</v>
      </c>
      <c r="DN54" s="113" t="s">
        <v>165</v>
      </c>
      <c r="DO54" s="113" t="s">
        <v>165</v>
      </c>
      <c r="DP54" s="113">
        <v>8.0</v>
      </c>
      <c r="DQ54" s="113">
        <v>8.0</v>
      </c>
      <c r="DR54" s="113">
        <v>8.0</v>
      </c>
      <c r="DS54" s="113">
        <v>8.0</v>
      </c>
      <c r="DT54" s="113">
        <v>8.0</v>
      </c>
      <c r="DU54" s="113" t="s">
        <v>165</v>
      </c>
      <c r="DV54" s="113" t="s">
        <v>165</v>
      </c>
      <c r="DW54" s="113">
        <v>8.0</v>
      </c>
      <c r="DX54" s="113">
        <v>8.0</v>
      </c>
      <c r="DY54" s="113">
        <v>8.0</v>
      </c>
      <c r="DZ54" s="113">
        <v>8.0</v>
      </c>
      <c r="EA54" s="113">
        <v>8.0</v>
      </c>
      <c r="EB54" s="113" t="s">
        <v>165</v>
      </c>
      <c r="EC54" s="113" t="s">
        <v>165</v>
      </c>
      <c r="ED54" s="113">
        <v>8.0</v>
      </c>
      <c r="EE54" s="113">
        <v>8.0</v>
      </c>
      <c r="EF54" s="113">
        <f t="shared" si="8"/>
        <v>176</v>
      </c>
      <c r="EG54" s="48"/>
      <c r="EH54" s="15"/>
      <c r="EI54" s="15"/>
      <c r="EJ54" s="15"/>
      <c r="EK54" s="15"/>
      <c r="EL54" s="15"/>
      <c r="EM54" s="15"/>
      <c r="EN54" s="15"/>
      <c r="EO54" s="15"/>
      <c r="EP54" s="15"/>
      <c r="EQ54" s="15"/>
      <c r="ER54" s="15"/>
      <c r="ES54" s="15"/>
      <c r="ET54" s="15"/>
      <c r="EU54" s="15"/>
      <c r="EV54" s="15"/>
      <c r="EW54" s="15"/>
      <c r="EX54" s="15"/>
      <c r="EY54" s="15"/>
      <c r="EZ54" s="15"/>
      <c r="FA54" s="15"/>
      <c r="FB54" s="15"/>
      <c r="FC54" s="15"/>
      <c r="FD54" s="15"/>
      <c r="FE54" s="15"/>
      <c r="FF54" s="15"/>
      <c r="FG54" s="15"/>
      <c r="FH54" s="15"/>
      <c r="FI54" s="15"/>
      <c r="FJ54" s="15"/>
      <c r="FK54" s="15"/>
      <c r="FL54" s="105">
        <f t="shared" si="12"/>
        <v>0</v>
      </c>
      <c r="FM54" s="48"/>
      <c r="FN54" s="15"/>
      <c r="FO54" s="15"/>
      <c r="FP54" s="15"/>
      <c r="FQ54" s="15"/>
      <c r="FR54" s="15"/>
      <c r="FS54" s="15"/>
      <c r="FT54" s="15"/>
      <c r="FU54" s="15"/>
      <c r="FV54" s="15"/>
      <c r="FW54" s="15"/>
      <c r="FX54" s="15"/>
      <c r="FY54" s="15"/>
      <c r="FZ54" s="15"/>
      <c r="GA54" s="15"/>
      <c r="GB54" s="15"/>
      <c r="GC54" s="15"/>
      <c r="GD54" s="15"/>
      <c r="GE54" s="15"/>
      <c r="GF54" s="15"/>
      <c r="GG54" s="15"/>
      <c r="GH54" s="15"/>
      <c r="GI54" s="15"/>
      <c r="GJ54" s="15"/>
      <c r="GK54" s="15"/>
      <c r="GL54" s="15"/>
      <c r="GM54" s="15"/>
      <c r="GN54" s="15"/>
      <c r="GO54" s="15"/>
      <c r="GP54" s="15"/>
      <c r="GQ54" s="15"/>
      <c r="GR54" s="15"/>
      <c r="GS54" s="105">
        <f t="shared" si="13"/>
        <v>0</v>
      </c>
      <c r="GT54" s="48"/>
      <c r="GU54" s="15"/>
      <c r="GV54" s="15"/>
      <c r="GW54" s="15"/>
      <c r="GX54" s="15"/>
      <c r="GY54" s="15"/>
      <c r="GZ54" s="15"/>
      <c r="HA54" s="15"/>
      <c r="HB54" s="15"/>
      <c r="HC54" s="15"/>
      <c r="HD54" s="15"/>
      <c r="HE54" s="15"/>
    </row>
    <row r="55" ht="16.5" customHeight="1">
      <c r="A55" s="138" t="s">
        <v>274</v>
      </c>
      <c r="B55" s="106" t="str">
        <f>iferror(vlookup(A55,'SoS - Agents Info'!A:H,5,false),"")</f>
        <v>RU</v>
      </c>
      <c r="C55" s="107" t="str">
        <f>iferror(vlookup(A55,'SoS - Agents Info'!A:AQ,43,false),"")</f>
        <v>JM</v>
      </c>
      <c r="D55" s="108" t="str">
        <f>iferror(vlookup(A55,'SoS - Agents Info'!A:H,6,false),"")</f>
        <v>WE</v>
      </c>
      <c r="E55" s="108" t="str">
        <f>iferror(vlookup(A55,'SoS - Agents Info'!A:H,7,false),"")</f>
        <v>08:00-17:00</v>
      </c>
      <c r="F55" s="109">
        <f>IFERROR(__xludf.DUMMYFUNCTION("sum(COUNTIFS(Filter(FILTER('Shiftplan SoS'!G$3:GU166,'Shiftplan SoS'!$G$1:$GU$1&lt;=today()),'Shiftplan SoS'!$A$3:$A166=A55),""&gt;0"",(Filter(FILTER('Shiftplan SoS'!G$3:GU166,'Shiftplan SoS'!$G$1:$GU$1&lt;=today()),'Shiftplan SoS'!$A$3:$A166=A55)),""&lt;12""))"),35.0)</f>
        <v>35</v>
      </c>
      <c r="G55" s="135"/>
      <c r="H55" s="135"/>
      <c r="I55" s="135"/>
      <c r="J55" s="135"/>
      <c r="K55" s="135"/>
      <c r="L55" s="135"/>
      <c r="M55" s="135"/>
      <c r="N55" s="135"/>
      <c r="O55" s="135"/>
      <c r="P55" s="135"/>
      <c r="Q55" s="135"/>
      <c r="R55" s="137"/>
      <c r="S55" s="135"/>
      <c r="T55" s="135"/>
      <c r="U55" s="137">
        <v>8.0</v>
      </c>
      <c r="V55" s="137">
        <v>8.0</v>
      </c>
      <c r="W55" s="16">
        <v>4.0</v>
      </c>
      <c r="X55" s="16">
        <v>4.0</v>
      </c>
      <c r="Y55" s="16">
        <v>4.0</v>
      </c>
      <c r="Z55" s="16">
        <v>4.0</v>
      </c>
      <c r="AA55" s="16">
        <v>4.0</v>
      </c>
      <c r="AB55" s="16" t="s">
        <v>165</v>
      </c>
      <c r="AC55" s="16" t="s">
        <v>165</v>
      </c>
      <c r="AD55" s="16">
        <v>4.0</v>
      </c>
      <c r="AE55" s="16" t="s">
        <v>165</v>
      </c>
      <c r="AF55" s="16" t="s">
        <v>165</v>
      </c>
      <c r="AG55" s="16" t="s">
        <v>165</v>
      </c>
      <c r="AH55" s="16" t="s">
        <v>165</v>
      </c>
      <c r="AI55" s="110">
        <v>8.0</v>
      </c>
      <c r="AJ55" s="110">
        <v>8.0</v>
      </c>
      <c r="AK55" s="70" t="s">
        <v>165</v>
      </c>
      <c r="AL55" s="105">
        <f t="shared" si="5"/>
        <v>56</v>
      </c>
      <c r="AM55" s="48"/>
      <c r="AN55" s="16">
        <v>8.0</v>
      </c>
      <c r="AO55" s="16" t="s">
        <v>165</v>
      </c>
      <c r="AP55" s="16" t="s">
        <v>165</v>
      </c>
      <c r="AQ55" s="16" t="s">
        <v>165</v>
      </c>
      <c r="AR55" s="16" t="s">
        <v>245</v>
      </c>
      <c r="AS55" s="16">
        <v>8.0</v>
      </c>
      <c r="AT55" s="16" t="s">
        <v>165</v>
      </c>
      <c r="AU55" s="16" t="s">
        <v>165</v>
      </c>
      <c r="AV55" s="16" t="s">
        <v>165</v>
      </c>
      <c r="AW55" s="16" t="s">
        <v>165</v>
      </c>
      <c r="AX55" s="16" t="s">
        <v>165</v>
      </c>
      <c r="AY55" s="16">
        <v>8.0</v>
      </c>
      <c r="AZ55" s="16">
        <v>8.0</v>
      </c>
      <c r="BA55" s="16" t="s">
        <v>165</v>
      </c>
      <c r="BB55" s="16" t="s">
        <v>165</v>
      </c>
      <c r="BC55" s="16" t="s">
        <v>165</v>
      </c>
      <c r="BD55" s="16" t="s">
        <v>165</v>
      </c>
      <c r="BE55" s="16" t="s">
        <v>165</v>
      </c>
      <c r="BF55" s="16">
        <v>8.0</v>
      </c>
      <c r="BG55" s="16">
        <v>8.0</v>
      </c>
      <c r="BH55" s="16" t="s">
        <v>165</v>
      </c>
      <c r="BI55" s="16" t="s">
        <v>165</v>
      </c>
      <c r="BJ55" s="16" t="s">
        <v>165</v>
      </c>
      <c r="BK55" s="16" t="s">
        <v>165</v>
      </c>
      <c r="BL55" s="16" t="s">
        <v>165</v>
      </c>
      <c r="BM55" s="16">
        <v>8.0</v>
      </c>
      <c r="BN55" s="16">
        <v>8.0</v>
      </c>
      <c r="BO55" s="16" t="s">
        <v>165</v>
      </c>
      <c r="BP55" s="16" t="s">
        <v>165</v>
      </c>
      <c r="BQ55" s="16" t="s">
        <v>165</v>
      </c>
      <c r="BR55" s="105">
        <f t="shared" si="11"/>
        <v>64</v>
      </c>
      <c r="BS55" s="48"/>
      <c r="BT55" s="16" t="s">
        <v>165</v>
      </c>
      <c r="BU55" s="16" t="s">
        <v>165</v>
      </c>
      <c r="BV55" s="16">
        <v>8.0</v>
      </c>
      <c r="BW55" s="16">
        <v>8.0</v>
      </c>
      <c r="BX55" s="16" t="s">
        <v>165</v>
      </c>
      <c r="BY55" s="16" t="s">
        <v>165</v>
      </c>
      <c r="BZ55" s="16" t="s">
        <v>165</v>
      </c>
      <c r="CA55" s="16" t="s">
        <v>165</v>
      </c>
      <c r="CB55" s="16" t="s">
        <v>165</v>
      </c>
      <c r="CC55" s="16">
        <v>8.0</v>
      </c>
      <c r="CD55" s="16">
        <v>8.0</v>
      </c>
      <c r="CE55" s="16" t="s">
        <v>165</v>
      </c>
      <c r="CF55" s="16" t="s">
        <v>165</v>
      </c>
      <c r="CG55" s="16" t="s">
        <v>165</v>
      </c>
      <c r="CH55" s="16" t="s">
        <v>165</v>
      </c>
      <c r="CI55" s="16" t="s">
        <v>165</v>
      </c>
      <c r="CJ55" s="16">
        <v>8.0</v>
      </c>
      <c r="CK55" s="16">
        <v>8.0</v>
      </c>
      <c r="CL55" s="16" t="s">
        <v>165</v>
      </c>
      <c r="CM55" s="16" t="s">
        <v>165</v>
      </c>
      <c r="CN55" s="16" t="s">
        <v>165</v>
      </c>
      <c r="CO55" s="16" t="s">
        <v>165</v>
      </c>
      <c r="CP55" s="16" t="s">
        <v>165</v>
      </c>
      <c r="CQ55" s="16" t="s">
        <v>245</v>
      </c>
      <c r="CR55" s="16">
        <v>8.0</v>
      </c>
      <c r="CS55" s="16" t="s">
        <v>165</v>
      </c>
      <c r="CT55" s="16" t="s">
        <v>165</v>
      </c>
      <c r="CU55" s="16" t="s">
        <v>165</v>
      </c>
      <c r="CV55" s="16" t="s">
        <v>165</v>
      </c>
      <c r="CW55" s="16" t="s">
        <v>165</v>
      </c>
      <c r="CX55" s="16">
        <v>8.0</v>
      </c>
      <c r="CY55" s="105">
        <f t="shared" si="7"/>
        <v>64</v>
      </c>
      <c r="CZ55" s="48"/>
      <c r="DA55" s="113">
        <v>8.0</v>
      </c>
      <c r="DB55" s="113" t="s">
        <v>165</v>
      </c>
      <c r="DC55" s="113" t="s">
        <v>165</v>
      </c>
      <c r="DD55" s="113" t="s">
        <v>165</v>
      </c>
      <c r="DE55" s="113" t="s">
        <v>165</v>
      </c>
      <c r="DF55" s="113" t="s">
        <v>165</v>
      </c>
      <c r="DG55" s="113">
        <v>8.0</v>
      </c>
      <c r="DH55" s="113">
        <v>8.0</v>
      </c>
      <c r="DI55" s="113" t="s">
        <v>165</v>
      </c>
      <c r="DJ55" s="113" t="s">
        <v>165</v>
      </c>
      <c r="DK55" s="113" t="s">
        <v>165</v>
      </c>
      <c r="DL55" s="113" t="s">
        <v>165</v>
      </c>
      <c r="DM55" s="113" t="s">
        <v>165</v>
      </c>
      <c r="DN55" s="113">
        <v>8.0</v>
      </c>
      <c r="DO55" s="113">
        <v>8.0</v>
      </c>
      <c r="DP55" s="113" t="s">
        <v>165</v>
      </c>
      <c r="DQ55" s="113" t="s">
        <v>165</v>
      </c>
      <c r="DR55" s="113" t="s">
        <v>165</v>
      </c>
      <c r="DS55" s="113" t="s">
        <v>165</v>
      </c>
      <c r="DT55" s="113" t="s">
        <v>165</v>
      </c>
      <c r="DU55" s="113">
        <v>8.0</v>
      </c>
      <c r="DV55" s="113">
        <v>8.0</v>
      </c>
      <c r="DW55" s="113" t="s">
        <v>165</v>
      </c>
      <c r="DX55" s="113" t="s">
        <v>165</v>
      </c>
      <c r="DY55" s="113" t="s">
        <v>165</v>
      </c>
      <c r="DZ55" s="113" t="s">
        <v>165</v>
      </c>
      <c r="EA55" s="113" t="s">
        <v>165</v>
      </c>
      <c r="EB55" s="113">
        <v>8.0</v>
      </c>
      <c r="EC55" s="113">
        <v>8.0</v>
      </c>
      <c r="ED55" s="113" t="s">
        <v>165</v>
      </c>
      <c r="EE55" s="113" t="s">
        <v>165</v>
      </c>
      <c r="EF55" s="113">
        <f t="shared" si="8"/>
        <v>72</v>
      </c>
      <c r="EG55" s="48"/>
      <c r="EH55" s="15"/>
      <c r="EI55" s="15"/>
      <c r="EJ55" s="15"/>
      <c r="EK55" s="15"/>
      <c r="EL55" s="15"/>
      <c r="EM55" s="15"/>
      <c r="EN55" s="15"/>
      <c r="EO55" s="15"/>
      <c r="EP55" s="15"/>
      <c r="EQ55" s="15"/>
      <c r="ER55" s="15"/>
      <c r="ES55" s="15"/>
      <c r="ET55" s="15"/>
      <c r="EU55" s="15"/>
      <c r="EV55" s="15"/>
      <c r="EW55" s="15"/>
      <c r="EX55" s="15"/>
      <c r="EY55" s="15"/>
      <c r="EZ55" s="15"/>
      <c r="FA55" s="15"/>
      <c r="FB55" s="15"/>
      <c r="FC55" s="15"/>
      <c r="FD55" s="15"/>
      <c r="FE55" s="15"/>
      <c r="FF55" s="15"/>
      <c r="FG55" s="15"/>
      <c r="FH55" s="15"/>
      <c r="FI55" s="15"/>
      <c r="FJ55" s="15"/>
      <c r="FK55" s="15"/>
      <c r="FL55" s="105">
        <f t="shared" si="12"/>
        <v>0</v>
      </c>
      <c r="FM55" s="48"/>
      <c r="FN55" s="15"/>
      <c r="FO55" s="15"/>
      <c r="FP55" s="15"/>
      <c r="FQ55" s="15"/>
      <c r="FR55" s="15"/>
      <c r="FS55" s="15"/>
      <c r="FT55" s="15"/>
      <c r="FU55" s="15"/>
      <c r="FV55" s="15"/>
      <c r="FW55" s="15"/>
      <c r="FX55" s="15"/>
      <c r="FY55" s="15"/>
      <c r="FZ55" s="15"/>
      <c r="GA55" s="15"/>
      <c r="GB55" s="15"/>
      <c r="GC55" s="15"/>
      <c r="GD55" s="15"/>
      <c r="GE55" s="15"/>
      <c r="GF55" s="15"/>
      <c r="GG55" s="15"/>
      <c r="GH55" s="15"/>
      <c r="GI55" s="15"/>
      <c r="GJ55" s="15"/>
      <c r="GK55" s="15"/>
      <c r="GL55" s="15"/>
      <c r="GM55" s="15"/>
      <c r="GN55" s="15"/>
      <c r="GO55" s="15"/>
      <c r="GP55" s="15"/>
      <c r="GQ55" s="15"/>
      <c r="GR55" s="15"/>
      <c r="GS55" s="105">
        <f t="shared" si="13"/>
        <v>0</v>
      </c>
      <c r="GT55" s="48"/>
      <c r="GU55" s="15"/>
      <c r="GV55" s="15"/>
      <c r="GW55" s="15"/>
      <c r="GX55" s="15"/>
      <c r="GY55" s="15"/>
      <c r="GZ55" s="15"/>
      <c r="HA55" s="15"/>
      <c r="HB55" s="15"/>
      <c r="HC55" s="15"/>
      <c r="HD55" s="15"/>
      <c r="HE55" s="15"/>
    </row>
    <row r="56" ht="16.5" customHeight="1">
      <c r="A56" s="101" t="s">
        <v>275</v>
      </c>
      <c r="B56" s="106" t="str">
        <f>iferror(vlookup(A56,'SoS - Agents Info'!A:H,5,false),"")</f>
        <v>RU</v>
      </c>
      <c r="C56" s="107" t="str">
        <f>iferror(vlookup(A56,'SoS - Agents Info'!A:AQ,43,false),"")</f>
        <v>JM</v>
      </c>
      <c r="D56" s="108" t="str">
        <f>iferror(vlookup(A56,'SoS - Agents Info'!A:H,6,false),"")</f>
        <v>WE+WD</v>
      </c>
      <c r="E56" s="108" t="str">
        <f>iferror(vlookup(A56,'SoS - Agents Info'!A:H,7,false),"")</f>
        <v>08:00-17:00</v>
      </c>
      <c r="F56" s="109">
        <f>IFERROR(__xludf.DUMMYFUNCTION("sum(COUNTIFS(Filter(FILTER('Shiftplan SoS'!G$3:GU166,'Shiftplan SoS'!$G$1:$GU$1&lt;=today()),'Shiftplan SoS'!$A$3:$A166=A56),""&gt;0"",(Filter(FILTER('Shiftplan SoS'!G$3:GU166,'Shiftplan SoS'!$G$1:$GU$1&lt;=today()),'Shiftplan SoS'!$A$3:$A166=A56)),""&lt;12""))"),75.0)</f>
        <v>75</v>
      </c>
      <c r="G56" s="135"/>
      <c r="H56" s="135"/>
      <c r="I56" s="135"/>
      <c r="J56" s="135"/>
      <c r="K56" s="135"/>
      <c r="L56" s="135"/>
      <c r="M56" s="135"/>
      <c r="N56" s="135"/>
      <c r="O56" s="135"/>
      <c r="P56" s="135"/>
      <c r="Q56" s="135"/>
      <c r="R56" s="137"/>
      <c r="S56" s="135"/>
      <c r="T56" s="135"/>
      <c r="U56" s="135"/>
      <c r="V56" s="135"/>
      <c r="W56" s="16">
        <v>8.0</v>
      </c>
      <c r="X56" s="16">
        <v>8.0</v>
      </c>
      <c r="Y56" s="16">
        <v>8.0</v>
      </c>
      <c r="Z56" s="16">
        <v>8.0</v>
      </c>
      <c r="AA56" s="16">
        <v>8.0</v>
      </c>
      <c r="AB56" s="16" t="s">
        <v>165</v>
      </c>
      <c r="AC56" s="16" t="s">
        <v>165</v>
      </c>
      <c r="AD56" s="16" t="s">
        <v>165</v>
      </c>
      <c r="AE56" s="16" t="s">
        <v>165</v>
      </c>
      <c r="AF56" s="16">
        <v>8.0</v>
      </c>
      <c r="AG56" s="16">
        <v>8.0</v>
      </c>
      <c r="AH56" s="16">
        <v>8.0</v>
      </c>
      <c r="AI56" s="110">
        <v>8.0</v>
      </c>
      <c r="AJ56" s="110">
        <v>8.0</v>
      </c>
      <c r="AK56" s="70" t="s">
        <v>165</v>
      </c>
      <c r="AL56" s="105">
        <f t="shared" si="5"/>
        <v>80</v>
      </c>
      <c r="AM56" s="48"/>
      <c r="AN56" s="16" t="s">
        <v>165</v>
      </c>
      <c r="AO56" s="16">
        <v>8.0</v>
      </c>
      <c r="AP56" s="16">
        <v>8.0</v>
      </c>
      <c r="AQ56" s="16">
        <v>8.0</v>
      </c>
      <c r="AR56" s="110">
        <v>8.0</v>
      </c>
      <c r="AS56" s="16">
        <v>8.0</v>
      </c>
      <c r="AT56" s="16" t="s">
        <v>165</v>
      </c>
      <c r="AU56" s="16" t="s">
        <v>165</v>
      </c>
      <c r="AV56" s="16">
        <v>8.0</v>
      </c>
      <c r="AW56" s="16">
        <v>8.0</v>
      </c>
      <c r="AX56" s="16">
        <v>8.0</v>
      </c>
      <c r="AY56" s="16">
        <v>8.0</v>
      </c>
      <c r="AZ56" s="16">
        <v>8.0</v>
      </c>
      <c r="BA56" s="16" t="s">
        <v>165</v>
      </c>
      <c r="BB56" s="16" t="s">
        <v>165</v>
      </c>
      <c r="BC56" s="16">
        <v>8.0</v>
      </c>
      <c r="BD56" s="16">
        <v>8.0</v>
      </c>
      <c r="BE56" s="16">
        <v>8.0</v>
      </c>
      <c r="BF56" s="16">
        <v>8.0</v>
      </c>
      <c r="BG56" s="16">
        <v>8.0</v>
      </c>
      <c r="BH56" s="16" t="s">
        <v>165</v>
      </c>
      <c r="BI56" s="16" t="s">
        <v>165</v>
      </c>
      <c r="BJ56" s="16">
        <v>8.0</v>
      </c>
      <c r="BK56" s="16">
        <v>8.0</v>
      </c>
      <c r="BL56" s="16">
        <v>8.0</v>
      </c>
      <c r="BM56" s="16">
        <v>8.0</v>
      </c>
      <c r="BN56" s="16">
        <v>8.0</v>
      </c>
      <c r="BO56" s="16" t="s">
        <v>165</v>
      </c>
      <c r="BP56" s="16" t="s">
        <v>165</v>
      </c>
      <c r="BQ56" s="16">
        <v>8.0</v>
      </c>
      <c r="BR56" s="105">
        <f t="shared" si="11"/>
        <v>168</v>
      </c>
      <c r="BS56" s="48"/>
      <c r="BT56" s="16">
        <v>8.0</v>
      </c>
      <c r="BU56" s="16">
        <v>8.0</v>
      </c>
      <c r="BV56" s="16">
        <v>8.0</v>
      </c>
      <c r="BW56" s="16">
        <v>8.0</v>
      </c>
      <c r="BX56" s="16" t="s">
        <v>165</v>
      </c>
      <c r="BY56" s="16" t="s">
        <v>165</v>
      </c>
      <c r="BZ56" s="16">
        <v>8.0</v>
      </c>
      <c r="CA56" s="16">
        <v>8.0</v>
      </c>
      <c r="CB56" s="16">
        <v>8.0</v>
      </c>
      <c r="CC56" s="16">
        <v>8.0</v>
      </c>
      <c r="CD56" s="16">
        <v>8.0</v>
      </c>
      <c r="CE56" s="16" t="s">
        <v>165</v>
      </c>
      <c r="CF56" s="16" t="s">
        <v>165</v>
      </c>
      <c r="CG56" s="16">
        <v>8.0</v>
      </c>
      <c r="CH56" s="16">
        <v>8.0</v>
      </c>
      <c r="CI56" s="16">
        <v>8.0</v>
      </c>
      <c r="CJ56" s="16">
        <v>8.0</v>
      </c>
      <c r="CK56" s="16">
        <v>8.0</v>
      </c>
      <c r="CL56" s="16" t="s">
        <v>165</v>
      </c>
      <c r="CM56" s="16" t="s">
        <v>165</v>
      </c>
      <c r="CN56" s="16">
        <v>8.0</v>
      </c>
      <c r="CO56" s="16">
        <v>8.0</v>
      </c>
      <c r="CP56" s="16">
        <v>8.0</v>
      </c>
      <c r="CQ56" s="16">
        <v>8.0</v>
      </c>
      <c r="CR56" s="16">
        <v>8.0</v>
      </c>
      <c r="CS56" s="16" t="s">
        <v>165</v>
      </c>
      <c r="CT56" s="16" t="s">
        <v>165</v>
      </c>
      <c r="CU56" s="16">
        <v>8.0</v>
      </c>
      <c r="CV56" s="131">
        <v>8.0</v>
      </c>
      <c r="CW56" s="131">
        <v>8.0</v>
      </c>
      <c r="CX56" s="131">
        <v>8.0</v>
      </c>
      <c r="CY56" s="105">
        <f t="shared" si="7"/>
        <v>184</v>
      </c>
      <c r="CZ56" s="48"/>
      <c r="DA56" s="113">
        <v>8.0</v>
      </c>
      <c r="DB56" s="113" t="s">
        <v>165</v>
      </c>
      <c r="DC56" s="113" t="s">
        <v>165</v>
      </c>
      <c r="DD56" s="113">
        <v>8.0</v>
      </c>
      <c r="DE56" s="113">
        <v>8.0</v>
      </c>
      <c r="DF56" s="113">
        <v>8.0</v>
      </c>
      <c r="DG56" s="113">
        <v>8.0</v>
      </c>
      <c r="DH56" s="113">
        <v>8.0</v>
      </c>
      <c r="DI56" s="113" t="s">
        <v>165</v>
      </c>
      <c r="DJ56" s="113" t="s">
        <v>165</v>
      </c>
      <c r="DK56" s="113">
        <v>8.0</v>
      </c>
      <c r="DL56" s="113">
        <v>8.0</v>
      </c>
      <c r="DM56" s="113">
        <v>8.0</v>
      </c>
      <c r="DN56" s="113">
        <v>8.0</v>
      </c>
      <c r="DO56" s="113">
        <v>8.0</v>
      </c>
      <c r="DP56" s="113" t="s">
        <v>165</v>
      </c>
      <c r="DQ56" s="58">
        <v>8.0</v>
      </c>
      <c r="DR56" s="113">
        <v>8.0</v>
      </c>
      <c r="DS56" s="113">
        <v>8.0</v>
      </c>
      <c r="DT56" s="113">
        <v>8.0</v>
      </c>
      <c r="DU56" s="58" t="s">
        <v>245</v>
      </c>
      <c r="DV56" s="113">
        <v>8.0</v>
      </c>
      <c r="DW56" s="113" t="s">
        <v>165</v>
      </c>
      <c r="DX56" s="113" t="s">
        <v>165</v>
      </c>
      <c r="DY56" s="113">
        <v>8.0</v>
      </c>
      <c r="DZ56" s="113">
        <v>8.0</v>
      </c>
      <c r="EA56" s="113">
        <v>8.0</v>
      </c>
      <c r="EB56" s="113">
        <v>8.0</v>
      </c>
      <c r="EC56" s="113">
        <v>8.0</v>
      </c>
      <c r="ED56" s="113" t="s">
        <v>165</v>
      </c>
      <c r="EE56" s="113" t="s">
        <v>165</v>
      </c>
      <c r="EF56" s="113">
        <f t="shared" si="8"/>
        <v>168</v>
      </c>
      <c r="EG56" s="48"/>
      <c r="EH56" s="15"/>
      <c r="EI56" s="15"/>
      <c r="EJ56" s="15"/>
      <c r="EK56" s="15"/>
      <c r="EL56" s="15"/>
      <c r="EM56" s="15"/>
      <c r="EN56" s="15"/>
      <c r="EO56" s="15"/>
      <c r="EP56" s="15"/>
      <c r="EQ56" s="15"/>
      <c r="ER56" s="15"/>
      <c r="ES56" s="15"/>
      <c r="ET56" s="15"/>
      <c r="EU56" s="15"/>
      <c r="EV56" s="15"/>
      <c r="EW56" s="15"/>
      <c r="EX56" s="15"/>
      <c r="EY56" s="15"/>
      <c r="EZ56" s="15"/>
      <c r="FA56" s="15"/>
      <c r="FB56" s="15"/>
      <c r="FC56" s="15"/>
      <c r="FD56" s="15"/>
      <c r="FE56" s="15"/>
      <c r="FF56" s="15"/>
      <c r="FG56" s="15"/>
      <c r="FH56" s="15"/>
      <c r="FI56" s="15"/>
      <c r="FJ56" s="15"/>
      <c r="FK56" s="15"/>
      <c r="FL56" s="105">
        <f t="shared" si="12"/>
        <v>0</v>
      </c>
      <c r="FM56" s="48"/>
      <c r="FN56" s="15"/>
      <c r="FO56" s="15"/>
      <c r="FP56" s="15"/>
      <c r="FQ56" s="15"/>
      <c r="FR56" s="15"/>
      <c r="FS56" s="15"/>
      <c r="FT56" s="15"/>
      <c r="FU56" s="15"/>
      <c r="FV56" s="15"/>
      <c r="FW56" s="15"/>
      <c r="FX56" s="15"/>
      <c r="FY56" s="15"/>
      <c r="FZ56" s="15"/>
      <c r="GA56" s="15"/>
      <c r="GB56" s="15"/>
      <c r="GC56" s="15"/>
      <c r="GD56" s="15"/>
      <c r="GE56" s="15"/>
      <c r="GF56" s="15"/>
      <c r="GG56" s="15"/>
      <c r="GH56" s="15"/>
      <c r="GI56" s="15"/>
      <c r="GJ56" s="15"/>
      <c r="GK56" s="15"/>
      <c r="GL56" s="15"/>
      <c r="GM56" s="15"/>
      <c r="GN56" s="15"/>
      <c r="GO56" s="15"/>
      <c r="GP56" s="15"/>
      <c r="GQ56" s="15"/>
      <c r="GR56" s="15"/>
      <c r="GS56" s="105">
        <f t="shared" si="13"/>
        <v>0</v>
      </c>
      <c r="GT56" s="48"/>
      <c r="GU56" s="15"/>
      <c r="GV56" s="15"/>
      <c r="GW56" s="15"/>
      <c r="GX56" s="15"/>
      <c r="GY56" s="15"/>
      <c r="GZ56" s="15"/>
      <c r="HA56" s="15"/>
      <c r="HB56" s="15"/>
      <c r="HC56" s="15"/>
      <c r="HD56" s="15"/>
      <c r="HE56" s="15"/>
    </row>
    <row r="57">
      <c r="A57" s="139" t="s">
        <v>276</v>
      </c>
      <c r="B57" s="106" t="str">
        <f>iferror(vlookup(A57,'SoS - Agents Info'!A:H,5,false),"")</f>
        <v>EN </v>
      </c>
      <c r="C57" s="107" t="str">
        <f>iferror(vlookup(A57,'SoS - Agents Info'!A:AQ,43,false),"")</f>
        <v>RA+VM</v>
      </c>
      <c r="D57" s="108" t="str">
        <f>iferror(vlookup(A57,'SoS - Agents Info'!A:H,6,false),"")</f>
        <v>WE</v>
      </c>
      <c r="E57" s="108" t="str">
        <f>iferror(vlookup(A57,'SoS - Agents Info'!A:H,7,false),"")</f>
        <v>16:00-01:00</v>
      </c>
      <c r="F57" s="109">
        <f>IFERROR(__xludf.DUMMYFUNCTION("sum(COUNTIFS(Filter(FILTER('Shiftplan SoS'!G$3:GU166,'Shiftplan SoS'!$G$1:$GU$1&lt;=today()),'Shiftplan SoS'!$A$3:$A166=A57),""&gt;0"",(Filter(FILTER('Shiftplan SoS'!G$3:GU166,'Shiftplan SoS'!$G$1:$GU$1&lt;=today()),'Shiftplan SoS'!$A$3:$A166=A57)),""&lt;12""))"),35.0)</f>
        <v>35</v>
      </c>
      <c r="G57" s="135"/>
      <c r="H57" s="135"/>
      <c r="I57" s="135"/>
      <c r="J57" s="135"/>
      <c r="K57" s="135"/>
      <c r="L57" s="135"/>
      <c r="M57" s="135"/>
      <c r="N57" s="135"/>
      <c r="O57" s="135"/>
      <c r="P57" s="135"/>
      <c r="Q57" s="135"/>
      <c r="R57" s="137"/>
      <c r="S57" s="135"/>
      <c r="T57" s="135"/>
      <c r="U57" s="135"/>
      <c r="V57" s="135"/>
      <c r="W57" s="16">
        <v>4.0</v>
      </c>
      <c r="X57" s="16">
        <v>4.0</v>
      </c>
      <c r="Y57" s="16" t="s">
        <v>165</v>
      </c>
      <c r="Z57" s="16">
        <v>6.0</v>
      </c>
      <c r="AA57" s="16">
        <v>10.0</v>
      </c>
      <c r="AB57" s="16" t="s">
        <v>165</v>
      </c>
      <c r="AC57" s="16" t="s">
        <v>165</v>
      </c>
      <c r="AD57" s="16">
        <v>8.0</v>
      </c>
      <c r="AE57" s="16">
        <v>4.0</v>
      </c>
      <c r="AF57" s="16">
        <v>4.0</v>
      </c>
      <c r="AG57" s="16" t="s">
        <v>165</v>
      </c>
      <c r="AH57" s="16" t="s">
        <v>165</v>
      </c>
      <c r="AI57" s="110">
        <v>8.0</v>
      </c>
      <c r="AJ57" s="110">
        <v>8.0</v>
      </c>
      <c r="AK57" s="70" t="s">
        <v>165</v>
      </c>
      <c r="AL57" s="105">
        <f t="shared" si="5"/>
        <v>56</v>
      </c>
      <c r="AM57" s="48"/>
      <c r="AN57" s="16" t="s">
        <v>165</v>
      </c>
      <c r="AO57" s="16" t="s">
        <v>165</v>
      </c>
      <c r="AP57" s="16" t="s">
        <v>165</v>
      </c>
      <c r="AQ57" s="16" t="s">
        <v>165</v>
      </c>
      <c r="AR57" s="16">
        <v>8.0</v>
      </c>
      <c r="AS57" s="16">
        <v>8.0</v>
      </c>
      <c r="AT57" s="16" t="s">
        <v>165</v>
      </c>
      <c r="AU57" s="16" t="s">
        <v>165</v>
      </c>
      <c r="AV57" s="16" t="s">
        <v>165</v>
      </c>
      <c r="AW57" s="16" t="s">
        <v>165</v>
      </c>
      <c r="AX57" s="16" t="s">
        <v>165</v>
      </c>
      <c r="AY57" s="16">
        <v>8.0</v>
      </c>
      <c r="AZ57" s="16">
        <v>8.0</v>
      </c>
      <c r="BA57" s="16" t="s">
        <v>165</v>
      </c>
      <c r="BB57" s="16" t="s">
        <v>165</v>
      </c>
      <c r="BC57" s="16" t="s">
        <v>165</v>
      </c>
      <c r="BD57" s="16" t="s">
        <v>165</v>
      </c>
      <c r="BE57" s="16" t="s">
        <v>165</v>
      </c>
      <c r="BF57" s="16">
        <v>8.0</v>
      </c>
      <c r="BG57" s="16">
        <v>8.0</v>
      </c>
      <c r="BH57" s="16" t="s">
        <v>165</v>
      </c>
      <c r="BI57" s="16" t="s">
        <v>165</v>
      </c>
      <c r="BJ57" s="16" t="s">
        <v>165</v>
      </c>
      <c r="BK57" s="16" t="s">
        <v>165</v>
      </c>
      <c r="BL57" s="16" t="s">
        <v>165</v>
      </c>
      <c r="BM57" s="16">
        <v>8.0</v>
      </c>
      <c r="BN57" s="16">
        <v>8.0</v>
      </c>
      <c r="BO57" s="16" t="s">
        <v>165</v>
      </c>
      <c r="BP57" s="16" t="s">
        <v>165</v>
      </c>
      <c r="BQ57" s="16" t="s">
        <v>165</v>
      </c>
      <c r="BR57" s="105">
        <f t="shared" si="11"/>
        <v>64</v>
      </c>
      <c r="BS57" s="48"/>
      <c r="BT57" s="16" t="s">
        <v>165</v>
      </c>
      <c r="BU57" s="16" t="s">
        <v>165</v>
      </c>
      <c r="BV57" s="16">
        <v>8.0</v>
      </c>
      <c r="BW57" s="16">
        <v>8.0</v>
      </c>
      <c r="BX57" s="16" t="s">
        <v>165</v>
      </c>
      <c r="BY57" s="16" t="s">
        <v>165</v>
      </c>
      <c r="BZ57" s="16" t="s">
        <v>165</v>
      </c>
      <c r="CA57" s="16" t="s">
        <v>165</v>
      </c>
      <c r="CB57" s="16" t="s">
        <v>165</v>
      </c>
      <c r="CC57" s="16">
        <v>8.0</v>
      </c>
      <c r="CD57" s="16">
        <v>8.0</v>
      </c>
      <c r="CE57" s="16" t="s">
        <v>165</v>
      </c>
      <c r="CF57" s="16" t="s">
        <v>165</v>
      </c>
      <c r="CG57" s="16" t="s">
        <v>165</v>
      </c>
      <c r="CH57" s="16" t="s">
        <v>165</v>
      </c>
      <c r="CI57" s="16" t="s">
        <v>165</v>
      </c>
      <c r="CJ57" s="16">
        <v>8.0</v>
      </c>
      <c r="CK57" s="16">
        <v>8.0</v>
      </c>
      <c r="CL57" s="16" t="s">
        <v>165</v>
      </c>
      <c r="CM57" s="16" t="s">
        <v>165</v>
      </c>
      <c r="CN57" s="16" t="s">
        <v>165</v>
      </c>
      <c r="CO57" s="16" t="s">
        <v>165</v>
      </c>
      <c r="CP57" s="16" t="s">
        <v>165</v>
      </c>
      <c r="CQ57" s="110">
        <v>8.0</v>
      </c>
      <c r="CR57" s="110">
        <v>8.0</v>
      </c>
      <c r="CS57" s="16" t="s">
        <v>165</v>
      </c>
      <c r="CT57" s="16" t="s">
        <v>165</v>
      </c>
      <c r="CU57" s="16" t="s">
        <v>165</v>
      </c>
      <c r="CV57" s="16" t="s">
        <v>165</v>
      </c>
      <c r="CW57" s="16" t="s">
        <v>165</v>
      </c>
      <c r="CX57" s="16">
        <v>8.0</v>
      </c>
      <c r="CY57" s="105">
        <f t="shared" si="7"/>
        <v>72</v>
      </c>
      <c r="CZ57" s="48"/>
      <c r="DA57" s="113">
        <v>8.0</v>
      </c>
      <c r="DB57" s="113" t="s">
        <v>165</v>
      </c>
      <c r="DC57" s="113" t="s">
        <v>165</v>
      </c>
      <c r="DD57" s="113" t="s">
        <v>165</v>
      </c>
      <c r="DE57" s="113" t="s">
        <v>165</v>
      </c>
      <c r="DF57" s="113" t="s">
        <v>165</v>
      </c>
      <c r="DG57" s="123">
        <v>8.0</v>
      </c>
      <c r="DH57" s="123">
        <v>8.0</v>
      </c>
      <c r="DI57" s="113" t="s">
        <v>165</v>
      </c>
      <c r="DJ57" s="113" t="s">
        <v>165</v>
      </c>
      <c r="DK57" s="113" t="s">
        <v>165</v>
      </c>
      <c r="DL57" s="113" t="s">
        <v>165</v>
      </c>
      <c r="DM57" s="113" t="s">
        <v>165</v>
      </c>
      <c r="DN57" s="113">
        <v>8.0</v>
      </c>
      <c r="DO57" s="113">
        <v>8.0</v>
      </c>
      <c r="DP57" s="123" t="s">
        <v>165</v>
      </c>
      <c r="DQ57" s="123" t="s">
        <v>165</v>
      </c>
      <c r="DR57" s="113" t="s">
        <v>165</v>
      </c>
      <c r="DS57" s="113" t="s">
        <v>165</v>
      </c>
      <c r="DT57" s="113" t="s">
        <v>165</v>
      </c>
      <c r="DU57" s="113">
        <v>8.0</v>
      </c>
      <c r="DV57" s="113">
        <v>8.0</v>
      </c>
      <c r="DW57" s="113" t="s">
        <v>165</v>
      </c>
      <c r="DX57" s="113" t="s">
        <v>165</v>
      </c>
      <c r="DY57" s="113" t="s">
        <v>165</v>
      </c>
      <c r="DZ57" s="113" t="s">
        <v>165</v>
      </c>
      <c r="EA57" s="113" t="s">
        <v>165</v>
      </c>
      <c r="EB57" s="113">
        <v>8.0</v>
      </c>
      <c r="EC57" s="113">
        <v>8.0</v>
      </c>
      <c r="ED57" s="113" t="s">
        <v>165</v>
      </c>
      <c r="EE57" s="113" t="s">
        <v>165</v>
      </c>
      <c r="EF57" s="113">
        <f t="shared" si="8"/>
        <v>72</v>
      </c>
      <c r="EG57" s="48"/>
      <c r="EH57" s="15"/>
      <c r="EI57" s="15"/>
      <c r="EJ57" s="15"/>
      <c r="EK57" s="15"/>
      <c r="EL57" s="15"/>
      <c r="EM57" s="15"/>
      <c r="EN57" s="15"/>
      <c r="EO57" s="15"/>
      <c r="EP57" s="15"/>
      <c r="EQ57" s="15"/>
      <c r="ER57" s="15"/>
      <c r="ES57" s="15"/>
      <c r="ET57" s="15"/>
      <c r="EU57" s="15"/>
      <c r="EV57" s="15"/>
      <c r="EW57" s="15"/>
      <c r="EX57" s="15"/>
      <c r="EY57" s="15"/>
      <c r="EZ57" s="15"/>
      <c r="FA57" s="15"/>
      <c r="FB57" s="15"/>
      <c r="FC57" s="15"/>
      <c r="FD57" s="15"/>
      <c r="FE57" s="15"/>
      <c r="FF57" s="15"/>
      <c r="FG57" s="15"/>
      <c r="FH57" s="15"/>
      <c r="FI57" s="15"/>
      <c r="FJ57" s="15"/>
      <c r="FK57" s="15"/>
      <c r="FL57" s="105">
        <f t="shared" si="12"/>
        <v>0</v>
      </c>
      <c r="FM57" s="48"/>
      <c r="FN57" s="15"/>
      <c r="FO57" s="15"/>
      <c r="FP57" s="15"/>
      <c r="FQ57" s="15"/>
      <c r="FR57" s="15"/>
      <c r="FS57" s="15"/>
      <c r="FT57" s="15"/>
      <c r="FU57" s="15"/>
      <c r="FV57" s="15"/>
      <c r="FW57" s="15"/>
      <c r="FX57" s="15"/>
      <c r="FY57" s="15"/>
      <c r="FZ57" s="15"/>
      <c r="GA57" s="15"/>
      <c r="GB57" s="15"/>
      <c r="GC57" s="15"/>
      <c r="GD57" s="15"/>
      <c r="GE57" s="15"/>
      <c r="GF57" s="15"/>
      <c r="GG57" s="15"/>
      <c r="GH57" s="15"/>
      <c r="GI57" s="15"/>
      <c r="GJ57" s="15"/>
      <c r="GK57" s="15"/>
      <c r="GL57" s="15"/>
      <c r="GM57" s="15"/>
      <c r="GN57" s="15"/>
      <c r="GO57" s="15"/>
      <c r="GP57" s="15"/>
      <c r="GQ57" s="15"/>
      <c r="GR57" s="15"/>
      <c r="GS57" s="105">
        <f t="shared" si="13"/>
        <v>0</v>
      </c>
      <c r="GT57" s="48"/>
      <c r="GU57" s="15"/>
      <c r="GV57" s="15"/>
      <c r="GW57" s="15"/>
      <c r="GX57" s="15"/>
      <c r="GY57" s="15"/>
      <c r="GZ57" s="15"/>
      <c r="HA57" s="15"/>
      <c r="HB57" s="15"/>
      <c r="HC57" s="15"/>
      <c r="HD57" s="15"/>
      <c r="HE57" s="15"/>
    </row>
    <row r="58">
      <c r="A58" s="101" t="s">
        <v>277</v>
      </c>
      <c r="B58" s="106" t="str">
        <f>iferror(vlookup(A58,'SoS - Agents Info'!A:H,5,false),"")</f>
        <v>TR</v>
      </c>
      <c r="C58" s="107" t="str">
        <f>iferror(vlookup(A58,'SoS - Agents Info'!A:AQ,43,false),"")</f>
        <v>JM</v>
      </c>
      <c r="D58" s="108" t="str">
        <f>iferror(vlookup(A58,'SoS - Agents Info'!A:H,6,false),"")</f>
        <v>WD</v>
      </c>
      <c r="E58" s="108" t="str">
        <f>iferror(vlookup(A58,'SoS - Agents Info'!A:H,7,false),"")</f>
        <v>08:00-17:00</v>
      </c>
      <c r="F58" s="109">
        <f>IFERROR(__xludf.DUMMYFUNCTION("sum(COUNTIFS(Filter(FILTER('Shiftplan SoS'!G$3:GU166,'Shiftplan SoS'!$G$1:$GU$1&lt;=today()),'Shiftplan SoS'!$A$3:$A166=A58),""&gt;0"",(Filter(FILTER('Shiftplan SoS'!G$3:GU166,'Shiftplan SoS'!$G$1:$GU$1&lt;=today()),'Shiftplan SoS'!$A$3:$A166=A58)),""&lt;12""))"),76.0)</f>
        <v>76</v>
      </c>
      <c r="G58" s="135"/>
      <c r="H58" s="135"/>
      <c r="I58" s="135"/>
      <c r="J58" s="135"/>
      <c r="K58" s="135"/>
      <c r="L58" s="135"/>
      <c r="M58" s="135"/>
      <c r="N58" s="135"/>
      <c r="O58" s="135"/>
      <c r="P58" s="135"/>
      <c r="Q58" s="135"/>
      <c r="R58" s="137"/>
      <c r="S58" s="135"/>
      <c r="T58" s="135"/>
      <c r="U58" s="135"/>
      <c r="V58" s="135"/>
      <c r="W58" s="135"/>
      <c r="X58" s="16">
        <v>8.0</v>
      </c>
      <c r="Y58" s="16">
        <v>8.0</v>
      </c>
      <c r="Z58" s="16">
        <v>8.0</v>
      </c>
      <c r="AA58" s="16">
        <v>8.0</v>
      </c>
      <c r="AB58" s="16" t="s">
        <v>165</v>
      </c>
      <c r="AC58" s="16" t="s">
        <v>165</v>
      </c>
      <c r="AD58" s="16">
        <v>8.0</v>
      </c>
      <c r="AE58" s="16">
        <v>8.0</v>
      </c>
      <c r="AF58" s="16">
        <v>8.0</v>
      </c>
      <c r="AG58" s="16">
        <v>8.0</v>
      </c>
      <c r="AH58" s="16">
        <v>8.0</v>
      </c>
      <c r="AI58" s="16" t="s">
        <v>165</v>
      </c>
      <c r="AJ58" s="16" t="s">
        <v>165</v>
      </c>
      <c r="AK58" s="125">
        <v>8.0</v>
      </c>
      <c r="AL58" s="105">
        <f t="shared" si="5"/>
        <v>80</v>
      </c>
      <c r="AM58" s="48"/>
      <c r="AN58" s="110">
        <v>8.0</v>
      </c>
      <c r="AO58" s="16">
        <v>8.0</v>
      </c>
      <c r="AP58" s="16">
        <v>8.0</v>
      </c>
      <c r="AQ58" s="16">
        <v>8.0</v>
      </c>
      <c r="AR58" s="16" t="s">
        <v>165</v>
      </c>
      <c r="AS58" s="16" t="s">
        <v>165</v>
      </c>
      <c r="AT58" s="16">
        <v>8.0</v>
      </c>
      <c r="AU58" s="16">
        <v>8.0</v>
      </c>
      <c r="AV58" s="16">
        <v>8.0</v>
      </c>
      <c r="AW58" s="16">
        <v>8.0</v>
      </c>
      <c r="AX58" s="16">
        <v>8.0</v>
      </c>
      <c r="AY58" s="16" t="s">
        <v>165</v>
      </c>
      <c r="AZ58" s="16" t="s">
        <v>165</v>
      </c>
      <c r="BA58" s="16">
        <v>8.0</v>
      </c>
      <c r="BB58" s="16">
        <v>8.0</v>
      </c>
      <c r="BC58" s="16">
        <v>8.0</v>
      </c>
      <c r="BD58" s="16">
        <v>8.0</v>
      </c>
      <c r="BE58" s="16">
        <v>8.0</v>
      </c>
      <c r="BF58" s="16" t="s">
        <v>165</v>
      </c>
      <c r="BG58" s="16" t="s">
        <v>165</v>
      </c>
      <c r="BH58" s="16">
        <v>8.0</v>
      </c>
      <c r="BI58" s="16">
        <v>8.0</v>
      </c>
      <c r="BJ58" s="16">
        <v>8.0</v>
      </c>
      <c r="BK58" s="16">
        <v>8.0</v>
      </c>
      <c r="BL58" s="16">
        <v>8.0</v>
      </c>
      <c r="BM58" s="16" t="s">
        <v>165</v>
      </c>
      <c r="BN58" s="16" t="s">
        <v>165</v>
      </c>
      <c r="BO58" s="16">
        <v>8.0</v>
      </c>
      <c r="BP58" s="16">
        <v>8.0</v>
      </c>
      <c r="BQ58" s="16">
        <v>8.0</v>
      </c>
      <c r="BR58" s="105">
        <f t="shared" si="11"/>
        <v>176</v>
      </c>
      <c r="BS58" s="48"/>
      <c r="BT58" s="64">
        <v>8.0</v>
      </c>
      <c r="BU58" s="64">
        <v>8.0</v>
      </c>
      <c r="BV58" s="114" t="s">
        <v>165</v>
      </c>
      <c r="BW58" s="114" t="s">
        <v>165</v>
      </c>
      <c r="BX58" s="64">
        <v>8.0</v>
      </c>
      <c r="BY58" s="64">
        <v>8.0</v>
      </c>
      <c r="BZ58" s="64">
        <v>8.0</v>
      </c>
      <c r="CA58" s="64">
        <v>8.0</v>
      </c>
      <c r="CB58" s="64">
        <v>8.0</v>
      </c>
      <c r="CC58" s="114" t="s">
        <v>165</v>
      </c>
      <c r="CD58" s="114" t="s">
        <v>165</v>
      </c>
      <c r="CE58" s="64">
        <v>8.0</v>
      </c>
      <c r="CF58" s="64">
        <v>8.0</v>
      </c>
      <c r="CG58" s="64">
        <v>8.0</v>
      </c>
      <c r="CH58" s="64">
        <v>8.0</v>
      </c>
      <c r="CI58" s="64">
        <v>8.0</v>
      </c>
      <c r="CJ58" s="114" t="s">
        <v>165</v>
      </c>
      <c r="CK58" s="114" t="s">
        <v>165</v>
      </c>
      <c r="CL58" s="64">
        <v>8.0</v>
      </c>
      <c r="CM58" s="64">
        <v>8.0</v>
      </c>
      <c r="CN58" s="64">
        <v>8.0</v>
      </c>
      <c r="CO58" s="64">
        <v>8.0</v>
      </c>
      <c r="CP58" s="64">
        <v>8.0</v>
      </c>
      <c r="CQ58" s="114" t="s">
        <v>165</v>
      </c>
      <c r="CR58" s="114" t="s">
        <v>165</v>
      </c>
      <c r="CS58" s="64">
        <v>8.0</v>
      </c>
      <c r="CT58" s="64">
        <v>8.0</v>
      </c>
      <c r="CU58" s="64">
        <v>8.0</v>
      </c>
      <c r="CV58" s="64">
        <v>8.0</v>
      </c>
      <c r="CW58" s="64">
        <v>8.0</v>
      </c>
      <c r="CX58" s="114" t="s">
        <v>165</v>
      </c>
      <c r="CY58" s="105">
        <f t="shared" si="7"/>
        <v>176</v>
      </c>
      <c r="CZ58" s="48"/>
      <c r="DA58" s="113" t="s">
        <v>165</v>
      </c>
      <c r="DB58" s="113">
        <v>8.0</v>
      </c>
      <c r="DC58" s="113">
        <v>8.0</v>
      </c>
      <c r="DD58" s="113">
        <v>8.0</v>
      </c>
      <c r="DE58" s="113">
        <v>8.0</v>
      </c>
      <c r="DF58" s="113">
        <v>8.0</v>
      </c>
      <c r="DG58" s="113" t="s">
        <v>165</v>
      </c>
      <c r="DH58" s="113" t="s">
        <v>165</v>
      </c>
      <c r="DI58" s="113">
        <v>8.0</v>
      </c>
      <c r="DJ58" s="113">
        <v>8.0</v>
      </c>
      <c r="DK58" s="58" t="s">
        <v>245</v>
      </c>
      <c r="DL58" s="113">
        <v>8.0</v>
      </c>
      <c r="DM58" s="113">
        <v>8.0</v>
      </c>
      <c r="DN58" s="113" t="s">
        <v>165</v>
      </c>
      <c r="DO58" s="58">
        <v>8.0</v>
      </c>
      <c r="DP58" s="58">
        <v>8.0</v>
      </c>
      <c r="DQ58" s="113">
        <v>8.0</v>
      </c>
      <c r="DR58" s="113">
        <v>8.0</v>
      </c>
      <c r="DS58" s="113">
        <v>8.0</v>
      </c>
      <c r="DT58" s="113">
        <v>8.0</v>
      </c>
      <c r="DU58" s="113" t="s">
        <v>165</v>
      </c>
      <c r="DV58" s="113" t="s">
        <v>165</v>
      </c>
      <c r="DW58" s="113">
        <v>8.0</v>
      </c>
      <c r="DX58" s="113">
        <v>8.0</v>
      </c>
      <c r="DY58" s="113">
        <v>8.0</v>
      </c>
      <c r="DZ58" s="58" t="s">
        <v>169</v>
      </c>
      <c r="EA58" s="113">
        <v>8.0</v>
      </c>
      <c r="EB58" s="113" t="s">
        <v>165</v>
      </c>
      <c r="EC58" s="58">
        <v>8.0</v>
      </c>
      <c r="ED58" s="113">
        <v>8.0</v>
      </c>
      <c r="EE58" s="113">
        <v>8.0</v>
      </c>
      <c r="EF58" s="113">
        <f t="shared" si="8"/>
        <v>176</v>
      </c>
      <c r="EG58" s="48"/>
      <c r="EH58" s="15"/>
      <c r="EI58" s="15"/>
      <c r="EJ58" s="15"/>
      <c r="EK58" s="15"/>
      <c r="EL58" s="15"/>
      <c r="EM58" s="15"/>
      <c r="EN58" s="15"/>
      <c r="EO58" s="15"/>
      <c r="EP58" s="15"/>
      <c r="EQ58" s="15"/>
      <c r="ER58" s="15"/>
      <c r="ES58" s="15"/>
      <c r="ET58" s="15"/>
      <c r="EU58" s="15"/>
      <c r="EV58" s="15"/>
      <c r="EW58" s="15"/>
      <c r="EX58" s="15"/>
      <c r="EY58" s="15"/>
      <c r="EZ58" s="15"/>
      <c r="FA58" s="15"/>
      <c r="FB58" s="15"/>
      <c r="FC58" s="15"/>
      <c r="FD58" s="15"/>
      <c r="FE58" s="15"/>
      <c r="FF58" s="15"/>
      <c r="FG58" s="15"/>
      <c r="FH58" s="15"/>
      <c r="FI58" s="15"/>
      <c r="FJ58" s="15"/>
      <c r="FK58" s="15"/>
      <c r="FL58" s="105">
        <f t="shared" si="12"/>
        <v>0</v>
      </c>
      <c r="FM58" s="48"/>
      <c r="FN58" s="15"/>
      <c r="FO58" s="15"/>
      <c r="FP58" s="15"/>
      <c r="FQ58" s="15"/>
      <c r="FR58" s="15"/>
      <c r="FS58" s="15"/>
      <c r="FT58" s="15"/>
      <c r="FU58" s="15"/>
      <c r="FV58" s="15"/>
      <c r="FW58" s="15"/>
      <c r="FX58" s="15"/>
      <c r="FY58" s="15"/>
      <c r="FZ58" s="15"/>
      <c r="GA58" s="15"/>
      <c r="GB58" s="15"/>
      <c r="GC58" s="15"/>
      <c r="GD58" s="15"/>
      <c r="GE58" s="15"/>
      <c r="GF58" s="15"/>
      <c r="GG58" s="15"/>
      <c r="GH58" s="15"/>
      <c r="GI58" s="15"/>
      <c r="GJ58" s="15"/>
      <c r="GK58" s="15"/>
      <c r="GL58" s="15"/>
      <c r="GM58" s="15"/>
      <c r="GN58" s="15"/>
      <c r="GO58" s="15"/>
      <c r="GP58" s="15"/>
      <c r="GQ58" s="15"/>
      <c r="GR58" s="15"/>
      <c r="GS58" s="105">
        <f t="shared" si="13"/>
        <v>0</v>
      </c>
      <c r="GT58" s="48"/>
      <c r="GU58" s="15"/>
      <c r="GV58" s="15"/>
      <c r="GW58" s="15"/>
      <c r="GX58" s="15"/>
      <c r="GY58" s="15"/>
      <c r="GZ58" s="15"/>
      <c r="HA58" s="15"/>
      <c r="HB58" s="15"/>
      <c r="HC58" s="15"/>
      <c r="HD58" s="15"/>
      <c r="HE58" s="15"/>
    </row>
    <row r="59">
      <c r="A59" s="101" t="s">
        <v>278</v>
      </c>
      <c r="B59" s="106" t="str">
        <f>iferror(vlookup(A59,'SoS - Agents Info'!A:H,5,false),"")</f>
        <v>EN</v>
      </c>
      <c r="C59" s="107" t="str">
        <f>iferror(vlookup(A59,'SoS - Agents Info'!A:AQ,43,false),"")</f>
        <v>JM</v>
      </c>
      <c r="D59" s="140" t="s">
        <v>192</v>
      </c>
      <c r="E59" s="108" t="str">
        <f>iferror(vlookup(A59,'SoS - Agents Info'!A:H,7,false),"")</f>
        <v>08:00-17:00</v>
      </c>
      <c r="F59" s="109">
        <f>IFERROR(__xludf.DUMMYFUNCTION("sum(COUNTIFS(Filter(FILTER('Shiftplan SoS'!G$3:GU166,'Shiftplan SoS'!$G$1:$GU$1&lt;=today()),'Shiftplan SoS'!$A$3:$A166=A59),""&gt;0"",(Filter(FILTER('Shiftplan SoS'!G$3:GU166,'Shiftplan SoS'!$G$1:$GU$1&lt;=today()),'Shiftplan SoS'!$A$3:$A166=A59)),""&lt;12""))"),70.0)</f>
        <v>70</v>
      </c>
      <c r="G59" s="135"/>
      <c r="H59" s="135"/>
      <c r="I59" s="135"/>
      <c r="J59" s="135"/>
      <c r="K59" s="135"/>
      <c r="L59" s="135"/>
      <c r="M59" s="135"/>
      <c r="N59" s="135"/>
      <c r="O59" s="135"/>
      <c r="P59" s="135"/>
      <c r="Q59" s="135"/>
      <c r="R59" s="137"/>
      <c r="S59" s="135"/>
      <c r="T59" s="135"/>
      <c r="U59" s="135"/>
      <c r="V59" s="135"/>
      <c r="W59" s="135"/>
      <c r="X59" s="135"/>
      <c r="Y59" s="16">
        <v>8.0</v>
      </c>
      <c r="Z59" s="16">
        <v>8.0</v>
      </c>
      <c r="AA59" s="16">
        <v>8.0</v>
      </c>
      <c r="AB59" s="16" t="s">
        <v>165</v>
      </c>
      <c r="AC59" s="16" t="s">
        <v>165</v>
      </c>
      <c r="AD59" s="16">
        <v>8.0</v>
      </c>
      <c r="AE59" s="16">
        <v>8.0</v>
      </c>
      <c r="AF59" s="141" t="s">
        <v>165</v>
      </c>
      <c r="AG59" s="16">
        <v>8.0</v>
      </c>
      <c r="AH59" s="16">
        <v>8.0</v>
      </c>
      <c r="AI59" s="110">
        <v>8.0</v>
      </c>
      <c r="AJ59" s="16" t="s">
        <v>165</v>
      </c>
      <c r="AK59" s="70" t="s">
        <v>165</v>
      </c>
      <c r="AL59" s="105">
        <f t="shared" si="5"/>
        <v>64</v>
      </c>
      <c r="AM59" s="48"/>
      <c r="AN59" s="142">
        <v>8.0</v>
      </c>
      <c r="AO59" s="142">
        <v>8.0</v>
      </c>
      <c r="AP59" s="141" t="s">
        <v>171</v>
      </c>
      <c r="AQ59" s="142">
        <v>8.0</v>
      </c>
      <c r="AR59" s="142">
        <v>8.0</v>
      </c>
      <c r="AS59" s="142" t="s">
        <v>165</v>
      </c>
      <c r="AT59" s="142" t="s">
        <v>165</v>
      </c>
      <c r="AU59" s="142">
        <v>8.0</v>
      </c>
      <c r="AV59" s="142">
        <v>8.0</v>
      </c>
      <c r="AW59" s="142">
        <v>8.0</v>
      </c>
      <c r="AX59" s="142">
        <v>8.0</v>
      </c>
      <c r="AY59" s="142">
        <v>8.0</v>
      </c>
      <c r="AZ59" s="142" t="s">
        <v>165</v>
      </c>
      <c r="BA59" s="142" t="s">
        <v>165</v>
      </c>
      <c r="BB59" s="142">
        <v>8.0</v>
      </c>
      <c r="BC59" s="142">
        <v>8.0</v>
      </c>
      <c r="BD59" s="142">
        <v>8.0</v>
      </c>
      <c r="BE59" s="142">
        <v>8.0</v>
      </c>
      <c r="BF59" s="142">
        <v>8.0</v>
      </c>
      <c r="BG59" s="142" t="s">
        <v>165</v>
      </c>
      <c r="BH59" s="142" t="s">
        <v>165</v>
      </c>
      <c r="BI59" s="142">
        <v>8.0</v>
      </c>
      <c r="BJ59" s="142">
        <v>8.0</v>
      </c>
      <c r="BK59" s="142">
        <v>8.0</v>
      </c>
      <c r="BL59" s="142">
        <v>8.0</v>
      </c>
      <c r="BM59" s="142">
        <v>8.0</v>
      </c>
      <c r="BN59" s="142" t="s">
        <v>165</v>
      </c>
      <c r="BO59" s="142" t="s">
        <v>165</v>
      </c>
      <c r="BP59" s="142" t="s">
        <v>245</v>
      </c>
      <c r="BQ59" s="142" t="s">
        <v>245</v>
      </c>
      <c r="BR59" s="105">
        <f t="shared" si="11"/>
        <v>152</v>
      </c>
      <c r="BS59" s="48"/>
      <c r="BT59" s="141">
        <v>8.0</v>
      </c>
      <c r="BU59" s="141">
        <v>8.0</v>
      </c>
      <c r="BV59" s="141">
        <v>8.0</v>
      </c>
      <c r="BW59" s="141" t="s">
        <v>165</v>
      </c>
      <c r="BX59" s="141" t="s">
        <v>165</v>
      </c>
      <c r="BY59" s="141">
        <v>8.0</v>
      </c>
      <c r="BZ59" s="141">
        <v>8.0</v>
      </c>
      <c r="CA59" s="141">
        <v>8.0</v>
      </c>
      <c r="CB59" s="141" t="s">
        <v>171</v>
      </c>
      <c r="CC59" s="141">
        <v>8.0</v>
      </c>
      <c r="CD59" s="141" t="s">
        <v>165</v>
      </c>
      <c r="CE59" s="141" t="s">
        <v>165</v>
      </c>
      <c r="CF59" s="16">
        <v>8.0</v>
      </c>
      <c r="CG59" s="16">
        <v>8.0</v>
      </c>
      <c r="CH59" s="16">
        <v>8.0</v>
      </c>
      <c r="CI59" s="16">
        <v>8.0</v>
      </c>
      <c r="CJ59" s="16">
        <v>8.0</v>
      </c>
      <c r="CK59" s="141" t="s">
        <v>165</v>
      </c>
      <c r="CL59" s="141" t="s">
        <v>165</v>
      </c>
      <c r="CM59" s="16">
        <v>8.0</v>
      </c>
      <c r="CN59" s="16">
        <v>8.0</v>
      </c>
      <c r="CO59" s="16">
        <v>8.0</v>
      </c>
      <c r="CP59" s="16">
        <v>8.0</v>
      </c>
      <c r="CQ59" s="16">
        <v>8.0</v>
      </c>
      <c r="CR59" s="141" t="s">
        <v>165</v>
      </c>
      <c r="CS59" s="141" t="s">
        <v>165</v>
      </c>
      <c r="CT59" s="16">
        <v>8.0</v>
      </c>
      <c r="CU59" s="16">
        <v>8.0</v>
      </c>
      <c r="CV59" s="16">
        <v>8.0</v>
      </c>
      <c r="CW59" s="16">
        <v>8.0</v>
      </c>
      <c r="CX59" s="16">
        <v>8.0</v>
      </c>
      <c r="CY59" s="105">
        <f t="shared" si="7"/>
        <v>176</v>
      </c>
      <c r="CZ59" s="48"/>
      <c r="DA59" s="113" t="s">
        <v>165</v>
      </c>
      <c r="DB59" s="113" t="s">
        <v>165</v>
      </c>
      <c r="DC59" s="113">
        <v>8.0</v>
      </c>
      <c r="DD59" s="113">
        <v>8.0</v>
      </c>
      <c r="DE59" s="113">
        <v>8.0</v>
      </c>
      <c r="DF59" s="113">
        <v>8.0</v>
      </c>
      <c r="DG59" s="113">
        <v>8.0</v>
      </c>
      <c r="DH59" s="113" t="s">
        <v>165</v>
      </c>
      <c r="DI59" s="113" t="s">
        <v>165</v>
      </c>
      <c r="DJ59" s="113">
        <v>8.0</v>
      </c>
      <c r="DK59" s="113">
        <v>8.0</v>
      </c>
      <c r="DL59" s="113">
        <v>8.0</v>
      </c>
      <c r="DM59" s="113">
        <v>8.0</v>
      </c>
      <c r="DN59" s="113">
        <v>8.0</v>
      </c>
      <c r="DO59" s="113" t="s">
        <v>165</v>
      </c>
      <c r="DP59" s="113" t="s">
        <v>165</v>
      </c>
      <c r="DQ59" s="113">
        <v>8.0</v>
      </c>
      <c r="DR59" s="113">
        <v>8.0</v>
      </c>
      <c r="DS59" s="113">
        <v>8.0</v>
      </c>
      <c r="DT59" s="113">
        <v>8.0</v>
      </c>
      <c r="DU59" s="113">
        <v>8.0</v>
      </c>
      <c r="DV59" s="113" t="s">
        <v>165</v>
      </c>
      <c r="DW59" s="113" t="s">
        <v>165</v>
      </c>
      <c r="DX59" s="113">
        <v>8.0</v>
      </c>
      <c r="DY59" s="113">
        <v>8.0</v>
      </c>
      <c r="DZ59" s="113">
        <v>8.0</v>
      </c>
      <c r="EA59" s="113">
        <v>8.0</v>
      </c>
      <c r="EB59" s="113">
        <v>8.0</v>
      </c>
      <c r="EC59" s="113" t="s">
        <v>165</v>
      </c>
      <c r="ED59" s="113" t="s">
        <v>165</v>
      </c>
      <c r="EE59" s="113">
        <v>8.0</v>
      </c>
      <c r="EF59" s="113">
        <f t="shared" si="8"/>
        <v>168</v>
      </c>
      <c r="EG59" s="48"/>
      <c r="EH59" s="15"/>
      <c r="EI59" s="15"/>
      <c r="EJ59" s="15"/>
      <c r="EK59" s="15"/>
      <c r="EL59" s="15"/>
      <c r="EM59" s="15"/>
      <c r="EN59" s="15"/>
      <c r="EO59" s="15"/>
      <c r="EP59" s="15"/>
      <c r="EQ59" s="15"/>
      <c r="ER59" s="15"/>
      <c r="ES59" s="15"/>
      <c r="ET59" s="15"/>
      <c r="EU59" s="15"/>
      <c r="EV59" s="15"/>
      <c r="EW59" s="15"/>
      <c r="EX59" s="15"/>
      <c r="EY59" s="15"/>
      <c r="EZ59" s="15"/>
      <c r="FA59" s="15"/>
      <c r="FB59" s="15"/>
      <c r="FC59" s="15"/>
      <c r="FD59" s="15"/>
      <c r="FE59" s="15"/>
      <c r="FF59" s="15"/>
      <c r="FG59" s="15"/>
      <c r="FH59" s="15"/>
      <c r="FI59" s="15"/>
      <c r="FJ59" s="15"/>
      <c r="FK59" s="15"/>
      <c r="FL59" s="105">
        <f t="shared" si="12"/>
        <v>0</v>
      </c>
      <c r="FM59" s="48"/>
      <c r="FN59" s="15"/>
      <c r="FO59" s="15"/>
      <c r="FP59" s="15"/>
      <c r="FQ59" s="15"/>
      <c r="FR59" s="15"/>
      <c r="FS59" s="15"/>
      <c r="FT59" s="15"/>
      <c r="FU59" s="15"/>
      <c r="FV59" s="15"/>
      <c r="FW59" s="15"/>
      <c r="FX59" s="15"/>
      <c r="FY59" s="15"/>
      <c r="FZ59" s="15"/>
      <c r="GA59" s="15"/>
      <c r="GB59" s="15"/>
      <c r="GC59" s="15"/>
      <c r="GD59" s="15"/>
      <c r="GE59" s="15"/>
      <c r="GF59" s="15"/>
      <c r="GG59" s="15"/>
      <c r="GH59" s="15"/>
      <c r="GI59" s="15"/>
      <c r="GJ59" s="15"/>
      <c r="GK59" s="15"/>
      <c r="GL59" s="15"/>
      <c r="GM59" s="15"/>
      <c r="GN59" s="15"/>
      <c r="GO59" s="15"/>
      <c r="GP59" s="15"/>
      <c r="GQ59" s="15"/>
      <c r="GR59" s="15"/>
      <c r="GS59" s="105">
        <f t="shared" si="13"/>
        <v>0</v>
      </c>
      <c r="GT59" s="48"/>
      <c r="GU59" s="15"/>
      <c r="GV59" s="15"/>
      <c r="GW59" s="15"/>
      <c r="GX59" s="15"/>
      <c r="GY59" s="15"/>
      <c r="GZ59" s="15"/>
      <c r="HA59" s="15"/>
      <c r="HB59" s="15"/>
      <c r="HC59" s="15"/>
      <c r="HD59" s="15"/>
      <c r="HE59" s="15"/>
    </row>
    <row r="60">
      <c r="A60" s="139" t="s">
        <v>279</v>
      </c>
      <c r="B60" s="108"/>
      <c r="C60" s="107" t="str">
        <f>iferror(vlookup(A60,'SoS - Agents Info'!A:AQ,43,false),"")</f>
        <v/>
      </c>
      <c r="D60" s="108" t="s">
        <v>97</v>
      </c>
      <c r="E60" s="108" t="s">
        <v>105</v>
      </c>
      <c r="F60" s="109">
        <f>IFERROR(__xludf.DUMMYFUNCTION("sum(COUNTIFS(Filter(FILTER('Shiftplan SoS'!G$3:GU166,'Shiftplan SoS'!$G$1:$GU$1&lt;=today()),'Shiftplan SoS'!$A$3:$A166=A60),""&gt;0"",(Filter(FILTER('Shiftplan SoS'!G$3:GU166,'Shiftplan SoS'!$G$1:$GU$1&lt;=today()),'Shiftplan SoS'!$A$3:$A166=A60)),""&lt;12""))"),29.0)</f>
        <v>29</v>
      </c>
      <c r="G60" s="53" t="s">
        <v>165</v>
      </c>
      <c r="H60" s="53" t="s">
        <v>165</v>
      </c>
      <c r="I60" s="53" t="s">
        <v>165</v>
      </c>
      <c r="J60" s="53" t="s">
        <v>165</v>
      </c>
      <c r="K60" s="53" t="s">
        <v>165</v>
      </c>
      <c r="L60" s="53" t="s">
        <v>165</v>
      </c>
      <c r="M60" s="53" t="s">
        <v>165</v>
      </c>
      <c r="N60" s="53">
        <v>8.0</v>
      </c>
      <c r="O60" s="53">
        <v>8.0</v>
      </c>
      <c r="P60" s="53" t="s">
        <v>165</v>
      </c>
      <c r="Q60" s="53" t="s">
        <v>165</v>
      </c>
      <c r="R60" s="53" t="s">
        <v>165</v>
      </c>
      <c r="S60" s="53" t="s">
        <v>165</v>
      </c>
      <c r="T60" s="53" t="s">
        <v>165</v>
      </c>
      <c r="U60" s="53">
        <v>8.0</v>
      </c>
      <c r="V60" s="53">
        <v>8.0</v>
      </c>
      <c r="W60" s="53" t="s">
        <v>165</v>
      </c>
      <c r="X60" s="53" t="s">
        <v>165</v>
      </c>
      <c r="Y60" s="53" t="s">
        <v>165</v>
      </c>
      <c r="Z60" s="53" t="s">
        <v>165</v>
      </c>
      <c r="AA60" s="53" t="s">
        <v>165</v>
      </c>
      <c r="AB60" s="53">
        <v>8.0</v>
      </c>
      <c r="AC60" s="53">
        <v>8.0</v>
      </c>
      <c r="AD60" s="53" t="s">
        <v>165</v>
      </c>
      <c r="AE60" s="53" t="s">
        <v>165</v>
      </c>
      <c r="AF60" s="53" t="s">
        <v>165</v>
      </c>
      <c r="AG60" s="53" t="s">
        <v>165</v>
      </c>
      <c r="AH60" s="53" t="s">
        <v>165</v>
      </c>
      <c r="AI60" s="110">
        <v>8.0</v>
      </c>
      <c r="AJ60" s="110">
        <v>8.0</v>
      </c>
      <c r="AK60" s="111" t="s">
        <v>165</v>
      </c>
      <c r="AL60" s="105">
        <f t="shared" si="5"/>
        <v>64</v>
      </c>
      <c r="AM60" s="48"/>
      <c r="AN60" s="16" t="s">
        <v>165</v>
      </c>
      <c r="AO60" s="16" t="s">
        <v>165</v>
      </c>
      <c r="AP60" s="16" t="s">
        <v>165</v>
      </c>
      <c r="AQ60" s="16" t="s">
        <v>165</v>
      </c>
      <c r="AR60" s="53" t="s">
        <v>165</v>
      </c>
      <c r="AS60" s="53">
        <v>8.0</v>
      </c>
      <c r="AT60" s="16" t="s">
        <v>165</v>
      </c>
      <c r="AU60" s="16" t="s">
        <v>165</v>
      </c>
      <c r="AV60" s="16" t="s">
        <v>165</v>
      </c>
      <c r="AW60" s="16" t="s">
        <v>165</v>
      </c>
      <c r="AX60" s="16" t="s">
        <v>165</v>
      </c>
      <c r="AY60" s="53">
        <v>8.0</v>
      </c>
      <c r="AZ60" s="53">
        <v>8.0</v>
      </c>
      <c r="BA60" s="16" t="s">
        <v>165</v>
      </c>
      <c r="BB60" s="16" t="s">
        <v>165</v>
      </c>
      <c r="BC60" s="16" t="s">
        <v>165</v>
      </c>
      <c r="BD60" s="16" t="s">
        <v>165</v>
      </c>
      <c r="BE60" s="16" t="s">
        <v>165</v>
      </c>
      <c r="BF60" s="53">
        <v>8.0</v>
      </c>
      <c r="BG60" s="53">
        <v>8.0</v>
      </c>
      <c r="BH60" s="16" t="s">
        <v>165</v>
      </c>
      <c r="BI60" s="16" t="s">
        <v>165</v>
      </c>
      <c r="BJ60" s="16" t="s">
        <v>165</v>
      </c>
      <c r="BK60" s="16" t="s">
        <v>165</v>
      </c>
      <c r="BL60" s="16" t="s">
        <v>165</v>
      </c>
      <c r="BM60" s="53">
        <v>8.0</v>
      </c>
      <c r="BN60" s="53">
        <v>8.0</v>
      </c>
      <c r="BO60" s="16" t="s">
        <v>165</v>
      </c>
      <c r="BP60" s="16" t="s">
        <v>165</v>
      </c>
      <c r="BQ60" s="16" t="s">
        <v>165</v>
      </c>
      <c r="BR60" s="105">
        <f t="shared" si="11"/>
        <v>56</v>
      </c>
      <c r="BS60" s="48"/>
      <c r="BT60" s="16" t="s">
        <v>165</v>
      </c>
      <c r="BU60" s="16" t="s">
        <v>165</v>
      </c>
      <c r="BV60" s="16">
        <v>8.0</v>
      </c>
      <c r="BW60" s="16">
        <v>8.0</v>
      </c>
      <c r="BX60" s="16" t="s">
        <v>165</v>
      </c>
      <c r="BY60" s="16" t="s">
        <v>165</v>
      </c>
      <c r="BZ60" s="16" t="s">
        <v>165</v>
      </c>
      <c r="CA60" s="16" t="s">
        <v>165</v>
      </c>
      <c r="CB60" s="16" t="s">
        <v>165</v>
      </c>
      <c r="CC60" s="16">
        <v>8.0</v>
      </c>
      <c r="CD60" s="16">
        <v>8.0</v>
      </c>
      <c r="CE60" s="16" t="s">
        <v>165</v>
      </c>
      <c r="CF60" s="16" t="s">
        <v>165</v>
      </c>
      <c r="CG60" s="16" t="s">
        <v>165</v>
      </c>
      <c r="CH60" s="16" t="s">
        <v>165</v>
      </c>
      <c r="CI60" s="16" t="s">
        <v>165</v>
      </c>
      <c r="CJ60" s="16">
        <v>9.0</v>
      </c>
      <c r="CK60" s="16">
        <v>9.0</v>
      </c>
      <c r="CL60" s="16" t="s">
        <v>165</v>
      </c>
      <c r="CM60" s="16" t="s">
        <v>165</v>
      </c>
      <c r="CN60" s="16" t="s">
        <v>165</v>
      </c>
      <c r="CO60" s="16" t="s">
        <v>165</v>
      </c>
      <c r="CP60" s="16" t="s">
        <v>165</v>
      </c>
      <c r="CQ60" s="16">
        <v>8.0</v>
      </c>
      <c r="CR60" s="16">
        <v>8.0</v>
      </c>
      <c r="CS60" s="16" t="s">
        <v>165</v>
      </c>
      <c r="CT60" s="16" t="s">
        <v>165</v>
      </c>
      <c r="CU60" s="16" t="s">
        <v>165</v>
      </c>
      <c r="CV60" s="16" t="s">
        <v>165</v>
      </c>
      <c r="CW60" s="16" t="s">
        <v>165</v>
      </c>
      <c r="CX60" s="16" t="s">
        <v>167</v>
      </c>
      <c r="CY60" s="105">
        <f t="shared" si="7"/>
        <v>66</v>
      </c>
      <c r="CZ60" s="105"/>
      <c r="DA60" s="58" t="s">
        <v>167</v>
      </c>
      <c r="DB60" s="113" t="s">
        <v>165</v>
      </c>
      <c r="DC60" s="113" t="s">
        <v>165</v>
      </c>
      <c r="DD60" s="113" t="s">
        <v>165</v>
      </c>
      <c r="DE60" s="113" t="s">
        <v>165</v>
      </c>
      <c r="DF60" s="113" t="s">
        <v>165</v>
      </c>
      <c r="DG60" s="58" t="s">
        <v>167</v>
      </c>
      <c r="DH60" s="58" t="s">
        <v>167</v>
      </c>
      <c r="DI60" s="113" t="s">
        <v>165</v>
      </c>
      <c r="DJ60" s="113" t="s">
        <v>165</v>
      </c>
      <c r="DK60" s="113" t="s">
        <v>165</v>
      </c>
      <c r="DL60" s="113" t="s">
        <v>165</v>
      </c>
      <c r="DM60" s="113" t="s">
        <v>165</v>
      </c>
      <c r="DN60" s="58">
        <v>8.0</v>
      </c>
      <c r="DO60" s="58">
        <v>8.0</v>
      </c>
      <c r="DP60" s="113" t="s">
        <v>165</v>
      </c>
      <c r="DQ60" s="113" t="s">
        <v>165</v>
      </c>
      <c r="DR60" s="113" t="s">
        <v>165</v>
      </c>
      <c r="DS60" s="113" t="s">
        <v>165</v>
      </c>
      <c r="DT60" s="113" t="s">
        <v>165</v>
      </c>
      <c r="DU60" s="58">
        <v>8.0</v>
      </c>
      <c r="DV60" s="58">
        <v>8.0</v>
      </c>
      <c r="DW60" s="113" t="s">
        <v>165</v>
      </c>
      <c r="DX60" s="113" t="s">
        <v>165</v>
      </c>
      <c r="DY60" s="113" t="s">
        <v>165</v>
      </c>
      <c r="DZ60" s="113" t="s">
        <v>165</v>
      </c>
      <c r="EA60" s="113" t="s">
        <v>165</v>
      </c>
      <c r="EB60" s="58">
        <v>8.0</v>
      </c>
      <c r="EC60" s="58">
        <v>8.0</v>
      </c>
      <c r="ED60" s="113" t="s">
        <v>165</v>
      </c>
      <c r="EE60" s="113" t="s">
        <v>165</v>
      </c>
      <c r="EF60" s="113">
        <f t="shared" si="8"/>
        <v>48</v>
      </c>
      <c r="EG60" s="105"/>
      <c r="EH60" s="105"/>
      <c r="EI60" s="105"/>
      <c r="EJ60" s="105"/>
      <c r="EK60" s="105"/>
      <c r="EL60" s="105"/>
      <c r="EM60" s="105"/>
      <c r="EN60" s="105"/>
      <c r="EO60" s="105"/>
      <c r="EP60" s="105"/>
      <c r="EQ60" s="105"/>
      <c r="ER60" s="105"/>
      <c r="ES60" s="105"/>
      <c r="ET60" s="105"/>
      <c r="EU60" s="105"/>
      <c r="EV60" s="105"/>
      <c r="EW60" s="105"/>
      <c r="EX60" s="105"/>
      <c r="EY60" s="105"/>
      <c r="EZ60" s="105"/>
      <c r="FA60" s="105"/>
      <c r="FB60" s="105"/>
      <c r="FC60" s="105"/>
      <c r="FD60" s="105"/>
      <c r="FE60" s="105"/>
      <c r="FF60" s="105"/>
      <c r="FG60" s="105"/>
      <c r="FH60" s="105"/>
      <c r="FI60" s="105"/>
      <c r="FJ60" s="105"/>
      <c r="FK60" s="105"/>
      <c r="FL60" s="105">
        <f t="shared" si="12"/>
        <v>0</v>
      </c>
      <c r="FM60" s="105"/>
      <c r="FN60" s="105"/>
      <c r="FO60" s="105"/>
      <c r="FP60" s="105"/>
      <c r="FQ60" s="105"/>
      <c r="FR60" s="105"/>
      <c r="FS60" s="105"/>
      <c r="FT60" s="105"/>
      <c r="FU60" s="105"/>
      <c r="FV60" s="105"/>
      <c r="FW60" s="105"/>
      <c r="FX60" s="105"/>
      <c r="FY60" s="105"/>
      <c r="FZ60" s="105"/>
      <c r="GA60" s="105"/>
      <c r="GB60" s="105"/>
      <c r="GC60" s="105"/>
      <c r="GD60" s="105"/>
      <c r="GE60" s="105"/>
      <c r="GF60" s="105"/>
      <c r="GG60" s="105"/>
      <c r="GH60" s="105"/>
      <c r="GI60" s="105"/>
      <c r="GJ60" s="105"/>
      <c r="GK60" s="105"/>
      <c r="GL60" s="105"/>
      <c r="GM60" s="105"/>
      <c r="GN60" s="105"/>
      <c r="GO60" s="105"/>
      <c r="GP60" s="105"/>
      <c r="GQ60" s="105"/>
      <c r="GR60" s="105"/>
      <c r="GS60" s="105">
        <f t="shared" si="13"/>
        <v>0</v>
      </c>
      <c r="GT60" s="105"/>
      <c r="GU60" s="105"/>
      <c r="GV60" s="105"/>
      <c r="GW60" s="105"/>
      <c r="GX60" s="105"/>
      <c r="GY60" s="105"/>
      <c r="GZ60" s="105"/>
      <c r="HA60" s="105"/>
      <c r="HB60" s="105"/>
      <c r="HC60" s="105"/>
      <c r="HD60" s="105"/>
      <c r="HE60" s="105"/>
    </row>
    <row r="61">
      <c r="A61" s="139"/>
      <c r="B61" s="108"/>
      <c r="C61" s="107"/>
      <c r="D61" s="108"/>
      <c r="E61" s="108"/>
      <c r="F61" s="109"/>
      <c r="G61" s="53"/>
      <c r="H61" s="53"/>
      <c r="I61" s="53"/>
      <c r="J61" s="53"/>
      <c r="K61" s="53"/>
      <c r="L61" s="53"/>
      <c r="M61" s="53"/>
      <c r="N61" s="53"/>
      <c r="O61" s="53"/>
      <c r="P61" s="53"/>
      <c r="Q61" s="53"/>
      <c r="R61" s="53"/>
      <c r="S61" s="53"/>
      <c r="T61" s="53"/>
      <c r="U61" s="53"/>
      <c r="V61" s="53"/>
      <c r="W61" s="53"/>
      <c r="X61" s="53"/>
      <c r="Y61" s="53"/>
      <c r="Z61" s="53"/>
      <c r="AA61" s="53"/>
      <c r="AB61" s="53"/>
      <c r="AC61" s="53"/>
      <c r="AD61" s="53"/>
      <c r="AE61" s="53"/>
      <c r="AF61" s="53"/>
      <c r="AG61" s="53"/>
      <c r="AH61" s="53"/>
      <c r="AI61" s="110"/>
      <c r="AJ61" s="110"/>
      <c r="AK61" s="111"/>
      <c r="AL61" s="105"/>
      <c r="AM61" s="48"/>
      <c r="AN61" s="16"/>
      <c r="AO61" s="16"/>
      <c r="AP61" s="16"/>
      <c r="AQ61" s="16"/>
      <c r="AR61" s="53"/>
      <c r="AS61" s="53"/>
      <c r="AT61" s="16"/>
      <c r="AU61" s="16"/>
      <c r="AV61" s="16"/>
      <c r="AW61" s="16"/>
      <c r="AX61" s="16"/>
      <c r="AY61" s="53"/>
      <c r="AZ61" s="53"/>
      <c r="BA61" s="110"/>
      <c r="BB61" s="16"/>
      <c r="BC61" s="110"/>
      <c r="BD61" s="110"/>
      <c r="BE61" s="16"/>
      <c r="BF61" s="53"/>
      <c r="BG61" s="53"/>
      <c r="BH61" s="110"/>
      <c r="BI61" s="110"/>
      <c r="BJ61" s="16"/>
      <c r="BK61" s="110"/>
      <c r="BL61" s="16"/>
      <c r="BM61" s="53"/>
      <c r="BN61" s="53"/>
      <c r="BO61" s="16"/>
      <c r="BP61" s="16"/>
      <c r="BQ61" s="16"/>
      <c r="BR61" s="105"/>
      <c r="BS61" s="48"/>
      <c r="BT61" s="64"/>
      <c r="BU61" s="16"/>
      <c r="BV61" s="53"/>
      <c r="BW61" s="53"/>
      <c r="BX61" s="16"/>
      <c r="BY61" s="16"/>
      <c r="BZ61" s="16"/>
      <c r="CA61" s="64"/>
      <c r="CB61" s="16"/>
      <c r="CC61" s="53"/>
      <c r="CD61" s="53"/>
      <c r="CE61" s="16"/>
      <c r="CF61" s="16"/>
      <c r="CG61" s="16"/>
      <c r="CH61" s="64"/>
      <c r="CI61" s="16"/>
      <c r="CJ61" s="53"/>
      <c r="CK61" s="53"/>
      <c r="CL61" s="16"/>
      <c r="CM61" s="16"/>
      <c r="CN61" s="16"/>
      <c r="CO61" s="25"/>
      <c r="CP61" s="16"/>
      <c r="CQ61" s="53"/>
      <c r="CR61" s="53"/>
      <c r="CS61" s="16"/>
      <c r="CT61" s="16"/>
      <c r="CU61" s="16"/>
      <c r="CV61" s="64"/>
      <c r="CW61" s="16"/>
      <c r="CX61" s="53"/>
      <c r="CY61" s="105"/>
      <c r="CZ61" s="105"/>
      <c r="DA61" s="58"/>
      <c r="DB61" s="58"/>
      <c r="DC61" s="58"/>
      <c r="DD61" s="58"/>
      <c r="DE61" s="58"/>
      <c r="DF61" s="58"/>
      <c r="DG61" s="58"/>
      <c r="DH61" s="58"/>
      <c r="DI61" s="58"/>
      <c r="DJ61" s="58"/>
      <c r="DK61" s="58"/>
      <c r="DL61" s="58"/>
      <c r="DM61" s="58"/>
      <c r="DN61" s="58"/>
      <c r="DO61" s="58"/>
      <c r="DP61" s="58"/>
      <c r="DQ61" s="58"/>
      <c r="DR61" s="58"/>
      <c r="DS61" s="58"/>
      <c r="DT61" s="58"/>
      <c r="DU61" s="58"/>
      <c r="DV61" s="58"/>
      <c r="DW61" s="58"/>
      <c r="DX61" s="58"/>
      <c r="DY61" s="58"/>
      <c r="DZ61" s="58"/>
      <c r="EA61" s="58"/>
      <c r="EB61" s="58"/>
      <c r="EC61" s="58"/>
      <c r="ED61" s="58"/>
      <c r="EE61" s="58"/>
      <c r="EF61" s="113"/>
      <c r="EG61" s="105"/>
      <c r="EH61" s="105"/>
      <c r="EI61" s="105"/>
      <c r="EJ61" s="105"/>
      <c r="EK61" s="105"/>
      <c r="EL61" s="105"/>
      <c r="EM61" s="105"/>
      <c r="EN61" s="105"/>
      <c r="EO61" s="105"/>
      <c r="EP61" s="105"/>
      <c r="EQ61" s="105"/>
      <c r="ER61" s="105"/>
      <c r="ES61" s="105"/>
      <c r="ET61" s="105"/>
      <c r="EU61" s="105"/>
      <c r="EV61" s="105"/>
      <c r="EW61" s="105"/>
      <c r="EX61" s="105"/>
      <c r="EY61" s="105"/>
      <c r="EZ61" s="105"/>
      <c r="FA61" s="105"/>
      <c r="FB61" s="105"/>
      <c r="FC61" s="105"/>
      <c r="FD61" s="105"/>
      <c r="FE61" s="105"/>
      <c r="FF61" s="105"/>
      <c r="FG61" s="105"/>
      <c r="FH61" s="105"/>
      <c r="FI61" s="105"/>
      <c r="FJ61" s="105"/>
      <c r="FK61" s="105"/>
      <c r="FL61" s="105"/>
      <c r="FM61" s="105"/>
      <c r="FN61" s="105"/>
      <c r="FO61" s="105"/>
      <c r="FP61" s="105"/>
      <c r="FQ61" s="105"/>
      <c r="FR61" s="105"/>
      <c r="FS61" s="105"/>
      <c r="FT61" s="105"/>
      <c r="FU61" s="105"/>
      <c r="FV61" s="105"/>
      <c r="FW61" s="105"/>
      <c r="FX61" s="105"/>
      <c r="FY61" s="105"/>
      <c r="FZ61" s="105"/>
      <c r="GA61" s="105"/>
      <c r="GB61" s="105"/>
      <c r="GC61" s="105"/>
      <c r="GD61" s="105"/>
      <c r="GE61" s="105"/>
      <c r="GF61" s="105"/>
      <c r="GG61" s="105"/>
      <c r="GH61" s="105"/>
      <c r="GI61" s="105"/>
      <c r="GJ61" s="105"/>
      <c r="GK61" s="105"/>
      <c r="GL61" s="105"/>
      <c r="GM61" s="105"/>
      <c r="GN61" s="105"/>
      <c r="GO61" s="105"/>
      <c r="GP61" s="105"/>
      <c r="GQ61" s="105"/>
      <c r="GR61" s="105"/>
      <c r="GS61" s="105"/>
      <c r="GT61" s="105"/>
      <c r="GU61" s="105"/>
      <c r="GV61" s="105"/>
      <c r="GW61" s="105"/>
      <c r="GX61" s="105"/>
      <c r="GY61" s="105"/>
      <c r="GZ61" s="105"/>
      <c r="HA61" s="105"/>
      <c r="HB61" s="105"/>
      <c r="HC61" s="105"/>
      <c r="HD61" s="105"/>
      <c r="HE61" s="105"/>
    </row>
    <row r="62">
      <c r="A62" s="101" t="s">
        <v>280</v>
      </c>
      <c r="B62" s="106" t="str">
        <f>iferror(vlookup(A62,'SoS - Agents Info'!A:H,5,false),"")</f>
        <v>ES</v>
      </c>
      <c r="C62" s="107" t="str">
        <f>iferror(vlookup(A62,'SoS - Agents Info'!A:AQ,43,false),"")</f>
        <v>FL</v>
      </c>
      <c r="D62" s="108" t="str">
        <f>iferror(vlookup(A62,'SoS - Agents Info'!A:H,6,false),"")</f>
        <v>WE+WD</v>
      </c>
      <c r="E62" s="108" t="str">
        <f>iferror(vlookup(A62,'SoS - Agents Info'!A:H,7,false),"")</f>
        <v>00:00-09:00</v>
      </c>
      <c r="F62" s="109">
        <f>IFERROR(__xludf.DUMMYFUNCTION("sum(COUNTIFS(Filter(FILTER('Shiftplan SoS'!G$3:GU166,'Shiftplan SoS'!$G$1:$GU$1&lt;=today()),'Shiftplan SoS'!$A$3:$A166=A62),""&gt;0"",(Filter(FILTER('Shiftplan SoS'!G$3:GU166,'Shiftplan SoS'!$G$1:$GU$1&lt;=today()),'Shiftplan SoS'!$A$3:$A166=A62)),""&lt;12""))"),78.0)</f>
        <v>78</v>
      </c>
      <c r="G62" s="135"/>
      <c r="H62" s="135"/>
      <c r="I62" s="135"/>
      <c r="J62" s="135"/>
      <c r="K62" s="135"/>
      <c r="L62" s="135"/>
      <c r="M62" s="135"/>
      <c r="N62" s="135"/>
      <c r="O62" s="135"/>
      <c r="P62" s="135"/>
      <c r="Q62" s="135"/>
      <c r="R62" s="137"/>
      <c r="S62" s="135"/>
      <c r="T62" s="135"/>
      <c r="U62" s="135"/>
      <c r="V62" s="135"/>
      <c r="W62" s="16">
        <v>8.0</v>
      </c>
      <c r="X62" s="16">
        <v>8.0</v>
      </c>
      <c r="Y62" s="16">
        <v>8.0</v>
      </c>
      <c r="Z62" s="16">
        <v>8.0</v>
      </c>
      <c r="AA62" s="16">
        <v>8.0</v>
      </c>
      <c r="AB62" s="16" t="s">
        <v>165</v>
      </c>
      <c r="AC62" s="16" t="s">
        <v>165</v>
      </c>
      <c r="AD62" s="16" t="s">
        <v>165</v>
      </c>
      <c r="AE62" s="16" t="s">
        <v>165</v>
      </c>
      <c r="AF62" s="16" t="s">
        <v>165</v>
      </c>
      <c r="AG62" s="16">
        <v>8.0</v>
      </c>
      <c r="AH62" s="16">
        <v>8.0</v>
      </c>
      <c r="AI62" s="110">
        <v>8.0</v>
      </c>
      <c r="AJ62" s="110">
        <v>8.0</v>
      </c>
      <c r="AK62" s="125">
        <v>8.0</v>
      </c>
      <c r="AL62" s="105">
        <f t="shared" ref="AL62:AL81" si="14">sum(G62:AK62)</f>
        <v>80</v>
      </c>
      <c r="AM62" s="48"/>
      <c r="AN62" s="16">
        <v>8.0</v>
      </c>
      <c r="AO62" s="16" t="s">
        <v>165</v>
      </c>
      <c r="AP62" s="16" t="s">
        <v>165</v>
      </c>
      <c r="AQ62" s="16">
        <v>8.0</v>
      </c>
      <c r="AR62" s="110">
        <v>8.0</v>
      </c>
      <c r="AS62" s="16">
        <v>8.0</v>
      </c>
      <c r="AT62" s="16">
        <v>8.0</v>
      </c>
      <c r="AU62" s="16">
        <v>8.0</v>
      </c>
      <c r="AV62" s="16" t="s">
        <v>165</v>
      </c>
      <c r="AW62" s="16" t="s">
        <v>165</v>
      </c>
      <c r="AX62" s="16">
        <v>8.0</v>
      </c>
      <c r="AY62" s="16">
        <v>8.0</v>
      </c>
      <c r="AZ62" s="16">
        <v>8.0</v>
      </c>
      <c r="BA62" s="16">
        <v>8.0</v>
      </c>
      <c r="BB62" s="16">
        <v>8.0</v>
      </c>
      <c r="BC62" s="16" t="s">
        <v>165</v>
      </c>
      <c r="BD62" s="16" t="s">
        <v>165</v>
      </c>
      <c r="BE62" s="16">
        <v>8.0</v>
      </c>
      <c r="BF62" s="16">
        <v>8.0</v>
      </c>
      <c r="BG62" s="16">
        <v>8.0</v>
      </c>
      <c r="BH62" s="16">
        <v>8.0</v>
      </c>
      <c r="BI62" s="16">
        <v>8.0</v>
      </c>
      <c r="BJ62" s="16" t="s">
        <v>165</v>
      </c>
      <c r="BK62" s="16" t="s">
        <v>165</v>
      </c>
      <c r="BL62" s="16">
        <v>8.0</v>
      </c>
      <c r="BM62" s="16">
        <v>8.0</v>
      </c>
      <c r="BN62" s="16">
        <v>8.0</v>
      </c>
      <c r="BO62" s="16">
        <v>8.0</v>
      </c>
      <c r="BP62" s="16">
        <v>8.0</v>
      </c>
      <c r="BQ62" s="16" t="s">
        <v>165</v>
      </c>
      <c r="BR62" s="105">
        <f t="shared" ref="BR62:BR97" si="15">sum(AN62:BQ62)</f>
        <v>168</v>
      </c>
      <c r="BS62" s="48"/>
      <c r="BT62" s="16" t="s">
        <v>165</v>
      </c>
      <c r="BU62" s="16">
        <v>8.0</v>
      </c>
      <c r="BV62" s="16">
        <v>8.0</v>
      </c>
      <c r="BW62" s="16">
        <v>8.0</v>
      </c>
      <c r="BX62" s="16">
        <v>8.0</v>
      </c>
      <c r="BY62" s="16">
        <v>8.0</v>
      </c>
      <c r="BZ62" s="16" t="s">
        <v>165</v>
      </c>
      <c r="CA62" s="16" t="s">
        <v>165</v>
      </c>
      <c r="CB62" s="16">
        <v>8.0</v>
      </c>
      <c r="CC62" s="16">
        <v>8.0</v>
      </c>
      <c r="CD62" s="16">
        <v>8.0</v>
      </c>
      <c r="CE62" s="16">
        <v>8.0</v>
      </c>
      <c r="CF62" s="16">
        <v>8.0</v>
      </c>
      <c r="CG62" s="16" t="s">
        <v>165</v>
      </c>
      <c r="CH62" s="16" t="s">
        <v>165</v>
      </c>
      <c r="CI62" s="16">
        <v>8.0</v>
      </c>
      <c r="CJ62" s="16">
        <v>8.0</v>
      </c>
      <c r="CK62" s="16">
        <v>8.0</v>
      </c>
      <c r="CL62" s="16">
        <v>8.0</v>
      </c>
      <c r="CM62" s="16">
        <v>8.0</v>
      </c>
      <c r="CN62" s="16" t="s">
        <v>165</v>
      </c>
      <c r="CO62" s="16" t="s">
        <v>165</v>
      </c>
      <c r="CP62" s="16">
        <v>8.0</v>
      </c>
      <c r="CQ62" s="16">
        <v>8.0</v>
      </c>
      <c r="CR62" s="16">
        <v>8.0</v>
      </c>
      <c r="CS62" s="16">
        <v>8.0</v>
      </c>
      <c r="CT62" s="16">
        <v>8.0</v>
      </c>
      <c r="CU62" s="16" t="s">
        <v>165</v>
      </c>
      <c r="CV62" s="16" t="s">
        <v>165</v>
      </c>
      <c r="CW62" s="16">
        <v>8.0</v>
      </c>
      <c r="CX62" s="16">
        <v>8.0</v>
      </c>
      <c r="CY62" s="105">
        <f t="shared" ref="CY62:CY104" si="16">sum(BT62:CX62)</f>
        <v>176</v>
      </c>
      <c r="CZ62" s="48"/>
      <c r="DA62" s="113">
        <v>8.0</v>
      </c>
      <c r="DB62" s="16">
        <v>8.0</v>
      </c>
      <c r="DC62" s="16">
        <v>8.0</v>
      </c>
      <c r="DD62" s="16" t="s">
        <v>165</v>
      </c>
      <c r="DE62" s="16" t="s">
        <v>165</v>
      </c>
      <c r="DF62" s="16">
        <v>8.0</v>
      </c>
      <c r="DG62" s="16">
        <v>8.0</v>
      </c>
      <c r="DH62" s="16">
        <v>8.0</v>
      </c>
      <c r="DI62" s="16">
        <v>8.0</v>
      </c>
      <c r="DJ62" s="16">
        <v>8.0</v>
      </c>
      <c r="DK62" s="16" t="s">
        <v>165</v>
      </c>
      <c r="DL62" s="16" t="s">
        <v>165</v>
      </c>
      <c r="DM62" s="16">
        <v>8.0</v>
      </c>
      <c r="DN62" s="16">
        <v>8.0</v>
      </c>
      <c r="DO62" s="16">
        <v>8.0</v>
      </c>
      <c r="DP62" s="16">
        <v>8.0</v>
      </c>
      <c r="DQ62" s="16">
        <v>8.0</v>
      </c>
      <c r="DR62" s="16" t="s">
        <v>165</v>
      </c>
      <c r="DS62" s="16" t="s">
        <v>165</v>
      </c>
      <c r="DT62" s="16">
        <v>8.0</v>
      </c>
      <c r="DU62" s="16">
        <v>8.0</v>
      </c>
      <c r="DV62" s="16">
        <v>8.0</v>
      </c>
      <c r="DW62" s="16">
        <v>8.0</v>
      </c>
      <c r="DX62" s="16">
        <v>8.0</v>
      </c>
      <c r="DY62" s="16" t="s">
        <v>165</v>
      </c>
      <c r="DZ62" s="16" t="s">
        <v>165</v>
      </c>
      <c r="EA62" s="16" t="s">
        <v>245</v>
      </c>
      <c r="EB62" s="16" t="s">
        <v>245</v>
      </c>
      <c r="EC62" s="16" t="s">
        <v>245</v>
      </c>
      <c r="ED62" s="16">
        <v>8.0</v>
      </c>
      <c r="EE62" s="58">
        <v>8.0</v>
      </c>
      <c r="EF62" s="113">
        <f t="shared" ref="EF62:EF109" si="17">sum(DA62:EE62)</f>
        <v>160</v>
      </c>
      <c r="EG62" s="48"/>
      <c r="EH62" s="16" t="s">
        <v>165</v>
      </c>
      <c r="EI62" s="16">
        <v>8.0</v>
      </c>
      <c r="EJ62" s="16">
        <v>8.0</v>
      </c>
      <c r="EK62" s="16">
        <v>8.0</v>
      </c>
      <c r="EL62" s="16">
        <v>8.0</v>
      </c>
      <c r="EM62" s="16">
        <v>8.0</v>
      </c>
      <c r="EN62" s="15"/>
      <c r="EO62" s="15"/>
      <c r="EP62" s="15"/>
      <c r="EQ62" s="15"/>
      <c r="ER62" s="15"/>
      <c r="ES62" s="15"/>
      <c r="ET62" s="15"/>
      <c r="EU62" s="15"/>
      <c r="EV62" s="15"/>
      <c r="EW62" s="15"/>
      <c r="EX62" s="15"/>
      <c r="EY62" s="15"/>
      <c r="EZ62" s="15"/>
      <c r="FA62" s="15"/>
      <c r="FB62" s="15"/>
      <c r="FC62" s="15"/>
      <c r="FD62" s="15"/>
      <c r="FE62" s="15"/>
      <c r="FF62" s="15"/>
      <c r="FG62" s="15"/>
      <c r="FH62" s="15"/>
      <c r="FI62" s="15"/>
      <c r="FJ62" s="15"/>
      <c r="FK62" s="15"/>
      <c r="FL62" s="105">
        <f t="shared" ref="FL62:FL63" si="18">sum(EH62:FK62)</f>
        <v>40</v>
      </c>
      <c r="FM62" s="48"/>
      <c r="FN62" s="15"/>
      <c r="FO62" s="15"/>
      <c r="FP62" s="15"/>
      <c r="FQ62" s="15"/>
      <c r="FR62" s="15"/>
      <c r="FS62" s="15"/>
      <c r="FT62" s="15"/>
      <c r="FU62" s="15"/>
      <c r="FV62" s="15"/>
      <c r="FW62" s="15"/>
      <c r="FX62" s="15"/>
      <c r="FY62" s="15"/>
      <c r="FZ62" s="15"/>
      <c r="GA62" s="15"/>
      <c r="GB62" s="15"/>
      <c r="GC62" s="15"/>
      <c r="GD62" s="15"/>
      <c r="GE62" s="15"/>
      <c r="GF62" s="15"/>
      <c r="GG62" s="15"/>
      <c r="GH62" s="15"/>
      <c r="GI62" s="15"/>
      <c r="GJ62" s="15"/>
      <c r="GK62" s="15"/>
      <c r="GL62" s="15"/>
      <c r="GM62" s="15"/>
      <c r="GN62" s="15"/>
      <c r="GO62" s="15"/>
      <c r="GP62" s="15"/>
      <c r="GQ62" s="15"/>
      <c r="GR62" s="15"/>
      <c r="GS62" s="105">
        <f t="shared" ref="GS62:GS63" si="19">sum(FN62:GR62)</f>
        <v>0</v>
      </c>
      <c r="GT62" s="48"/>
      <c r="GU62" s="15"/>
      <c r="GV62" s="15"/>
      <c r="GW62" s="15"/>
      <c r="GX62" s="15"/>
      <c r="GY62" s="15"/>
      <c r="GZ62" s="15"/>
      <c r="HA62" s="15"/>
      <c r="HB62" s="15"/>
      <c r="HC62" s="15"/>
      <c r="HD62" s="15"/>
      <c r="HE62" s="15"/>
    </row>
    <row r="63">
      <c r="A63" s="101" t="s">
        <v>281</v>
      </c>
      <c r="B63" s="106" t="str">
        <f>iferror(vlookup(A63,'SoS - Agents Info'!A:H,5,false),"")</f>
        <v>EN</v>
      </c>
      <c r="C63" s="107" t="str">
        <f>iferror(vlookup(A63,'SoS - Agents Info'!A:AQ,43,false),"")</f>
        <v>RA+VM</v>
      </c>
      <c r="D63" s="108" t="str">
        <f>iferror(vlookup(A63,'SoS - Agents Info'!A:H,6,false),"")</f>
        <v>WE+WD</v>
      </c>
      <c r="E63" s="108" t="str">
        <f>iferror(vlookup(A63,'SoS - Agents Info'!A:H,7,false),"")</f>
        <v>16:00-01:00</v>
      </c>
      <c r="F63" s="109">
        <f>IFERROR(__xludf.DUMMYFUNCTION("sum(COUNTIFS(Filter(FILTER('Shiftplan SoS'!G$3:GU166,'Shiftplan SoS'!$G$1:$GU$1&lt;=today()),'Shiftplan SoS'!$A$3:$A166=A63),""&gt;0"",(Filter(FILTER('Shiftplan SoS'!G$3:GU166,'Shiftplan SoS'!$G$1:$GU$1&lt;=today()),'Shiftplan SoS'!$A$3:$A166=A63)),""&lt;12""))"),77.0)</f>
        <v>77</v>
      </c>
      <c r="G63" s="135"/>
      <c r="H63" s="135"/>
      <c r="I63" s="135"/>
      <c r="J63" s="135"/>
      <c r="K63" s="135"/>
      <c r="L63" s="135"/>
      <c r="M63" s="135"/>
      <c r="N63" s="135"/>
      <c r="O63" s="135"/>
      <c r="P63" s="135"/>
      <c r="Q63" s="135"/>
      <c r="R63" s="137"/>
      <c r="S63" s="135"/>
      <c r="T63" s="135"/>
      <c r="U63" s="135"/>
      <c r="V63" s="135"/>
      <c r="W63" s="135"/>
      <c r="X63" s="135"/>
      <c r="Y63" s="16">
        <v>8.0</v>
      </c>
      <c r="Z63" s="16">
        <v>8.0</v>
      </c>
      <c r="AA63" s="16">
        <v>8.0</v>
      </c>
      <c r="AB63" s="16" t="s">
        <v>165</v>
      </c>
      <c r="AC63" s="16" t="s">
        <v>165</v>
      </c>
      <c r="AD63" s="16">
        <v>8.0</v>
      </c>
      <c r="AE63" s="16">
        <v>8.0</v>
      </c>
      <c r="AF63" s="16">
        <v>8.0</v>
      </c>
      <c r="AG63" s="16" t="s">
        <v>165</v>
      </c>
      <c r="AH63" s="16" t="s">
        <v>165</v>
      </c>
      <c r="AI63" s="110">
        <v>8.0</v>
      </c>
      <c r="AJ63" s="110">
        <v>8.0</v>
      </c>
      <c r="AK63" s="125">
        <v>8.0</v>
      </c>
      <c r="AL63" s="105">
        <f t="shared" si="14"/>
        <v>72</v>
      </c>
      <c r="AM63" s="48"/>
      <c r="AN63" s="129">
        <v>8.0</v>
      </c>
      <c r="AO63" s="129">
        <v>8.0</v>
      </c>
      <c r="AP63" s="122" t="s">
        <v>165</v>
      </c>
      <c r="AQ63" s="122" t="s">
        <v>165</v>
      </c>
      <c r="AR63" s="16">
        <v>8.0</v>
      </c>
      <c r="AS63" s="16">
        <v>4.0</v>
      </c>
      <c r="AT63" s="129">
        <v>8.0</v>
      </c>
      <c r="AU63" s="129">
        <v>8.0</v>
      </c>
      <c r="AV63" s="129">
        <v>8.0</v>
      </c>
      <c r="AW63" s="110">
        <v>4.0</v>
      </c>
      <c r="AX63" s="122" t="s">
        <v>165</v>
      </c>
      <c r="AY63" s="16">
        <v>8.0</v>
      </c>
      <c r="AZ63" s="122">
        <v>8.0</v>
      </c>
      <c r="BA63" s="129">
        <v>8.0</v>
      </c>
      <c r="BB63" s="129">
        <v>8.0</v>
      </c>
      <c r="BC63" s="129">
        <v>8.0</v>
      </c>
      <c r="BD63" s="16" t="s">
        <v>165</v>
      </c>
      <c r="BE63" s="122" t="s">
        <v>165</v>
      </c>
      <c r="BF63" s="122">
        <v>8.0</v>
      </c>
      <c r="BG63" s="122">
        <v>8.0</v>
      </c>
      <c r="BH63" s="129">
        <v>8.0</v>
      </c>
      <c r="BI63" s="129">
        <v>8.0</v>
      </c>
      <c r="BJ63" s="129">
        <v>8.0</v>
      </c>
      <c r="BK63" s="110">
        <v>8.0</v>
      </c>
      <c r="BL63" s="122" t="s">
        <v>165</v>
      </c>
      <c r="BM63" s="16">
        <v>8.0</v>
      </c>
      <c r="BN63" s="16" t="s">
        <v>245</v>
      </c>
      <c r="BO63" s="129">
        <v>8.0</v>
      </c>
      <c r="BP63" s="129">
        <v>8.0</v>
      </c>
      <c r="BQ63" s="129">
        <v>8.0</v>
      </c>
      <c r="BR63" s="105">
        <f t="shared" si="15"/>
        <v>176</v>
      </c>
      <c r="BS63" s="48"/>
      <c r="BT63" s="110">
        <v>8.0</v>
      </c>
      <c r="BU63" s="110">
        <v>8.0</v>
      </c>
      <c r="BV63" s="16" t="s">
        <v>165</v>
      </c>
      <c r="BW63" s="16" t="s">
        <v>165</v>
      </c>
      <c r="BX63" s="129">
        <v>8.0</v>
      </c>
      <c r="BY63" s="129">
        <v>8.0</v>
      </c>
      <c r="BZ63" s="129">
        <v>8.0</v>
      </c>
      <c r="CA63" s="110">
        <v>8.0</v>
      </c>
      <c r="CB63" s="53">
        <v>8.0</v>
      </c>
      <c r="CC63" s="16" t="s">
        <v>165</v>
      </c>
      <c r="CD63" s="16" t="s">
        <v>165</v>
      </c>
      <c r="CE63" s="129">
        <v>8.0</v>
      </c>
      <c r="CF63" s="129">
        <v>8.0</v>
      </c>
      <c r="CG63" s="129">
        <v>8.0</v>
      </c>
      <c r="CH63" s="110">
        <v>8.0</v>
      </c>
      <c r="CI63" s="110">
        <v>8.0</v>
      </c>
      <c r="CJ63" s="16" t="s">
        <v>165</v>
      </c>
      <c r="CK63" s="16" t="s">
        <v>165</v>
      </c>
      <c r="CL63" s="129">
        <v>8.0</v>
      </c>
      <c r="CM63" s="129">
        <v>8.0</v>
      </c>
      <c r="CN63" s="129">
        <v>8.0</v>
      </c>
      <c r="CO63" s="110">
        <v>8.0</v>
      </c>
      <c r="CP63" s="110">
        <v>8.0</v>
      </c>
      <c r="CQ63" s="16" t="s">
        <v>165</v>
      </c>
      <c r="CR63" s="16" t="s">
        <v>165</v>
      </c>
      <c r="CS63" s="129">
        <v>8.0</v>
      </c>
      <c r="CT63" s="129">
        <v>8.0</v>
      </c>
      <c r="CU63" s="129">
        <v>8.0</v>
      </c>
      <c r="CV63" s="110">
        <v>8.0</v>
      </c>
      <c r="CW63" s="110">
        <v>8.0</v>
      </c>
      <c r="CX63" s="16" t="s">
        <v>165</v>
      </c>
      <c r="CY63" s="105">
        <f t="shared" si="16"/>
        <v>176</v>
      </c>
      <c r="CZ63" s="48"/>
      <c r="DA63" s="113">
        <v>8.0</v>
      </c>
      <c r="DB63" s="123">
        <v>8.0</v>
      </c>
      <c r="DC63" s="123">
        <v>8.0</v>
      </c>
      <c r="DD63" s="123">
        <v>8.0</v>
      </c>
      <c r="DE63" s="113" t="s">
        <v>165</v>
      </c>
      <c r="DF63" s="113" t="s">
        <v>165</v>
      </c>
      <c r="DG63" s="123">
        <v>8.0</v>
      </c>
      <c r="DH63" s="123">
        <v>8.0</v>
      </c>
      <c r="DI63" s="123">
        <v>8.0</v>
      </c>
      <c r="DJ63" s="123">
        <v>8.0</v>
      </c>
      <c r="DK63" s="123">
        <v>8.0</v>
      </c>
      <c r="DL63" s="113" t="s">
        <v>165</v>
      </c>
      <c r="DM63" s="113" t="s">
        <v>165</v>
      </c>
      <c r="DN63" s="113">
        <v>8.0</v>
      </c>
      <c r="DO63" s="113">
        <v>8.0</v>
      </c>
      <c r="DP63" s="123">
        <v>8.0</v>
      </c>
      <c r="DQ63" s="123">
        <v>8.0</v>
      </c>
      <c r="DR63" s="123">
        <v>8.0</v>
      </c>
      <c r="DS63" s="113" t="s">
        <v>165</v>
      </c>
      <c r="DT63" s="113" t="s">
        <v>165</v>
      </c>
      <c r="DU63" s="113">
        <v>8.0</v>
      </c>
      <c r="DV63" s="113">
        <v>8.0</v>
      </c>
      <c r="DW63" s="123">
        <v>8.0</v>
      </c>
      <c r="DX63" s="123">
        <v>8.0</v>
      </c>
      <c r="DY63" s="113">
        <v>8.0</v>
      </c>
      <c r="DZ63" s="113" t="s">
        <v>165</v>
      </c>
      <c r="EA63" s="113" t="s">
        <v>165</v>
      </c>
      <c r="EB63" s="113">
        <v>8.0</v>
      </c>
      <c r="EC63" s="113">
        <v>8.0</v>
      </c>
      <c r="ED63" s="113">
        <v>8.0</v>
      </c>
      <c r="EE63" s="113">
        <v>8.0</v>
      </c>
      <c r="EF63" s="113">
        <f t="shared" si="17"/>
        <v>184</v>
      </c>
      <c r="EG63" s="48"/>
      <c r="EH63" s="15"/>
      <c r="EI63" s="15"/>
      <c r="EJ63" s="15"/>
      <c r="EK63" s="15"/>
      <c r="EL63" s="15"/>
      <c r="EM63" s="15"/>
      <c r="EN63" s="15"/>
      <c r="EO63" s="15"/>
      <c r="EP63" s="15"/>
      <c r="EQ63" s="15"/>
      <c r="ER63" s="15"/>
      <c r="ES63" s="15"/>
      <c r="ET63" s="15"/>
      <c r="EU63" s="15"/>
      <c r="EV63" s="15"/>
      <c r="EW63" s="15"/>
      <c r="EX63" s="15"/>
      <c r="EY63" s="15"/>
      <c r="EZ63" s="15"/>
      <c r="FA63" s="15"/>
      <c r="FB63" s="15"/>
      <c r="FC63" s="15"/>
      <c r="FD63" s="15"/>
      <c r="FE63" s="15"/>
      <c r="FF63" s="15"/>
      <c r="FG63" s="15"/>
      <c r="FH63" s="15"/>
      <c r="FI63" s="15"/>
      <c r="FJ63" s="15"/>
      <c r="FK63" s="15"/>
      <c r="FL63" s="105">
        <f t="shared" si="18"/>
        <v>0</v>
      </c>
      <c r="FM63" s="48"/>
      <c r="FN63" s="15"/>
      <c r="FO63" s="15"/>
      <c r="FP63" s="15"/>
      <c r="FQ63" s="15"/>
      <c r="FR63" s="15"/>
      <c r="FS63" s="15"/>
      <c r="FT63" s="15"/>
      <c r="FU63" s="15"/>
      <c r="FV63" s="15"/>
      <c r="FW63" s="15"/>
      <c r="FX63" s="15"/>
      <c r="FY63" s="15"/>
      <c r="FZ63" s="15"/>
      <c r="GA63" s="15"/>
      <c r="GB63" s="15"/>
      <c r="GC63" s="15"/>
      <c r="GD63" s="15"/>
      <c r="GE63" s="15"/>
      <c r="GF63" s="15"/>
      <c r="GG63" s="15"/>
      <c r="GH63" s="15"/>
      <c r="GI63" s="15"/>
      <c r="GJ63" s="15"/>
      <c r="GK63" s="15"/>
      <c r="GL63" s="15"/>
      <c r="GM63" s="15"/>
      <c r="GN63" s="15"/>
      <c r="GO63" s="15"/>
      <c r="GP63" s="15"/>
      <c r="GQ63" s="15"/>
      <c r="GR63" s="15"/>
      <c r="GS63" s="105">
        <f t="shared" si="19"/>
        <v>0</v>
      </c>
      <c r="GT63" s="48"/>
      <c r="GU63" s="15"/>
      <c r="GV63" s="15"/>
      <c r="GW63" s="15"/>
      <c r="GX63" s="15"/>
      <c r="GY63" s="15"/>
      <c r="GZ63" s="15"/>
      <c r="HA63" s="15"/>
      <c r="HB63" s="15"/>
      <c r="HC63" s="15"/>
      <c r="HD63" s="15"/>
      <c r="HE63" s="15"/>
    </row>
    <row r="64">
      <c r="A64" s="101" t="s">
        <v>282</v>
      </c>
      <c r="B64" s="106" t="str">
        <f>iferror(vlookup(A64,'SoS - Agents Info'!A:H,5,false),"")</f>
        <v>RU</v>
      </c>
      <c r="C64" s="107" t="str">
        <f>iferror(vlookup(A64,'SoS - Agents Info'!A:AQ,43,false),"")</f>
        <v>JM</v>
      </c>
      <c r="D64" s="108" t="str">
        <f>iferror(vlookup(A64,'SoS - Agents Info'!A:H,6,false),"")</f>
        <v>WE+WD</v>
      </c>
      <c r="E64" s="108" t="str">
        <f>iferror(vlookup(A64,'SoS - Agents Info'!A:H,7,false),"")</f>
        <v>08:00-17:00</v>
      </c>
      <c r="F64" s="109">
        <f>IFERROR(__xludf.DUMMYFUNCTION("sum(COUNTIFS(Filter(FILTER('Shiftplan SoS'!G$3:GU166,'Shiftplan SoS'!$G$1:$GU$1&lt;=today()),'Shiftplan SoS'!$A$3:$A166=A64),""&gt;0"",(Filter(FILTER('Shiftplan SoS'!G$3:GU166,'Shiftplan SoS'!$G$1:$GU$1&lt;=today()),'Shiftplan SoS'!$A$3:$A166=A64)),""&lt;12""))"),58.0)</f>
        <v>58</v>
      </c>
      <c r="G64" s="135"/>
      <c r="H64" s="135"/>
      <c r="I64" s="135"/>
      <c r="J64" s="135"/>
      <c r="K64" s="135"/>
      <c r="L64" s="135"/>
      <c r="M64" s="135"/>
      <c r="N64" s="135"/>
      <c r="O64" s="135"/>
      <c r="P64" s="135"/>
      <c r="Q64" s="135"/>
      <c r="R64" s="137"/>
      <c r="S64" s="135"/>
      <c r="T64" s="135"/>
      <c r="U64" s="135"/>
      <c r="V64" s="135"/>
      <c r="W64" s="135"/>
      <c r="X64" s="135"/>
      <c r="Y64" s="135"/>
      <c r="Z64" s="16">
        <v>8.0</v>
      </c>
      <c r="AA64" s="16">
        <v>8.0</v>
      </c>
      <c r="AB64" s="16" t="s">
        <v>165</v>
      </c>
      <c r="AC64" s="16" t="s">
        <v>165</v>
      </c>
      <c r="AD64" s="16" t="s">
        <v>171</v>
      </c>
      <c r="AE64" s="16">
        <v>8.0</v>
      </c>
      <c r="AF64" s="16">
        <v>8.0</v>
      </c>
      <c r="AG64" s="16">
        <v>8.0</v>
      </c>
      <c r="AH64" s="16">
        <v>8.0</v>
      </c>
      <c r="AI64" s="16" t="s">
        <v>165</v>
      </c>
      <c r="AJ64" s="110">
        <v>8.0</v>
      </c>
      <c r="AK64" s="70">
        <v>8.0</v>
      </c>
      <c r="AL64" s="105">
        <f t="shared" si="14"/>
        <v>64</v>
      </c>
      <c r="AM64" s="48"/>
      <c r="AN64" s="16" t="s">
        <v>167</v>
      </c>
      <c r="AO64" s="16">
        <v>8.0</v>
      </c>
      <c r="AP64" s="16">
        <v>8.0</v>
      </c>
      <c r="AQ64" s="16" t="s">
        <v>165</v>
      </c>
      <c r="AR64" s="16" t="s">
        <v>165</v>
      </c>
      <c r="AS64" s="16">
        <v>8.0</v>
      </c>
      <c r="AT64" s="16">
        <v>8.0</v>
      </c>
      <c r="AU64" s="16">
        <v>8.0</v>
      </c>
      <c r="AV64" s="16">
        <v>8.0</v>
      </c>
      <c r="AW64" s="16">
        <v>8.0</v>
      </c>
      <c r="AX64" s="16" t="s">
        <v>165</v>
      </c>
      <c r="AY64" s="16" t="s">
        <v>165</v>
      </c>
      <c r="AZ64" s="16">
        <v>8.0</v>
      </c>
      <c r="BA64" s="16">
        <v>8.0</v>
      </c>
      <c r="BB64" s="16">
        <v>8.0</v>
      </c>
      <c r="BC64" s="16">
        <v>7.0</v>
      </c>
      <c r="BD64" s="16">
        <v>8.0</v>
      </c>
      <c r="BE64" s="16" t="s">
        <v>165</v>
      </c>
      <c r="BF64" s="16" t="s">
        <v>165</v>
      </c>
      <c r="BG64" s="16" t="s">
        <v>167</v>
      </c>
      <c r="BH64" s="16" t="s">
        <v>167</v>
      </c>
      <c r="BI64" s="16" t="s">
        <v>167</v>
      </c>
      <c r="BJ64" s="16" t="s">
        <v>167</v>
      </c>
      <c r="BK64" s="16" t="s">
        <v>171</v>
      </c>
      <c r="BL64" s="16" t="s">
        <v>165</v>
      </c>
      <c r="BM64" s="16" t="s">
        <v>165</v>
      </c>
      <c r="BN64" s="16" t="s">
        <v>167</v>
      </c>
      <c r="BO64" s="16" t="s">
        <v>167</v>
      </c>
      <c r="BP64" s="16" t="s">
        <v>167</v>
      </c>
      <c r="BQ64" s="16" t="s">
        <v>167</v>
      </c>
      <c r="BR64" s="105">
        <f t="shared" si="15"/>
        <v>95</v>
      </c>
      <c r="BS64" s="48"/>
      <c r="BT64" s="16" t="s">
        <v>167</v>
      </c>
      <c r="BU64" s="16" t="s">
        <v>165</v>
      </c>
      <c r="BV64" s="16" t="s">
        <v>165</v>
      </c>
      <c r="BW64" s="16" t="s">
        <v>167</v>
      </c>
      <c r="BX64" s="16" t="s">
        <v>167</v>
      </c>
      <c r="BY64" s="16" t="s">
        <v>167</v>
      </c>
      <c r="BZ64" s="16">
        <v>8.0</v>
      </c>
      <c r="CA64" s="16">
        <v>8.0</v>
      </c>
      <c r="CB64" s="16" t="s">
        <v>165</v>
      </c>
      <c r="CC64" s="16" t="s">
        <v>165</v>
      </c>
      <c r="CD64" s="16">
        <v>8.0</v>
      </c>
      <c r="CE64" s="16">
        <v>8.0</v>
      </c>
      <c r="CF64" s="16">
        <v>8.0</v>
      </c>
      <c r="CG64" s="16">
        <v>8.0</v>
      </c>
      <c r="CH64" s="16">
        <v>8.0</v>
      </c>
      <c r="CI64" s="16" t="s">
        <v>165</v>
      </c>
      <c r="CJ64" s="16" t="s">
        <v>165</v>
      </c>
      <c r="CK64" s="16">
        <v>8.0</v>
      </c>
      <c r="CL64" s="16">
        <v>8.0</v>
      </c>
      <c r="CM64" s="16">
        <v>8.0</v>
      </c>
      <c r="CN64" s="16">
        <v>8.0</v>
      </c>
      <c r="CO64" s="16">
        <v>8.0</v>
      </c>
      <c r="CP64" s="16" t="s">
        <v>165</v>
      </c>
      <c r="CQ64" s="16" t="s">
        <v>165</v>
      </c>
      <c r="CR64" s="16">
        <v>8.0</v>
      </c>
      <c r="CS64" s="16">
        <v>8.0</v>
      </c>
      <c r="CT64" s="16">
        <v>8.0</v>
      </c>
      <c r="CU64" s="16">
        <v>8.0</v>
      </c>
      <c r="CV64" s="16">
        <v>8.0</v>
      </c>
      <c r="CW64" s="16" t="s">
        <v>165</v>
      </c>
      <c r="CX64" s="16" t="s">
        <v>165</v>
      </c>
      <c r="CY64" s="105">
        <f t="shared" si="16"/>
        <v>136</v>
      </c>
      <c r="CZ64" s="48"/>
      <c r="DA64" s="113">
        <v>8.0</v>
      </c>
      <c r="DB64" s="113">
        <v>8.0</v>
      </c>
      <c r="DC64" s="113">
        <v>8.0</v>
      </c>
      <c r="DD64" s="113">
        <v>8.0</v>
      </c>
      <c r="DE64" s="113">
        <v>8.0</v>
      </c>
      <c r="DF64" s="113" t="s">
        <v>165</v>
      </c>
      <c r="DG64" s="113" t="s">
        <v>165</v>
      </c>
      <c r="DH64" s="113">
        <v>8.0</v>
      </c>
      <c r="DI64" s="113">
        <v>8.0</v>
      </c>
      <c r="DJ64" s="113">
        <v>8.0</v>
      </c>
      <c r="DK64" s="113">
        <v>8.0</v>
      </c>
      <c r="DL64" s="113">
        <v>8.0</v>
      </c>
      <c r="DM64" s="113" t="s">
        <v>165</v>
      </c>
      <c r="DN64" s="113" t="s">
        <v>165</v>
      </c>
      <c r="DO64" s="58" t="s">
        <v>171</v>
      </c>
      <c r="DP64" s="113">
        <v>8.0</v>
      </c>
      <c r="DQ64" s="113">
        <v>8.0</v>
      </c>
      <c r="DR64" s="113">
        <v>8.0</v>
      </c>
      <c r="DS64" s="113">
        <v>8.0</v>
      </c>
      <c r="DT64" s="113" t="s">
        <v>165</v>
      </c>
      <c r="DU64" s="113" t="s">
        <v>165</v>
      </c>
      <c r="DV64" s="113">
        <v>8.0</v>
      </c>
      <c r="DW64" s="113">
        <v>8.0</v>
      </c>
      <c r="DX64" s="113">
        <v>8.0</v>
      </c>
      <c r="DY64" s="113">
        <v>8.0</v>
      </c>
      <c r="DZ64" s="58" t="s">
        <v>167</v>
      </c>
      <c r="EA64" s="113" t="s">
        <v>165</v>
      </c>
      <c r="EB64" s="113" t="s">
        <v>165</v>
      </c>
      <c r="EC64" s="113">
        <v>8.0</v>
      </c>
      <c r="ED64" s="113">
        <v>8.0</v>
      </c>
      <c r="EE64" s="113">
        <v>8.0</v>
      </c>
      <c r="EF64" s="113">
        <f t="shared" si="17"/>
        <v>168</v>
      </c>
      <c r="EG64" s="48"/>
      <c r="EH64" s="15"/>
      <c r="EI64" s="15"/>
      <c r="EJ64" s="15"/>
      <c r="EK64" s="15"/>
      <c r="EL64" s="15"/>
      <c r="EM64" s="15"/>
      <c r="EN64" s="15"/>
      <c r="EO64" s="15"/>
      <c r="EP64" s="15"/>
      <c r="EQ64" s="15"/>
      <c r="ER64" s="15"/>
      <c r="ES64" s="15"/>
      <c r="ET64" s="15"/>
      <c r="EU64" s="15"/>
      <c r="EV64" s="15"/>
      <c r="EW64" s="15"/>
      <c r="EX64" s="15"/>
      <c r="EY64" s="15"/>
      <c r="EZ64" s="15"/>
      <c r="FA64" s="15"/>
      <c r="FB64" s="15"/>
      <c r="FC64" s="15"/>
      <c r="FD64" s="15"/>
      <c r="FE64" s="15"/>
      <c r="FF64" s="15"/>
      <c r="FG64" s="15"/>
      <c r="FH64" s="15"/>
      <c r="FI64" s="15"/>
      <c r="FJ64" s="15"/>
      <c r="FK64" s="15"/>
      <c r="FL64" s="105"/>
      <c r="FM64" s="48"/>
      <c r="FN64" s="15"/>
      <c r="FO64" s="15"/>
      <c r="FP64" s="15"/>
      <c r="FQ64" s="15"/>
      <c r="FR64" s="15"/>
      <c r="FS64" s="15"/>
      <c r="FT64" s="15"/>
      <c r="FU64" s="15"/>
      <c r="FV64" s="15"/>
      <c r="FW64" s="15"/>
      <c r="FX64" s="15"/>
      <c r="FY64" s="15"/>
      <c r="FZ64" s="15"/>
      <c r="GA64" s="15"/>
      <c r="GB64" s="15"/>
      <c r="GC64" s="15"/>
      <c r="GD64" s="15"/>
      <c r="GE64" s="15"/>
      <c r="GF64" s="15"/>
      <c r="GG64" s="15"/>
      <c r="GH64" s="15"/>
      <c r="GI64" s="15"/>
      <c r="GJ64" s="15"/>
      <c r="GK64" s="15"/>
      <c r="GL64" s="15"/>
      <c r="GM64" s="15"/>
      <c r="GN64" s="15"/>
      <c r="GO64" s="15"/>
      <c r="GP64" s="15"/>
      <c r="GQ64" s="15"/>
      <c r="GR64" s="15"/>
      <c r="GS64" s="105"/>
      <c r="GT64" s="48"/>
      <c r="GU64" s="15"/>
      <c r="GV64" s="15"/>
      <c r="GW64" s="15"/>
      <c r="GX64" s="15"/>
      <c r="GY64" s="15"/>
      <c r="GZ64" s="15"/>
      <c r="HA64" s="15"/>
      <c r="HB64" s="15"/>
      <c r="HC64" s="15"/>
      <c r="HD64" s="15"/>
      <c r="HE64" s="15"/>
    </row>
    <row r="65" ht="15.0" customHeight="1">
      <c r="A65" s="101" t="s">
        <v>283</v>
      </c>
      <c r="B65" s="106" t="str">
        <f>iferror(vlookup(A65,'SoS - Agents Info'!A:H,5,false),"")</f>
        <v>EN</v>
      </c>
      <c r="C65" s="107" t="str">
        <f>iferror(vlookup(A65,'SoS - Agents Info'!A:AQ,43,false),"")</f>
        <v>JM</v>
      </c>
      <c r="D65" s="108" t="str">
        <f>iferror(vlookup(A65,'SoS - Agents Info'!A:H,6,false),"")</f>
        <v>WE+WD</v>
      </c>
      <c r="E65" s="108" t="str">
        <f>iferror(vlookup(A65,'SoS - Agents Info'!A:H,7,false),"")</f>
        <v>08:00-17:00</v>
      </c>
      <c r="F65" s="109">
        <f>IFERROR(__xludf.DUMMYFUNCTION("sum(COUNTIFS(Filter(FILTER('Shiftplan SoS'!G$3:GU166,'Shiftplan SoS'!$G$1:$GU$1&lt;=today()),'Shiftplan SoS'!$A$3:$A166=A65),""&gt;0"",(Filter(FILTER('Shiftplan SoS'!G$3:GU166,'Shiftplan SoS'!$G$1:$GU$1&lt;=today()),'Shiftplan SoS'!$A$3:$A166=A65)),""&lt;12""))"),74.0)</f>
        <v>74</v>
      </c>
      <c r="G65" s="135"/>
      <c r="H65" s="135"/>
      <c r="I65" s="135"/>
      <c r="J65" s="135"/>
      <c r="K65" s="135"/>
      <c r="L65" s="135"/>
      <c r="M65" s="135"/>
      <c r="N65" s="135"/>
      <c r="O65" s="135"/>
      <c r="P65" s="135"/>
      <c r="Q65" s="135"/>
      <c r="R65" s="137"/>
      <c r="S65" s="135"/>
      <c r="T65" s="135"/>
      <c r="U65" s="135"/>
      <c r="V65" s="135"/>
      <c r="W65" s="135"/>
      <c r="X65" s="135"/>
      <c r="Y65" s="135"/>
      <c r="Z65" s="137"/>
      <c r="AA65" s="16">
        <v>8.0</v>
      </c>
      <c r="AB65" s="16" t="s">
        <v>165</v>
      </c>
      <c r="AC65" s="16" t="s">
        <v>165</v>
      </c>
      <c r="AD65" s="16">
        <v>8.0</v>
      </c>
      <c r="AE65" s="16">
        <v>8.0</v>
      </c>
      <c r="AF65" s="16">
        <v>8.0</v>
      </c>
      <c r="AG65" s="16">
        <v>8.0</v>
      </c>
      <c r="AH65" s="16" t="s">
        <v>165</v>
      </c>
      <c r="AI65" s="110">
        <v>8.0</v>
      </c>
      <c r="AJ65" s="110">
        <v>8.0</v>
      </c>
      <c r="AK65" s="70">
        <v>8.0</v>
      </c>
      <c r="AL65" s="105">
        <f t="shared" si="14"/>
        <v>64</v>
      </c>
      <c r="AM65" s="48"/>
      <c r="AN65" s="16">
        <v>8.0</v>
      </c>
      <c r="AO65" s="16">
        <v>8.0</v>
      </c>
      <c r="AP65" s="16" t="s">
        <v>165</v>
      </c>
      <c r="AQ65" s="16" t="s">
        <v>165</v>
      </c>
      <c r="AR65" s="16">
        <v>8.0</v>
      </c>
      <c r="AS65" s="16">
        <v>8.0</v>
      </c>
      <c r="AT65" s="16">
        <v>8.0</v>
      </c>
      <c r="AU65" s="16">
        <v>8.0</v>
      </c>
      <c r="AV65" s="16">
        <v>8.0</v>
      </c>
      <c r="AW65" s="16" t="s">
        <v>165</v>
      </c>
      <c r="AX65" s="16" t="s">
        <v>165</v>
      </c>
      <c r="AY65" s="16">
        <v>8.0</v>
      </c>
      <c r="AZ65" s="16">
        <v>8.0</v>
      </c>
      <c r="BA65" s="16">
        <v>8.0</v>
      </c>
      <c r="BB65" s="16">
        <v>8.0</v>
      </c>
      <c r="BC65" s="16">
        <v>8.0</v>
      </c>
      <c r="BD65" s="16" t="s">
        <v>165</v>
      </c>
      <c r="BE65" s="16" t="s">
        <v>165</v>
      </c>
      <c r="BF65" s="16">
        <v>8.0</v>
      </c>
      <c r="BG65" s="16">
        <v>8.0</v>
      </c>
      <c r="BH65" s="16">
        <v>8.0</v>
      </c>
      <c r="BI65" s="16">
        <v>8.0</v>
      </c>
      <c r="BJ65" s="16">
        <v>8.0</v>
      </c>
      <c r="BK65" s="16" t="s">
        <v>165</v>
      </c>
      <c r="BL65" s="16" t="s">
        <v>165</v>
      </c>
      <c r="BM65" s="16">
        <v>8.0</v>
      </c>
      <c r="BN65" s="16">
        <v>8.0</v>
      </c>
      <c r="BO65" s="16">
        <v>8.0</v>
      </c>
      <c r="BP65" s="16">
        <v>8.0</v>
      </c>
      <c r="BQ65" s="16">
        <v>8.0</v>
      </c>
      <c r="BR65" s="105">
        <f t="shared" si="15"/>
        <v>176</v>
      </c>
      <c r="BS65" s="48"/>
      <c r="BT65" s="16" t="s">
        <v>165</v>
      </c>
      <c r="BU65" s="16" t="s">
        <v>165</v>
      </c>
      <c r="BV65" s="16">
        <v>8.0</v>
      </c>
      <c r="BW65" s="16">
        <v>8.0</v>
      </c>
      <c r="BX65" s="16">
        <v>8.0</v>
      </c>
      <c r="BY65" s="16">
        <v>8.0</v>
      </c>
      <c r="BZ65" s="16">
        <v>8.0</v>
      </c>
      <c r="CA65" s="16" t="s">
        <v>165</v>
      </c>
      <c r="CB65" s="16" t="s">
        <v>165</v>
      </c>
      <c r="CC65" s="16">
        <v>8.0</v>
      </c>
      <c r="CD65" s="16">
        <v>8.0</v>
      </c>
      <c r="CE65" s="16">
        <v>8.0</v>
      </c>
      <c r="CF65" s="16">
        <v>8.0</v>
      </c>
      <c r="CG65" s="16">
        <v>8.0</v>
      </c>
      <c r="CH65" s="16" t="s">
        <v>165</v>
      </c>
      <c r="CI65" s="16" t="s">
        <v>165</v>
      </c>
      <c r="CJ65" s="16">
        <v>8.0</v>
      </c>
      <c r="CK65" s="16">
        <v>8.0</v>
      </c>
      <c r="CL65" s="16">
        <v>8.0</v>
      </c>
      <c r="CM65" s="16">
        <v>8.0</v>
      </c>
      <c r="CN65" s="16">
        <v>8.0</v>
      </c>
      <c r="CO65" s="16" t="s">
        <v>165</v>
      </c>
      <c r="CP65" s="16" t="s">
        <v>165</v>
      </c>
      <c r="CQ65" s="16">
        <v>8.0</v>
      </c>
      <c r="CR65" s="16">
        <v>8.0</v>
      </c>
      <c r="CS65" s="16">
        <v>8.0</v>
      </c>
      <c r="CT65" s="16">
        <v>8.0</v>
      </c>
      <c r="CU65" s="16">
        <v>8.0</v>
      </c>
      <c r="CV65" s="131" t="s">
        <v>165</v>
      </c>
      <c r="CW65" s="131" t="s">
        <v>165</v>
      </c>
      <c r="CX65" s="131">
        <v>8.0</v>
      </c>
      <c r="CY65" s="105">
        <f t="shared" si="16"/>
        <v>168</v>
      </c>
      <c r="CZ65" s="48"/>
      <c r="DA65" s="113">
        <v>8.0</v>
      </c>
      <c r="DB65" s="113">
        <v>8.0</v>
      </c>
      <c r="DC65" s="113">
        <v>8.0</v>
      </c>
      <c r="DD65" s="113">
        <v>8.0</v>
      </c>
      <c r="DE65" s="113" t="s">
        <v>165</v>
      </c>
      <c r="DF65" s="113" t="s">
        <v>165</v>
      </c>
      <c r="DG65" s="113">
        <v>8.0</v>
      </c>
      <c r="DH65" s="113">
        <v>8.0</v>
      </c>
      <c r="DI65" s="113">
        <v>8.0</v>
      </c>
      <c r="DJ65" s="113">
        <v>8.0</v>
      </c>
      <c r="DK65" s="113">
        <v>8.0</v>
      </c>
      <c r="DL65" s="113" t="s">
        <v>165</v>
      </c>
      <c r="DM65" s="113" t="s">
        <v>165</v>
      </c>
      <c r="DN65" s="113">
        <v>8.0</v>
      </c>
      <c r="DO65" s="113">
        <v>8.0</v>
      </c>
      <c r="DP65" s="113">
        <v>8.0</v>
      </c>
      <c r="DQ65" s="113">
        <v>8.0</v>
      </c>
      <c r="DR65" s="113">
        <v>8.0</v>
      </c>
      <c r="DS65" s="113" t="s">
        <v>165</v>
      </c>
      <c r="DT65" s="113" t="s">
        <v>165</v>
      </c>
      <c r="DU65" s="113">
        <v>8.0</v>
      </c>
      <c r="DV65" s="113">
        <v>8.0</v>
      </c>
      <c r="DW65" s="113">
        <v>8.0</v>
      </c>
      <c r="DX65" s="113">
        <v>8.0</v>
      </c>
      <c r="DY65" s="113">
        <v>8.0</v>
      </c>
      <c r="DZ65" s="113" t="s">
        <v>165</v>
      </c>
      <c r="EA65" s="113" t="s">
        <v>165</v>
      </c>
      <c r="EB65" s="113">
        <v>8.0</v>
      </c>
      <c r="EC65" s="113">
        <v>8.0</v>
      </c>
      <c r="ED65" s="113">
        <v>8.0</v>
      </c>
      <c r="EE65" s="113">
        <v>8.0</v>
      </c>
      <c r="EF65" s="113">
        <f t="shared" si="17"/>
        <v>184</v>
      </c>
      <c r="EG65" s="48"/>
      <c r="EH65" s="15"/>
      <c r="EI65" s="15"/>
      <c r="EJ65" s="15"/>
      <c r="EK65" s="15"/>
      <c r="EL65" s="15"/>
      <c r="EM65" s="15"/>
      <c r="EN65" s="15"/>
      <c r="EO65" s="15"/>
      <c r="EP65" s="15"/>
      <c r="EQ65" s="15"/>
      <c r="ER65" s="15"/>
      <c r="ES65" s="15"/>
      <c r="ET65" s="15"/>
      <c r="EU65" s="15"/>
      <c r="EV65" s="15"/>
      <c r="EW65" s="15"/>
      <c r="EX65" s="15"/>
      <c r="EY65" s="15"/>
      <c r="EZ65" s="15"/>
      <c r="FA65" s="15"/>
      <c r="FB65" s="15"/>
      <c r="FC65" s="15"/>
      <c r="FD65" s="15"/>
      <c r="FE65" s="15"/>
      <c r="FF65" s="15"/>
      <c r="FG65" s="15"/>
      <c r="FH65" s="15"/>
      <c r="FI65" s="15"/>
      <c r="FJ65" s="15"/>
      <c r="FK65" s="15"/>
      <c r="FL65" s="105"/>
      <c r="FM65" s="48"/>
      <c r="FN65" s="15"/>
      <c r="FO65" s="15"/>
      <c r="FP65" s="15"/>
      <c r="FQ65" s="15"/>
      <c r="FR65" s="15"/>
      <c r="FS65" s="15"/>
      <c r="FT65" s="15"/>
      <c r="FU65" s="15"/>
      <c r="FV65" s="15"/>
      <c r="FW65" s="15"/>
      <c r="FX65" s="15"/>
      <c r="FY65" s="15"/>
      <c r="FZ65" s="15"/>
      <c r="GA65" s="15"/>
      <c r="GB65" s="15"/>
      <c r="GC65" s="15"/>
      <c r="GD65" s="15"/>
      <c r="GE65" s="15"/>
      <c r="GF65" s="15"/>
      <c r="GG65" s="15"/>
      <c r="GH65" s="15"/>
      <c r="GI65" s="15"/>
      <c r="GJ65" s="15"/>
      <c r="GK65" s="15"/>
      <c r="GL65" s="15"/>
      <c r="GM65" s="15"/>
      <c r="GN65" s="15"/>
      <c r="GO65" s="15"/>
      <c r="GP65" s="15"/>
      <c r="GQ65" s="15"/>
      <c r="GR65" s="15"/>
      <c r="GS65" s="105"/>
      <c r="GT65" s="48"/>
      <c r="GU65" s="15"/>
      <c r="GV65" s="15"/>
      <c r="GW65" s="15"/>
      <c r="GX65" s="15"/>
      <c r="GY65" s="15"/>
      <c r="GZ65" s="15"/>
      <c r="HA65" s="15"/>
      <c r="HB65" s="15"/>
      <c r="HC65" s="15"/>
      <c r="HD65" s="15"/>
      <c r="HE65" s="15"/>
    </row>
    <row r="66">
      <c r="A66" s="101" t="s">
        <v>284</v>
      </c>
      <c r="B66" s="106" t="str">
        <f>iferror(vlookup(A66,'SoS - Agents Info'!A:H,5,false),"")</f>
        <v>EN</v>
      </c>
      <c r="C66" s="107" t="str">
        <f>iferror(vlookup(A66,'SoS - Agents Info'!A:AQ,43,false),"")</f>
        <v>FL</v>
      </c>
      <c r="D66" s="108" t="str">
        <f>iferror(vlookup(A66,'SoS - Agents Info'!A:H,6,false),"")</f>
        <v>WD</v>
      </c>
      <c r="E66" s="108" t="str">
        <f>iferror(vlookup(A66,'SoS - Agents Info'!A:H,7,false),"")</f>
        <v>00:00-09:00</v>
      </c>
      <c r="F66" s="109">
        <f>IFERROR(__xludf.DUMMYFUNCTION("sum(COUNTIFS(Filter(FILTER('Shiftplan SoS'!G$3:GU166,'Shiftplan SoS'!$G$1:$GU$1&lt;=today()),'Shiftplan SoS'!$A$3:$A166=A66),""&gt;0"",(Filter(FILTER('Shiftplan SoS'!G$3:GU166,'Shiftplan SoS'!$G$1:$GU$1&lt;=today()),'Shiftplan SoS'!$A$3:$A166=A66)),""&lt;12""))"),72.0)</f>
        <v>72</v>
      </c>
      <c r="G66" s="135"/>
      <c r="H66" s="135"/>
      <c r="I66" s="135"/>
      <c r="J66" s="135"/>
      <c r="K66" s="135"/>
      <c r="L66" s="135"/>
      <c r="M66" s="135"/>
      <c r="N66" s="135"/>
      <c r="O66" s="135"/>
      <c r="P66" s="135"/>
      <c r="Q66" s="135"/>
      <c r="R66" s="137"/>
      <c r="S66" s="135"/>
      <c r="T66" s="135"/>
      <c r="U66" s="135"/>
      <c r="V66" s="135"/>
      <c r="W66" s="135"/>
      <c r="X66" s="135"/>
      <c r="Y66" s="135"/>
      <c r="Z66" s="135"/>
      <c r="AA66" s="135"/>
      <c r="AB66" s="135"/>
      <c r="AC66" s="135"/>
      <c r="AD66" s="16">
        <v>8.0</v>
      </c>
      <c r="AE66" s="16">
        <v>8.0</v>
      </c>
      <c r="AF66" s="16">
        <v>8.0</v>
      </c>
      <c r="AG66" s="16">
        <v>8.0</v>
      </c>
      <c r="AH66" s="16">
        <v>8.0</v>
      </c>
      <c r="AI66" s="16" t="s">
        <v>165</v>
      </c>
      <c r="AJ66" s="16" t="s">
        <v>165</v>
      </c>
      <c r="AK66" s="70">
        <v>8.0</v>
      </c>
      <c r="AL66" s="105">
        <f t="shared" si="14"/>
        <v>48</v>
      </c>
      <c r="AM66" s="48"/>
      <c r="AN66" s="16">
        <v>8.0</v>
      </c>
      <c r="AO66" s="16">
        <v>8.0</v>
      </c>
      <c r="AP66" s="16">
        <v>8.0</v>
      </c>
      <c r="AQ66" s="16">
        <v>8.0</v>
      </c>
      <c r="AR66" s="16" t="s">
        <v>165</v>
      </c>
      <c r="AS66" s="16" t="s">
        <v>165</v>
      </c>
      <c r="AT66" s="16">
        <v>8.0</v>
      </c>
      <c r="AU66" s="16">
        <v>8.0</v>
      </c>
      <c r="AV66" s="16">
        <v>8.0</v>
      </c>
      <c r="AW66" s="16">
        <v>8.0</v>
      </c>
      <c r="AX66" s="16">
        <v>8.0</v>
      </c>
      <c r="AY66" s="16" t="s">
        <v>165</v>
      </c>
      <c r="AZ66" s="16" t="s">
        <v>165</v>
      </c>
      <c r="BA66" s="16">
        <v>8.0</v>
      </c>
      <c r="BB66" s="16">
        <v>8.0</v>
      </c>
      <c r="BC66" s="16">
        <v>8.0</v>
      </c>
      <c r="BD66" s="16">
        <v>8.0</v>
      </c>
      <c r="BE66" s="16">
        <v>8.0</v>
      </c>
      <c r="BF66" s="16" t="s">
        <v>165</v>
      </c>
      <c r="BG66" s="16" t="s">
        <v>165</v>
      </c>
      <c r="BH66" s="16">
        <v>8.0</v>
      </c>
      <c r="BI66" s="16">
        <v>8.0</v>
      </c>
      <c r="BJ66" s="16">
        <v>8.0</v>
      </c>
      <c r="BK66" s="16">
        <v>8.0</v>
      </c>
      <c r="BL66" s="16">
        <v>8.0</v>
      </c>
      <c r="BM66" s="16" t="s">
        <v>165</v>
      </c>
      <c r="BN66" s="16" t="s">
        <v>165</v>
      </c>
      <c r="BO66" s="16">
        <v>8.0</v>
      </c>
      <c r="BP66" s="16">
        <v>8.0</v>
      </c>
      <c r="BQ66" s="16">
        <v>8.0</v>
      </c>
      <c r="BR66" s="105">
        <f t="shared" si="15"/>
        <v>176</v>
      </c>
      <c r="BS66" s="48"/>
      <c r="BT66" s="64">
        <v>8.0</v>
      </c>
      <c r="BU66" s="64">
        <v>8.0</v>
      </c>
      <c r="BV66" s="114" t="s">
        <v>165</v>
      </c>
      <c r="BW66" s="114" t="s">
        <v>165</v>
      </c>
      <c r="BX66" s="64">
        <v>8.0</v>
      </c>
      <c r="BY66" s="64">
        <v>8.0</v>
      </c>
      <c r="BZ66" s="64">
        <v>8.0</v>
      </c>
      <c r="CA66" s="64">
        <v>8.0</v>
      </c>
      <c r="CB66" s="64">
        <v>8.0</v>
      </c>
      <c r="CC66" s="114" t="s">
        <v>165</v>
      </c>
      <c r="CD66" s="114" t="s">
        <v>165</v>
      </c>
      <c r="CE66" s="64">
        <v>8.0</v>
      </c>
      <c r="CF66" s="64">
        <v>8.0</v>
      </c>
      <c r="CG66" s="25" t="s">
        <v>245</v>
      </c>
      <c r="CH66" s="25" t="s">
        <v>245</v>
      </c>
      <c r="CI66" s="64">
        <v>8.0</v>
      </c>
      <c r="CJ66" s="112">
        <v>8.0</v>
      </c>
      <c r="CK66" s="112">
        <v>8.0</v>
      </c>
      <c r="CL66" s="64">
        <v>8.0</v>
      </c>
      <c r="CM66" s="64">
        <v>8.0</v>
      </c>
      <c r="CN66" s="64">
        <v>8.0</v>
      </c>
      <c r="CO66" s="64">
        <v>8.0</v>
      </c>
      <c r="CP66" s="64">
        <v>8.0</v>
      </c>
      <c r="CQ66" s="114" t="s">
        <v>165</v>
      </c>
      <c r="CR66" s="114" t="s">
        <v>165</v>
      </c>
      <c r="CS66" s="64">
        <v>8.0</v>
      </c>
      <c r="CT66" s="64">
        <v>8.0</v>
      </c>
      <c r="CU66" s="64">
        <v>8.0</v>
      </c>
      <c r="CV66" s="64">
        <v>8.0</v>
      </c>
      <c r="CW66" s="64">
        <v>8.0</v>
      </c>
      <c r="CX66" s="114" t="s">
        <v>165</v>
      </c>
      <c r="CY66" s="105">
        <f t="shared" si="16"/>
        <v>176</v>
      </c>
      <c r="CZ66" s="48"/>
      <c r="DA66" s="113" t="s">
        <v>165</v>
      </c>
      <c r="DB66" s="113">
        <v>8.0</v>
      </c>
      <c r="DC66" s="113">
        <v>8.0</v>
      </c>
      <c r="DD66" s="113">
        <v>8.0</v>
      </c>
      <c r="DE66" s="113">
        <v>8.0</v>
      </c>
      <c r="DF66" s="113">
        <v>8.0</v>
      </c>
      <c r="DG66" s="113" t="s">
        <v>165</v>
      </c>
      <c r="DH66" s="113" t="s">
        <v>165</v>
      </c>
      <c r="DI66" s="113">
        <v>8.0</v>
      </c>
      <c r="DJ66" s="113">
        <v>8.0</v>
      </c>
      <c r="DK66" s="113">
        <v>8.0</v>
      </c>
      <c r="DL66" s="113">
        <v>8.0</v>
      </c>
      <c r="DM66" s="113">
        <v>8.0</v>
      </c>
      <c r="DN66" s="113" t="s">
        <v>165</v>
      </c>
      <c r="DO66" s="113" t="s">
        <v>165</v>
      </c>
      <c r="DP66" s="113">
        <v>8.0</v>
      </c>
      <c r="DQ66" s="113">
        <v>8.0</v>
      </c>
      <c r="DR66" s="113">
        <v>8.0</v>
      </c>
      <c r="DS66" s="113">
        <v>8.0</v>
      </c>
      <c r="DT66" s="113">
        <v>8.0</v>
      </c>
      <c r="DU66" s="113" t="s">
        <v>165</v>
      </c>
      <c r="DV66" s="113" t="s">
        <v>165</v>
      </c>
      <c r="DW66" s="113">
        <v>8.0</v>
      </c>
      <c r="DX66" s="58">
        <v>10.0</v>
      </c>
      <c r="DY66" s="58">
        <v>10.0</v>
      </c>
      <c r="DZ66" s="58" t="s">
        <v>245</v>
      </c>
      <c r="EA66" s="113">
        <v>8.0</v>
      </c>
      <c r="EB66" s="113" t="s">
        <v>165</v>
      </c>
      <c r="EC66" s="58">
        <v>8.0</v>
      </c>
      <c r="ED66" s="58">
        <v>10.0</v>
      </c>
      <c r="EE66" s="58">
        <v>10.0</v>
      </c>
      <c r="EF66" s="113">
        <f t="shared" si="17"/>
        <v>184</v>
      </c>
      <c r="EG66" s="48"/>
      <c r="EH66" s="15"/>
      <c r="EI66" s="15"/>
      <c r="EJ66" s="15"/>
      <c r="EK66" s="15"/>
      <c r="EL66" s="15"/>
      <c r="EM66" s="15"/>
      <c r="EN66" s="15"/>
      <c r="EO66" s="15"/>
      <c r="EP66" s="15"/>
      <c r="EQ66" s="15"/>
      <c r="ER66" s="15"/>
      <c r="ES66" s="15"/>
      <c r="ET66" s="15"/>
      <c r="EU66" s="15"/>
      <c r="EV66" s="15"/>
      <c r="EW66" s="15"/>
      <c r="EX66" s="15"/>
      <c r="EY66" s="15"/>
      <c r="EZ66" s="15"/>
      <c r="FA66" s="15"/>
      <c r="FB66" s="15"/>
      <c r="FC66" s="15"/>
      <c r="FD66" s="15"/>
      <c r="FE66" s="15"/>
      <c r="FF66" s="15"/>
      <c r="FG66" s="15"/>
      <c r="FH66" s="15"/>
      <c r="FI66" s="15"/>
      <c r="FJ66" s="15"/>
      <c r="FK66" s="15"/>
      <c r="FL66" s="105">
        <f t="shared" ref="FL66:FL73" si="20">sum(EH66:FK66)</f>
        <v>0</v>
      </c>
      <c r="FM66" s="48"/>
      <c r="FN66" s="15"/>
      <c r="FO66" s="15"/>
      <c r="FP66" s="15"/>
      <c r="FQ66" s="15"/>
      <c r="FR66" s="15"/>
      <c r="FS66" s="15"/>
      <c r="FT66" s="15"/>
      <c r="FU66" s="15"/>
      <c r="FV66" s="15"/>
      <c r="FW66" s="15"/>
      <c r="FX66" s="15"/>
      <c r="FY66" s="15"/>
      <c r="FZ66" s="15"/>
      <c r="GA66" s="15"/>
      <c r="GB66" s="15"/>
      <c r="GC66" s="15"/>
      <c r="GD66" s="15"/>
      <c r="GE66" s="15"/>
      <c r="GF66" s="15"/>
      <c r="GG66" s="15"/>
      <c r="GH66" s="15"/>
      <c r="GI66" s="15"/>
      <c r="GJ66" s="15"/>
      <c r="GK66" s="15"/>
      <c r="GL66" s="15"/>
      <c r="GM66" s="15"/>
      <c r="GN66" s="15"/>
      <c r="GO66" s="15"/>
      <c r="GP66" s="15"/>
      <c r="GQ66" s="15"/>
      <c r="GR66" s="15"/>
      <c r="GS66" s="105">
        <f t="shared" ref="GS66:GS73" si="21">sum(FN66:GR66)</f>
        <v>0</v>
      </c>
      <c r="GT66" s="48"/>
      <c r="GU66" s="15"/>
      <c r="GV66" s="15"/>
      <c r="GW66" s="15"/>
      <c r="GX66" s="15"/>
      <c r="GY66" s="15"/>
      <c r="GZ66" s="15"/>
      <c r="HA66" s="15"/>
      <c r="HB66" s="15"/>
      <c r="HC66" s="15"/>
      <c r="HD66" s="15"/>
      <c r="HE66" s="15"/>
    </row>
    <row r="67">
      <c r="A67" s="101" t="s">
        <v>285</v>
      </c>
      <c r="B67" s="106" t="str">
        <f>iferror(vlookup(A67,'SoS - Agents Info'!A:H,5,false),"")</f>
        <v>EN</v>
      </c>
      <c r="C67" s="107" t="str">
        <f>iferror(vlookup(A67,'SoS - Agents Info'!A:AQ,43,false),"")</f>
        <v>FL</v>
      </c>
      <c r="D67" s="108" t="str">
        <f>iferror(vlookup(A67,'SoS - Agents Info'!A:H,6,false),"")</f>
        <v>WD</v>
      </c>
      <c r="E67" s="108" t="str">
        <f>iferror(vlookup(A67,'SoS - Agents Info'!A:H,7,false),"")</f>
        <v>00:00-09:00</v>
      </c>
      <c r="F67" s="109">
        <f>IFERROR(__xludf.DUMMYFUNCTION("sum(COUNTIFS(Filter(FILTER('Shiftplan SoS'!G$3:GU166,'Shiftplan SoS'!$G$1:$GU$1&lt;=today()),'Shiftplan SoS'!$A$3:$A166=A67),""&gt;0"",(Filter(FILTER('Shiftplan SoS'!G$3:GU166,'Shiftplan SoS'!$G$1:$GU$1&lt;=today()),'Shiftplan SoS'!$A$3:$A166=A67)),""&lt;12""))"),68.0)</f>
        <v>68</v>
      </c>
      <c r="G67" s="135"/>
      <c r="H67" s="135"/>
      <c r="I67" s="135"/>
      <c r="J67" s="135"/>
      <c r="K67" s="135"/>
      <c r="L67" s="135"/>
      <c r="M67" s="135"/>
      <c r="N67" s="135"/>
      <c r="O67" s="135"/>
      <c r="P67" s="135"/>
      <c r="Q67" s="135"/>
      <c r="R67" s="137"/>
      <c r="S67" s="135"/>
      <c r="T67" s="135"/>
      <c r="U67" s="135"/>
      <c r="V67" s="135"/>
      <c r="W67" s="135"/>
      <c r="X67" s="135"/>
      <c r="Y67" s="135"/>
      <c r="Z67" s="135"/>
      <c r="AA67" s="135"/>
      <c r="AB67" s="135"/>
      <c r="AC67" s="135"/>
      <c r="AD67" s="16">
        <v>8.0</v>
      </c>
      <c r="AE67" s="16">
        <v>8.0</v>
      </c>
      <c r="AF67" s="16">
        <v>8.0</v>
      </c>
      <c r="AG67" s="16">
        <v>8.0</v>
      </c>
      <c r="AH67" s="16">
        <v>8.0</v>
      </c>
      <c r="AI67" s="16" t="s">
        <v>165</v>
      </c>
      <c r="AJ67" s="16" t="s">
        <v>165</v>
      </c>
      <c r="AK67" s="70" t="s">
        <v>165</v>
      </c>
      <c r="AL67" s="105">
        <f t="shared" si="14"/>
        <v>40</v>
      </c>
      <c r="AM67" s="48"/>
      <c r="AN67" s="16">
        <v>8.0</v>
      </c>
      <c r="AO67" s="16">
        <v>8.0</v>
      </c>
      <c r="AP67" s="16">
        <v>8.0</v>
      </c>
      <c r="AQ67" s="16">
        <v>8.0</v>
      </c>
      <c r="AR67" s="16" t="s">
        <v>165</v>
      </c>
      <c r="AS67" s="16" t="s">
        <v>165</v>
      </c>
      <c r="AT67" s="16">
        <v>8.0</v>
      </c>
      <c r="AU67" s="16">
        <v>8.0</v>
      </c>
      <c r="AV67" s="16">
        <v>8.0</v>
      </c>
      <c r="AW67" s="16">
        <v>8.0</v>
      </c>
      <c r="AX67" s="16">
        <v>8.0</v>
      </c>
      <c r="AY67" s="16" t="s">
        <v>165</v>
      </c>
      <c r="AZ67" s="16" t="s">
        <v>165</v>
      </c>
      <c r="BA67" s="16">
        <v>8.0</v>
      </c>
      <c r="BB67" s="16">
        <v>8.0</v>
      </c>
      <c r="BC67" s="16">
        <v>8.0</v>
      </c>
      <c r="BD67" s="16">
        <v>8.0</v>
      </c>
      <c r="BE67" s="16">
        <v>8.0</v>
      </c>
      <c r="BF67" s="16" t="s">
        <v>165</v>
      </c>
      <c r="BG67" s="16" t="s">
        <v>165</v>
      </c>
      <c r="BH67" s="16" t="s">
        <v>167</v>
      </c>
      <c r="BI67" s="16">
        <v>8.0</v>
      </c>
      <c r="BJ67" s="16">
        <v>8.0</v>
      </c>
      <c r="BK67" s="16">
        <v>8.0</v>
      </c>
      <c r="BL67" s="16">
        <v>8.0</v>
      </c>
      <c r="BM67" s="16" t="s">
        <v>165</v>
      </c>
      <c r="BN67" s="16" t="s">
        <v>165</v>
      </c>
      <c r="BO67" s="16">
        <v>8.0</v>
      </c>
      <c r="BP67" s="16">
        <v>8.0</v>
      </c>
      <c r="BQ67" s="16">
        <v>8.0</v>
      </c>
      <c r="BR67" s="105">
        <f t="shared" si="15"/>
        <v>168</v>
      </c>
      <c r="BS67" s="48"/>
      <c r="BT67" s="64">
        <v>8.0</v>
      </c>
      <c r="BU67" s="64">
        <v>8.0</v>
      </c>
      <c r="BV67" s="114" t="s">
        <v>165</v>
      </c>
      <c r="BW67" s="114" t="s">
        <v>165</v>
      </c>
      <c r="BX67" s="25" t="s">
        <v>245</v>
      </c>
      <c r="BY67" s="64">
        <v>8.0</v>
      </c>
      <c r="BZ67" s="64">
        <v>8.0</v>
      </c>
      <c r="CA67" s="64">
        <v>8.0</v>
      </c>
      <c r="CB67" s="64">
        <v>8.0</v>
      </c>
      <c r="CC67" s="114" t="s">
        <v>165</v>
      </c>
      <c r="CD67" s="114" t="s">
        <v>165</v>
      </c>
      <c r="CE67" s="64">
        <v>8.0</v>
      </c>
      <c r="CF67" s="64">
        <v>8.0</v>
      </c>
      <c r="CG67" s="64">
        <v>8.0</v>
      </c>
      <c r="CH67" s="64">
        <v>8.0</v>
      </c>
      <c r="CI67" s="64">
        <v>8.0</v>
      </c>
      <c r="CJ67" s="114" t="s">
        <v>165</v>
      </c>
      <c r="CK67" s="114" t="s">
        <v>165</v>
      </c>
      <c r="CL67" s="64">
        <v>8.0</v>
      </c>
      <c r="CM67" s="64">
        <v>8.0</v>
      </c>
      <c r="CN67" s="64">
        <v>8.0</v>
      </c>
      <c r="CO67" s="64">
        <v>8.0</v>
      </c>
      <c r="CP67" s="64">
        <v>8.0</v>
      </c>
      <c r="CQ67" s="114" t="s">
        <v>165</v>
      </c>
      <c r="CR67" s="114" t="s">
        <v>165</v>
      </c>
      <c r="CS67" s="64">
        <v>8.0</v>
      </c>
      <c r="CT67" s="64">
        <v>8.0</v>
      </c>
      <c r="CU67" s="64">
        <v>8.0</v>
      </c>
      <c r="CV67" s="64">
        <v>8.0</v>
      </c>
      <c r="CW67" s="64">
        <v>8.0</v>
      </c>
      <c r="CX67" s="114" t="s">
        <v>165</v>
      </c>
      <c r="CY67" s="105">
        <f t="shared" si="16"/>
        <v>168</v>
      </c>
      <c r="CZ67" s="48"/>
      <c r="DA67" s="113" t="s">
        <v>165</v>
      </c>
      <c r="DB67" s="113">
        <v>8.0</v>
      </c>
      <c r="DC67" s="58" t="s">
        <v>169</v>
      </c>
      <c r="DD67" s="113">
        <v>8.0</v>
      </c>
      <c r="DE67" s="113">
        <v>8.0</v>
      </c>
      <c r="DF67" s="113">
        <v>8.0</v>
      </c>
      <c r="DG67" s="113" t="s">
        <v>165</v>
      </c>
      <c r="DH67" s="113" t="s">
        <v>165</v>
      </c>
      <c r="DI67" s="113">
        <v>8.0</v>
      </c>
      <c r="DJ67" s="113">
        <v>8.0</v>
      </c>
      <c r="DK67" s="113">
        <v>8.0</v>
      </c>
      <c r="DL67" s="113">
        <v>8.0</v>
      </c>
      <c r="DM67" s="113">
        <v>8.0</v>
      </c>
      <c r="DN67" s="113" t="s">
        <v>165</v>
      </c>
      <c r="DO67" s="113" t="s">
        <v>165</v>
      </c>
      <c r="DP67" s="113">
        <v>8.0</v>
      </c>
      <c r="DQ67" s="113">
        <v>8.0</v>
      </c>
      <c r="DR67" s="113">
        <v>8.0</v>
      </c>
      <c r="DS67" s="113">
        <v>8.0</v>
      </c>
      <c r="DT67" s="113">
        <v>8.0</v>
      </c>
      <c r="DU67" s="113" t="s">
        <v>165</v>
      </c>
      <c r="DV67" s="113" t="s">
        <v>165</v>
      </c>
      <c r="DW67" s="113">
        <v>8.0</v>
      </c>
      <c r="DX67" s="113">
        <v>8.0</v>
      </c>
      <c r="DY67" s="113">
        <v>8.0</v>
      </c>
      <c r="DZ67" s="113">
        <v>8.0</v>
      </c>
      <c r="EA67" s="113">
        <v>8.0</v>
      </c>
      <c r="EB67" s="113" t="s">
        <v>165</v>
      </c>
      <c r="EC67" s="113" t="s">
        <v>165</v>
      </c>
      <c r="ED67" s="113">
        <v>8.0</v>
      </c>
      <c r="EE67" s="113">
        <v>8.0</v>
      </c>
      <c r="EF67" s="113">
        <f t="shared" si="17"/>
        <v>168</v>
      </c>
      <c r="EG67" s="48"/>
      <c r="EH67" s="15"/>
      <c r="EI67" s="15"/>
      <c r="EJ67" s="15"/>
      <c r="EK67" s="15"/>
      <c r="EL67" s="15"/>
      <c r="EM67" s="15"/>
      <c r="EN67" s="15"/>
      <c r="EO67" s="15"/>
      <c r="EP67" s="15"/>
      <c r="EQ67" s="15"/>
      <c r="ER67" s="15"/>
      <c r="ES67" s="15"/>
      <c r="ET67" s="15"/>
      <c r="EU67" s="15"/>
      <c r="EV67" s="15"/>
      <c r="EW67" s="15"/>
      <c r="EX67" s="15"/>
      <c r="EY67" s="15"/>
      <c r="EZ67" s="15"/>
      <c r="FA67" s="15"/>
      <c r="FB67" s="15"/>
      <c r="FC67" s="15"/>
      <c r="FD67" s="15"/>
      <c r="FE67" s="15"/>
      <c r="FF67" s="15"/>
      <c r="FG67" s="15"/>
      <c r="FH67" s="15"/>
      <c r="FI67" s="15"/>
      <c r="FJ67" s="15"/>
      <c r="FK67" s="15"/>
      <c r="FL67" s="105">
        <f t="shared" si="20"/>
        <v>0</v>
      </c>
      <c r="FM67" s="48"/>
      <c r="FN67" s="15"/>
      <c r="FO67" s="15"/>
      <c r="FP67" s="15"/>
      <c r="FQ67" s="15"/>
      <c r="FR67" s="15"/>
      <c r="FS67" s="15"/>
      <c r="FT67" s="15"/>
      <c r="FU67" s="15"/>
      <c r="FV67" s="15"/>
      <c r="FW67" s="15"/>
      <c r="FX67" s="15"/>
      <c r="FY67" s="15"/>
      <c r="FZ67" s="15"/>
      <c r="GA67" s="15"/>
      <c r="GB67" s="15"/>
      <c r="GC67" s="15"/>
      <c r="GD67" s="15"/>
      <c r="GE67" s="15"/>
      <c r="GF67" s="15"/>
      <c r="GG67" s="15"/>
      <c r="GH67" s="15"/>
      <c r="GI67" s="15"/>
      <c r="GJ67" s="15"/>
      <c r="GK67" s="15"/>
      <c r="GL67" s="15"/>
      <c r="GM67" s="15"/>
      <c r="GN67" s="15"/>
      <c r="GO67" s="15"/>
      <c r="GP67" s="15"/>
      <c r="GQ67" s="15"/>
      <c r="GR67" s="15"/>
      <c r="GS67" s="105">
        <f t="shared" si="21"/>
        <v>0</v>
      </c>
      <c r="GT67" s="48"/>
      <c r="GU67" s="15"/>
      <c r="GV67" s="15"/>
      <c r="GW67" s="15"/>
      <c r="GX67" s="15"/>
      <c r="GY67" s="15"/>
      <c r="GZ67" s="15"/>
      <c r="HA67" s="15"/>
      <c r="HB67" s="15"/>
      <c r="HC67" s="15"/>
      <c r="HD67" s="15"/>
      <c r="HE67" s="15"/>
    </row>
    <row r="68">
      <c r="A68" s="101" t="s">
        <v>286</v>
      </c>
      <c r="B68" s="106" t="str">
        <f>iferror(vlookup(A68,'SoS - Agents Info'!A:H,5,false),"")</f>
        <v>TH</v>
      </c>
      <c r="C68" s="107" t="str">
        <f>iferror(vlookup(A68,'SoS - Agents Info'!A:AQ,43,false),"")</f>
        <v>JM</v>
      </c>
      <c r="D68" s="108" t="str">
        <f>iferror(vlookup(A68,'SoS - Agents Info'!A:H,6,false),"")</f>
        <v>WE</v>
      </c>
      <c r="E68" s="108" t="str">
        <f>iferror(vlookup(A68,'SoS - Agents Info'!A:H,7,false),"")</f>
        <v>08:00-17:00</v>
      </c>
      <c r="F68" s="109">
        <f>IFERROR(__xludf.DUMMYFUNCTION("sum(COUNTIFS(Filter(FILTER('Shiftplan SoS'!G$3:GU166,'Shiftplan SoS'!$G$1:$GU$1&lt;=today()),'Shiftplan SoS'!$A$3:$A166=A68),""&gt;0"",(Filter(FILTER('Shiftplan SoS'!G$3:GU166,'Shiftplan SoS'!$G$1:$GU$1&lt;=today()),'Shiftplan SoS'!$A$3:$A166=A68)),""&lt;12""))"),22.0)</f>
        <v>22</v>
      </c>
      <c r="G68" s="137"/>
      <c r="H68" s="137"/>
      <c r="I68" s="137"/>
      <c r="J68" s="137"/>
      <c r="K68" s="137"/>
      <c r="L68" s="137"/>
      <c r="M68" s="137"/>
      <c r="N68" s="137"/>
      <c r="O68" s="137"/>
      <c r="P68" s="137"/>
      <c r="Q68" s="137"/>
      <c r="R68" s="137"/>
      <c r="S68" s="137"/>
      <c r="T68" s="137"/>
      <c r="U68" s="137"/>
      <c r="V68" s="137"/>
      <c r="W68" s="135"/>
      <c r="X68" s="135"/>
      <c r="Y68" s="135"/>
      <c r="Z68" s="135"/>
      <c r="AA68" s="135"/>
      <c r="AB68" s="135"/>
      <c r="AC68" s="135"/>
      <c r="AD68" s="16" t="s">
        <v>245</v>
      </c>
      <c r="AE68" s="16">
        <v>8.0</v>
      </c>
      <c r="AF68" s="16">
        <v>8.0</v>
      </c>
      <c r="AG68" s="16">
        <v>8.0</v>
      </c>
      <c r="AH68" s="16">
        <v>8.0</v>
      </c>
      <c r="AI68" s="16" t="s">
        <v>165</v>
      </c>
      <c r="AJ68" s="16" t="s">
        <v>165</v>
      </c>
      <c r="AK68" s="70" t="s">
        <v>165</v>
      </c>
      <c r="AL68" s="105">
        <f t="shared" si="14"/>
        <v>32</v>
      </c>
      <c r="AM68" s="48"/>
      <c r="AN68" s="16">
        <v>8.0</v>
      </c>
      <c r="AO68" s="16" t="s">
        <v>165</v>
      </c>
      <c r="AP68" s="16" t="s">
        <v>165</v>
      </c>
      <c r="AQ68" s="16" t="s">
        <v>165</v>
      </c>
      <c r="AR68" s="16">
        <v>8.0</v>
      </c>
      <c r="AS68" s="16">
        <v>8.0</v>
      </c>
      <c r="AT68" s="16" t="s">
        <v>165</v>
      </c>
      <c r="AU68" s="16" t="s">
        <v>165</v>
      </c>
      <c r="AV68" s="16" t="s">
        <v>165</v>
      </c>
      <c r="AW68" s="16" t="s">
        <v>165</v>
      </c>
      <c r="AX68" s="53" t="s">
        <v>165</v>
      </c>
      <c r="AY68" s="16">
        <v>8.0</v>
      </c>
      <c r="AZ68" s="16">
        <v>8.0</v>
      </c>
      <c r="BA68" s="16" t="s">
        <v>165</v>
      </c>
      <c r="BB68" s="16" t="s">
        <v>165</v>
      </c>
      <c r="BC68" s="16" t="s">
        <v>165</v>
      </c>
      <c r="BD68" s="16" t="s">
        <v>165</v>
      </c>
      <c r="BE68" s="53" t="s">
        <v>165</v>
      </c>
      <c r="BF68" s="16">
        <v>8.0</v>
      </c>
      <c r="BG68" s="16">
        <v>8.0</v>
      </c>
      <c r="BH68" s="16" t="s">
        <v>165</v>
      </c>
      <c r="BI68" s="16" t="s">
        <v>165</v>
      </c>
      <c r="BJ68" s="16" t="s">
        <v>165</v>
      </c>
      <c r="BK68" s="16" t="s">
        <v>165</v>
      </c>
      <c r="BL68" s="53" t="s">
        <v>165</v>
      </c>
      <c r="BM68" s="16">
        <v>8.0</v>
      </c>
      <c r="BN68" s="16">
        <v>8.0</v>
      </c>
      <c r="BO68" s="16" t="s">
        <v>165</v>
      </c>
      <c r="BP68" s="16" t="s">
        <v>165</v>
      </c>
      <c r="BQ68" s="16" t="s">
        <v>165</v>
      </c>
      <c r="BR68" s="105">
        <f t="shared" si="15"/>
        <v>72</v>
      </c>
      <c r="BS68" s="48"/>
      <c r="BT68" s="16" t="s">
        <v>165</v>
      </c>
      <c r="BU68" s="16" t="s">
        <v>165</v>
      </c>
      <c r="BV68" s="16" t="s">
        <v>245</v>
      </c>
      <c r="BW68" s="16">
        <v>8.0</v>
      </c>
      <c r="BX68" s="16" t="s">
        <v>165</v>
      </c>
      <c r="BY68" s="16" t="s">
        <v>165</v>
      </c>
      <c r="BZ68" s="16" t="s">
        <v>165</v>
      </c>
      <c r="CA68" s="16" t="s">
        <v>165</v>
      </c>
      <c r="CB68" s="16" t="s">
        <v>165</v>
      </c>
      <c r="CC68" s="16" t="s">
        <v>245</v>
      </c>
      <c r="CD68" s="16">
        <v>8.0</v>
      </c>
      <c r="CE68" s="16" t="s">
        <v>165</v>
      </c>
      <c r="CF68" s="16" t="s">
        <v>165</v>
      </c>
      <c r="CG68" s="16" t="s">
        <v>165</v>
      </c>
      <c r="CH68" s="16" t="s">
        <v>165</v>
      </c>
      <c r="CI68" s="16" t="s">
        <v>165</v>
      </c>
      <c r="CJ68" s="16" t="s">
        <v>245</v>
      </c>
      <c r="CK68" s="16" t="s">
        <v>245</v>
      </c>
      <c r="CL68" s="16" t="s">
        <v>165</v>
      </c>
      <c r="CM68" s="16" t="s">
        <v>165</v>
      </c>
      <c r="CN68" s="16" t="s">
        <v>165</v>
      </c>
      <c r="CO68" s="16" t="s">
        <v>165</v>
      </c>
      <c r="CP68" s="16" t="s">
        <v>165</v>
      </c>
      <c r="CQ68" s="16">
        <v>12.0</v>
      </c>
      <c r="CR68" s="16">
        <v>12.0</v>
      </c>
      <c r="CS68" s="16" t="s">
        <v>165</v>
      </c>
      <c r="CT68" s="16" t="s">
        <v>165</v>
      </c>
      <c r="CU68" s="16" t="s">
        <v>165</v>
      </c>
      <c r="CV68" s="16" t="s">
        <v>165</v>
      </c>
      <c r="CW68" s="16" t="s">
        <v>165</v>
      </c>
      <c r="CX68" s="16">
        <v>8.0</v>
      </c>
      <c r="CY68" s="105">
        <f t="shared" si="16"/>
        <v>48</v>
      </c>
      <c r="CZ68" s="48"/>
      <c r="DA68" s="113">
        <v>8.0</v>
      </c>
      <c r="DB68" s="113" t="s">
        <v>165</v>
      </c>
      <c r="DC68" s="113" t="s">
        <v>165</v>
      </c>
      <c r="DD68" s="113" t="s">
        <v>165</v>
      </c>
      <c r="DE68" s="113" t="s">
        <v>165</v>
      </c>
      <c r="DF68" s="113" t="s">
        <v>165</v>
      </c>
      <c r="DG68" s="113">
        <v>8.0</v>
      </c>
      <c r="DH68" s="113">
        <v>8.0</v>
      </c>
      <c r="DI68" s="113" t="s">
        <v>165</v>
      </c>
      <c r="DJ68" s="113" t="s">
        <v>165</v>
      </c>
      <c r="DK68" s="113" t="s">
        <v>165</v>
      </c>
      <c r="DL68" s="113" t="s">
        <v>165</v>
      </c>
      <c r="DM68" s="113" t="s">
        <v>165</v>
      </c>
      <c r="DN68" s="113">
        <v>8.0</v>
      </c>
      <c r="DO68" s="58" t="s">
        <v>245</v>
      </c>
      <c r="DP68" s="113" t="s">
        <v>165</v>
      </c>
      <c r="DQ68" s="113" t="s">
        <v>165</v>
      </c>
      <c r="DR68" s="113" t="s">
        <v>165</v>
      </c>
      <c r="DS68" s="113" t="s">
        <v>165</v>
      </c>
      <c r="DT68" s="113" t="s">
        <v>165</v>
      </c>
      <c r="DU68" s="58">
        <v>12.0</v>
      </c>
      <c r="DV68" s="58">
        <v>12.0</v>
      </c>
      <c r="DW68" s="113" t="s">
        <v>165</v>
      </c>
      <c r="DX68" s="113" t="s">
        <v>165</v>
      </c>
      <c r="DY68" s="113" t="s">
        <v>165</v>
      </c>
      <c r="DZ68" s="113" t="s">
        <v>165</v>
      </c>
      <c r="EA68" s="113" t="s">
        <v>165</v>
      </c>
      <c r="EB68" s="113">
        <v>8.0</v>
      </c>
      <c r="EC68" s="113">
        <v>8.0</v>
      </c>
      <c r="ED68" s="113" t="s">
        <v>165</v>
      </c>
      <c r="EE68" s="113" t="s">
        <v>165</v>
      </c>
      <c r="EF68" s="113">
        <f t="shared" si="17"/>
        <v>72</v>
      </c>
      <c r="EG68" s="48"/>
      <c r="EH68" s="15"/>
      <c r="EI68" s="15"/>
      <c r="EJ68" s="15"/>
      <c r="EK68" s="15"/>
      <c r="EL68" s="15"/>
      <c r="EM68" s="15"/>
      <c r="EN68" s="15"/>
      <c r="EO68" s="15"/>
      <c r="EP68" s="15"/>
      <c r="EQ68" s="15"/>
      <c r="ER68" s="15"/>
      <c r="ES68" s="15"/>
      <c r="ET68" s="15"/>
      <c r="EU68" s="15"/>
      <c r="EV68" s="15"/>
      <c r="EW68" s="15"/>
      <c r="EX68" s="15"/>
      <c r="EY68" s="15"/>
      <c r="EZ68" s="15"/>
      <c r="FA68" s="15"/>
      <c r="FB68" s="15"/>
      <c r="FC68" s="15"/>
      <c r="FD68" s="15"/>
      <c r="FE68" s="15"/>
      <c r="FF68" s="15"/>
      <c r="FG68" s="15"/>
      <c r="FH68" s="15"/>
      <c r="FI68" s="15"/>
      <c r="FJ68" s="15"/>
      <c r="FK68" s="15"/>
      <c r="FL68" s="105">
        <f t="shared" si="20"/>
        <v>0</v>
      </c>
      <c r="FM68" s="48"/>
      <c r="FN68" s="15"/>
      <c r="FO68" s="15"/>
      <c r="FP68" s="15"/>
      <c r="FQ68" s="15"/>
      <c r="FR68" s="15"/>
      <c r="FS68" s="15"/>
      <c r="FT68" s="15"/>
      <c r="FU68" s="15"/>
      <c r="FV68" s="15"/>
      <c r="FW68" s="15"/>
      <c r="FX68" s="15"/>
      <c r="FY68" s="15"/>
      <c r="FZ68" s="15"/>
      <c r="GA68" s="15"/>
      <c r="GB68" s="15"/>
      <c r="GC68" s="15"/>
      <c r="GD68" s="15"/>
      <c r="GE68" s="15"/>
      <c r="GF68" s="15"/>
      <c r="GG68" s="15"/>
      <c r="GH68" s="15"/>
      <c r="GI68" s="15"/>
      <c r="GJ68" s="15"/>
      <c r="GK68" s="15"/>
      <c r="GL68" s="15"/>
      <c r="GM68" s="15"/>
      <c r="GN68" s="15"/>
      <c r="GO68" s="15"/>
      <c r="GP68" s="15"/>
      <c r="GQ68" s="15"/>
      <c r="GR68" s="15"/>
      <c r="GS68" s="105">
        <f t="shared" si="21"/>
        <v>0</v>
      </c>
      <c r="GT68" s="48"/>
      <c r="GU68" s="15"/>
      <c r="GV68" s="15"/>
      <c r="GW68" s="15"/>
      <c r="GX68" s="15"/>
      <c r="GY68" s="15"/>
      <c r="GZ68" s="15"/>
      <c r="HA68" s="15"/>
      <c r="HB68" s="15"/>
      <c r="HC68" s="15"/>
      <c r="HD68" s="15"/>
      <c r="HE68" s="15"/>
    </row>
    <row r="69" ht="16.5" customHeight="1">
      <c r="A69" s="101" t="s">
        <v>287</v>
      </c>
      <c r="B69" s="106" t="str">
        <f>iferror(vlookup(A69,'SoS - Agents Info'!A:H,5,false),"")</f>
        <v>EN</v>
      </c>
      <c r="C69" s="107" t="str">
        <f>iferror(vlookup(A69,'SoS - Agents Info'!A:AQ,43,false),"")</f>
        <v>RA+VM</v>
      </c>
      <c r="D69" s="108" t="str">
        <f>iferror(vlookup(A69,'SoS - Agents Info'!A:H,6,false),"")</f>
        <v>WE+WD</v>
      </c>
      <c r="E69" s="108" t="str">
        <f>iferror(vlookup(A69,'SoS - Agents Info'!A:H,7,false),"")</f>
        <v>16:00-01:00</v>
      </c>
      <c r="F69" s="109">
        <f>IFERROR(__xludf.DUMMYFUNCTION("sum(COUNTIFS(Filter(FILTER('Shiftplan SoS'!G$3:GU166,'Shiftplan SoS'!$G$1:$GU$1&lt;=today()),'Shiftplan SoS'!$A$3:$A166=A69),""&gt;0"",(Filter(FILTER('Shiftplan SoS'!G$3:GU166,'Shiftplan SoS'!$G$1:$GU$1&lt;=today()),'Shiftplan SoS'!$A$3:$A166=A69)),""&lt;12""))"),71.0)</f>
        <v>71</v>
      </c>
      <c r="G69" s="135"/>
      <c r="H69" s="135"/>
      <c r="I69" s="135"/>
      <c r="J69" s="135"/>
      <c r="K69" s="135"/>
      <c r="L69" s="135"/>
      <c r="M69" s="135"/>
      <c r="N69" s="135"/>
      <c r="O69" s="135"/>
      <c r="P69" s="135"/>
      <c r="Q69" s="135"/>
      <c r="R69" s="137"/>
      <c r="S69" s="135"/>
      <c r="T69" s="135"/>
      <c r="U69" s="135"/>
      <c r="V69" s="135"/>
      <c r="W69" s="135"/>
      <c r="X69" s="135"/>
      <c r="Y69" s="135"/>
      <c r="Z69" s="135"/>
      <c r="AA69" s="135"/>
      <c r="AB69" s="135"/>
      <c r="AC69" s="135"/>
      <c r="AD69" s="16">
        <v>9.0</v>
      </c>
      <c r="AE69" s="16">
        <v>8.0</v>
      </c>
      <c r="AF69" s="16">
        <v>8.0</v>
      </c>
      <c r="AG69" s="16">
        <v>8.0</v>
      </c>
      <c r="AH69" s="16">
        <v>8.0</v>
      </c>
      <c r="AI69" s="16" t="s">
        <v>165</v>
      </c>
      <c r="AJ69" s="16" t="s">
        <v>165</v>
      </c>
      <c r="AK69" s="125">
        <v>8.0</v>
      </c>
      <c r="AL69" s="105">
        <f t="shared" si="14"/>
        <v>49</v>
      </c>
      <c r="AM69" s="48"/>
      <c r="AN69" s="110">
        <v>8.0</v>
      </c>
      <c r="AO69" s="110">
        <v>8.0</v>
      </c>
      <c r="AP69" s="16" t="s">
        <v>165</v>
      </c>
      <c r="AQ69" s="16" t="s">
        <v>165</v>
      </c>
      <c r="AR69" s="16">
        <v>8.0</v>
      </c>
      <c r="AS69" s="16" t="s">
        <v>165</v>
      </c>
      <c r="AT69" s="110">
        <v>8.0</v>
      </c>
      <c r="AU69" s="110">
        <v>8.0</v>
      </c>
      <c r="AV69" s="110">
        <v>8.0</v>
      </c>
      <c r="AW69" s="110">
        <v>8.0</v>
      </c>
      <c r="AX69" s="110">
        <v>8.0</v>
      </c>
      <c r="AY69" s="16">
        <v>8.0</v>
      </c>
      <c r="AZ69" s="16" t="s">
        <v>165</v>
      </c>
      <c r="BA69" s="110">
        <v>8.0</v>
      </c>
      <c r="BB69" s="110">
        <v>8.0</v>
      </c>
      <c r="BC69" s="110">
        <v>8.0</v>
      </c>
      <c r="BD69" s="110">
        <v>5.0</v>
      </c>
      <c r="BE69" s="110">
        <v>8.0</v>
      </c>
      <c r="BF69" s="16" t="s">
        <v>165</v>
      </c>
      <c r="BG69" s="16" t="s">
        <v>165</v>
      </c>
      <c r="BH69" s="110">
        <v>8.0</v>
      </c>
      <c r="BI69" s="110">
        <v>8.0</v>
      </c>
      <c r="BJ69" s="110">
        <v>8.0</v>
      </c>
      <c r="BK69" s="110">
        <v>8.0</v>
      </c>
      <c r="BL69" s="110">
        <v>8.0</v>
      </c>
      <c r="BM69" s="16" t="s">
        <v>165</v>
      </c>
      <c r="BN69" s="16" t="s">
        <v>165</v>
      </c>
      <c r="BO69" s="110">
        <v>8.0</v>
      </c>
      <c r="BP69" s="110">
        <v>8.0</v>
      </c>
      <c r="BQ69" s="110">
        <v>8.0</v>
      </c>
      <c r="BR69" s="105">
        <f t="shared" si="15"/>
        <v>173</v>
      </c>
      <c r="BS69" s="48"/>
      <c r="BT69" s="16" t="s">
        <v>165</v>
      </c>
      <c r="BU69" s="16" t="s">
        <v>165</v>
      </c>
      <c r="BV69" s="16">
        <v>8.0</v>
      </c>
      <c r="BW69" s="16">
        <v>8.0</v>
      </c>
      <c r="BX69" s="110">
        <v>8.0</v>
      </c>
      <c r="BY69" s="110">
        <v>8.0</v>
      </c>
      <c r="BZ69" s="110">
        <v>8.0</v>
      </c>
      <c r="CA69" s="53" t="s">
        <v>165</v>
      </c>
      <c r="CB69" s="53" t="s">
        <v>165</v>
      </c>
      <c r="CC69" s="16">
        <v>8.0</v>
      </c>
      <c r="CD69" s="16">
        <v>8.0</v>
      </c>
      <c r="CE69" s="110">
        <v>8.0</v>
      </c>
      <c r="CF69" s="110">
        <v>8.0</v>
      </c>
      <c r="CG69" s="110">
        <v>8.0</v>
      </c>
      <c r="CH69" s="53" t="s">
        <v>165</v>
      </c>
      <c r="CI69" s="53" t="s">
        <v>165</v>
      </c>
      <c r="CJ69" s="16">
        <v>8.0</v>
      </c>
      <c r="CK69" s="16">
        <v>8.0</v>
      </c>
      <c r="CL69" s="110">
        <v>8.0</v>
      </c>
      <c r="CM69" s="110">
        <v>8.0</v>
      </c>
      <c r="CN69" s="110">
        <v>8.0</v>
      </c>
      <c r="CO69" s="53" t="s">
        <v>165</v>
      </c>
      <c r="CP69" s="53" t="s">
        <v>165</v>
      </c>
      <c r="CQ69" s="110">
        <v>8.0</v>
      </c>
      <c r="CR69" s="110">
        <v>8.0</v>
      </c>
      <c r="CS69" s="110">
        <v>8.0</v>
      </c>
      <c r="CT69" s="110">
        <v>8.0</v>
      </c>
      <c r="CU69" s="110">
        <v>8.0</v>
      </c>
      <c r="CV69" s="53" t="s">
        <v>165</v>
      </c>
      <c r="CW69" s="53" t="s">
        <v>165</v>
      </c>
      <c r="CX69" s="16">
        <v>8.0</v>
      </c>
      <c r="CY69" s="105">
        <f t="shared" si="16"/>
        <v>168</v>
      </c>
      <c r="CZ69" s="48"/>
      <c r="DA69" s="113">
        <v>8.0</v>
      </c>
      <c r="DB69" s="58" t="s">
        <v>245</v>
      </c>
      <c r="DC69" s="123">
        <v>8.0</v>
      </c>
      <c r="DD69" s="123">
        <v>8.0</v>
      </c>
      <c r="DE69" s="123">
        <v>8.0</v>
      </c>
      <c r="DF69" s="123">
        <v>8.0</v>
      </c>
      <c r="DG69" s="113" t="s">
        <v>165</v>
      </c>
      <c r="DH69" s="113" t="s">
        <v>165</v>
      </c>
      <c r="DI69" s="143">
        <v>8.0</v>
      </c>
      <c r="DJ69" s="143">
        <v>8.0</v>
      </c>
      <c r="DK69" s="143">
        <v>8.0</v>
      </c>
      <c r="DL69" s="143">
        <v>8.0</v>
      </c>
      <c r="DM69" s="143">
        <v>8.0</v>
      </c>
      <c r="DN69" s="144" t="s">
        <v>165</v>
      </c>
      <c r="DO69" s="144" t="s">
        <v>165</v>
      </c>
      <c r="DP69" s="143">
        <v>8.0</v>
      </c>
      <c r="DQ69" s="143">
        <v>8.0</v>
      </c>
      <c r="DR69" s="143">
        <v>8.0</v>
      </c>
      <c r="DS69" s="143">
        <v>8.0</v>
      </c>
      <c r="DT69" s="143">
        <v>8.0</v>
      </c>
      <c r="DU69" s="144" t="s">
        <v>165</v>
      </c>
      <c r="DV69" s="144" t="s">
        <v>165</v>
      </c>
      <c r="DW69" s="143">
        <v>8.0</v>
      </c>
      <c r="DX69" s="143">
        <v>8.0</v>
      </c>
      <c r="DY69" s="144">
        <v>8.0</v>
      </c>
      <c r="DZ69" s="144">
        <v>8.0</v>
      </c>
      <c r="EA69" s="143">
        <v>8.0</v>
      </c>
      <c r="EB69" s="144" t="s">
        <v>165</v>
      </c>
      <c r="EC69" s="144" t="s">
        <v>165</v>
      </c>
      <c r="ED69" s="113">
        <v>8.0</v>
      </c>
      <c r="EE69" s="113">
        <v>8.0</v>
      </c>
      <c r="EF69" s="113">
        <f t="shared" si="17"/>
        <v>176</v>
      </c>
      <c r="EG69" s="48"/>
      <c r="EH69" s="15"/>
      <c r="EI69" s="15"/>
      <c r="EJ69" s="15"/>
      <c r="EK69" s="15"/>
      <c r="EL69" s="15"/>
      <c r="EM69" s="15"/>
      <c r="EN69" s="15"/>
      <c r="EO69" s="15"/>
      <c r="EP69" s="15"/>
      <c r="EQ69" s="15"/>
      <c r="ER69" s="15"/>
      <c r="ES69" s="15"/>
      <c r="ET69" s="15"/>
      <c r="EU69" s="15"/>
      <c r="EV69" s="15"/>
      <c r="EW69" s="15"/>
      <c r="EX69" s="15"/>
      <c r="EY69" s="15"/>
      <c r="EZ69" s="15"/>
      <c r="FA69" s="15"/>
      <c r="FB69" s="15"/>
      <c r="FC69" s="15"/>
      <c r="FD69" s="15"/>
      <c r="FE69" s="15"/>
      <c r="FF69" s="15"/>
      <c r="FG69" s="15"/>
      <c r="FH69" s="15"/>
      <c r="FI69" s="15"/>
      <c r="FJ69" s="15"/>
      <c r="FK69" s="15"/>
      <c r="FL69" s="105">
        <f t="shared" si="20"/>
        <v>0</v>
      </c>
      <c r="FM69" s="48"/>
      <c r="FN69" s="15"/>
      <c r="FO69" s="15"/>
      <c r="FP69" s="15"/>
      <c r="FQ69" s="15"/>
      <c r="FR69" s="15"/>
      <c r="FS69" s="15"/>
      <c r="FT69" s="15"/>
      <c r="FU69" s="15"/>
      <c r="FV69" s="15"/>
      <c r="FW69" s="15"/>
      <c r="FX69" s="15"/>
      <c r="FY69" s="15"/>
      <c r="FZ69" s="15"/>
      <c r="GA69" s="15"/>
      <c r="GB69" s="15"/>
      <c r="GC69" s="15"/>
      <c r="GD69" s="15"/>
      <c r="GE69" s="15"/>
      <c r="GF69" s="15"/>
      <c r="GG69" s="15"/>
      <c r="GH69" s="15"/>
      <c r="GI69" s="15"/>
      <c r="GJ69" s="15"/>
      <c r="GK69" s="15"/>
      <c r="GL69" s="15"/>
      <c r="GM69" s="15"/>
      <c r="GN69" s="15"/>
      <c r="GO69" s="15"/>
      <c r="GP69" s="15"/>
      <c r="GQ69" s="15"/>
      <c r="GR69" s="15"/>
      <c r="GS69" s="105">
        <f t="shared" si="21"/>
        <v>0</v>
      </c>
      <c r="GT69" s="48"/>
      <c r="GU69" s="15"/>
      <c r="GV69" s="15"/>
      <c r="GW69" s="15"/>
      <c r="GX69" s="15"/>
      <c r="GY69" s="15"/>
      <c r="GZ69" s="15"/>
      <c r="HA69" s="15"/>
      <c r="HB69" s="15"/>
      <c r="HC69" s="15"/>
      <c r="HD69" s="15"/>
      <c r="HE69" s="15"/>
    </row>
    <row r="70">
      <c r="A70" s="117" t="s">
        <v>111</v>
      </c>
      <c r="B70" s="106" t="str">
        <f>iferror(vlookup(A70,'SoS - Agents Info'!A:H,5,false),"")</f>
        <v>EN</v>
      </c>
      <c r="C70" s="107" t="str">
        <f>iferror(vlookup(A70,'SoS - Agents Info'!A:AQ,43,false),"")</f>
        <v/>
      </c>
      <c r="D70" s="108" t="str">
        <f>iferror(vlookup(A70,'SoS - Agents Info'!A:H,6,false),"")</f>
        <v>WD</v>
      </c>
      <c r="E70" s="108" t="s">
        <v>189</v>
      </c>
      <c r="F70" s="109">
        <f>IFERROR(__xludf.DUMMYFUNCTION("sum(COUNTIFS(Filter(FILTER('Shiftplan SoS'!G$3:GU166,'Shiftplan SoS'!$G$1:$GU$1&lt;=today()),'Shiftplan SoS'!$A$3:$A166=A70),""&gt;0"",(Filter(FILTER('Shiftplan SoS'!G$3:GU166,'Shiftplan SoS'!$G$1:$GU$1&lt;=today()),'Shiftplan SoS'!$A$3:$A166=A70)),""&lt;12""))"),48.0)</f>
        <v>48</v>
      </c>
      <c r="G70" s="16" t="s">
        <v>171</v>
      </c>
      <c r="H70" s="16" t="s">
        <v>165</v>
      </c>
      <c r="I70" s="16" t="s">
        <v>165</v>
      </c>
      <c r="J70" s="16" t="s">
        <v>245</v>
      </c>
      <c r="K70" s="16" t="s">
        <v>245</v>
      </c>
      <c r="L70" s="16" t="s">
        <v>245</v>
      </c>
      <c r="M70" s="16" t="s">
        <v>245</v>
      </c>
      <c r="N70" s="16" t="s">
        <v>245</v>
      </c>
      <c r="O70" s="16" t="s">
        <v>165</v>
      </c>
      <c r="P70" s="16" t="s">
        <v>165</v>
      </c>
      <c r="Q70" s="16" t="s">
        <v>245</v>
      </c>
      <c r="R70" s="16" t="s">
        <v>245</v>
      </c>
      <c r="S70" s="16" t="s">
        <v>245</v>
      </c>
      <c r="T70" s="16" t="s">
        <v>245</v>
      </c>
      <c r="U70" s="16" t="s">
        <v>245</v>
      </c>
      <c r="V70" s="16" t="s">
        <v>165</v>
      </c>
      <c r="W70" s="16" t="s">
        <v>165</v>
      </c>
      <c r="X70" s="16" t="s">
        <v>245</v>
      </c>
      <c r="Y70" s="16" t="s">
        <v>245</v>
      </c>
      <c r="Z70" s="16" t="s">
        <v>245</v>
      </c>
      <c r="AA70" s="16" t="s">
        <v>245</v>
      </c>
      <c r="AB70" s="16" t="s">
        <v>245</v>
      </c>
      <c r="AC70" s="16" t="s">
        <v>165</v>
      </c>
      <c r="AD70" s="16" t="s">
        <v>245</v>
      </c>
      <c r="AE70" s="16" t="s">
        <v>245</v>
      </c>
      <c r="AF70" s="16" t="s">
        <v>245</v>
      </c>
      <c r="AG70" s="16" t="s">
        <v>245</v>
      </c>
      <c r="AH70" s="16" t="s">
        <v>245</v>
      </c>
      <c r="AI70" s="16" t="s">
        <v>245</v>
      </c>
      <c r="AJ70" s="16" t="s">
        <v>165</v>
      </c>
      <c r="AK70" s="70" t="s">
        <v>165</v>
      </c>
      <c r="AL70" s="105">
        <f t="shared" si="14"/>
        <v>0</v>
      </c>
      <c r="AM70" s="48"/>
      <c r="AN70" s="16" t="s">
        <v>165</v>
      </c>
      <c r="AO70" s="16" t="s">
        <v>165</v>
      </c>
      <c r="AP70" s="16" t="s">
        <v>165</v>
      </c>
      <c r="AQ70" s="16" t="s">
        <v>165</v>
      </c>
      <c r="AR70" s="16" t="s">
        <v>165</v>
      </c>
      <c r="AS70" s="16" t="s">
        <v>165</v>
      </c>
      <c r="AT70" s="16" t="s">
        <v>165</v>
      </c>
      <c r="AU70" s="16" t="s">
        <v>165</v>
      </c>
      <c r="AV70" s="16" t="s">
        <v>165</v>
      </c>
      <c r="AW70" s="16" t="s">
        <v>165</v>
      </c>
      <c r="AX70" s="16" t="s">
        <v>165</v>
      </c>
      <c r="AY70" s="16" t="s">
        <v>165</v>
      </c>
      <c r="AZ70" s="16" t="s">
        <v>165</v>
      </c>
      <c r="BA70" s="16" t="s">
        <v>165</v>
      </c>
      <c r="BB70" s="16" t="s">
        <v>165</v>
      </c>
      <c r="BC70" s="16" t="s">
        <v>165</v>
      </c>
      <c r="BD70" s="16" t="s">
        <v>165</v>
      </c>
      <c r="BE70" s="16" t="s">
        <v>165</v>
      </c>
      <c r="BF70" s="16" t="s">
        <v>165</v>
      </c>
      <c r="BG70" s="16" t="s">
        <v>165</v>
      </c>
      <c r="BH70" s="16" t="s">
        <v>165</v>
      </c>
      <c r="BI70" s="16">
        <v>8.0</v>
      </c>
      <c r="BJ70" s="16">
        <v>8.0</v>
      </c>
      <c r="BK70" s="16">
        <v>9.0</v>
      </c>
      <c r="BL70" s="16">
        <v>8.0</v>
      </c>
      <c r="BM70" s="16">
        <v>8.0</v>
      </c>
      <c r="BN70" s="16" t="s">
        <v>165</v>
      </c>
      <c r="BO70" s="16" t="s">
        <v>165</v>
      </c>
      <c r="BP70" s="16">
        <v>8.0</v>
      </c>
      <c r="BQ70" s="16">
        <v>8.0</v>
      </c>
      <c r="BR70" s="105">
        <f t="shared" si="15"/>
        <v>57</v>
      </c>
      <c r="BS70" s="48"/>
      <c r="BT70" s="16">
        <v>8.0</v>
      </c>
      <c r="BU70" s="16" t="s">
        <v>167</v>
      </c>
      <c r="BV70" s="16">
        <v>8.0</v>
      </c>
      <c r="BW70" s="16" t="s">
        <v>165</v>
      </c>
      <c r="BX70" s="16" t="s">
        <v>165</v>
      </c>
      <c r="BY70" s="16">
        <v>8.0</v>
      </c>
      <c r="BZ70" s="16">
        <v>8.0</v>
      </c>
      <c r="CA70" s="16">
        <v>8.0</v>
      </c>
      <c r="CB70" s="16">
        <v>8.0</v>
      </c>
      <c r="CC70" s="16" t="s">
        <v>171</v>
      </c>
      <c r="CD70" s="16" t="s">
        <v>165</v>
      </c>
      <c r="CE70" s="16" t="s">
        <v>165</v>
      </c>
      <c r="CF70" s="16">
        <v>8.0</v>
      </c>
      <c r="CG70" s="16">
        <v>8.0</v>
      </c>
      <c r="CH70" s="16">
        <v>8.0</v>
      </c>
      <c r="CI70" s="16">
        <v>8.0</v>
      </c>
      <c r="CJ70" s="16">
        <v>8.0</v>
      </c>
      <c r="CK70" s="16" t="s">
        <v>165</v>
      </c>
      <c r="CL70" s="16" t="s">
        <v>165</v>
      </c>
      <c r="CM70" s="16">
        <v>8.0</v>
      </c>
      <c r="CN70" s="16">
        <v>9.5</v>
      </c>
      <c r="CO70" s="16">
        <v>8.0</v>
      </c>
      <c r="CP70" s="16">
        <v>8.0</v>
      </c>
      <c r="CQ70" s="16">
        <v>8.0</v>
      </c>
      <c r="CR70" s="16" t="s">
        <v>165</v>
      </c>
      <c r="CS70" s="16" t="s">
        <v>165</v>
      </c>
      <c r="CT70" s="16">
        <v>8.0</v>
      </c>
      <c r="CU70" s="16">
        <v>8.0</v>
      </c>
      <c r="CV70" s="16">
        <v>8.0</v>
      </c>
      <c r="CW70" s="16">
        <v>8.0</v>
      </c>
      <c r="CX70" s="16">
        <v>8.0</v>
      </c>
      <c r="CY70" s="105">
        <f t="shared" si="16"/>
        <v>169.5</v>
      </c>
      <c r="CZ70" s="48"/>
      <c r="DA70" s="113" t="s">
        <v>165</v>
      </c>
      <c r="DB70" s="113" t="s">
        <v>165</v>
      </c>
      <c r="DC70" s="113">
        <v>8.0</v>
      </c>
      <c r="DD70" s="113">
        <v>8.0</v>
      </c>
      <c r="DE70" s="113">
        <v>8.0</v>
      </c>
      <c r="DF70" s="113">
        <v>8.0</v>
      </c>
      <c r="DG70" s="113">
        <v>8.0</v>
      </c>
      <c r="DH70" s="113" t="s">
        <v>165</v>
      </c>
      <c r="DI70" s="113" t="s">
        <v>165</v>
      </c>
      <c r="DJ70" s="113">
        <v>8.0</v>
      </c>
      <c r="DK70" s="58" t="s">
        <v>167</v>
      </c>
      <c r="DL70" s="113">
        <v>8.0</v>
      </c>
      <c r="DM70" s="113">
        <v>8.0</v>
      </c>
      <c r="DN70" s="113">
        <v>8.0</v>
      </c>
      <c r="DO70" s="113" t="s">
        <v>165</v>
      </c>
      <c r="DP70" s="113" t="s">
        <v>165</v>
      </c>
      <c r="DQ70" s="113">
        <v>8.0</v>
      </c>
      <c r="DR70" s="113">
        <v>8.0</v>
      </c>
      <c r="DS70" s="113">
        <v>8.0</v>
      </c>
      <c r="DT70" s="113">
        <v>8.0</v>
      </c>
      <c r="DU70" s="113">
        <v>8.0</v>
      </c>
      <c r="DV70" s="113" t="s">
        <v>165</v>
      </c>
      <c r="DW70" s="113" t="s">
        <v>165</v>
      </c>
      <c r="DX70" s="113">
        <v>8.0</v>
      </c>
      <c r="DY70" s="113">
        <v>8.0</v>
      </c>
      <c r="DZ70" s="113">
        <v>8.0</v>
      </c>
      <c r="EA70" s="113">
        <v>8.0</v>
      </c>
      <c r="EB70" s="113">
        <v>8.0</v>
      </c>
      <c r="EC70" s="113" t="s">
        <v>165</v>
      </c>
      <c r="ED70" s="113" t="s">
        <v>165</v>
      </c>
      <c r="EE70" s="113">
        <v>8.0</v>
      </c>
      <c r="EF70" s="113">
        <f t="shared" si="17"/>
        <v>160</v>
      </c>
      <c r="EG70" s="48"/>
      <c r="EH70" s="15"/>
      <c r="EI70" s="15"/>
      <c r="EJ70" s="15"/>
      <c r="EK70" s="15"/>
      <c r="EL70" s="15"/>
      <c r="EM70" s="15"/>
      <c r="EN70" s="15"/>
      <c r="EO70" s="15"/>
      <c r="EP70" s="15"/>
      <c r="EQ70" s="15"/>
      <c r="ER70" s="15"/>
      <c r="ES70" s="15"/>
      <c r="ET70" s="15"/>
      <c r="EU70" s="15"/>
      <c r="EV70" s="15"/>
      <c r="EW70" s="15"/>
      <c r="EX70" s="15"/>
      <c r="EY70" s="15"/>
      <c r="EZ70" s="15"/>
      <c r="FA70" s="15"/>
      <c r="FB70" s="15"/>
      <c r="FC70" s="15"/>
      <c r="FD70" s="15"/>
      <c r="FE70" s="15"/>
      <c r="FF70" s="15"/>
      <c r="FG70" s="15"/>
      <c r="FH70" s="15"/>
      <c r="FI70" s="15"/>
      <c r="FJ70" s="15"/>
      <c r="FK70" s="15"/>
      <c r="FL70" s="105">
        <f t="shared" si="20"/>
        <v>0</v>
      </c>
      <c r="FM70" s="48"/>
      <c r="FN70" s="15"/>
      <c r="FO70" s="15"/>
      <c r="FP70" s="15"/>
      <c r="FQ70" s="15"/>
      <c r="FR70" s="15"/>
      <c r="FS70" s="15"/>
      <c r="FT70" s="15"/>
      <c r="FU70" s="15"/>
      <c r="FV70" s="15"/>
      <c r="FW70" s="15"/>
      <c r="FX70" s="15"/>
      <c r="FY70" s="15"/>
      <c r="FZ70" s="15"/>
      <c r="GA70" s="15"/>
      <c r="GB70" s="15"/>
      <c r="GC70" s="15"/>
      <c r="GD70" s="15"/>
      <c r="GE70" s="15"/>
      <c r="GF70" s="15"/>
      <c r="GG70" s="15"/>
      <c r="GH70" s="15"/>
      <c r="GI70" s="15"/>
      <c r="GJ70" s="15"/>
      <c r="GK70" s="15"/>
      <c r="GL70" s="15"/>
      <c r="GM70" s="15"/>
      <c r="GN70" s="15"/>
      <c r="GO70" s="15"/>
      <c r="GP70" s="15"/>
      <c r="GQ70" s="15"/>
      <c r="GR70" s="15"/>
      <c r="GS70" s="105">
        <f t="shared" si="21"/>
        <v>0</v>
      </c>
      <c r="GT70" s="48"/>
      <c r="GU70" s="15"/>
      <c r="GV70" s="15"/>
      <c r="GW70" s="15"/>
      <c r="GX70" s="15"/>
      <c r="GY70" s="15"/>
      <c r="GZ70" s="15"/>
      <c r="HA70" s="15"/>
      <c r="HB70" s="15"/>
      <c r="HC70" s="15"/>
      <c r="HD70" s="15"/>
      <c r="HE70" s="15"/>
    </row>
    <row r="71">
      <c r="A71" s="101" t="s">
        <v>288</v>
      </c>
      <c r="B71" s="106" t="str">
        <f>iferror(vlookup(A71,'SoS - Agents Info'!A:H,5,false),"")</f>
        <v>EN</v>
      </c>
      <c r="C71" s="107" t="str">
        <f>iferror(vlookup(A71,'SoS - Agents Info'!A:AQ,43,false),"")</f>
        <v>JM</v>
      </c>
      <c r="D71" s="108" t="str">
        <f>iferror(vlookup(A71,'SoS - Agents Info'!A:H,6,false),"")</f>
        <v>WE+WD</v>
      </c>
      <c r="E71" s="108" t="str">
        <f>iferror(vlookup(A71,'SoS - Agents Info'!A:H,7,false),"")</f>
        <v>08:00-17:00</v>
      </c>
      <c r="F71" s="109">
        <f>IFERROR(__xludf.DUMMYFUNCTION("sum(COUNTIFS(Filter(FILTER('Shiftplan SoS'!G$3:GU166,'Shiftplan SoS'!$G$1:$GU$1&lt;=today()),'Shiftplan SoS'!$A$3:$A166=A71),""&gt;0"",(Filter(FILTER('Shiftplan SoS'!G$3:GU166,'Shiftplan SoS'!$G$1:$GU$1&lt;=today()),'Shiftplan SoS'!$A$3:$A166=A71)),""&lt;12""))"),31.0)</f>
        <v>31</v>
      </c>
      <c r="G71" s="135"/>
      <c r="H71" s="135"/>
      <c r="I71" s="135"/>
      <c r="J71" s="135"/>
      <c r="K71" s="135"/>
      <c r="L71" s="135"/>
      <c r="M71" s="135"/>
      <c r="N71" s="135"/>
      <c r="O71" s="135"/>
      <c r="P71" s="135"/>
      <c r="Q71" s="135"/>
      <c r="R71" s="137"/>
      <c r="S71" s="135"/>
      <c r="T71" s="135"/>
      <c r="U71" s="135"/>
      <c r="V71" s="135"/>
      <c r="W71" s="135"/>
      <c r="X71" s="135"/>
      <c r="Y71" s="135"/>
      <c r="Z71" s="135"/>
      <c r="AA71" s="135"/>
      <c r="AB71" s="135"/>
      <c r="AC71" s="135"/>
      <c r="AD71" s="16">
        <v>8.0</v>
      </c>
      <c r="AE71" s="16">
        <v>8.0</v>
      </c>
      <c r="AF71" s="16">
        <v>8.0</v>
      </c>
      <c r="AG71" s="16">
        <v>8.0</v>
      </c>
      <c r="AH71" s="16">
        <v>8.0</v>
      </c>
      <c r="AI71" s="16" t="s">
        <v>165</v>
      </c>
      <c r="AJ71" s="16" t="s">
        <v>165</v>
      </c>
      <c r="AK71" s="70" t="s">
        <v>165</v>
      </c>
      <c r="AL71" s="105">
        <f t="shared" si="14"/>
        <v>40</v>
      </c>
      <c r="AM71" s="48"/>
      <c r="AN71" s="16" t="s">
        <v>165</v>
      </c>
      <c r="AO71" s="16" t="s">
        <v>165</v>
      </c>
      <c r="AP71" s="16" t="s">
        <v>165</v>
      </c>
      <c r="AQ71" s="16" t="s">
        <v>165</v>
      </c>
      <c r="AR71" s="16">
        <v>8.0</v>
      </c>
      <c r="AS71" s="16">
        <v>8.0</v>
      </c>
      <c r="AT71" s="16" t="s">
        <v>165</v>
      </c>
      <c r="AU71" s="16" t="s">
        <v>165</v>
      </c>
      <c r="AV71" s="16" t="s">
        <v>165</v>
      </c>
      <c r="AW71" s="16" t="s">
        <v>165</v>
      </c>
      <c r="AX71" s="16" t="s">
        <v>165</v>
      </c>
      <c r="AY71" s="16">
        <v>8.0</v>
      </c>
      <c r="AZ71" s="16">
        <v>8.0</v>
      </c>
      <c r="BA71" s="16" t="s">
        <v>165</v>
      </c>
      <c r="BB71" s="16" t="s">
        <v>165</v>
      </c>
      <c r="BC71" s="16" t="s">
        <v>165</v>
      </c>
      <c r="BD71" s="16" t="s">
        <v>165</v>
      </c>
      <c r="BE71" s="16" t="s">
        <v>165</v>
      </c>
      <c r="BF71" s="16">
        <v>8.0</v>
      </c>
      <c r="BG71" s="16">
        <v>8.0</v>
      </c>
      <c r="BH71" s="16" t="s">
        <v>165</v>
      </c>
      <c r="BI71" s="16" t="s">
        <v>165</v>
      </c>
      <c r="BJ71" s="16" t="s">
        <v>165</v>
      </c>
      <c r="BK71" s="16" t="s">
        <v>165</v>
      </c>
      <c r="BL71" s="16" t="s">
        <v>165</v>
      </c>
      <c r="BM71" s="16">
        <v>8.0</v>
      </c>
      <c r="BN71" s="16">
        <v>8.0</v>
      </c>
      <c r="BO71" s="16" t="s">
        <v>165</v>
      </c>
      <c r="BP71" s="16" t="s">
        <v>165</v>
      </c>
      <c r="BQ71" s="16" t="s">
        <v>165</v>
      </c>
      <c r="BR71" s="105">
        <f t="shared" si="15"/>
        <v>64</v>
      </c>
      <c r="BS71" s="48"/>
      <c r="BT71" s="16" t="s">
        <v>165</v>
      </c>
      <c r="BU71" s="16" t="s">
        <v>165</v>
      </c>
      <c r="BV71" s="16">
        <v>8.0</v>
      </c>
      <c r="BW71" s="16">
        <v>8.0</v>
      </c>
      <c r="BX71" s="16" t="s">
        <v>165</v>
      </c>
      <c r="BY71" s="16" t="s">
        <v>165</v>
      </c>
      <c r="BZ71" s="16" t="s">
        <v>165</v>
      </c>
      <c r="CA71" s="16" t="s">
        <v>165</v>
      </c>
      <c r="CB71" s="16" t="s">
        <v>165</v>
      </c>
      <c r="CC71" s="16">
        <v>8.0</v>
      </c>
      <c r="CD71" s="16">
        <v>8.0</v>
      </c>
      <c r="CE71" s="16" t="s">
        <v>165</v>
      </c>
      <c r="CF71" s="16" t="s">
        <v>165</v>
      </c>
      <c r="CG71" s="16" t="s">
        <v>165</v>
      </c>
      <c r="CH71" s="16" t="s">
        <v>165</v>
      </c>
      <c r="CI71" s="16" t="s">
        <v>165</v>
      </c>
      <c r="CJ71" s="16">
        <v>8.0</v>
      </c>
      <c r="CK71" s="16">
        <v>8.0</v>
      </c>
      <c r="CL71" s="16" t="s">
        <v>165</v>
      </c>
      <c r="CM71" s="16" t="s">
        <v>165</v>
      </c>
      <c r="CN71" s="16" t="s">
        <v>165</v>
      </c>
      <c r="CO71" s="16" t="s">
        <v>165</v>
      </c>
      <c r="CP71" s="16" t="s">
        <v>165</v>
      </c>
      <c r="CQ71" s="16">
        <v>8.0</v>
      </c>
      <c r="CR71" s="16">
        <v>8.0</v>
      </c>
      <c r="CS71" s="16" t="s">
        <v>165</v>
      </c>
      <c r="CT71" s="16" t="s">
        <v>165</v>
      </c>
      <c r="CU71" s="16" t="s">
        <v>165</v>
      </c>
      <c r="CV71" s="16" t="s">
        <v>165</v>
      </c>
      <c r="CW71" s="16" t="s">
        <v>165</v>
      </c>
      <c r="CX71" s="16">
        <v>8.0</v>
      </c>
      <c r="CY71" s="105">
        <f t="shared" si="16"/>
        <v>72</v>
      </c>
      <c r="CZ71" s="48"/>
      <c r="DA71" s="113">
        <v>8.0</v>
      </c>
      <c r="DB71" s="113" t="s">
        <v>165</v>
      </c>
      <c r="DC71" s="113" t="s">
        <v>165</v>
      </c>
      <c r="DD71" s="113" t="s">
        <v>165</v>
      </c>
      <c r="DE71" s="113" t="s">
        <v>165</v>
      </c>
      <c r="DF71" s="113" t="s">
        <v>165</v>
      </c>
      <c r="DG71" s="113">
        <v>8.0</v>
      </c>
      <c r="DH71" s="113">
        <v>8.0</v>
      </c>
      <c r="DI71" s="113" t="s">
        <v>165</v>
      </c>
      <c r="DJ71" s="113" t="s">
        <v>165</v>
      </c>
      <c r="DK71" s="113" t="s">
        <v>165</v>
      </c>
      <c r="DL71" s="113" t="s">
        <v>165</v>
      </c>
      <c r="DM71" s="113" t="s">
        <v>165</v>
      </c>
      <c r="DN71" s="113">
        <v>8.0</v>
      </c>
      <c r="DO71" s="113">
        <v>8.0</v>
      </c>
      <c r="DP71" s="113" t="s">
        <v>165</v>
      </c>
      <c r="DQ71" s="113" t="s">
        <v>165</v>
      </c>
      <c r="DR71" s="113" t="s">
        <v>165</v>
      </c>
      <c r="DS71" s="113" t="s">
        <v>165</v>
      </c>
      <c r="DT71" s="113" t="s">
        <v>165</v>
      </c>
      <c r="DU71" s="113">
        <v>8.0</v>
      </c>
      <c r="DV71" s="113">
        <v>8.0</v>
      </c>
      <c r="DW71" s="113" t="s">
        <v>165</v>
      </c>
      <c r="DX71" s="113" t="s">
        <v>165</v>
      </c>
      <c r="DY71" s="113" t="s">
        <v>165</v>
      </c>
      <c r="DZ71" s="113" t="s">
        <v>165</v>
      </c>
      <c r="EA71" s="113" t="s">
        <v>165</v>
      </c>
      <c r="EB71" s="113">
        <v>8.0</v>
      </c>
      <c r="EC71" s="113">
        <v>8.0</v>
      </c>
      <c r="ED71" s="113" t="s">
        <v>165</v>
      </c>
      <c r="EE71" s="113" t="s">
        <v>165</v>
      </c>
      <c r="EF71" s="113">
        <f t="shared" si="17"/>
        <v>72</v>
      </c>
      <c r="EG71" s="48"/>
      <c r="EH71" s="15"/>
      <c r="EI71" s="15"/>
      <c r="EJ71" s="15"/>
      <c r="EK71" s="15"/>
      <c r="EL71" s="15"/>
      <c r="EM71" s="15"/>
      <c r="EN71" s="15"/>
      <c r="EO71" s="15"/>
      <c r="EP71" s="15"/>
      <c r="EQ71" s="15"/>
      <c r="ER71" s="15"/>
      <c r="ES71" s="15"/>
      <c r="ET71" s="15"/>
      <c r="EU71" s="15"/>
      <c r="EV71" s="15"/>
      <c r="EW71" s="15"/>
      <c r="EX71" s="15"/>
      <c r="EY71" s="15"/>
      <c r="EZ71" s="15"/>
      <c r="FA71" s="15"/>
      <c r="FB71" s="15"/>
      <c r="FC71" s="15"/>
      <c r="FD71" s="15"/>
      <c r="FE71" s="15"/>
      <c r="FF71" s="15"/>
      <c r="FG71" s="15"/>
      <c r="FH71" s="15"/>
      <c r="FI71" s="15"/>
      <c r="FJ71" s="15"/>
      <c r="FK71" s="15"/>
      <c r="FL71" s="105">
        <f t="shared" si="20"/>
        <v>0</v>
      </c>
      <c r="FM71" s="48"/>
      <c r="FN71" s="15"/>
      <c r="FO71" s="15"/>
      <c r="FP71" s="15"/>
      <c r="FQ71" s="15"/>
      <c r="FR71" s="15"/>
      <c r="FS71" s="15"/>
      <c r="FT71" s="15"/>
      <c r="FU71" s="15"/>
      <c r="FV71" s="15"/>
      <c r="FW71" s="15"/>
      <c r="FX71" s="15"/>
      <c r="FY71" s="15"/>
      <c r="FZ71" s="15"/>
      <c r="GA71" s="15"/>
      <c r="GB71" s="15"/>
      <c r="GC71" s="15"/>
      <c r="GD71" s="15"/>
      <c r="GE71" s="15"/>
      <c r="GF71" s="15"/>
      <c r="GG71" s="15"/>
      <c r="GH71" s="15"/>
      <c r="GI71" s="15"/>
      <c r="GJ71" s="15"/>
      <c r="GK71" s="15"/>
      <c r="GL71" s="15"/>
      <c r="GM71" s="15"/>
      <c r="GN71" s="15"/>
      <c r="GO71" s="15"/>
      <c r="GP71" s="15"/>
      <c r="GQ71" s="15"/>
      <c r="GR71" s="15"/>
      <c r="GS71" s="105">
        <f t="shared" si="21"/>
        <v>0</v>
      </c>
      <c r="GT71" s="48"/>
      <c r="GU71" s="15"/>
      <c r="GV71" s="15"/>
      <c r="GW71" s="15"/>
      <c r="GX71" s="15"/>
      <c r="GY71" s="15"/>
      <c r="GZ71" s="15"/>
      <c r="HA71" s="15"/>
      <c r="HB71" s="15"/>
      <c r="HC71" s="15"/>
      <c r="HD71" s="15"/>
      <c r="HE71" s="15"/>
    </row>
    <row r="72">
      <c r="A72" s="101" t="s">
        <v>289</v>
      </c>
      <c r="B72" s="106" t="str">
        <f>iferror(vlookup(A72,'SoS - Agents Info'!A:H,5,false),"")</f>
        <v>EN</v>
      </c>
      <c r="C72" s="107" t="str">
        <f>iferror(vlookup(A72,'SoS - Agents Info'!A:AQ,43,false),"")</f>
        <v>RA+VM</v>
      </c>
      <c r="D72" s="108" t="str">
        <f>iferror(vlookup(A72,'SoS - Agents Info'!A:H,6,false),"")</f>
        <v>WE+WD</v>
      </c>
      <c r="E72" s="108" t="str">
        <f>iferror(vlookup(A72,'SoS - Agents Info'!A:H,7,false),"")</f>
        <v>16:00-01:00</v>
      </c>
      <c r="F72" s="109">
        <f>IFERROR(__xludf.DUMMYFUNCTION("sum(COUNTIFS(Filter(FILTER('Shiftplan SoS'!G$3:GU166,'Shiftplan SoS'!$G$1:$GU$1&lt;=today()),'Shiftplan SoS'!$A$3:$A166=A72),""&gt;0"",(Filter(FILTER('Shiftplan SoS'!G$3:GU166,'Shiftplan SoS'!$G$1:$GU$1&lt;=today()),'Shiftplan SoS'!$A$3:$A166=A72)),""&lt;12""))"),38.0)</f>
        <v>38</v>
      </c>
      <c r="G72" s="135"/>
      <c r="H72" s="135"/>
      <c r="I72" s="135"/>
      <c r="J72" s="135"/>
      <c r="K72" s="135"/>
      <c r="L72" s="135"/>
      <c r="M72" s="135"/>
      <c r="N72" s="135"/>
      <c r="O72" s="135"/>
      <c r="P72" s="135"/>
      <c r="Q72" s="135"/>
      <c r="R72" s="137"/>
      <c r="S72" s="135"/>
      <c r="T72" s="135"/>
      <c r="U72" s="135"/>
      <c r="V72" s="135"/>
      <c r="W72" s="135"/>
      <c r="X72" s="135"/>
      <c r="Y72" s="135"/>
      <c r="Z72" s="135"/>
      <c r="AA72" s="135"/>
      <c r="AB72" s="135"/>
      <c r="AC72" s="135"/>
      <c r="AD72" s="16">
        <v>8.0</v>
      </c>
      <c r="AE72" s="16">
        <v>8.0</v>
      </c>
      <c r="AF72" s="16">
        <v>8.0</v>
      </c>
      <c r="AG72" s="16">
        <v>8.0</v>
      </c>
      <c r="AH72" s="16">
        <v>8.0</v>
      </c>
      <c r="AI72" s="16" t="s">
        <v>165</v>
      </c>
      <c r="AJ72" s="16" t="s">
        <v>165</v>
      </c>
      <c r="AK72" s="70" t="s">
        <v>165</v>
      </c>
      <c r="AL72" s="105">
        <f t="shared" si="14"/>
        <v>40</v>
      </c>
      <c r="AM72" s="48"/>
      <c r="AN72" s="16" t="s">
        <v>165</v>
      </c>
      <c r="AO72" s="16" t="s">
        <v>165</v>
      </c>
      <c r="AP72" s="16" t="s">
        <v>165</v>
      </c>
      <c r="AQ72" s="16" t="s">
        <v>165</v>
      </c>
      <c r="AR72" s="110">
        <v>8.0</v>
      </c>
      <c r="AS72" s="16">
        <v>8.0</v>
      </c>
      <c r="AT72" s="16" t="s">
        <v>165</v>
      </c>
      <c r="AU72" s="16" t="s">
        <v>165</v>
      </c>
      <c r="AV72" s="16" t="s">
        <v>165</v>
      </c>
      <c r="AW72" s="16" t="s">
        <v>165</v>
      </c>
      <c r="AX72" s="16" t="s">
        <v>165</v>
      </c>
      <c r="AY72" s="16">
        <v>8.0</v>
      </c>
      <c r="AZ72" s="16">
        <v>8.0</v>
      </c>
      <c r="BA72" s="16" t="s">
        <v>165</v>
      </c>
      <c r="BB72" s="16" t="s">
        <v>165</v>
      </c>
      <c r="BC72" s="16" t="s">
        <v>165</v>
      </c>
      <c r="BD72" s="16" t="s">
        <v>165</v>
      </c>
      <c r="BE72" s="16" t="s">
        <v>165</v>
      </c>
      <c r="BF72" s="16">
        <v>8.0</v>
      </c>
      <c r="BG72" s="16">
        <v>8.0</v>
      </c>
      <c r="BH72" s="16" t="s">
        <v>165</v>
      </c>
      <c r="BI72" s="16" t="s">
        <v>165</v>
      </c>
      <c r="BJ72" s="16" t="s">
        <v>165</v>
      </c>
      <c r="BK72" s="16" t="s">
        <v>165</v>
      </c>
      <c r="BL72" s="16" t="s">
        <v>165</v>
      </c>
      <c r="BM72" s="16">
        <v>8.0</v>
      </c>
      <c r="BN72" s="16">
        <v>8.0</v>
      </c>
      <c r="BO72" s="16" t="s">
        <v>165</v>
      </c>
      <c r="BP72" s="16" t="s">
        <v>165</v>
      </c>
      <c r="BQ72" s="16" t="s">
        <v>165</v>
      </c>
      <c r="BR72" s="105">
        <f t="shared" si="15"/>
        <v>64</v>
      </c>
      <c r="BS72" s="48"/>
      <c r="BT72" s="16" t="s">
        <v>165</v>
      </c>
      <c r="BU72" s="16" t="s">
        <v>165</v>
      </c>
      <c r="BV72" s="16">
        <v>8.0</v>
      </c>
      <c r="BW72" s="16">
        <v>8.0</v>
      </c>
      <c r="BX72" s="16" t="s">
        <v>165</v>
      </c>
      <c r="BY72" s="16" t="s">
        <v>165</v>
      </c>
      <c r="BZ72" s="16" t="s">
        <v>165</v>
      </c>
      <c r="CA72" s="16" t="s">
        <v>165</v>
      </c>
      <c r="CB72" s="16" t="s">
        <v>165</v>
      </c>
      <c r="CC72" s="16">
        <v>8.0</v>
      </c>
      <c r="CD72" s="16">
        <v>8.0</v>
      </c>
      <c r="CE72" s="16" t="s">
        <v>165</v>
      </c>
      <c r="CF72" s="16" t="s">
        <v>165</v>
      </c>
      <c r="CG72" s="16" t="s">
        <v>165</v>
      </c>
      <c r="CH72" s="16" t="s">
        <v>165</v>
      </c>
      <c r="CI72" s="16" t="s">
        <v>165</v>
      </c>
      <c r="CJ72" s="16">
        <v>8.0</v>
      </c>
      <c r="CK72" s="16">
        <v>8.0</v>
      </c>
      <c r="CL72" s="16" t="s">
        <v>165</v>
      </c>
      <c r="CM72" s="16" t="s">
        <v>165</v>
      </c>
      <c r="CN72" s="16" t="s">
        <v>165</v>
      </c>
      <c r="CO72" s="16" t="s">
        <v>165</v>
      </c>
      <c r="CP72" s="16" t="s">
        <v>165</v>
      </c>
      <c r="CQ72" s="16">
        <v>8.0</v>
      </c>
      <c r="CR72" s="16">
        <v>8.0</v>
      </c>
      <c r="CS72" s="16" t="s">
        <v>165</v>
      </c>
      <c r="CT72" s="16" t="s">
        <v>165</v>
      </c>
      <c r="CU72" s="16" t="s">
        <v>165</v>
      </c>
      <c r="CV72" s="16" t="s">
        <v>165</v>
      </c>
      <c r="CW72" s="16" t="s">
        <v>165</v>
      </c>
      <c r="CX72" s="16">
        <v>8.0</v>
      </c>
      <c r="CY72" s="105">
        <f t="shared" si="16"/>
        <v>72</v>
      </c>
      <c r="CZ72" s="48"/>
      <c r="DA72" s="113">
        <v>8.0</v>
      </c>
      <c r="DB72" s="113" t="s">
        <v>165</v>
      </c>
      <c r="DC72" s="113" t="s">
        <v>165</v>
      </c>
      <c r="DD72" s="113" t="s">
        <v>165</v>
      </c>
      <c r="DE72" s="113" t="s">
        <v>165</v>
      </c>
      <c r="DF72" s="113" t="s">
        <v>165</v>
      </c>
      <c r="DG72" s="113">
        <v>8.0</v>
      </c>
      <c r="DH72" s="113">
        <v>8.0</v>
      </c>
      <c r="DI72" s="113" t="s">
        <v>165</v>
      </c>
      <c r="DJ72" s="113" t="s">
        <v>165</v>
      </c>
      <c r="DK72" s="113" t="s">
        <v>165</v>
      </c>
      <c r="DL72" s="113" t="s">
        <v>165</v>
      </c>
      <c r="DM72" s="113" t="s">
        <v>165</v>
      </c>
      <c r="DN72" s="113">
        <v>8.0</v>
      </c>
      <c r="DO72" s="113">
        <v>8.0</v>
      </c>
      <c r="DP72" s="58">
        <v>8.0</v>
      </c>
      <c r="DQ72" s="58" t="s">
        <v>165</v>
      </c>
      <c r="DR72" s="113" t="s">
        <v>165</v>
      </c>
      <c r="DS72" s="58">
        <v>8.0</v>
      </c>
      <c r="DT72" s="58">
        <v>8.0</v>
      </c>
      <c r="DU72" s="113">
        <v>8.0</v>
      </c>
      <c r="DV72" s="113">
        <v>8.0</v>
      </c>
      <c r="DW72" s="58">
        <v>8.0</v>
      </c>
      <c r="DX72" s="113" t="s">
        <v>165</v>
      </c>
      <c r="DY72" s="113" t="s">
        <v>165</v>
      </c>
      <c r="DZ72" s="58">
        <v>8.0</v>
      </c>
      <c r="EA72" s="58">
        <v>8.0</v>
      </c>
      <c r="EB72" s="113">
        <v>8.0</v>
      </c>
      <c r="EC72" s="113">
        <v>8.0</v>
      </c>
      <c r="ED72" s="58">
        <v>8.0</v>
      </c>
      <c r="EE72" s="113" t="s">
        <v>165</v>
      </c>
      <c r="EF72" s="113">
        <f t="shared" si="17"/>
        <v>128</v>
      </c>
      <c r="EG72" s="48"/>
      <c r="EH72" s="15"/>
      <c r="EI72" s="15"/>
      <c r="EJ72" s="15"/>
      <c r="EK72" s="15"/>
      <c r="EL72" s="15"/>
      <c r="EM72" s="15"/>
      <c r="EN72" s="15"/>
      <c r="EO72" s="15"/>
      <c r="EP72" s="15"/>
      <c r="EQ72" s="15"/>
      <c r="ER72" s="15"/>
      <c r="ES72" s="15"/>
      <c r="ET72" s="15"/>
      <c r="EU72" s="15"/>
      <c r="EV72" s="15"/>
      <c r="EW72" s="15"/>
      <c r="EX72" s="15"/>
      <c r="EY72" s="15"/>
      <c r="EZ72" s="15"/>
      <c r="FA72" s="15"/>
      <c r="FB72" s="15"/>
      <c r="FC72" s="15"/>
      <c r="FD72" s="15"/>
      <c r="FE72" s="15"/>
      <c r="FF72" s="15"/>
      <c r="FG72" s="15"/>
      <c r="FH72" s="15"/>
      <c r="FI72" s="15"/>
      <c r="FJ72" s="15"/>
      <c r="FK72" s="15"/>
      <c r="FL72" s="105">
        <f t="shared" si="20"/>
        <v>0</v>
      </c>
      <c r="FM72" s="48"/>
      <c r="FN72" s="15"/>
      <c r="FO72" s="15"/>
      <c r="FP72" s="15"/>
      <c r="FQ72" s="15"/>
      <c r="FR72" s="15"/>
      <c r="FS72" s="15"/>
      <c r="FT72" s="15"/>
      <c r="FU72" s="15"/>
      <c r="FV72" s="15"/>
      <c r="FW72" s="15"/>
      <c r="FX72" s="15"/>
      <c r="FY72" s="15"/>
      <c r="FZ72" s="15"/>
      <c r="GA72" s="15"/>
      <c r="GB72" s="15"/>
      <c r="GC72" s="15"/>
      <c r="GD72" s="15"/>
      <c r="GE72" s="15"/>
      <c r="GF72" s="15"/>
      <c r="GG72" s="15"/>
      <c r="GH72" s="15"/>
      <c r="GI72" s="15"/>
      <c r="GJ72" s="15"/>
      <c r="GK72" s="15"/>
      <c r="GL72" s="15"/>
      <c r="GM72" s="15"/>
      <c r="GN72" s="15"/>
      <c r="GO72" s="15"/>
      <c r="GP72" s="15"/>
      <c r="GQ72" s="15"/>
      <c r="GR72" s="15"/>
      <c r="GS72" s="105">
        <f t="shared" si="21"/>
        <v>0</v>
      </c>
      <c r="GT72" s="48"/>
      <c r="GU72" s="15"/>
      <c r="GV72" s="15"/>
      <c r="GW72" s="15"/>
      <c r="GX72" s="15"/>
      <c r="GY72" s="15"/>
      <c r="GZ72" s="15"/>
      <c r="HA72" s="15"/>
      <c r="HB72" s="15"/>
      <c r="HC72" s="15"/>
      <c r="HD72" s="15"/>
      <c r="HE72" s="15"/>
    </row>
    <row r="73">
      <c r="A73" s="101" t="s">
        <v>290</v>
      </c>
      <c r="B73" s="106" t="str">
        <f>iferror(vlookup(A73,'SoS - Agents Info'!A:H,5,false),"")</f>
        <v>EN</v>
      </c>
      <c r="C73" s="107" t="str">
        <f>iferror(vlookup(A73,'SoS - Agents Info'!A:AQ,43,false),"")</f>
        <v>RA+VM</v>
      </c>
      <c r="D73" s="108" t="str">
        <f>iferror(vlookup(A73,'SoS - Agents Info'!A:H,6,false),"")</f>
        <v>WD</v>
      </c>
      <c r="E73" s="108" t="s">
        <v>105</v>
      </c>
      <c r="F73" s="109">
        <f>IFERROR(__xludf.DUMMYFUNCTION("sum(COUNTIFS(Filter(FILTER('Shiftplan SoS'!G$3:GU166,'Shiftplan SoS'!$G$1:$GU$1&lt;=today()),'Shiftplan SoS'!$A$3:$A166=A73),""&gt;0"",(Filter(FILTER('Shiftplan SoS'!G$3:GU166,'Shiftplan SoS'!$G$1:$GU$1&lt;=today()),'Shiftplan SoS'!$A$3:$A166=A73)),""&lt;12""))"),55.0)</f>
        <v>55</v>
      </c>
      <c r="G73" s="135"/>
      <c r="H73" s="135"/>
      <c r="I73" s="135"/>
      <c r="J73" s="135"/>
      <c r="K73" s="135"/>
      <c r="L73" s="135"/>
      <c r="M73" s="135"/>
      <c r="N73" s="135"/>
      <c r="O73" s="135"/>
      <c r="P73" s="135"/>
      <c r="Q73" s="135"/>
      <c r="R73" s="137"/>
      <c r="S73" s="135"/>
      <c r="T73" s="135"/>
      <c r="U73" s="135"/>
      <c r="V73" s="135"/>
      <c r="W73" s="135"/>
      <c r="X73" s="135"/>
      <c r="Y73" s="135"/>
      <c r="Z73" s="135"/>
      <c r="AA73" s="135"/>
      <c r="AB73" s="135"/>
      <c r="AC73" s="135"/>
      <c r="AD73" s="135"/>
      <c r="AE73" s="135"/>
      <c r="AF73" s="135"/>
      <c r="AG73" s="16">
        <v>8.0</v>
      </c>
      <c r="AH73" s="16">
        <v>8.0</v>
      </c>
      <c r="AI73" s="16" t="s">
        <v>165</v>
      </c>
      <c r="AJ73" s="16" t="s">
        <v>165</v>
      </c>
      <c r="AK73" s="70">
        <v>8.0</v>
      </c>
      <c r="AL73" s="105">
        <f t="shared" si="14"/>
        <v>24</v>
      </c>
      <c r="AM73" s="48"/>
      <c r="AN73" s="16">
        <v>8.0</v>
      </c>
      <c r="AO73" s="16">
        <v>8.0</v>
      </c>
      <c r="AP73" s="16">
        <v>8.0</v>
      </c>
      <c r="AQ73" s="16" t="s">
        <v>165</v>
      </c>
      <c r="AR73" s="16" t="s">
        <v>165</v>
      </c>
      <c r="AS73" s="16" t="s">
        <v>165</v>
      </c>
      <c r="AT73" s="16">
        <v>8.0</v>
      </c>
      <c r="AU73" s="16">
        <v>8.0</v>
      </c>
      <c r="AV73" s="16" t="s">
        <v>165</v>
      </c>
      <c r="AW73" s="16">
        <v>8.0</v>
      </c>
      <c r="AX73" s="16">
        <v>8.0</v>
      </c>
      <c r="AY73" s="16" t="s">
        <v>165</v>
      </c>
      <c r="AZ73" s="16" t="s">
        <v>165</v>
      </c>
      <c r="BA73" s="16">
        <v>8.0</v>
      </c>
      <c r="BB73" s="16">
        <v>8.0</v>
      </c>
      <c r="BC73" s="16" t="s">
        <v>165</v>
      </c>
      <c r="BD73" s="16">
        <v>8.0</v>
      </c>
      <c r="BE73" s="16">
        <v>8.0</v>
      </c>
      <c r="BF73" s="16" t="s">
        <v>165</v>
      </c>
      <c r="BG73" s="16" t="s">
        <v>165</v>
      </c>
      <c r="BH73" s="16">
        <v>8.0</v>
      </c>
      <c r="BI73" s="16">
        <v>8.0</v>
      </c>
      <c r="BJ73" s="16" t="s">
        <v>165</v>
      </c>
      <c r="BK73" s="16">
        <v>8.0</v>
      </c>
      <c r="BL73" s="16">
        <v>8.0</v>
      </c>
      <c r="BM73" s="16" t="s">
        <v>165</v>
      </c>
      <c r="BN73" s="16" t="s">
        <v>165</v>
      </c>
      <c r="BO73" s="110">
        <v>8.0</v>
      </c>
      <c r="BP73" s="110">
        <v>8.0</v>
      </c>
      <c r="BQ73" s="16" t="s">
        <v>165</v>
      </c>
      <c r="BR73" s="105">
        <f t="shared" si="15"/>
        <v>136</v>
      </c>
      <c r="BS73" s="48"/>
      <c r="BT73" s="121">
        <v>8.0</v>
      </c>
      <c r="BU73" s="121">
        <v>8.0</v>
      </c>
      <c r="BV73" s="114" t="s">
        <v>165</v>
      </c>
      <c r="BW73" s="114" t="s">
        <v>165</v>
      </c>
      <c r="BX73" s="16">
        <v>8.0</v>
      </c>
      <c r="BY73" s="16">
        <v>8.0</v>
      </c>
      <c r="BZ73" s="16" t="s">
        <v>165</v>
      </c>
      <c r="CA73" s="16">
        <v>8.0</v>
      </c>
      <c r="CB73" s="16">
        <v>8.0</v>
      </c>
      <c r="CC73" s="16" t="s">
        <v>165</v>
      </c>
      <c r="CD73" s="16" t="s">
        <v>165</v>
      </c>
      <c r="CE73" s="16">
        <v>8.0</v>
      </c>
      <c r="CF73" s="110">
        <v>8.0</v>
      </c>
      <c r="CG73" s="16" t="s">
        <v>165</v>
      </c>
      <c r="CH73" s="110">
        <v>8.0</v>
      </c>
      <c r="CI73" s="110">
        <v>8.0</v>
      </c>
      <c r="CJ73" s="16" t="s">
        <v>165</v>
      </c>
      <c r="CK73" s="16" t="s">
        <v>165</v>
      </c>
      <c r="CL73" s="110">
        <v>8.0</v>
      </c>
      <c r="CM73" s="110">
        <v>8.0</v>
      </c>
      <c r="CN73" s="16" t="s">
        <v>165</v>
      </c>
      <c r="CO73" s="110">
        <v>8.0</v>
      </c>
      <c r="CP73" s="110">
        <v>8.0</v>
      </c>
      <c r="CQ73" s="16" t="s">
        <v>165</v>
      </c>
      <c r="CR73" s="16" t="s">
        <v>165</v>
      </c>
      <c r="CS73" s="110">
        <v>8.0</v>
      </c>
      <c r="CT73" s="110">
        <v>8.0</v>
      </c>
      <c r="CU73" s="16" t="s">
        <v>165</v>
      </c>
      <c r="CV73" s="110">
        <v>8.0</v>
      </c>
      <c r="CW73" s="110">
        <v>8.0</v>
      </c>
      <c r="CX73" s="16" t="s">
        <v>165</v>
      </c>
      <c r="CY73" s="105">
        <f t="shared" si="16"/>
        <v>144</v>
      </c>
      <c r="CZ73" s="48"/>
      <c r="DA73" s="113" t="s">
        <v>165</v>
      </c>
      <c r="DB73" s="123">
        <v>8.0</v>
      </c>
      <c r="DC73" s="123">
        <v>8.0</v>
      </c>
      <c r="DD73" s="113" t="s">
        <v>165</v>
      </c>
      <c r="DE73" s="123">
        <v>8.0</v>
      </c>
      <c r="DF73" s="123">
        <v>8.0</v>
      </c>
      <c r="DG73" s="113" t="s">
        <v>165</v>
      </c>
      <c r="DH73" s="113" t="s">
        <v>165</v>
      </c>
      <c r="DI73" s="123">
        <v>8.0</v>
      </c>
      <c r="DJ73" s="123">
        <v>8.0</v>
      </c>
      <c r="DK73" s="113" t="s">
        <v>165</v>
      </c>
      <c r="DL73" s="123">
        <v>8.0</v>
      </c>
      <c r="DM73" s="123">
        <v>8.0</v>
      </c>
      <c r="DN73" s="113" t="s">
        <v>165</v>
      </c>
      <c r="DO73" s="113" t="s">
        <v>165</v>
      </c>
      <c r="DP73" s="123">
        <v>8.0</v>
      </c>
      <c r="DQ73" s="123">
        <v>8.0</v>
      </c>
      <c r="DR73" s="124">
        <v>8.0</v>
      </c>
      <c r="DS73" s="58" t="s">
        <v>245</v>
      </c>
      <c r="DT73" s="58" t="s">
        <v>245</v>
      </c>
      <c r="DU73" s="113" t="s">
        <v>165</v>
      </c>
      <c r="DV73" s="113" t="s">
        <v>165</v>
      </c>
      <c r="DW73" s="123">
        <v>8.0</v>
      </c>
      <c r="DX73" s="123">
        <v>8.0</v>
      </c>
      <c r="DY73" s="113" t="s">
        <v>165</v>
      </c>
      <c r="DZ73" s="113">
        <v>8.0</v>
      </c>
      <c r="EA73" s="123">
        <v>8.0</v>
      </c>
      <c r="EB73" s="113" t="s">
        <v>165</v>
      </c>
      <c r="EC73" s="113" t="s">
        <v>165</v>
      </c>
      <c r="ED73" s="113">
        <v>8.0</v>
      </c>
      <c r="EE73" s="113">
        <v>8.0</v>
      </c>
      <c r="EF73" s="113">
        <f t="shared" si="17"/>
        <v>136</v>
      </c>
      <c r="EG73" s="48"/>
      <c r="EH73" s="15"/>
      <c r="EI73" s="15"/>
      <c r="EJ73" s="15"/>
      <c r="EK73" s="15"/>
      <c r="EL73" s="15"/>
      <c r="EM73" s="15"/>
      <c r="EN73" s="15"/>
      <c r="EO73" s="15"/>
      <c r="EP73" s="15"/>
      <c r="EQ73" s="15"/>
      <c r="ER73" s="15"/>
      <c r="ES73" s="15"/>
      <c r="ET73" s="15"/>
      <c r="EU73" s="15"/>
      <c r="EV73" s="15"/>
      <c r="EW73" s="15"/>
      <c r="EX73" s="15"/>
      <c r="EY73" s="15"/>
      <c r="EZ73" s="15"/>
      <c r="FA73" s="15"/>
      <c r="FB73" s="15"/>
      <c r="FC73" s="15"/>
      <c r="FD73" s="15"/>
      <c r="FE73" s="15"/>
      <c r="FF73" s="15"/>
      <c r="FG73" s="15"/>
      <c r="FH73" s="15"/>
      <c r="FI73" s="15"/>
      <c r="FJ73" s="15"/>
      <c r="FK73" s="15"/>
      <c r="FL73" s="105">
        <f t="shared" si="20"/>
        <v>0</v>
      </c>
      <c r="FM73" s="48"/>
      <c r="FN73" s="15"/>
      <c r="FO73" s="15"/>
      <c r="FP73" s="15"/>
      <c r="FQ73" s="15"/>
      <c r="FR73" s="15"/>
      <c r="FS73" s="15"/>
      <c r="FT73" s="15"/>
      <c r="FU73" s="15"/>
      <c r="FV73" s="15"/>
      <c r="FW73" s="15"/>
      <c r="FX73" s="15"/>
      <c r="FY73" s="15"/>
      <c r="FZ73" s="15"/>
      <c r="GA73" s="15"/>
      <c r="GB73" s="15"/>
      <c r="GC73" s="15"/>
      <c r="GD73" s="15"/>
      <c r="GE73" s="15"/>
      <c r="GF73" s="15"/>
      <c r="GG73" s="15"/>
      <c r="GH73" s="15"/>
      <c r="GI73" s="15"/>
      <c r="GJ73" s="15"/>
      <c r="GK73" s="15"/>
      <c r="GL73" s="15"/>
      <c r="GM73" s="15"/>
      <c r="GN73" s="15"/>
      <c r="GO73" s="15"/>
      <c r="GP73" s="15"/>
      <c r="GQ73" s="15"/>
      <c r="GR73" s="15"/>
      <c r="GS73" s="105">
        <f t="shared" si="21"/>
        <v>0</v>
      </c>
      <c r="GT73" s="48"/>
      <c r="GU73" s="15"/>
      <c r="GV73" s="15"/>
      <c r="GW73" s="15"/>
      <c r="GX73" s="15"/>
      <c r="GY73" s="15"/>
      <c r="GZ73" s="15"/>
      <c r="HA73" s="15"/>
      <c r="HB73" s="15"/>
      <c r="HC73" s="15"/>
      <c r="HD73" s="15"/>
      <c r="HE73" s="15"/>
    </row>
    <row r="74">
      <c r="A74" s="101" t="s">
        <v>291</v>
      </c>
      <c r="B74" s="106" t="str">
        <f>iferror(vlookup(A74,'SoS - Agents Info'!A:H,5,false),"")</f>
        <v>EN</v>
      </c>
      <c r="C74" s="107" t="str">
        <f>iferror(vlookup(A74,'SoS - Agents Info'!A:AQ,43,false),"")</f>
        <v>JM</v>
      </c>
      <c r="D74" s="108" t="str">
        <f>iferror(vlookup(A74,'SoS - Agents Info'!A:H,6,false),"")</f>
        <v>WE+WD</v>
      </c>
      <c r="E74" s="108" t="str">
        <f>iferror(vlookup(A74,'SoS - Agents Info'!A:H,7,false),"")</f>
        <v>08:00-17:00</v>
      </c>
      <c r="F74" s="109">
        <f>IFERROR(__xludf.DUMMYFUNCTION("sum(COUNTIFS(Filter(FILTER('Shiftplan SoS'!G$3:GU166,'Shiftplan SoS'!$G$1:$GU$1&lt;=today()),'Shiftplan SoS'!$A$3:$A166=A74),""&gt;0"",(Filter(FILTER('Shiftplan SoS'!G$3:GU166,'Shiftplan SoS'!$G$1:$GU$1&lt;=today()),'Shiftplan SoS'!$A$3:$A166=A74)),""&lt;12""))"),68.0)</f>
        <v>68</v>
      </c>
      <c r="G74" s="145"/>
      <c r="H74" s="145"/>
      <c r="I74" s="145"/>
      <c r="J74" s="145"/>
      <c r="K74" s="145"/>
      <c r="L74" s="145"/>
      <c r="M74" s="145"/>
      <c r="N74" s="145"/>
      <c r="O74" s="145"/>
      <c r="P74" s="145"/>
      <c r="Q74" s="145"/>
      <c r="R74" s="145"/>
      <c r="S74" s="145"/>
      <c r="T74" s="145"/>
      <c r="U74" s="145"/>
      <c r="V74" s="145"/>
      <c r="W74" s="145"/>
      <c r="X74" s="145"/>
      <c r="Y74" s="145"/>
      <c r="Z74" s="145"/>
      <c r="AA74" s="145"/>
      <c r="AB74" s="145"/>
      <c r="AC74" s="145"/>
      <c r="AD74" s="145"/>
      <c r="AE74" s="145"/>
      <c r="AF74" s="145"/>
      <c r="AG74" s="145"/>
      <c r="AH74" s="145"/>
      <c r="AI74" s="145"/>
      <c r="AJ74" s="145"/>
      <c r="AK74" s="70">
        <v>8.0</v>
      </c>
      <c r="AL74" s="105">
        <f t="shared" si="14"/>
        <v>8</v>
      </c>
      <c r="AM74" s="145"/>
      <c r="AN74" s="16">
        <v>8.0</v>
      </c>
      <c r="AO74" s="16">
        <v>8.0</v>
      </c>
      <c r="AP74" s="16">
        <v>8.0</v>
      </c>
      <c r="AQ74" s="16">
        <v>8.0</v>
      </c>
      <c r="AR74" s="16" t="s">
        <v>165</v>
      </c>
      <c r="AS74" s="16" t="s">
        <v>165</v>
      </c>
      <c r="AT74" s="16">
        <v>8.0</v>
      </c>
      <c r="AU74" s="16">
        <v>8.0</v>
      </c>
      <c r="AV74" s="16">
        <v>8.0</v>
      </c>
      <c r="AW74" s="16" t="s">
        <v>165</v>
      </c>
      <c r="AX74" s="16" t="s">
        <v>165</v>
      </c>
      <c r="AY74" s="16">
        <v>8.0</v>
      </c>
      <c r="AZ74" s="16">
        <v>8.0</v>
      </c>
      <c r="BA74" s="16">
        <v>8.0</v>
      </c>
      <c r="BB74" s="16">
        <v>8.0</v>
      </c>
      <c r="BC74" s="16">
        <v>8.0</v>
      </c>
      <c r="BD74" s="16" t="s">
        <v>165</v>
      </c>
      <c r="BE74" s="16" t="s">
        <v>165</v>
      </c>
      <c r="BF74" s="16">
        <v>8.0</v>
      </c>
      <c r="BG74" s="16">
        <v>8.0</v>
      </c>
      <c r="BH74" s="16">
        <v>8.0</v>
      </c>
      <c r="BI74" s="16">
        <v>8.0</v>
      </c>
      <c r="BJ74" s="16">
        <v>8.0</v>
      </c>
      <c r="BK74" s="16" t="s">
        <v>165</v>
      </c>
      <c r="BL74" s="16" t="s">
        <v>165</v>
      </c>
      <c r="BM74" s="16">
        <v>8.0</v>
      </c>
      <c r="BN74" s="16">
        <v>8.0</v>
      </c>
      <c r="BO74" s="16">
        <v>8.0</v>
      </c>
      <c r="BP74" s="16">
        <v>8.0</v>
      </c>
      <c r="BQ74" s="16">
        <v>8.0</v>
      </c>
      <c r="BR74" s="105">
        <f t="shared" si="15"/>
        <v>176</v>
      </c>
      <c r="BS74" s="145"/>
      <c r="BT74" s="16" t="s">
        <v>165</v>
      </c>
      <c r="BU74" s="16" t="s">
        <v>165</v>
      </c>
      <c r="BV74" s="16">
        <v>8.0</v>
      </c>
      <c r="BW74" s="16">
        <v>8.0</v>
      </c>
      <c r="BX74" s="16" t="s">
        <v>245</v>
      </c>
      <c r="BY74" s="16">
        <v>8.0</v>
      </c>
      <c r="BZ74" s="16">
        <v>8.0</v>
      </c>
      <c r="CA74" s="16">
        <v>8.0</v>
      </c>
      <c r="CB74" s="16" t="s">
        <v>165</v>
      </c>
      <c r="CC74" s="16">
        <v>8.0</v>
      </c>
      <c r="CD74" s="16">
        <v>8.0</v>
      </c>
      <c r="CE74" s="16">
        <v>8.0</v>
      </c>
      <c r="CF74" s="16">
        <v>8.0</v>
      </c>
      <c r="CG74" s="16">
        <v>8.0</v>
      </c>
      <c r="CH74" s="16" t="s">
        <v>165</v>
      </c>
      <c r="CI74" s="16" t="s">
        <v>165</v>
      </c>
      <c r="CJ74" s="16">
        <v>8.0</v>
      </c>
      <c r="CK74" s="16">
        <v>8.0</v>
      </c>
      <c r="CL74" s="16">
        <v>8.0</v>
      </c>
      <c r="CM74" s="16">
        <v>8.0</v>
      </c>
      <c r="CN74" s="16">
        <v>8.0</v>
      </c>
      <c r="CO74" s="16" t="s">
        <v>165</v>
      </c>
      <c r="CP74" s="16" t="s">
        <v>165</v>
      </c>
      <c r="CQ74" s="16">
        <v>8.0</v>
      </c>
      <c r="CR74" s="16">
        <v>8.0</v>
      </c>
      <c r="CS74" s="16">
        <v>8.0</v>
      </c>
      <c r="CT74" s="16">
        <v>8.0</v>
      </c>
      <c r="CU74" s="16">
        <v>8.0</v>
      </c>
      <c r="CV74" s="16" t="s">
        <v>165</v>
      </c>
      <c r="CW74" s="16" t="s">
        <v>165</v>
      </c>
      <c r="CX74" s="16">
        <v>8.0</v>
      </c>
      <c r="CY74" s="105">
        <f t="shared" si="16"/>
        <v>168</v>
      </c>
      <c r="CZ74" s="145"/>
      <c r="DA74" s="113">
        <v>8.0</v>
      </c>
      <c r="DB74" s="58">
        <v>8.0</v>
      </c>
      <c r="DC74" s="58">
        <v>8.0</v>
      </c>
      <c r="DD74" s="58">
        <v>8.0</v>
      </c>
      <c r="DE74" s="58" t="s">
        <v>165</v>
      </c>
      <c r="DF74" s="58" t="s">
        <v>165</v>
      </c>
      <c r="DG74" s="58" t="s">
        <v>168</v>
      </c>
      <c r="DH74" s="58">
        <v>8.0</v>
      </c>
      <c r="DI74" s="58">
        <v>8.0</v>
      </c>
      <c r="DJ74" s="58">
        <v>8.0</v>
      </c>
      <c r="DK74" s="58">
        <v>8.0</v>
      </c>
      <c r="DL74" s="58">
        <v>8.0</v>
      </c>
      <c r="DM74" s="58" t="s">
        <v>165</v>
      </c>
      <c r="DN74" s="58">
        <v>8.0</v>
      </c>
      <c r="DO74" s="58">
        <v>8.0</v>
      </c>
      <c r="DP74" s="58">
        <v>8.0</v>
      </c>
      <c r="DQ74" s="58">
        <v>8.0</v>
      </c>
      <c r="DR74" s="58">
        <v>8.0</v>
      </c>
      <c r="DS74" s="58" t="s">
        <v>165</v>
      </c>
      <c r="DT74" s="58" t="s">
        <v>165</v>
      </c>
      <c r="DU74" s="58">
        <v>8.0</v>
      </c>
      <c r="DV74" s="58">
        <v>8.0</v>
      </c>
      <c r="DW74" s="58">
        <v>8.0</v>
      </c>
      <c r="DX74" s="58">
        <v>8.0</v>
      </c>
      <c r="DY74" s="58">
        <v>8.0</v>
      </c>
      <c r="DZ74" s="58" t="s">
        <v>165</v>
      </c>
      <c r="EA74" s="58" t="s">
        <v>165</v>
      </c>
      <c r="EB74" s="58">
        <v>8.0</v>
      </c>
      <c r="EC74" s="58">
        <v>8.0</v>
      </c>
      <c r="ED74" s="146">
        <v>8.0</v>
      </c>
      <c r="EE74" s="146">
        <v>8.0</v>
      </c>
      <c r="EF74" s="113">
        <f t="shared" si="17"/>
        <v>184</v>
      </c>
      <c r="EG74" s="145"/>
      <c r="EH74" s="145"/>
      <c r="EI74" s="145"/>
      <c r="EJ74" s="145"/>
      <c r="EK74" s="145"/>
      <c r="EL74" s="145"/>
      <c r="EM74" s="145"/>
      <c r="EN74" s="145"/>
      <c r="EO74" s="145"/>
      <c r="EP74" s="145"/>
      <c r="EQ74" s="145"/>
      <c r="ER74" s="145"/>
      <c r="ES74" s="145"/>
      <c r="ET74" s="145"/>
      <c r="EU74" s="145"/>
      <c r="EV74" s="145"/>
      <c r="EW74" s="145"/>
      <c r="EX74" s="145"/>
      <c r="EY74" s="145"/>
      <c r="EZ74" s="145"/>
      <c r="FA74" s="145"/>
      <c r="FB74" s="145"/>
      <c r="FC74" s="145"/>
      <c r="FD74" s="145"/>
      <c r="FE74" s="145"/>
      <c r="FF74" s="145"/>
      <c r="FG74" s="145"/>
      <c r="FH74" s="145"/>
      <c r="FI74" s="145"/>
      <c r="FJ74" s="145"/>
      <c r="FK74" s="145"/>
      <c r="FL74" s="145"/>
      <c r="FM74" s="145"/>
      <c r="FN74" s="145"/>
      <c r="FO74" s="145"/>
      <c r="FP74" s="145"/>
      <c r="FQ74" s="145"/>
      <c r="FR74" s="145"/>
      <c r="FS74" s="145"/>
      <c r="FT74" s="145"/>
      <c r="FU74" s="145"/>
      <c r="FV74" s="145"/>
      <c r="FW74" s="145"/>
      <c r="FX74" s="145"/>
      <c r="FY74" s="145"/>
      <c r="FZ74" s="145"/>
      <c r="GA74" s="145"/>
      <c r="GB74" s="145"/>
      <c r="GC74" s="145"/>
      <c r="GD74" s="145"/>
      <c r="GE74" s="145"/>
      <c r="GF74" s="145"/>
      <c r="GG74" s="145"/>
      <c r="GH74" s="145"/>
      <c r="GI74" s="145"/>
      <c r="GJ74" s="145"/>
      <c r="GK74" s="145"/>
      <c r="GL74" s="145"/>
      <c r="GM74" s="145"/>
      <c r="GN74" s="145"/>
      <c r="GO74" s="145"/>
      <c r="GP74" s="145"/>
      <c r="GQ74" s="145"/>
      <c r="GR74" s="145"/>
      <c r="GS74" s="145"/>
      <c r="GT74" s="145"/>
      <c r="GU74" s="145"/>
      <c r="GV74" s="145"/>
      <c r="GW74" s="145"/>
      <c r="GX74" s="145"/>
      <c r="GY74" s="145"/>
      <c r="GZ74" s="145"/>
      <c r="HA74" s="145"/>
      <c r="HB74" s="145"/>
      <c r="HC74" s="145"/>
      <c r="HD74" s="145"/>
      <c r="HE74" s="145"/>
    </row>
    <row r="75">
      <c r="A75" s="111" t="s">
        <v>292</v>
      </c>
      <c r="B75" s="106" t="str">
        <f>iferror(vlookup(A75,'SoS - Agents Info'!A:H,5,false),"")</f>
        <v>EN</v>
      </c>
      <c r="C75" s="107" t="str">
        <f>iferror(vlookup(A75,'SoS - Agents Info'!A:AQ,43,false),"")</f>
        <v>FL</v>
      </c>
      <c r="D75" s="108" t="str">
        <f>iferror(vlookup(A75,'SoS - Agents Info'!A:H,6,false),"")</f>
        <v>WE</v>
      </c>
      <c r="E75" s="108" t="str">
        <f>iferror(vlookup(A75,'SoS - Agents Info'!A:H,7,false),"")</f>
        <v>00:00-09:00</v>
      </c>
      <c r="F75" s="109">
        <f>IFERROR(__xludf.DUMMYFUNCTION("sum(COUNTIFS(Filter(FILTER('Shiftplan SoS'!G$3:GU166,'Shiftplan SoS'!$G$1:$GU$1&lt;=today()),'Shiftplan SoS'!$A$3:$A166=A75),""&gt;0"",(Filter(FILTER('Shiftplan SoS'!G$3:GU166,'Shiftplan SoS'!$G$1:$GU$1&lt;=today()),'Shiftplan SoS'!$A$3:$A166=A75)),""&lt;12""))"),30.0)</f>
        <v>30</v>
      </c>
      <c r="G75" s="145"/>
      <c r="H75" s="145"/>
      <c r="I75" s="145"/>
      <c r="J75" s="145"/>
      <c r="K75" s="145"/>
      <c r="L75" s="145"/>
      <c r="M75" s="145"/>
      <c r="N75" s="145"/>
      <c r="O75" s="145"/>
      <c r="P75" s="145"/>
      <c r="Q75" s="145"/>
      <c r="R75" s="145"/>
      <c r="S75" s="145"/>
      <c r="T75" s="145"/>
      <c r="U75" s="145"/>
      <c r="V75" s="145"/>
      <c r="W75" s="145"/>
      <c r="X75" s="145"/>
      <c r="Y75" s="145"/>
      <c r="Z75" s="145"/>
      <c r="AA75" s="145"/>
      <c r="AB75" s="145"/>
      <c r="AC75" s="145"/>
      <c r="AD75" s="145"/>
      <c r="AE75" s="145"/>
      <c r="AF75" s="145"/>
      <c r="AG75" s="145"/>
      <c r="AH75" s="145"/>
      <c r="AI75" s="145"/>
      <c r="AJ75" s="145"/>
      <c r="AK75" s="70">
        <v>8.0</v>
      </c>
      <c r="AL75" s="105">
        <f t="shared" si="14"/>
        <v>8</v>
      </c>
      <c r="AM75" s="145"/>
      <c r="AN75" s="16">
        <v>8.0</v>
      </c>
      <c r="AO75" s="16">
        <v>8.0</v>
      </c>
      <c r="AP75" s="16">
        <v>8.0</v>
      </c>
      <c r="AQ75" s="16">
        <v>8.0</v>
      </c>
      <c r="AR75" s="16" t="s">
        <v>165</v>
      </c>
      <c r="AS75" s="16" t="s">
        <v>165</v>
      </c>
      <c r="AT75" s="16" t="s">
        <v>165</v>
      </c>
      <c r="AU75" s="16" t="s">
        <v>165</v>
      </c>
      <c r="AV75" s="16" t="s">
        <v>165</v>
      </c>
      <c r="AW75" s="16" t="s">
        <v>165</v>
      </c>
      <c r="AX75" s="16" t="s">
        <v>165</v>
      </c>
      <c r="AY75" s="16">
        <v>8.0</v>
      </c>
      <c r="AZ75" s="16">
        <v>8.0</v>
      </c>
      <c r="BA75" s="16" t="s">
        <v>165</v>
      </c>
      <c r="BB75" s="16" t="s">
        <v>165</v>
      </c>
      <c r="BC75" s="16" t="s">
        <v>165</v>
      </c>
      <c r="BD75" s="16" t="s">
        <v>165</v>
      </c>
      <c r="BE75" s="16" t="s">
        <v>165</v>
      </c>
      <c r="BF75" s="16">
        <v>8.0</v>
      </c>
      <c r="BG75" s="16">
        <v>8.0</v>
      </c>
      <c r="BH75" s="16" t="s">
        <v>165</v>
      </c>
      <c r="BI75" s="16" t="s">
        <v>165</v>
      </c>
      <c r="BJ75" s="16" t="s">
        <v>165</v>
      </c>
      <c r="BK75" s="16" t="s">
        <v>165</v>
      </c>
      <c r="BL75" s="16" t="s">
        <v>165</v>
      </c>
      <c r="BM75" s="16">
        <v>8.0</v>
      </c>
      <c r="BN75" s="16">
        <v>8.0</v>
      </c>
      <c r="BO75" s="16" t="s">
        <v>165</v>
      </c>
      <c r="BP75" s="16" t="s">
        <v>165</v>
      </c>
      <c r="BQ75" s="16" t="s">
        <v>165</v>
      </c>
      <c r="BR75" s="105">
        <f t="shared" si="15"/>
        <v>80</v>
      </c>
      <c r="BS75" s="145"/>
      <c r="BT75" s="16" t="s">
        <v>165</v>
      </c>
      <c r="BU75" s="16" t="s">
        <v>165</v>
      </c>
      <c r="BV75" s="16">
        <v>8.0</v>
      </c>
      <c r="BW75" s="16">
        <v>8.0</v>
      </c>
      <c r="BX75" s="16" t="s">
        <v>165</v>
      </c>
      <c r="BY75" s="16" t="s">
        <v>165</v>
      </c>
      <c r="BZ75" s="16" t="s">
        <v>165</v>
      </c>
      <c r="CA75" s="16" t="s">
        <v>165</v>
      </c>
      <c r="CB75" s="16" t="s">
        <v>165</v>
      </c>
      <c r="CC75" s="16">
        <v>8.0</v>
      </c>
      <c r="CD75" s="16">
        <v>8.0</v>
      </c>
      <c r="CE75" s="16" t="s">
        <v>165</v>
      </c>
      <c r="CF75" s="16" t="s">
        <v>165</v>
      </c>
      <c r="CG75" s="16" t="s">
        <v>165</v>
      </c>
      <c r="CH75" s="16" t="s">
        <v>165</v>
      </c>
      <c r="CI75" s="16" t="s">
        <v>165</v>
      </c>
      <c r="CJ75" s="16">
        <v>8.0</v>
      </c>
      <c r="CK75" s="16">
        <v>8.0</v>
      </c>
      <c r="CL75" s="16" t="s">
        <v>165</v>
      </c>
      <c r="CM75" s="16" t="s">
        <v>165</v>
      </c>
      <c r="CN75" s="16" t="s">
        <v>165</v>
      </c>
      <c r="CO75" s="16" t="s">
        <v>165</v>
      </c>
      <c r="CP75" s="16" t="s">
        <v>165</v>
      </c>
      <c r="CQ75" s="16">
        <v>8.0</v>
      </c>
      <c r="CR75" s="16">
        <v>8.0</v>
      </c>
      <c r="CS75" s="16" t="s">
        <v>165</v>
      </c>
      <c r="CT75" s="16" t="s">
        <v>165</v>
      </c>
      <c r="CU75" s="16" t="s">
        <v>165</v>
      </c>
      <c r="CV75" s="16" t="s">
        <v>165</v>
      </c>
      <c r="CW75" s="16" t="s">
        <v>165</v>
      </c>
      <c r="CX75" s="16">
        <v>8.0</v>
      </c>
      <c r="CY75" s="105">
        <f t="shared" si="16"/>
        <v>72</v>
      </c>
      <c r="CZ75" s="145"/>
      <c r="DA75" s="113">
        <v>8.0</v>
      </c>
      <c r="DB75" s="147" t="s">
        <v>165</v>
      </c>
      <c r="DC75" s="147" t="s">
        <v>165</v>
      </c>
      <c r="DD75" s="147" t="s">
        <v>165</v>
      </c>
      <c r="DE75" s="147" t="s">
        <v>165</v>
      </c>
      <c r="DF75" s="147" t="s">
        <v>165</v>
      </c>
      <c r="DG75" s="147">
        <v>8.0</v>
      </c>
      <c r="DH75" s="147">
        <v>8.0</v>
      </c>
      <c r="DI75" s="147" t="s">
        <v>165</v>
      </c>
      <c r="DJ75" s="147" t="s">
        <v>165</v>
      </c>
      <c r="DK75" s="147" t="s">
        <v>165</v>
      </c>
      <c r="DL75" s="147" t="s">
        <v>165</v>
      </c>
      <c r="DM75" s="113" t="s">
        <v>165</v>
      </c>
      <c r="DN75" s="147">
        <v>8.0</v>
      </c>
      <c r="DO75" s="147">
        <v>8.0</v>
      </c>
      <c r="DP75" s="147" t="s">
        <v>165</v>
      </c>
      <c r="DQ75" s="147" t="s">
        <v>165</v>
      </c>
      <c r="DR75" s="147" t="s">
        <v>165</v>
      </c>
      <c r="DS75" s="147" t="s">
        <v>165</v>
      </c>
      <c r="DT75" s="147" t="s">
        <v>165</v>
      </c>
      <c r="DU75" s="147">
        <v>8.0</v>
      </c>
      <c r="DV75" s="147">
        <v>8.0</v>
      </c>
      <c r="DW75" s="147" t="s">
        <v>165</v>
      </c>
      <c r="DX75" s="147" t="s">
        <v>165</v>
      </c>
      <c r="DY75" s="147" t="s">
        <v>165</v>
      </c>
      <c r="DZ75" s="147" t="s">
        <v>165</v>
      </c>
      <c r="EA75" s="147" t="s">
        <v>165</v>
      </c>
      <c r="EB75" s="147">
        <v>8.0</v>
      </c>
      <c r="EC75" s="147">
        <v>8.0</v>
      </c>
      <c r="ED75" s="147" t="s">
        <v>165</v>
      </c>
      <c r="EE75" s="147" t="s">
        <v>165</v>
      </c>
      <c r="EF75" s="113">
        <f t="shared" si="17"/>
        <v>72</v>
      </c>
      <c r="EG75" s="145"/>
      <c r="EH75" s="145"/>
      <c r="EI75" s="145"/>
      <c r="EJ75" s="145"/>
      <c r="EK75" s="145"/>
      <c r="EL75" s="145"/>
      <c r="EM75" s="145"/>
      <c r="EN75" s="145"/>
      <c r="EO75" s="145"/>
      <c r="EP75" s="145"/>
      <c r="EQ75" s="145"/>
      <c r="ER75" s="145"/>
      <c r="ES75" s="145"/>
      <c r="ET75" s="145"/>
      <c r="EU75" s="145"/>
      <c r="EV75" s="145"/>
      <c r="EW75" s="145"/>
      <c r="EX75" s="145"/>
      <c r="EY75" s="145"/>
      <c r="EZ75" s="145"/>
      <c r="FA75" s="145"/>
      <c r="FB75" s="145"/>
      <c r="FC75" s="145"/>
      <c r="FD75" s="145"/>
      <c r="FE75" s="145"/>
      <c r="FF75" s="145"/>
      <c r="FG75" s="145"/>
      <c r="FH75" s="145"/>
      <c r="FI75" s="145"/>
      <c r="FJ75" s="145"/>
      <c r="FK75" s="145"/>
      <c r="FL75" s="145"/>
      <c r="FM75" s="145"/>
      <c r="FN75" s="145"/>
      <c r="FO75" s="145"/>
      <c r="FP75" s="145"/>
      <c r="FQ75" s="145"/>
      <c r="FR75" s="145"/>
      <c r="FS75" s="145"/>
      <c r="FT75" s="145"/>
      <c r="FU75" s="145"/>
      <c r="FV75" s="145"/>
      <c r="FW75" s="145"/>
      <c r="FX75" s="145"/>
      <c r="FY75" s="145"/>
      <c r="FZ75" s="145"/>
      <c r="GA75" s="145"/>
      <c r="GB75" s="145"/>
      <c r="GC75" s="145"/>
      <c r="GD75" s="145"/>
      <c r="GE75" s="145"/>
      <c r="GF75" s="145"/>
      <c r="GG75" s="145"/>
      <c r="GH75" s="145"/>
      <c r="GI75" s="145"/>
      <c r="GJ75" s="145"/>
      <c r="GK75" s="145"/>
      <c r="GL75" s="145"/>
      <c r="GM75" s="145"/>
      <c r="GN75" s="145"/>
      <c r="GO75" s="145"/>
      <c r="GP75" s="145"/>
      <c r="GQ75" s="145"/>
      <c r="GR75" s="145"/>
      <c r="GS75" s="145"/>
      <c r="GT75" s="145"/>
      <c r="GU75" s="145"/>
      <c r="GV75" s="145"/>
      <c r="GW75" s="145"/>
      <c r="GX75" s="145"/>
      <c r="GY75" s="145"/>
      <c r="GZ75" s="145"/>
      <c r="HA75" s="145"/>
      <c r="HB75" s="145"/>
      <c r="HC75" s="145"/>
      <c r="HD75" s="145"/>
      <c r="HE75" s="145"/>
    </row>
    <row r="76">
      <c r="A76" s="101" t="s">
        <v>293</v>
      </c>
      <c r="B76" s="106" t="str">
        <f>iferror(vlookup(A76,'SoS - Agents Info'!A:H,5,false),"")</f>
        <v>EN</v>
      </c>
      <c r="C76" s="107" t="str">
        <f>iferror(vlookup(A76,'SoS - Agents Info'!A:AQ,43,false),"")</f>
        <v>FL</v>
      </c>
      <c r="D76" s="108" t="str">
        <f>iferror(vlookup(A76,'SoS - Agents Info'!A:H,6,false),"")</f>
        <v>WE+WD</v>
      </c>
      <c r="E76" s="108" t="str">
        <f>iferror(vlookup(A76,'SoS - Agents Info'!A:H,7,false),"")</f>
        <v>00:00-09:00</v>
      </c>
      <c r="F76" s="109">
        <f>IFERROR(__xludf.DUMMYFUNCTION("sum(COUNTIFS(Filter(FILTER('Shiftplan SoS'!G$3:GU166,'Shiftplan SoS'!$G$1:$GU$1&lt;=today()),'Shiftplan SoS'!$A$3:$A166=A76),""&gt;0"",(Filter(FILTER('Shiftplan SoS'!G$3:GU166,'Shiftplan SoS'!$G$1:$GU$1&lt;=today()),'Shiftplan SoS'!$A$3:$A166=A76)),""&lt;12""))"),34.0)</f>
        <v>34</v>
      </c>
      <c r="G76" s="145"/>
      <c r="H76" s="145"/>
      <c r="I76" s="145"/>
      <c r="J76" s="145"/>
      <c r="K76" s="145"/>
      <c r="L76" s="145"/>
      <c r="M76" s="145"/>
      <c r="N76" s="145"/>
      <c r="O76" s="145"/>
      <c r="P76" s="145"/>
      <c r="Q76" s="145"/>
      <c r="R76" s="145"/>
      <c r="S76" s="145"/>
      <c r="T76" s="145"/>
      <c r="U76" s="145"/>
      <c r="V76" s="145"/>
      <c r="W76" s="145"/>
      <c r="X76" s="145"/>
      <c r="Y76" s="145"/>
      <c r="Z76" s="145"/>
      <c r="AA76" s="145"/>
      <c r="AB76" s="145"/>
      <c r="AC76" s="145"/>
      <c r="AD76" s="145"/>
      <c r="AE76" s="145"/>
      <c r="AF76" s="145"/>
      <c r="AG76" s="145"/>
      <c r="AH76" s="145"/>
      <c r="AI76" s="145"/>
      <c r="AJ76" s="145"/>
      <c r="AK76" s="70">
        <v>8.0</v>
      </c>
      <c r="AL76" s="105">
        <f t="shared" si="14"/>
        <v>8</v>
      </c>
      <c r="AM76" s="145"/>
      <c r="AN76" s="16">
        <v>8.0</v>
      </c>
      <c r="AO76" s="16">
        <v>8.0</v>
      </c>
      <c r="AP76" s="16">
        <v>8.0</v>
      </c>
      <c r="AQ76" s="16">
        <v>8.0</v>
      </c>
      <c r="AR76" s="16" t="s">
        <v>165</v>
      </c>
      <c r="AS76" s="16" t="s">
        <v>165</v>
      </c>
      <c r="AT76" s="16" t="s">
        <v>165</v>
      </c>
      <c r="AU76" s="16" t="s">
        <v>165</v>
      </c>
      <c r="AV76" s="16" t="s">
        <v>165</v>
      </c>
      <c r="AW76" s="16" t="s">
        <v>165</v>
      </c>
      <c r="AX76" s="16" t="s">
        <v>165</v>
      </c>
      <c r="AY76" s="16">
        <v>8.0</v>
      </c>
      <c r="AZ76" s="16">
        <v>8.0</v>
      </c>
      <c r="BA76" s="16" t="s">
        <v>165</v>
      </c>
      <c r="BB76" s="16" t="s">
        <v>165</v>
      </c>
      <c r="BC76" s="16" t="s">
        <v>165</v>
      </c>
      <c r="BD76" s="16" t="s">
        <v>165</v>
      </c>
      <c r="BE76" s="16" t="s">
        <v>165</v>
      </c>
      <c r="BF76" s="16">
        <v>8.0</v>
      </c>
      <c r="BG76" s="16">
        <v>8.0</v>
      </c>
      <c r="BH76" s="16" t="s">
        <v>165</v>
      </c>
      <c r="BI76" s="16" t="s">
        <v>165</v>
      </c>
      <c r="BJ76" s="16" t="s">
        <v>165</v>
      </c>
      <c r="BK76" s="16" t="s">
        <v>165</v>
      </c>
      <c r="BL76" s="16" t="s">
        <v>165</v>
      </c>
      <c r="BM76" s="16">
        <v>8.0</v>
      </c>
      <c r="BN76" s="16">
        <v>8.0</v>
      </c>
      <c r="BO76" s="16" t="s">
        <v>165</v>
      </c>
      <c r="BP76" s="16" t="s">
        <v>165</v>
      </c>
      <c r="BQ76" s="16" t="s">
        <v>165</v>
      </c>
      <c r="BR76" s="105">
        <f t="shared" si="15"/>
        <v>80</v>
      </c>
      <c r="BS76" s="145"/>
      <c r="BT76" s="16" t="s">
        <v>165</v>
      </c>
      <c r="BU76" s="16" t="s">
        <v>165</v>
      </c>
      <c r="BV76" s="16">
        <v>8.0</v>
      </c>
      <c r="BW76" s="16">
        <v>8.0</v>
      </c>
      <c r="BX76" s="16" t="s">
        <v>165</v>
      </c>
      <c r="BY76" s="16" t="s">
        <v>165</v>
      </c>
      <c r="BZ76" s="16" t="s">
        <v>165</v>
      </c>
      <c r="CA76" s="16" t="s">
        <v>165</v>
      </c>
      <c r="CB76" s="16" t="s">
        <v>165</v>
      </c>
      <c r="CC76" s="16">
        <v>8.0</v>
      </c>
      <c r="CD76" s="16">
        <v>8.0</v>
      </c>
      <c r="CE76" s="16" t="s">
        <v>165</v>
      </c>
      <c r="CF76" s="16" t="s">
        <v>165</v>
      </c>
      <c r="CG76" s="16" t="s">
        <v>165</v>
      </c>
      <c r="CH76" s="16" t="s">
        <v>165</v>
      </c>
      <c r="CI76" s="16" t="s">
        <v>165</v>
      </c>
      <c r="CJ76" s="16">
        <v>8.0</v>
      </c>
      <c r="CK76" s="16">
        <v>8.0</v>
      </c>
      <c r="CL76" s="16" t="s">
        <v>165</v>
      </c>
      <c r="CM76" s="16" t="s">
        <v>165</v>
      </c>
      <c r="CN76" s="16" t="s">
        <v>165</v>
      </c>
      <c r="CO76" s="16" t="s">
        <v>165</v>
      </c>
      <c r="CP76" s="16" t="s">
        <v>165</v>
      </c>
      <c r="CQ76" s="16">
        <v>8.0</v>
      </c>
      <c r="CR76" s="16">
        <v>8.0</v>
      </c>
      <c r="CS76" s="16" t="s">
        <v>165</v>
      </c>
      <c r="CT76" s="16" t="s">
        <v>165</v>
      </c>
      <c r="CU76" s="16" t="s">
        <v>165</v>
      </c>
      <c r="CV76" s="16" t="s">
        <v>165</v>
      </c>
      <c r="CW76" s="16" t="s">
        <v>165</v>
      </c>
      <c r="CX76" s="16">
        <v>8.0</v>
      </c>
      <c r="CY76" s="105">
        <f t="shared" si="16"/>
        <v>72</v>
      </c>
      <c r="CZ76" s="145"/>
      <c r="DA76" s="113">
        <v>8.0</v>
      </c>
      <c r="DB76" s="147" t="s">
        <v>165</v>
      </c>
      <c r="DC76" s="147" t="s">
        <v>165</v>
      </c>
      <c r="DD76" s="147" t="s">
        <v>165</v>
      </c>
      <c r="DE76" s="147" t="s">
        <v>165</v>
      </c>
      <c r="DF76" s="147" t="s">
        <v>165</v>
      </c>
      <c r="DG76" s="147">
        <v>8.0</v>
      </c>
      <c r="DH76" s="147">
        <v>8.0</v>
      </c>
      <c r="DI76" s="147" t="s">
        <v>165</v>
      </c>
      <c r="DJ76" s="147" t="s">
        <v>165</v>
      </c>
      <c r="DK76" s="147" t="s">
        <v>165</v>
      </c>
      <c r="DL76" s="147" t="s">
        <v>165</v>
      </c>
      <c r="DM76" s="113" t="s">
        <v>165</v>
      </c>
      <c r="DN76" s="147">
        <v>8.0</v>
      </c>
      <c r="DO76" s="147">
        <v>8.0</v>
      </c>
      <c r="DP76" s="147" t="s">
        <v>165</v>
      </c>
      <c r="DQ76" s="147" t="s">
        <v>165</v>
      </c>
      <c r="DR76" s="147" t="s">
        <v>165</v>
      </c>
      <c r="DS76" s="147" t="s">
        <v>165</v>
      </c>
      <c r="DT76" s="146">
        <v>8.0</v>
      </c>
      <c r="DU76" s="147">
        <v>8.0</v>
      </c>
      <c r="DV76" s="146" t="s">
        <v>165</v>
      </c>
      <c r="DW76" s="147" t="s">
        <v>165</v>
      </c>
      <c r="DX76" s="146">
        <v>8.0</v>
      </c>
      <c r="DY76" s="146">
        <v>8.0</v>
      </c>
      <c r="DZ76" s="146">
        <v>8.0</v>
      </c>
      <c r="EA76" s="146">
        <v>8.0</v>
      </c>
      <c r="EB76" s="147">
        <v>8.0</v>
      </c>
      <c r="EC76" s="146" t="s">
        <v>165</v>
      </c>
      <c r="ED76" s="147" t="s">
        <v>165</v>
      </c>
      <c r="EE76" s="146">
        <v>8.0</v>
      </c>
      <c r="EF76" s="113">
        <f t="shared" si="17"/>
        <v>104</v>
      </c>
      <c r="EG76" s="145"/>
      <c r="EH76" s="145"/>
      <c r="EI76" s="145"/>
      <c r="EJ76" s="145"/>
      <c r="EK76" s="145"/>
      <c r="EL76" s="145"/>
      <c r="EM76" s="145"/>
      <c r="EN76" s="145"/>
      <c r="EO76" s="145"/>
      <c r="EP76" s="145"/>
      <c r="EQ76" s="145"/>
      <c r="ER76" s="145"/>
      <c r="ES76" s="145"/>
      <c r="ET76" s="145"/>
      <c r="EU76" s="145"/>
      <c r="EV76" s="145"/>
      <c r="EW76" s="145"/>
      <c r="EX76" s="145"/>
      <c r="EY76" s="145"/>
      <c r="EZ76" s="145"/>
      <c r="FA76" s="145"/>
      <c r="FB76" s="145"/>
      <c r="FC76" s="145"/>
      <c r="FD76" s="145"/>
      <c r="FE76" s="145"/>
      <c r="FF76" s="145"/>
      <c r="FG76" s="145"/>
      <c r="FH76" s="145"/>
      <c r="FI76" s="145"/>
      <c r="FJ76" s="145"/>
      <c r="FK76" s="145"/>
      <c r="FL76" s="145"/>
      <c r="FM76" s="145"/>
      <c r="FN76" s="145"/>
      <c r="FO76" s="145"/>
      <c r="FP76" s="145"/>
      <c r="FQ76" s="145"/>
      <c r="FR76" s="145"/>
      <c r="FS76" s="145"/>
      <c r="FT76" s="145"/>
      <c r="FU76" s="145"/>
      <c r="FV76" s="145"/>
      <c r="FW76" s="145"/>
      <c r="FX76" s="145"/>
      <c r="FY76" s="145"/>
      <c r="FZ76" s="145"/>
      <c r="GA76" s="145"/>
      <c r="GB76" s="145"/>
      <c r="GC76" s="145"/>
      <c r="GD76" s="145"/>
      <c r="GE76" s="145"/>
      <c r="GF76" s="145"/>
      <c r="GG76" s="145"/>
      <c r="GH76" s="145"/>
      <c r="GI76" s="145"/>
      <c r="GJ76" s="145"/>
      <c r="GK76" s="145"/>
      <c r="GL76" s="145"/>
      <c r="GM76" s="145"/>
      <c r="GN76" s="145"/>
      <c r="GO76" s="145"/>
      <c r="GP76" s="145"/>
      <c r="GQ76" s="145"/>
      <c r="GR76" s="145"/>
      <c r="GS76" s="145"/>
      <c r="GT76" s="145"/>
      <c r="GU76" s="145"/>
      <c r="GV76" s="145"/>
      <c r="GW76" s="145"/>
      <c r="GX76" s="145"/>
      <c r="GY76" s="145"/>
      <c r="GZ76" s="145"/>
      <c r="HA76" s="145"/>
      <c r="HB76" s="145"/>
      <c r="HC76" s="145"/>
      <c r="HD76" s="145"/>
      <c r="HE76" s="145"/>
    </row>
    <row r="77">
      <c r="A77" s="101" t="s">
        <v>294</v>
      </c>
      <c r="B77" s="106" t="str">
        <f>iferror(vlookup(A77,'SoS - Agents Info'!A:H,5,false),"")</f>
        <v>EN</v>
      </c>
      <c r="C77" s="107" t="str">
        <f>iferror(vlookup(A77,'SoS - Agents Info'!A:AQ,43,false),"")</f>
        <v>RA+VM</v>
      </c>
      <c r="D77" s="108" t="str">
        <f>iferror(vlookup(A77,'SoS - Agents Info'!A:H,6,false),"")</f>
        <v>WE+WD</v>
      </c>
      <c r="E77" s="108" t="str">
        <f>iferror(vlookup(A77,'SoS - Agents Info'!A:H,7,false),"")</f>
        <v>16:00-01:00</v>
      </c>
      <c r="F77" s="109">
        <f>IFERROR(__xludf.DUMMYFUNCTION("sum(COUNTIFS(Filter(FILTER('Shiftplan SoS'!G$3:GU166,'Shiftplan SoS'!$G$1:$GU$1&lt;=today()),'Shiftplan SoS'!$A$3:$A166=A77),""&gt;0"",(Filter(FILTER('Shiftplan SoS'!G$3:GU166,'Shiftplan SoS'!$G$1:$GU$1&lt;=today()),'Shiftplan SoS'!$A$3:$A166=A77)),""&lt;12""))"),42.0)</f>
        <v>42</v>
      </c>
      <c r="G77" s="145"/>
      <c r="H77" s="145"/>
      <c r="I77" s="145"/>
      <c r="J77" s="145"/>
      <c r="K77" s="145"/>
      <c r="L77" s="145"/>
      <c r="M77" s="145"/>
      <c r="N77" s="145"/>
      <c r="O77" s="145"/>
      <c r="P77" s="145"/>
      <c r="Q77" s="145"/>
      <c r="R77" s="145"/>
      <c r="S77" s="145"/>
      <c r="T77" s="145"/>
      <c r="U77" s="145"/>
      <c r="V77" s="145"/>
      <c r="W77" s="145"/>
      <c r="X77" s="145"/>
      <c r="Y77" s="145"/>
      <c r="Z77" s="145"/>
      <c r="AA77" s="145"/>
      <c r="AB77" s="145"/>
      <c r="AC77" s="145"/>
      <c r="AD77" s="145"/>
      <c r="AE77" s="145"/>
      <c r="AF77" s="145"/>
      <c r="AG77" s="145"/>
      <c r="AH77" s="145"/>
      <c r="AI77" s="145"/>
      <c r="AJ77" s="145"/>
      <c r="AK77" s="70">
        <v>8.0</v>
      </c>
      <c r="AL77" s="105">
        <f t="shared" si="14"/>
        <v>8</v>
      </c>
      <c r="AM77" s="145"/>
      <c r="AN77" s="16">
        <v>8.0</v>
      </c>
      <c r="AO77" s="16">
        <v>8.0</v>
      </c>
      <c r="AP77" s="16">
        <v>8.0</v>
      </c>
      <c r="AQ77" s="16">
        <v>8.0</v>
      </c>
      <c r="AR77" s="16" t="s">
        <v>165</v>
      </c>
      <c r="AS77" s="16" t="s">
        <v>165</v>
      </c>
      <c r="AT77" s="16" t="s">
        <v>165</v>
      </c>
      <c r="AU77" s="16" t="s">
        <v>165</v>
      </c>
      <c r="AV77" s="16" t="s">
        <v>165</v>
      </c>
      <c r="AW77" s="16" t="s">
        <v>165</v>
      </c>
      <c r="AX77" s="16" t="s">
        <v>165</v>
      </c>
      <c r="AY77" s="16">
        <v>8.0</v>
      </c>
      <c r="AZ77" s="16">
        <v>8.0</v>
      </c>
      <c r="BA77" s="16" t="s">
        <v>165</v>
      </c>
      <c r="BB77" s="16" t="s">
        <v>165</v>
      </c>
      <c r="BC77" s="16" t="s">
        <v>165</v>
      </c>
      <c r="BD77" s="16" t="s">
        <v>165</v>
      </c>
      <c r="BE77" s="16" t="s">
        <v>165</v>
      </c>
      <c r="BF77" s="16">
        <v>8.0</v>
      </c>
      <c r="BG77" s="16">
        <v>8.0</v>
      </c>
      <c r="BH77" s="16" t="s">
        <v>165</v>
      </c>
      <c r="BI77" s="16" t="s">
        <v>165</v>
      </c>
      <c r="BJ77" s="16" t="s">
        <v>165</v>
      </c>
      <c r="BK77" s="16" t="s">
        <v>165</v>
      </c>
      <c r="BL77" s="16" t="s">
        <v>165</v>
      </c>
      <c r="BM77" s="16">
        <v>8.0</v>
      </c>
      <c r="BN77" s="16">
        <v>8.0</v>
      </c>
      <c r="BO77" s="16" t="s">
        <v>165</v>
      </c>
      <c r="BP77" s="16" t="s">
        <v>165</v>
      </c>
      <c r="BQ77" s="16" t="s">
        <v>165</v>
      </c>
      <c r="BR77" s="105">
        <f t="shared" si="15"/>
        <v>80</v>
      </c>
      <c r="BS77" s="145"/>
      <c r="BT77" s="16" t="s">
        <v>165</v>
      </c>
      <c r="BU77" s="16" t="s">
        <v>165</v>
      </c>
      <c r="BV77" s="16">
        <v>8.0</v>
      </c>
      <c r="BW77" s="16">
        <v>8.0</v>
      </c>
      <c r="BX77" s="16" t="s">
        <v>165</v>
      </c>
      <c r="BY77" s="16" t="s">
        <v>165</v>
      </c>
      <c r="BZ77" s="16" t="s">
        <v>165</v>
      </c>
      <c r="CA77" s="16" t="s">
        <v>165</v>
      </c>
      <c r="CB77" s="16" t="s">
        <v>165</v>
      </c>
      <c r="CC77" s="16">
        <v>8.0</v>
      </c>
      <c r="CD77" s="16">
        <v>8.0</v>
      </c>
      <c r="CE77" s="16" t="s">
        <v>165</v>
      </c>
      <c r="CF77" s="16" t="s">
        <v>165</v>
      </c>
      <c r="CG77" s="16" t="s">
        <v>165</v>
      </c>
      <c r="CH77" s="16" t="s">
        <v>165</v>
      </c>
      <c r="CI77" s="16" t="s">
        <v>165</v>
      </c>
      <c r="CJ77" s="16">
        <v>8.0</v>
      </c>
      <c r="CK77" s="16">
        <v>8.0</v>
      </c>
      <c r="CL77" s="16" t="s">
        <v>165</v>
      </c>
      <c r="CM77" s="16" t="s">
        <v>165</v>
      </c>
      <c r="CN77" s="16" t="s">
        <v>165</v>
      </c>
      <c r="CO77" s="16" t="s">
        <v>165</v>
      </c>
      <c r="CP77" s="16" t="s">
        <v>165</v>
      </c>
      <c r="CQ77" s="110">
        <v>8.0</v>
      </c>
      <c r="CR77" s="110">
        <v>8.0</v>
      </c>
      <c r="CS77" s="16" t="s">
        <v>165</v>
      </c>
      <c r="CT77" s="16" t="s">
        <v>165</v>
      </c>
      <c r="CU77" s="16" t="s">
        <v>165</v>
      </c>
      <c r="CV77" s="16" t="s">
        <v>165</v>
      </c>
      <c r="CW77" s="16" t="s">
        <v>165</v>
      </c>
      <c r="CX77" s="16">
        <v>8.0</v>
      </c>
      <c r="CY77" s="105">
        <f t="shared" si="16"/>
        <v>72</v>
      </c>
      <c r="CZ77" s="145"/>
      <c r="DA77" s="113">
        <v>8.0</v>
      </c>
      <c r="DB77" s="147" t="s">
        <v>165</v>
      </c>
      <c r="DC77" s="147" t="s">
        <v>165</v>
      </c>
      <c r="DD77" s="148">
        <v>8.0</v>
      </c>
      <c r="DE77" s="148">
        <v>8.0</v>
      </c>
      <c r="DF77" s="148">
        <v>8.0</v>
      </c>
      <c r="DG77" s="148">
        <v>8.0</v>
      </c>
      <c r="DH77" s="148">
        <v>8.0</v>
      </c>
      <c r="DI77" s="147" t="s">
        <v>165</v>
      </c>
      <c r="DJ77" s="147" t="s">
        <v>165</v>
      </c>
      <c r="DK77" s="148">
        <v>8.0</v>
      </c>
      <c r="DL77" s="148">
        <v>8.0</v>
      </c>
      <c r="DM77" s="148">
        <v>8.0</v>
      </c>
      <c r="DN77" s="147">
        <v>8.0</v>
      </c>
      <c r="DO77" s="147">
        <v>8.0</v>
      </c>
      <c r="DP77" s="147" t="s">
        <v>165</v>
      </c>
      <c r="DQ77" s="147" t="s">
        <v>165</v>
      </c>
      <c r="DR77" s="148">
        <v>8.0</v>
      </c>
      <c r="DS77" s="148">
        <v>8.0</v>
      </c>
      <c r="DT77" s="148">
        <v>8.0</v>
      </c>
      <c r="DU77" s="147">
        <v>8.0</v>
      </c>
      <c r="DV77" s="147">
        <v>8.0</v>
      </c>
      <c r="DW77" s="147" t="s">
        <v>165</v>
      </c>
      <c r="DX77" s="147" t="s">
        <v>165</v>
      </c>
      <c r="DY77" s="147">
        <v>8.0</v>
      </c>
      <c r="DZ77" s="147">
        <v>8.0</v>
      </c>
      <c r="EA77" s="148">
        <v>8.0</v>
      </c>
      <c r="EB77" s="147">
        <v>8.0</v>
      </c>
      <c r="EC77" s="147">
        <v>8.0</v>
      </c>
      <c r="ED77" s="147" t="s">
        <v>165</v>
      </c>
      <c r="EE77" s="147" t="s">
        <v>165</v>
      </c>
      <c r="EF77" s="113">
        <f t="shared" si="17"/>
        <v>168</v>
      </c>
      <c r="EG77" s="145"/>
      <c r="EH77" s="145"/>
      <c r="EI77" s="145"/>
      <c r="EJ77" s="145"/>
      <c r="EK77" s="145"/>
      <c r="EL77" s="145"/>
      <c r="EM77" s="145"/>
      <c r="EN77" s="145"/>
      <c r="EO77" s="145"/>
      <c r="EP77" s="145"/>
      <c r="EQ77" s="145"/>
      <c r="ER77" s="145"/>
      <c r="ES77" s="145"/>
      <c r="ET77" s="145"/>
      <c r="EU77" s="145"/>
      <c r="EV77" s="145"/>
      <c r="EW77" s="145"/>
      <c r="EX77" s="145"/>
      <c r="EY77" s="145"/>
      <c r="EZ77" s="145"/>
      <c r="FA77" s="145"/>
      <c r="FB77" s="145"/>
      <c r="FC77" s="145"/>
      <c r="FD77" s="145"/>
      <c r="FE77" s="145"/>
      <c r="FF77" s="145"/>
      <c r="FG77" s="145"/>
      <c r="FH77" s="145"/>
      <c r="FI77" s="145"/>
      <c r="FJ77" s="145"/>
      <c r="FK77" s="145"/>
      <c r="FL77" s="145"/>
      <c r="FM77" s="145"/>
      <c r="FN77" s="145"/>
      <c r="FO77" s="145"/>
      <c r="FP77" s="145"/>
      <c r="FQ77" s="145"/>
      <c r="FR77" s="145"/>
      <c r="FS77" s="145"/>
      <c r="FT77" s="145"/>
      <c r="FU77" s="145"/>
      <c r="FV77" s="145"/>
      <c r="FW77" s="145"/>
      <c r="FX77" s="145"/>
      <c r="FY77" s="145"/>
      <c r="FZ77" s="145"/>
      <c r="GA77" s="145"/>
      <c r="GB77" s="145"/>
      <c r="GC77" s="145"/>
      <c r="GD77" s="145"/>
      <c r="GE77" s="145"/>
      <c r="GF77" s="145"/>
      <c r="GG77" s="145"/>
      <c r="GH77" s="145"/>
      <c r="GI77" s="145"/>
      <c r="GJ77" s="145"/>
      <c r="GK77" s="145"/>
      <c r="GL77" s="145"/>
      <c r="GM77" s="145"/>
      <c r="GN77" s="145"/>
      <c r="GO77" s="145"/>
      <c r="GP77" s="145"/>
      <c r="GQ77" s="145"/>
      <c r="GR77" s="145"/>
      <c r="GS77" s="145"/>
      <c r="GT77" s="145"/>
      <c r="GU77" s="145"/>
      <c r="GV77" s="145"/>
      <c r="GW77" s="145"/>
      <c r="GX77" s="145"/>
      <c r="GY77" s="145"/>
      <c r="GZ77" s="145"/>
      <c r="HA77" s="145"/>
      <c r="HB77" s="145"/>
      <c r="HC77" s="145"/>
      <c r="HD77" s="145"/>
      <c r="HE77" s="145"/>
    </row>
    <row r="78">
      <c r="A78" s="149" t="s">
        <v>295</v>
      </c>
      <c r="B78" s="150" t="str">
        <f>iferror(vlookup(A78,'SoS - Agents Info'!A:H,5,false),"")</f>
        <v>EN</v>
      </c>
      <c r="C78" s="151" t="str">
        <f>iferror(vlookup(A78,'SoS - Agents Info'!A:AQ,43,false),"")</f>
        <v>JM</v>
      </c>
      <c r="D78" s="152" t="str">
        <f>iferror(vlookup(A78,'SoS - Agents Info'!A:H,6,false),"")</f>
        <v>WD</v>
      </c>
      <c r="E78" s="152" t="str">
        <f>iferror(vlookup(A78,'SoS - Agents Info'!A:H,7,false),"")</f>
        <v>08:00-17:00</v>
      </c>
      <c r="F78" s="153">
        <f>IFERROR(__xludf.DUMMYFUNCTION("sum(COUNTIFS(Filter(FILTER('Shiftplan SoS'!G$3:GU166,'Shiftplan SoS'!$G$1:$GU$1&lt;=today()),'Shiftplan SoS'!$A$3:$A166=A78),""&gt;0"",(Filter(FILTER('Shiftplan SoS'!G$3:GU166,'Shiftplan SoS'!$G$1:$GU$1&lt;=today()),'Shiftplan SoS'!$A$3:$A166=A78)),""&lt;12""))"),59.0)</f>
        <v>59</v>
      </c>
      <c r="G78" s="154"/>
      <c r="H78" s="155"/>
      <c r="I78" s="155"/>
      <c r="J78" s="155"/>
      <c r="K78" s="155"/>
      <c r="L78" s="155"/>
      <c r="M78" s="155"/>
      <c r="N78" s="155"/>
      <c r="O78" s="155"/>
      <c r="P78" s="155"/>
      <c r="Q78" s="155"/>
      <c r="R78" s="155"/>
      <c r="S78" s="155"/>
      <c r="T78" s="155"/>
      <c r="U78" s="155"/>
      <c r="V78" s="155"/>
      <c r="W78" s="155"/>
      <c r="X78" s="155"/>
      <c r="Y78" s="155"/>
      <c r="Z78" s="155"/>
      <c r="AA78" s="155"/>
      <c r="AB78" s="155"/>
      <c r="AC78" s="155"/>
      <c r="AD78" s="155"/>
      <c r="AE78" s="155"/>
      <c r="AF78" s="155"/>
      <c r="AG78" s="155"/>
      <c r="AH78" s="155"/>
      <c r="AI78" s="155"/>
      <c r="AJ78" s="155"/>
      <c r="AK78" s="156"/>
      <c r="AL78" s="157">
        <f t="shared" si="14"/>
        <v>0</v>
      </c>
      <c r="AM78" s="155"/>
      <c r="AN78" s="158">
        <v>8.0</v>
      </c>
      <c r="AO78" s="158">
        <v>8.0</v>
      </c>
      <c r="AP78" s="158" t="s">
        <v>171</v>
      </c>
      <c r="AQ78" s="158">
        <v>8.0</v>
      </c>
      <c r="AR78" s="158" t="s">
        <v>165</v>
      </c>
      <c r="AS78" s="158" t="s">
        <v>165</v>
      </c>
      <c r="AT78" s="158">
        <v>8.0</v>
      </c>
      <c r="AU78" s="158">
        <v>8.0</v>
      </c>
      <c r="AV78" s="158">
        <v>8.0</v>
      </c>
      <c r="AW78" s="158">
        <v>8.0</v>
      </c>
      <c r="AX78" s="158">
        <v>8.0</v>
      </c>
      <c r="AY78" s="158" t="s">
        <v>165</v>
      </c>
      <c r="AZ78" s="158" t="s">
        <v>165</v>
      </c>
      <c r="BA78" s="158">
        <v>8.0</v>
      </c>
      <c r="BB78" s="158">
        <v>8.0</v>
      </c>
      <c r="BC78" s="158">
        <v>8.0</v>
      </c>
      <c r="BD78" s="158">
        <v>8.0</v>
      </c>
      <c r="BE78" s="158" t="s">
        <v>245</v>
      </c>
      <c r="BF78" s="158" t="s">
        <v>165</v>
      </c>
      <c r="BG78" s="158" t="s">
        <v>165</v>
      </c>
      <c r="BH78" s="158">
        <v>8.0</v>
      </c>
      <c r="BI78" s="158">
        <v>8.0</v>
      </c>
      <c r="BJ78" s="158">
        <v>8.0</v>
      </c>
      <c r="BK78" s="158">
        <v>8.0</v>
      </c>
      <c r="BL78" s="158">
        <v>8.0</v>
      </c>
      <c r="BM78" s="158" t="s">
        <v>165</v>
      </c>
      <c r="BN78" s="158">
        <v>8.0</v>
      </c>
      <c r="BO78" s="158">
        <v>8.0</v>
      </c>
      <c r="BP78" s="158">
        <v>8.0</v>
      </c>
      <c r="BQ78" s="158">
        <v>8.0</v>
      </c>
      <c r="BR78" s="157">
        <f t="shared" si="15"/>
        <v>168</v>
      </c>
      <c r="BS78" s="155"/>
      <c r="BT78" s="159" t="s">
        <v>245</v>
      </c>
      <c r="BU78" s="159" t="s">
        <v>245</v>
      </c>
      <c r="BV78" s="160" t="s">
        <v>165</v>
      </c>
      <c r="BW78" s="160" t="s">
        <v>165</v>
      </c>
      <c r="BX78" s="161">
        <v>8.0</v>
      </c>
      <c r="BY78" s="161">
        <v>8.0</v>
      </c>
      <c r="BZ78" s="161">
        <v>8.0</v>
      </c>
      <c r="CA78" s="161">
        <v>8.0</v>
      </c>
      <c r="CB78" s="159" t="s">
        <v>171</v>
      </c>
      <c r="CC78" s="160" t="s">
        <v>165</v>
      </c>
      <c r="CD78" s="160" t="s">
        <v>165</v>
      </c>
      <c r="CE78" s="161">
        <v>8.0</v>
      </c>
      <c r="CF78" s="161">
        <v>8.0</v>
      </c>
      <c r="CG78" s="161">
        <v>8.0</v>
      </c>
      <c r="CH78" s="161">
        <v>8.0</v>
      </c>
      <c r="CI78" s="161">
        <v>8.0</v>
      </c>
      <c r="CJ78" s="160" t="s">
        <v>165</v>
      </c>
      <c r="CK78" s="160" t="s">
        <v>165</v>
      </c>
      <c r="CL78" s="161">
        <v>8.0</v>
      </c>
      <c r="CM78" s="161">
        <v>8.0</v>
      </c>
      <c r="CN78" s="161">
        <v>8.0</v>
      </c>
      <c r="CO78" s="161">
        <v>8.0</v>
      </c>
      <c r="CP78" s="161">
        <v>8.0</v>
      </c>
      <c r="CQ78" s="160" t="s">
        <v>165</v>
      </c>
      <c r="CR78" s="160" t="s">
        <v>165</v>
      </c>
      <c r="CS78" s="161">
        <v>8.0</v>
      </c>
      <c r="CT78" s="161">
        <v>8.0</v>
      </c>
      <c r="CU78" s="161">
        <v>8.0</v>
      </c>
      <c r="CV78" s="161">
        <v>8.0</v>
      </c>
      <c r="CW78" s="161">
        <v>8.0</v>
      </c>
      <c r="CX78" s="160" t="s">
        <v>165</v>
      </c>
      <c r="CY78" s="157">
        <f t="shared" si="16"/>
        <v>152</v>
      </c>
      <c r="CZ78" s="155"/>
      <c r="DA78" s="162" t="s">
        <v>165</v>
      </c>
      <c r="DB78" s="163">
        <v>8.0</v>
      </c>
      <c r="DC78" s="163">
        <v>8.0</v>
      </c>
      <c r="DD78" s="163">
        <v>8.0</v>
      </c>
      <c r="DE78" s="163">
        <v>8.0</v>
      </c>
      <c r="DF78" s="163">
        <v>8.0</v>
      </c>
      <c r="DG78" s="163" t="s">
        <v>165</v>
      </c>
      <c r="DH78" s="163" t="s">
        <v>165</v>
      </c>
      <c r="DI78" s="163">
        <v>8.0</v>
      </c>
      <c r="DJ78" s="163">
        <v>8.0</v>
      </c>
      <c r="DK78" s="163">
        <v>8.0</v>
      </c>
      <c r="DL78" s="163">
        <v>8.0</v>
      </c>
      <c r="DM78" s="163">
        <v>8.0</v>
      </c>
      <c r="DN78" s="163" t="s">
        <v>165</v>
      </c>
      <c r="DO78" s="163" t="s">
        <v>165</v>
      </c>
      <c r="DP78" s="164">
        <v>8.0</v>
      </c>
      <c r="DQ78" s="163">
        <v>8.0</v>
      </c>
      <c r="DR78" s="163">
        <v>8.0</v>
      </c>
      <c r="DS78" s="163">
        <v>8.0</v>
      </c>
      <c r="DT78" s="163">
        <v>8.0</v>
      </c>
      <c r="DU78" s="163" t="s">
        <v>165</v>
      </c>
      <c r="DV78" s="163" t="s">
        <v>165</v>
      </c>
      <c r="DW78" s="164" t="s">
        <v>167</v>
      </c>
      <c r="DX78" s="163">
        <v>8.0</v>
      </c>
      <c r="DY78" s="163">
        <v>8.0</v>
      </c>
      <c r="DZ78" s="164" t="s">
        <v>170</v>
      </c>
      <c r="EA78" s="164" t="s">
        <v>170</v>
      </c>
      <c r="EB78" s="163" t="s">
        <v>165</v>
      </c>
      <c r="EC78" s="163" t="s">
        <v>165</v>
      </c>
      <c r="ED78" s="163">
        <v>8.0</v>
      </c>
      <c r="EE78" s="163">
        <v>8.0</v>
      </c>
      <c r="EF78" s="113">
        <f t="shared" si="17"/>
        <v>152</v>
      </c>
      <c r="EG78" s="145"/>
      <c r="EH78" s="145"/>
      <c r="EI78" s="145"/>
      <c r="EJ78" s="145"/>
      <c r="EK78" s="145"/>
      <c r="EL78" s="145"/>
      <c r="EM78" s="145"/>
      <c r="EN78" s="145"/>
      <c r="EO78" s="145"/>
      <c r="EP78" s="145"/>
      <c r="EQ78" s="145"/>
      <c r="ER78" s="145"/>
      <c r="ES78" s="145"/>
      <c r="ET78" s="145"/>
      <c r="EU78" s="145"/>
      <c r="EV78" s="145"/>
      <c r="EW78" s="145"/>
      <c r="EX78" s="145"/>
      <c r="EY78" s="145"/>
      <c r="EZ78" s="145"/>
      <c r="FA78" s="145"/>
      <c r="FB78" s="145"/>
      <c r="FC78" s="145"/>
      <c r="FD78" s="145"/>
      <c r="FE78" s="145"/>
      <c r="FF78" s="145"/>
      <c r="FG78" s="145"/>
      <c r="FH78" s="145"/>
      <c r="FI78" s="145"/>
      <c r="FJ78" s="145"/>
      <c r="FK78" s="145"/>
      <c r="FL78" s="145"/>
      <c r="FM78" s="145"/>
      <c r="FN78" s="145"/>
      <c r="FO78" s="145"/>
      <c r="FP78" s="145"/>
      <c r="FQ78" s="145"/>
      <c r="FR78" s="145"/>
      <c r="FS78" s="145"/>
      <c r="FT78" s="145"/>
      <c r="FU78" s="145"/>
      <c r="FV78" s="145"/>
      <c r="FW78" s="145"/>
      <c r="FX78" s="145"/>
      <c r="FY78" s="145"/>
      <c r="FZ78" s="145"/>
      <c r="GA78" s="145"/>
      <c r="GB78" s="145"/>
      <c r="GC78" s="145"/>
      <c r="GD78" s="145"/>
      <c r="GE78" s="145"/>
      <c r="GF78" s="145"/>
      <c r="GG78" s="145"/>
      <c r="GH78" s="145"/>
      <c r="GI78" s="145"/>
      <c r="GJ78" s="145"/>
      <c r="GK78" s="145"/>
      <c r="GL78" s="145"/>
      <c r="GM78" s="145"/>
      <c r="GN78" s="145"/>
      <c r="GO78" s="145"/>
      <c r="GP78" s="145"/>
      <c r="GQ78" s="145"/>
      <c r="GR78" s="145"/>
      <c r="GS78" s="145"/>
      <c r="GT78" s="145"/>
      <c r="GU78" s="145"/>
      <c r="GV78" s="145"/>
      <c r="GW78" s="145"/>
      <c r="GX78" s="145"/>
      <c r="GY78" s="145"/>
      <c r="GZ78" s="145"/>
      <c r="HA78" s="145"/>
      <c r="HB78" s="145"/>
      <c r="HC78" s="145"/>
      <c r="HD78" s="145"/>
      <c r="HE78" s="145"/>
    </row>
    <row r="79">
      <c r="A79" s="101" t="s">
        <v>296</v>
      </c>
      <c r="B79" s="106" t="str">
        <f>iferror(vlookup(A79,'SoS - Agents Info'!A:H,5,false),"")</f>
        <v>AR</v>
      </c>
      <c r="C79" s="107" t="str">
        <f>iferror(vlookup(A79,'SoS - Agents Info'!A:AQ,43,false),"")</f>
        <v>RA+VM</v>
      </c>
      <c r="D79" s="108" t="str">
        <f>iferror(vlookup(A79,'SoS - Agents Info'!A:H,6,false),"")</f>
        <v>WE</v>
      </c>
      <c r="E79" s="108" t="str">
        <f>iferror(vlookup(A79,'SoS - Agents Info'!A:H,7,false),"")</f>
        <v>16:00-01:00</v>
      </c>
      <c r="F79" s="109">
        <f>IFERROR(__xludf.DUMMYFUNCTION("sum(COUNTIFS(Filter(FILTER('Shiftplan SoS'!G$3:GU166,'Shiftplan SoS'!$G$1:$GU$1&lt;=today()),'Shiftplan SoS'!$A$3:$A166=A79),""&gt;0"",(Filter(FILTER('Shiftplan SoS'!G$3:GU166,'Shiftplan SoS'!$G$1:$GU$1&lt;=today()),'Shiftplan SoS'!$A$3:$A166=A79)),""&lt;12""))"),31.0)</f>
        <v>31</v>
      </c>
      <c r="G79" s="145"/>
      <c r="H79" s="145"/>
      <c r="I79" s="145"/>
      <c r="J79" s="145"/>
      <c r="K79" s="145"/>
      <c r="L79" s="145"/>
      <c r="M79" s="145"/>
      <c r="N79" s="145"/>
      <c r="O79" s="145"/>
      <c r="P79" s="145"/>
      <c r="Q79" s="145"/>
      <c r="R79" s="145"/>
      <c r="S79" s="145"/>
      <c r="T79" s="145"/>
      <c r="U79" s="145"/>
      <c r="V79" s="145"/>
      <c r="W79" s="145"/>
      <c r="X79" s="145"/>
      <c r="Y79" s="145"/>
      <c r="Z79" s="145"/>
      <c r="AA79" s="145"/>
      <c r="AB79" s="145"/>
      <c r="AC79" s="145"/>
      <c r="AD79" s="145"/>
      <c r="AE79" s="145"/>
      <c r="AF79" s="145"/>
      <c r="AG79" s="145"/>
      <c r="AH79" s="145"/>
      <c r="AI79" s="145"/>
      <c r="AJ79" s="145"/>
      <c r="AK79" s="66"/>
      <c r="AL79" s="105">
        <f t="shared" si="14"/>
        <v>0</v>
      </c>
      <c r="AM79" s="145"/>
      <c r="AN79" s="16">
        <v>8.0</v>
      </c>
      <c r="AO79" s="16">
        <v>8.0</v>
      </c>
      <c r="AP79" s="16">
        <v>8.0</v>
      </c>
      <c r="AQ79" s="16">
        <v>8.0</v>
      </c>
      <c r="AR79" s="16" t="s">
        <v>165</v>
      </c>
      <c r="AS79" s="16" t="s">
        <v>165</v>
      </c>
      <c r="AT79" s="16">
        <v>8.0</v>
      </c>
      <c r="AU79" s="16" t="s">
        <v>165</v>
      </c>
      <c r="AV79" s="16" t="s">
        <v>165</v>
      </c>
      <c r="AW79" s="16" t="s">
        <v>165</v>
      </c>
      <c r="AX79" s="16" t="s">
        <v>165</v>
      </c>
      <c r="AY79" s="16">
        <v>8.0</v>
      </c>
      <c r="AZ79" s="16">
        <v>8.0</v>
      </c>
      <c r="BA79" s="16">
        <v>8.0</v>
      </c>
      <c r="BB79" s="16" t="s">
        <v>165</v>
      </c>
      <c r="BC79" s="16" t="s">
        <v>165</v>
      </c>
      <c r="BD79" s="16" t="s">
        <v>165</v>
      </c>
      <c r="BE79" s="16" t="s">
        <v>165</v>
      </c>
      <c r="BF79" s="16">
        <v>8.0</v>
      </c>
      <c r="BG79" s="16">
        <v>8.0</v>
      </c>
      <c r="BH79" s="16">
        <v>8.0</v>
      </c>
      <c r="BI79" s="16" t="s">
        <v>165</v>
      </c>
      <c r="BJ79" s="16" t="s">
        <v>165</v>
      </c>
      <c r="BK79" s="16" t="s">
        <v>165</v>
      </c>
      <c r="BL79" s="16" t="s">
        <v>165</v>
      </c>
      <c r="BM79" s="16">
        <v>8.0</v>
      </c>
      <c r="BN79" s="16">
        <v>8.0</v>
      </c>
      <c r="BO79" s="16" t="s">
        <v>170</v>
      </c>
      <c r="BP79" s="16" t="s">
        <v>165</v>
      </c>
      <c r="BQ79" s="16" t="s">
        <v>165</v>
      </c>
      <c r="BR79" s="105">
        <f t="shared" si="15"/>
        <v>104</v>
      </c>
      <c r="BS79" s="145"/>
      <c r="BT79" s="16" t="s">
        <v>165</v>
      </c>
      <c r="BU79" s="16" t="s">
        <v>165</v>
      </c>
      <c r="BV79" s="16" t="s">
        <v>245</v>
      </c>
      <c r="BW79" s="16">
        <v>8.0</v>
      </c>
      <c r="BX79" s="16" t="s">
        <v>165</v>
      </c>
      <c r="BY79" s="16" t="s">
        <v>165</v>
      </c>
      <c r="BZ79" s="16" t="s">
        <v>165</v>
      </c>
      <c r="CA79" s="16" t="s">
        <v>165</v>
      </c>
      <c r="CB79" s="16" t="s">
        <v>165</v>
      </c>
      <c r="CC79" s="16">
        <v>8.0</v>
      </c>
      <c r="CD79" s="16">
        <v>8.0</v>
      </c>
      <c r="CE79" s="16">
        <v>8.0</v>
      </c>
      <c r="CF79" s="16" t="s">
        <v>165</v>
      </c>
      <c r="CG79" s="16" t="s">
        <v>165</v>
      </c>
      <c r="CH79" s="16" t="s">
        <v>165</v>
      </c>
      <c r="CI79" s="16" t="s">
        <v>165</v>
      </c>
      <c r="CJ79" s="16">
        <v>8.0</v>
      </c>
      <c r="CK79" s="16">
        <v>8.0</v>
      </c>
      <c r="CL79" s="16" t="s">
        <v>165</v>
      </c>
      <c r="CM79" s="16" t="s">
        <v>165</v>
      </c>
      <c r="CN79" s="16" t="s">
        <v>165</v>
      </c>
      <c r="CO79" s="16" t="s">
        <v>165</v>
      </c>
      <c r="CP79" s="16" t="s">
        <v>165</v>
      </c>
      <c r="CQ79" s="110">
        <v>8.0</v>
      </c>
      <c r="CR79" s="110">
        <v>8.0</v>
      </c>
      <c r="CS79" s="16" t="s">
        <v>165</v>
      </c>
      <c r="CT79" s="16" t="s">
        <v>165</v>
      </c>
      <c r="CU79" s="16" t="s">
        <v>165</v>
      </c>
      <c r="CV79" s="16" t="s">
        <v>165</v>
      </c>
      <c r="CW79" s="16" t="s">
        <v>165</v>
      </c>
      <c r="CX79" s="16" t="s">
        <v>169</v>
      </c>
      <c r="CY79" s="105">
        <f t="shared" si="16"/>
        <v>64</v>
      </c>
      <c r="CZ79" s="145"/>
      <c r="DA79" s="113">
        <v>8.0</v>
      </c>
      <c r="DB79" s="147" t="s">
        <v>165</v>
      </c>
      <c r="DC79" s="147" t="s">
        <v>165</v>
      </c>
      <c r="DD79" s="147" t="s">
        <v>165</v>
      </c>
      <c r="DE79" s="147" t="s">
        <v>165</v>
      </c>
      <c r="DF79" s="147" t="s">
        <v>165</v>
      </c>
      <c r="DG79" s="148">
        <v>8.0</v>
      </c>
      <c r="DH79" s="148">
        <v>8.0</v>
      </c>
      <c r="DI79" s="165">
        <v>8.0</v>
      </c>
      <c r="DJ79" s="147" t="s">
        <v>165</v>
      </c>
      <c r="DK79" s="147" t="s">
        <v>165</v>
      </c>
      <c r="DL79" s="147" t="s">
        <v>165</v>
      </c>
      <c r="DM79" s="147" t="s">
        <v>165</v>
      </c>
      <c r="DN79" s="146" t="s">
        <v>245</v>
      </c>
      <c r="DO79" s="147">
        <v>8.0</v>
      </c>
      <c r="DP79" s="146">
        <v>8.0</v>
      </c>
      <c r="DQ79" s="147" t="s">
        <v>165</v>
      </c>
      <c r="DR79" s="147" t="s">
        <v>165</v>
      </c>
      <c r="DS79" s="147" t="s">
        <v>165</v>
      </c>
      <c r="DT79" s="147" t="s">
        <v>165</v>
      </c>
      <c r="DU79" s="147">
        <v>8.0</v>
      </c>
      <c r="DV79" s="147">
        <v>8.0</v>
      </c>
      <c r="DW79" s="147" t="s">
        <v>165</v>
      </c>
      <c r="DX79" s="147" t="s">
        <v>165</v>
      </c>
      <c r="DY79" s="147" t="s">
        <v>165</v>
      </c>
      <c r="DZ79" s="147" t="s">
        <v>165</v>
      </c>
      <c r="EA79" s="147" t="s">
        <v>165</v>
      </c>
      <c r="EB79" s="147">
        <v>8.0</v>
      </c>
      <c r="EC79" s="147">
        <v>8.0</v>
      </c>
      <c r="ED79" s="147" t="s">
        <v>165</v>
      </c>
      <c r="EE79" s="147" t="s">
        <v>165</v>
      </c>
      <c r="EF79" s="113">
        <f t="shared" si="17"/>
        <v>80</v>
      </c>
      <c r="EG79" s="145"/>
      <c r="EH79" s="145"/>
      <c r="EI79" s="145"/>
      <c r="EJ79" s="145"/>
      <c r="EK79" s="145"/>
      <c r="EL79" s="145"/>
      <c r="EM79" s="145"/>
      <c r="EN79" s="145"/>
      <c r="EO79" s="145"/>
      <c r="EP79" s="145"/>
      <c r="EQ79" s="145"/>
      <c r="ER79" s="145"/>
      <c r="ES79" s="145"/>
      <c r="ET79" s="145"/>
      <c r="EU79" s="145"/>
      <c r="EV79" s="145"/>
      <c r="EW79" s="145"/>
      <c r="EX79" s="145"/>
      <c r="EY79" s="145"/>
      <c r="EZ79" s="145"/>
      <c r="FA79" s="145"/>
      <c r="FB79" s="145"/>
      <c r="FC79" s="145"/>
      <c r="FD79" s="145"/>
      <c r="FE79" s="145"/>
      <c r="FF79" s="145"/>
      <c r="FG79" s="145"/>
      <c r="FH79" s="145"/>
      <c r="FI79" s="145"/>
      <c r="FJ79" s="145"/>
      <c r="FK79" s="145"/>
      <c r="FL79" s="145"/>
      <c r="FM79" s="145"/>
      <c r="FN79" s="145"/>
      <c r="FO79" s="145"/>
      <c r="FP79" s="145"/>
      <c r="FQ79" s="145"/>
      <c r="FR79" s="145"/>
      <c r="FS79" s="145"/>
      <c r="FT79" s="145"/>
      <c r="FU79" s="145"/>
      <c r="FV79" s="145"/>
      <c r="FW79" s="145"/>
      <c r="FX79" s="145"/>
      <c r="FY79" s="145"/>
      <c r="FZ79" s="145"/>
      <c r="GA79" s="145"/>
      <c r="GB79" s="145"/>
      <c r="GC79" s="145"/>
      <c r="GD79" s="145"/>
      <c r="GE79" s="145"/>
      <c r="GF79" s="145"/>
      <c r="GG79" s="145"/>
      <c r="GH79" s="145"/>
      <c r="GI79" s="145"/>
      <c r="GJ79" s="145"/>
      <c r="GK79" s="145"/>
      <c r="GL79" s="145"/>
      <c r="GM79" s="145"/>
      <c r="GN79" s="145"/>
      <c r="GO79" s="145"/>
      <c r="GP79" s="145"/>
      <c r="GQ79" s="145"/>
      <c r="GR79" s="145"/>
      <c r="GS79" s="145"/>
      <c r="GT79" s="145"/>
      <c r="GU79" s="145"/>
      <c r="GV79" s="145"/>
      <c r="GW79" s="145"/>
      <c r="GX79" s="145"/>
      <c r="GY79" s="145"/>
      <c r="GZ79" s="145"/>
      <c r="HA79" s="145"/>
      <c r="HB79" s="145"/>
      <c r="HC79" s="145"/>
      <c r="HD79" s="145"/>
      <c r="HE79" s="145"/>
    </row>
    <row r="80">
      <c r="A80" s="101" t="s">
        <v>297</v>
      </c>
      <c r="B80" s="106" t="str">
        <f>iferror(vlookup(A80,'SoS - Agents Info'!A:H,5,false),"")</f>
        <v>TR</v>
      </c>
      <c r="C80" s="107" t="str">
        <f>iferror(vlookup(A80,'SoS - Agents Info'!A:AQ,43,false),"")</f>
        <v>FL</v>
      </c>
      <c r="D80" s="108" t="str">
        <f>iferror(vlookup(A80,'SoS - Agents Info'!A:H,6,false),"")</f>
        <v>WE+WD</v>
      </c>
      <c r="E80" s="108" t="str">
        <f>iferror(vlookup(A80,'SoS - Agents Info'!A:H,7,false),"")</f>
        <v>00:00-09:00</v>
      </c>
      <c r="F80" s="109">
        <f>IFERROR(__xludf.DUMMYFUNCTION("sum(COUNTIFS(Filter(FILTER('Shiftplan SoS'!G$3:GU166,'Shiftplan SoS'!$G$1:$GU$1&lt;=today()),'Shiftplan SoS'!$A$3:$A166=A80),""&gt;0"",(Filter(FILTER('Shiftplan SoS'!G$3:GU166,'Shiftplan SoS'!$G$1:$GU$1&lt;=today()),'Shiftplan SoS'!$A$3:$A166=A80)),""&lt;12""))"),66.0)</f>
        <v>66</v>
      </c>
      <c r="G80" s="145"/>
      <c r="H80" s="145"/>
      <c r="I80" s="145"/>
      <c r="J80" s="145"/>
      <c r="K80" s="145"/>
      <c r="L80" s="145"/>
      <c r="M80" s="145"/>
      <c r="N80" s="145"/>
      <c r="O80" s="145"/>
      <c r="P80" s="145"/>
      <c r="Q80" s="145"/>
      <c r="R80" s="145"/>
      <c r="S80" s="145"/>
      <c r="T80" s="145"/>
      <c r="U80" s="145"/>
      <c r="V80" s="145"/>
      <c r="W80" s="145"/>
      <c r="X80" s="145"/>
      <c r="Y80" s="145"/>
      <c r="Z80" s="145"/>
      <c r="AA80" s="145"/>
      <c r="AB80" s="145"/>
      <c r="AC80" s="145"/>
      <c r="AD80" s="145"/>
      <c r="AE80" s="145"/>
      <c r="AF80" s="145"/>
      <c r="AG80" s="145"/>
      <c r="AH80" s="145"/>
      <c r="AI80" s="145"/>
      <c r="AJ80" s="145"/>
      <c r="AK80" s="66"/>
      <c r="AL80" s="105">
        <f t="shared" si="14"/>
        <v>0</v>
      </c>
      <c r="AM80" s="145"/>
      <c r="AN80" s="16">
        <v>8.0</v>
      </c>
      <c r="AO80" s="16">
        <v>8.0</v>
      </c>
      <c r="AP80" s="16">
        <v>8.0</v>
      </c>
      <c r="AQ80" s="16">
        <v>8.0</v>
      </c>
      <c r="AR80" s="16" t="s">
        <v>165</v>
      </c>
      <c r="AS80" s="16" t="s">
        <v>165</v>
      </c>
      <c r="AT80" s="16">
        <v>8.0</v>
      </c>
      <c r="AU80" s="16" t="s">
        <v>165</v>
      </c>
      <c r="AV80" s="16">
        <v>8.0</v>
      </c>
      <c r="AW80" s="16" t="s">
        <v>165</v>
      </c>
      <c r="AX80" s="16">
        <v>8.0</v>
      </c>
      <c r="AY80" s="16">
        <v>8.0</v>
      </c>
      <c r="AZ80" s="16">
        <v>8.0</v>
      </c>
      <c r="BA80" s="16">
        <v>8.0</v>
      </c>
      <c r="BB80" s="16">
        <v>8.0</v>
      </c>
      <c r="BC80" s="16">
        <v>8.0</v>
      </c>
      <c r="BD80" s="16" t="s">
        <v>165</v>
      </c>
      <c r="BE80" s="16" t="s">
        <v>165</v>
      </c>
      <c r="BF80" s="16">
        <v>8.0</v>
      </c>
      <c r="BG80" s="16">
        <v>8.0</v>
      </c>
      <c r="BH80" s="16">
        <v>8.0</v>
      </c>
      <c r="BI80" s="16">
        <v>8.0</v>
      </c>
      <c r="BJ80" s="16">
        <v>8.0</v>
      </c>
      <c r="BK80" s="16" t="s">
        <v>165</v>
      </c>
      <c r="BL80" s="16" t="s">
        <v>165</v>
      </c>
      <c r="BM80" s="16">
        <v>8.0</v>
      </c>
      <c r="BN80" s="16">
        <v>8.0</v>
      </c>
      <c r="BO80" s="16">
        <v>8.0</v>
      </c>
      <c r="BP80" s="16">
        <v>8.0</v>
      </c>
      <c r="BQ80" s="16">
        <v>8.0</v>
      </c>
      <c r="BR80" s="105">
        <f t="shared" si="15"/>
        <v>176</v>
      </c>
      <c r="BS80" s="145"/>
      <c r="BT80" s="16" t="s">
        <v>165</v>
      </c>
      <c r="BU80" s="16" t="s">
        <v>165</v>
      </c>
      <c r="BV80" s="16" t="s">
        <v>245</v>
      </c>
      <c r="BW80" s="16">
        <v>8.0</v>
      </c>
      <c r="BX80" s="16">
        <v>8.0</v>
      </c>
      <c r="BY80" s="16">
        <v>8.0</v>
      </c>
      <c r="BZ80" s="16">
        <v>8.0</v>
      </c>
      <c r="CA80" s="16">
        <v>8.0</v>
      </c>
      <c r="CB80" s="16" t="s">
        <v>165</v>
      </c>
      <c r="CC80" s="16">
        <v>8.0</v>
      </c>
      <c r="CD80" s="16">
        <v>8.0</v>
      </c>
      <c r="CE80" s="16">
        <v>8.0</v>
      </c>
      <c r="CF80" s="16">
        <v>8.0</v>
      </c>
      <c r="CG80" s="16">
        <v>8.0</v>
      </c>
      <c r="CH80" s="16" t="s">
        <v>165</v>
      </c>
      <c r="CI80" s="16" t="s">
        <v>165</v>
      </c>
      <c r="CJ80" s="16">
        <v>8.0</v>
      </c>
      <c r="CK80" s="16">
        <v>8.0</v>
      </c>
      <c r="CL80" s="16">
        <v>8.0</v>
      </c>
      <c r="CM80" s="16">
        <v>8.0</v>
      </c>
      <c r="CN80" s="16">
        <v>8.0</v>
      </c>
      <c r="CO80" s="16" t="s">
        <v>165</v>
      </c>
      <c r="CP80" s="16" t="s">
        <v>165</v>
      </c>
      <c r="CQ80" s="16">
        <v>8.0</v>
      </c>
      <c r="CR80" s="16">
        <v>8.0</v>
      </c>
      <c r="CS80" s="16">
        <v>8.0</v>
      </c>
      <c r="CT80" s="16">
        <v>8.0</v>
      </c>
      <c r="CU80" s="16">
        <v>8.0</v>
      </c>
      <c r="CV80" s="16" t="s">
        <v>165</v>
      </c>
      <c r="CW80" s="16" t="s">
        <v>165</v>
      </c>
      <c r="CX80" s="16">
        <v>8.0</v>
      </c>
      <c r="CY80" s="105">
        <f t="shared" si="16"/>
        <v>168</v>
      </c>
      <c r="CZ80" s="145"/>
      <c r="DA80" s="113">
        <v>8.0</v>
      </c>
      <c r="DB80" s="147">
        <v>8.0</v>
      </c>
      <c r="DC80" s="146" t="s">
        <v>245</v>
      </c>
      <c r="DD80" s="147">
        <v>8.0</v>
      </c>
      <c r="DE80" s="147" t="s">
        <v>165</v>
      </c>
      <c r="DF80" s="146">
        <v>8.0</v>
      </c>
      <c r="DG80" s="147">
        <v>8.0</v>
      </c>
      <c r="DH80" s="147">
        <v>8.0</v>
      </c>
      <c r="DI80" s="147">
        <v>8.0</v>
      </c>
      <c r="DJ80" s="147">
        <v>8.0</v>
      </c>
      <c r="DK80" s="147">
        <v>8.0</v>
      </c>
      <c r="DL80" s="147" t="s">
        <v>165</v>
      </c>
      <c r="DM80" s="113" t="s">
        <v>165</v>
      </c>
      <c r="DN80" s="147">
        <v>8.0</v>
      </c>
      <c r="DO80" s="147">
        <v>8.0</v>
      </c>
      <c r="DP80" s="147">
        <v>8.0</v>
      </c>
      <c r="DQ80" s="147">
        <v>8.0</v>
      </c>
      <c r="DR80" s="147">
        <v>8.0</v>
      </c>
      <c r="DS80" s="147" t="s">
        <v>165</v>
      </c>
      <c r="DT80" s="147" t="s">
        <v>165</v>
      </c>
      <c r="DU80" s="147">
        <v>8.0</v>
      </c>
      <c r="DV80" s="147">
        <v>8.0</v>
      </c>
      <c r="DW80" s="147">
        <v>8.0</v>
      </c>
      <c r="DX80" s="147">
        <v>8.0</v>
      </c>
      <c r="DY80" s="113">
        <v>8.0</v>
      </c>
      <c r="DZ80" s="147" t="s">
        <v>165</v>
      </c>
      <c r="EA80" s="147" t="s">
        <v>165</v>
      </c>
      <c r="EB80" s="147">
        <v>8.0</v>
      </c>
      <c r="EC80" s="147">
        <v>8.0</v>
      </c>
      <c r="ED80" s="147">
        <v>8.0</v>
      </c>
      <c r="EE80" s="147">
        <v>8.0</v>
      </c>
      <c r="EF80" s="113">
        <f t="shared" si="17"/>
        <v>184</v>
      </c>
      <c r="EG80" s="145"/>
      <c r="EH80" s="145"/>
      <c r="EI80" s="145"/>
      <c r="EJ80" s="145"/>
      <c r="EK80" s="145"/>
      <c r="EL80" s="145"/>
      <c r="EM80" s="145"/>
      <c r="EN80" s="145"/>
      <c r="EO80" s="145"/>
      <c r="EP80" s="145"/>
      <c r="EQ80" s="145"/>
      <c r="ER80" s="145"/>
      <c r="ES80" s="145"/>
      <c r="ET80" s="145"/>
      <c r="EU80" s="145"/>
      <c r="EV80" s="145"/>
      <c r="EW80" s="145"/>
      <c r="EX80" s="145"/>
      <c r="EY80" s="145"/>
      <c r="EZ80" s="145"/>
      <c r="FA80" s="145"/>
      <c r="FB80" s="145"/>
      <c r="FC80" s="145"/>
      <c r="FD80" s="145"/>
      <c r="FE80" s="145"/>
      <c r="FF80" s="145"/>
      <c r="FG80" s="145"/>
      <c r="FH80" s="145"/>
      <c r="FI80" s="145"/>
      <c r="FJ80" s="145"/>
      <c r="FK80" s="145"/>
      <c r="FL80" s="145"/>
      <c r="FM80" s="145"/>
      <c r="FN80" s="145"/>
      <c r="FO80" s="145"/>
      <c r="FP80" s="145"/>
      <c r="FQ80" s="145"/>
      <c r="FR80" s="145"/>
      <c r="FS80" s="145"/>
      <c r="FT80" s="145"/>
      <c r="FU80" s="145"/>
      <c r="FV80" s="145"/>
      <c r="FW80" s="145"/>
      <c r="FX80" s="145"/>
      <c r="FY80" s="145"/>
      <c r="FZ80" s="145"/>
      <c r="GA80" s="145"/>
      <c r="GB80" s="145"/>
      <c r="GC80" s="145"/>
      <c r="GD80" s="145"/>
      <c r="GE80" s="145"/>
      <c r="GF80" s="145"/>
      <c r="GG80" s="145"/>
      <c r="GH80" s="145"/>
      <c r="GI80" s="145"/>
      <c r="GJ80" s="145"/>
      <c r="GK80" s="145"/>
      <c r="GL80" s="145"/>
      <c r="GM80" s="145"/>
      <c r="GN80" s="145"/>
      <c r="GO80" s="145"/>
      <c r="GP80" s="145"/>
      <c r="GQ80" s="145"/>
      <c r="GR80" s="145"/>
      <c r="GS80" s="145"/>
      <c r="GT80" s="145"/>
      <c r="GU80" s="145"/>
      <c r="GV80" s="145"/>
      <c r="GW80" s="145"/>
      <c r="GX80" s="145"/>
      <c r="GY80" s="145"/>
      <c r="GZ80" s="145"/>
      <c r="HA80" s="145"/>
      <c r="HB80" s="145"/>
      <c r="HC80" s="145"/>
      <c r="HD80" s="145"/>
      <c r="HE80" s="145"/>
    </row>
    <row r="81">
      <c r="A81" s="166" t="s">
        <v>298</v>
      </c>
      <c r="B81" s="106" t="str">
        <f>iferror(vlookup(A81,'SoS - Agents Info'!A:H,5,false),"")</f>
        <v>EN</v>
      </c>
      <c r="C81" s="107" t="str">
        <f>iferror(vlookup(A81,'SoS - Agents Info'!A:AQ,43,false),"")</f>
        <v>RA+VM</v>
      </c>
      <c r="D81" s="108" t="str">
        <f>iferror(vlookup(A81,'SoS - Agents Info'!A:H,6,false),"")</f>
        <v>WE+WD</v>
      </c>
      <c r="E81" s="108" t="str">
        <f>iferror(vlookup(A81,'SoS - Agents Info'!A:H,7,false),"")</f>
        <v>16:00-01:00</v>
      </c>
      <c r="F81" s="109">
        <f>IFERROR(__xludf.DUMMYFUNCTION("sum(COUNTIFS(Filter(FILTER('Shiftplan SoS'!G$3:GU166,'Shiftplan SoS'!$G$1:$GU$1&lt;=today()),'Shiftplan SoS'!$A$3:$A166=A81),""&gt;0"",(Filter(FILTER('Shiftplan SoS'!G$3:GU166,'Shiftplan SoS'!$G$1:$GU$1&lt;=today()),'Shiftplan SoS'!$A$3:$A166=A81)),""&lt;12""))"),54.0)</f>
        <v>54</v>
      </c>
      <c r="G81" s="145"/>
      <c r="H81" s="145"/>
      <c r="I81" s="145"/>
      <c r="J81" s="145"/>
      <c r="K81" s="145"/>
      <c r="L81" s="145"/>
      <c r="M81" s="145"/>
      <c r="N81" s="145"/>
      <c r="O81" s="145"/>
      <c r="P81" s="145"/>
      <c r="Q81" s="145"/>
      <c r="R81" s="145"/>
      <c r="S81" s="145"/>
      <c r="T81" s="145"/>
      <c r="U81" s="145"/>
      <c r="V81" s="145"/>
      <c r="W81" s="145"/>
      <c r="X81" s="145"/>
      <c r="Y81" s="145"/>
      <c r="Z81" s="145"/>
      <c r="AA81" s="145"/>
      <c r="AB81" s="145"/>
      <c r="AC81" s="145"/>
      <c r="AD81" s="145"/>
      <c r="AE81" s="145"/>
      <c r="AF81" s="145"/>
      <c r="AG81" s="145"/>
      <c r="AH81" s="145"/>
      <c r="AI81" s="145"/>
      <c r="AJ81" s="145"/>
      <c r="AK81" s="66"/>
      <c r="AL81" s="105">
        <f t="shared" si="14"/>
        <v>0</v>
      </c>
      <c r="AM81" s="145"/>
      <c r="AN81" s="16">
        <v>8.0</v>
      </c>
      <c r="AO81" s="16">
        <v>8.0</v>
      </c>
      <c r="AP81" s="16">
        <v>8.0</v>
      </c>
      <c r="AQ81" s="16">
        <v>8.0</v>
      </c>
      <c r="AR81" s="16" t="s">
        <v>165</v>
      </c>
      <c r="AS81" s="16" t="s">
        <v>165</v>
      </c>
      <c r="AT81" s="16">
        <v>8.0</v>
      </c>
      <c r="AU81" s="16">
        <v>8.0</v>
      </c>
      <c r="AV81" s="16" t="s">
        <v>165</v>
      </c>
      <c r="AW81" s="16" t="s">
        <v>165</v>
      </c>
      <c r="AX81" s="16" t="s">
        <v>165</v>
      </c>
      <c r="AY81" s="16">
        <v>8.0</v>
      </c>
      <c r="AZ81" s="16">
        <v>8.0</v>
      </c>
      <c r="BA81" s="16">
        <v>8.0</v>
      </c>
      <c r="BB81" s="16">
        <v>8.0</v>
      </c>
      <c r="BC81" s="16" t="s">
        <v>165</v>
      </c>
      <c r="BD81" s="16" t="s">
        <v>165</v>
      </c>
      <c r="BE81" s="16" t="s">
        <v>165</v>
      </c>
      <c r="BF81" s="16">
        <v>8.0</v>
      </c>
      <c r="BG81" s="16">
        <v>8.0</v>
      </c>
      <c r="BH81" s="16">
        <v>8.0</v>
      </c>
      <c r="BI81" s="16">
        <v>8.0</v>
      </c>
      <c r="BJ81" s="16" t="s">
        <v>165</v>
      </c>
      <c r="BK81" s="16" t="s">
        <v>165</v>
      </c>
      <c r="BL81" s="16" t="s">
        <v>165</v>
      </c>
      <c r="BM81" s="16">
        <v>8.0</v>
      </c>
      <c r="BN81" s="16">
        <v>8.0</v>
      </c>
      <c r="BO81" s="110">
        <v>8.0</v>
      </c>
      <c r="BP81" s="110">
        <v>8.0</v>
      </c>
      <c r="BQ81" s="16" t="s">
        <v>165</v>
      </c>
      <c r="BR81" s="105">
        <f t="shared" si="15"/>
        <v>144</v>
      </c>
      <c r="BS81" s="145"/>
      <c r="BT81" s="16" t="s">
        <v>165</v>
      </c>
      <c r="BU81" s="16" t="s">
        <v>165</v>
      </c>
      <c r="BV81" s="16">
        <v>8.0</v>
      </c>
      <c r="BW81" s="16">
        <v>8.0</v>
      </c>
      <c r="BX81" s="110">
        <v>8.0</v>
      </c>
      <c r="BY81" s="110">
        <v>8.0</v>
      </c>
      <c r="BZ81" s="16" t="s">
        <v>165</v>
      </c>
      <c r="CA81" s="16" t="s">
        <v>165</v>
      </c>
      <c r="CB81" s="16" t="s">
        <v>165</v>
      </c>
      <c r="CC81" s="16">
        <v>8.0</v>
      </c>
      <c r="CD81" s="16">
        <v>8.0</v>
      </c>
      <c r="CE81" s="110">
        <v>8.0</v>
      </c>
      <c r="CF81" s="110">
        <v>8.0</v>
      </c>
      <c r="CG81" s="16" t="s">
        <v>165</v>
      </c>
      <c r="CH81" s="16" t="s">
        <v>165</v>
      </c>
      <c r="CI81" s="16" t="s">
        <v>165</v>
      </c>
      <c r="CJ81" s="16">
        <v>8.0</v>
      </c>
      <c r="CK81" s="16">
        <v>8.0</v>
      </c>
      <c r="CL81" s="110">
        <v>8.0</v>
      </c>
      <c r="CM81" s="110">
        <v>8.0</v>
      </c>
      <c r="CN81" s="16" t="s">
        <v>165</v>
      </c>
      <c r="CO81" s="16" t="s">
        <v>165</v>
      </c>
      <c r="CP81" s="16" t="s">
        <v>165</v>
      </c>
      <c r="CQ81" s="110">
        <v>8.0</v>
      </c>
      <c r="CR81" s="110">
        <v>8.0</v>
      </c>
      <c r="CS81" s="110">
        <v>8.0</v>
      </c>
      <c r="CT81" s="110">
        <v>8.0</v>
      </c>
      <c r="CU81" s="16" t="s">
        <v>165</v>
      </c>
      <c r="CV81" s="131" t="s">
        <v>165</v>
      </c>
      <c r="CW81" s="131" t="s">
        <v>165</v>
      </c>
      <c r="CX81" s="131">
        <v>8.0</v>
      </c>
      <c r="CY81" s="105">
        <f t="shared" si="16"/>
        <v>136</v>
      </c>
      <c r="CZ81" s="145"/>
      <c r="DA81" s="110">
        <v>8.0</v>
      </c>
      <c r="DB81" s="110">
        <v>8.0</v>
      </c>
      <c r="DC81" s="110">
        <v>8.0</v>
      </c>
      <c r="DD81" s="16" t="s">
        <v>165</v>
      </c>
      <c r="DE81" s="131" t="s">
        <v>165</v>
      </c>
      <c r="DF81" s="131" t="s">
        <v>165</v>
      </c>
      <c r="DG81" s="131">
        <v>8.0</v>
      </c>
      <c r="DH81" s="110">
        <v>8.0</v>
      </c>
      <c r="DI81" s="110">
        <v>8.0</v>
      </c>
      <c r="DJ81" s="110">
        <v>8.0</v>
      </c>
      <c r="DK81" s="16" t="s">
        <v>165</v>
      </c>
      <c r="DL81" s="131" t="s">
        <v>165</v>
      </c>
      <c r="DM81" s="131" t="s">
        <v>165</v>
      </c>
      <c r="DN81" s="131">
        <v>8.0</v>
      </c>
      <c r="DO81" s="110">
        <v>8.0</v>
      </c>
      <c r="DP81" s="110">
        <v>8.0</v>
      </c>
      <c r="DQ81" s="110">
        <v>8.0</v>
      </c>
      <c r="DR81" s="16" t="s">
        <v>165</v>
      </c>
      <c r="DS81" s="131" t="s">
        <v>165</v>
      </c>
      <c r="DT81" s="131" t="s">
        <v>165</v>
      </c>
      <c r="DU81" s="131">
        <v>8.0</v>
      </c>
      <c r="DV81" s="110">
        <v>8.0</v>
      </c>
      <c r="DW81" s="110">
        <v>8.0</v>
      </c>
      <c r="DX81" s="110">
        <v>8.0</v>
      </c>
      <c r="DY81" s="16" t="s">
        <v>165</v>
      </c>
      <c r="DZ81" s="131" t="s">
        <v>165</v>
      </c>
      <c r="EA81" s="131" t="s">
        <v>165</v>
      </c>
      <c r="EB81" s="131">
        <v>8.0</v>
      </c>
      <c r="EC81" s="110">
        <v>8.0</v>
      </c>
      <c r="ED81" s="110">
        <v>8.0</v>
      </c>
      <c r="EE81" s="110">
        <v>8.0</v>
      </c>
      <c r="EF81" s="113">
        <f t="shared" si="17"/>
        <v>152</v>
      </c>
      <c r="EG81" s="131" t="s">
        <v>165</v>
      </c>
      <c r="EH81" s="131"/>
      <c r="EI81" s="131"/>
      <c r="EJ81" s="145"/>
      <c r="EK81" s="145"/>
      <c r="EL81" s="145"/>
      <c r="EM81" s="145"/>
      <c r="EN81" s="145"/>
      <c r="EO81" s="145"/>
      <c r="EP81" s="145"/>
      <c r="EQ81" s="145"/>
      <c r="ER81" s="145"/>
      <c r="ES81" s="145"/>
      <c r="ET81" s="145"/>
      <c r="EU81" s="145"/>
      <c r="EV81" s="145"/>
      <c r="EW81" s="145"/>
      <c r="EX81" s="145"/>
      <c r="EY81" s="145"/>
      <c r="EZ81" s="145"/>
      <c r="FA81" s="145"/>
      <c r="FB81" s="145"/>
      <c r="FC81" s="145"/>
      <c r="FD81" s="145"/>
      <c r="FE81" s="145"/>
      <c r="FF81" s="145"/>
      <c r="FG81" s="145"/>
      <c r="FH81" s="145"/>
      <c r="FI81" s="145"/>
      <c r="FJ81" s="145"/>
      <c r="FK81" s="145"/>
      <c r="FL81" s="145"/>
      <c r="FM81" s="145"/>
      <c r="FN81" s="145"/>
      <c r="FO81" s="145"/>
      <c r="FP81" s="145"/>
      <c r="FQ81" s="145"/>
      <c r="FR81" s="145"/>
      <c r="FS81" s="145"/>
      <c r="FT81" s="145"/>
      <c r="FU81" s="145"/>
      <c r="FV81" s="145"/>
      <c r="FW81" s="145"/>
      <c r="FX81" s="145"/>
      <c r="FY81" s="145"/>
      <c r="FZ81" s="145"/>
      <c r="GA81" s="145"/>
      <c r="GB81" s="145"/>
      <c r="GC81" s="145"/>
      <c r="GD81" s="145"/>
      <c r="GE81" s="145"/>
      <c r="GF81" s="145"/>
      <c r="GG81" s="145"/>
      <c r="GH81" s="145"/>
      <c r="GI81" s="145"/>
      <c r="GJ81" s="145"/>
      <c r="GK81" s="145"/>
      <c r="GL81" s="145"/>
      <c r="GM81" s="145"/>
      <c r="GN81" s="145"/>
      <c r="GO81" s="145"/>
      <c r="GP81" s="145"/>
      <c r="GQ81" s="145"/>
      <c r="GR81" s="145"/>
      <c r="GS81" s="145"/>
      <c r="GT81" s="145"/>
      <c r="GU81" s="145"/>
      <c r="GV81" s="145"/>
      <c r="GW81" s="145"/>
      <c r="GX81" s="145"/>
      <c r="GY81" s="145"/>
      <c r="GZ81" s="145"/>
      <c r="HA81" s="145"/>
      <c r="HB81" s="145"/>
      <c r="HC81" s="145"/>
      <c r="HD81" s="145"/>
      <c r="HE81" s="145"/>
    </row>
    <row r="82">
      <c r="A82" s="101" t="s">
        <v>299</v>
      </c>
      <c r="B82" s="106" t="str">
        <f>iferror(vlookup(A82,'SoS - Agents Info'!A:H,5,false),"")</f>
        <v>AR</v>
      </c>
      <c r="C82" s="107" t="str">
        <f>iferror(vlookup(A82,'SoS - Agents Info'!A:AQ,43,false),"")</f>
        <v>RA+VM</v>
      </c>
      <c r="D82" s="108" t="str">
        <f>iferror(vlookup(A82,'SoS - Agents Info'!A:H,6,false),"")</f>
        <v>WE+WD</v>
      </c>
      <c r="E82" s="108" t="str">
        <f>iferror(vlookup(A82,'SoS - Agents Info'!A:H,7,false),"")</f>
        <v>16:00-01:00</v>
      </c>
      <c r="F82" s="109">
        <f>IFERROR(__xludf.DUMMYFUNCTION("sum(COUNTIFS(Filter(FILTER('Shiftplan SoS'!G$3:GU166,'Shiftplan SoS'!$G$1:$GU$1&lt;=today()),'Shiftplan SoS'!$A$3:$A166=A82),""&gt;0"",(Filter(FILTER('Shiftplan SoS'!G$3:GU166,'Shiftplan SoS'!$G$1:$GU$1&lt;=today()),'Shiftplan SoS'!$A$3:$A166=A82)),""&lt;12""))"),64.0)</f>
        <v>64</v>
      </c>
      <c r="G82" s="145"/>
      <c r="H82" s="145"/>
      <c r="I82" s="145"/>
      <c r="J82" s="145"/>
      <c r="K82" s="145"/>
      <c r="L82" s="145"/>
      <c r="M82" s="145"/>
      <c r="N82" s="145"/>
      <c r="O82" s="145"/>
      <c r="P82" s="145"/>
      <c r="Q82" s="145"/>
      <c r="R82" s="145"/>
      <c r="S82" s="145"/>
      <c r="T82" s="145"/>
      <c r="U82" s="145"/>
      <c r="V82" s="145"/>
      <c r="W82" s="145"/>
      <c r="X82" s="145"/>
      <c r="Y82" s="145"/>
      <c r="Z82" s="145"/>
      <c r="AA82" s="145"/>
      <c r="AB82" s="145"/>
      <c r="AC82" s="145"/>
      <c r="AD82" s="145"/>
      <c r="AE82" s="145"/>
      <c r="AF82" s="145"/>
      <c r="AG82" s="145"/>
      <c r="AH82" s="145"/>
      <c r="AI82" s="145"/>
      <c r="AJ82" s="145"/>
      <c r="AK82" s="66"/>
      <c r="AL82" s="167"/>
      <c r="AM82" s="145"/>
      <c r="AN82" s="15"/>
      <c r="AO82" s="15"/>
      <c r="AP82" s="16">
        <v>8.0</v>
      </c>
      <c r="AQ82" s="16">
        <v>8.0</v>
      </c>
      <c r="AR82" s="16" t="s">
        <v>165</v>
      </c>
      <c r="AS82" s="16" t="s">
        <v>165</v>
      </c>
      <c r="AT82" s="16">
        <v>8.0</v>
      </c>
      <c r="AU82" s="16">
        <v>8.0</v>
      </c>
      <c r="AV82" s="16" t="s">
        <v>245</v>
      </c>
      <c r="AW82" s="16">
        <v>8.0</v>
      </c>
      <c r="AX82" s="16">
        <v>8.0</v>
      </c>
      <c r="AY82" s="16" t="s">
        <v>165</v>
      </c>
      <c r="AZ82" s="16" t="s">
        <v>165</v>
      </c>
      <c r="BA82" s="16">
        <v>8.0</v>
      </c>
      <c r="BB82" s="16">
        <v>8.0</v>
      </c>
      <c r="BC82" s="16" t="s">
        <v>165</v>
      </c>
      <c r="BD82" s="16" t="s">
        <v>165</v>
      </c>
      <c r="BE82" s="16">
        <v>8.0</v>
      </c>
      <c r="BF82" s="16">
        <v>8.0</v>
      </c>
      <c r="BG82" s="16">
        <v>8.0</v>
      </c>
      <c r="BH82" s="16">
        <v>8.0</v>
      </c>
      <c r="BI82" s="16">
        <v>8.0</v>
      </c>
      <c r="BJ82" s="16" t="s">
        <v>165</v>
      </c>
      <c r="BK82" s="16" t="s">
        <v>165</v>
      </c>
      <c r="BL82" s="16">
        <v>8.0</v>
      </c>
      <c r="BM82" s="16">
        <v>8.0</v>
      </c>
      <c r="BN82" s="16" t="s">
        <v>245</v>
      </c>
      <c r="BO82" s="110">
        <v>8.0</v>
      </c>
      <c r="BP82" s="16" t="s">
        <v>245</v>
      </c>
      <c r="BQ82" s="110">
        <v>8.0</v>
      </c>
      <c r="BR82" s="105">
        <f t="shared" si="15"/>
        <v>136</v>
      </c>
      <c r="BS82" s="145"/>
      <c r="BT82" s="16" t="s">
        <v>165</v>
      </c>
      <c r="BU82" s="110">
        <v>8.0</v>
      </c>
      <c r="BV82" s="16" t="s">
        <v>245</v>
      </c>
      <c r="BW82" s="16">
        <v>8.0</v>
      </c>
      <c r="BX82" s="110">
        <v>8.0</v>
      </c>
      <c r="BY82" s="110">
        <v>8.0</v>
      </c>
      <c r="BZ82" s="110">
        <v>8.0</v>
      </c>
      <c r="CA82" s="16" t="s">
        <v>165</v>
      </c>
      <c r="CB82" s="16">
        <v>8.0</v>
      </c>
      <c r="CC82" s="16">
        <v>8.0</v>
      </c>
      <c r="CD82" s="16">
        <v>8.0</v>
      </c>
      <c r="CE82" s="110">
        <v>8.0</v>
      </c>
      <c r="CF82" s="110">
        <v>8.0</v>
      </c>
      <c r="CG82" s="110">
        <v>8.0</v>
      </c>
      <c r="CH82" s="16" t="s">
        <v>165</v>
      </c>
      <c r="CI82" s="110">
        <v>8.0</v>
      </c>
      <c r="CJ82" s="16">
        <v>8.0</v>
      </c>
      <c r="CK82" s="16">
        <v>8.0</v>
      </c>
      <c r="CL82" s="110">
        <v>8.0</v>
      </c>
      <c r="CM82" s="110">
        <v>8.0</v>
      </c>
      <c r="CN82" s="110">
        <v>8.0</v>
      </c>
      <c r="CO82" s="16" t="s">
        <v>165</v>
      </c>
      <c r="CP82" s="110">
        <v>8.0</v>
      </c>
      <c r="CQ82" s="110">
        <v>8.0</v>
      </c>
      <c r="CR82" s="110">
        <v>8.0</v>
      </c>
      <c r="CS82" s="16" t="s">
        <v>245</v>
      </c>
      <c r="CT82" s="110">
        <v>8.0</v>
      </c>
      <c r="CU82" s="16" t="s">
        <v>165</v>
      </c>
      <c r="CV82" s="16" t="s">
        <v>165</v>
      </c>
      <c r="CW82" s="110">
        <v>8.0</v>
      </c>
      <c r="CX82" s="16">
        <v>8.0</v>
      </c>
      <c r="CY82" s="105">
        <f t="shared" si="16"/>
        <v>184</v>
      </c>
      <c r="CZ82" s="145"/>
      <c r="DA82" s="58">
        <v>4.0</v>
      </c>
      <c r="DB82" s="148">
        <v>8.0</v>
      </c>
      <c r="DC82" s="148">
        <v>8.0</v>
      </c>
      <c r="DD82" s="147" t="s">
        <v>165</v>
      </c>
      <c r="DE82" s="147" t="s">
        <v>165</v>
      </c>
      <c r="DF82" s="148">
        <v>8.0</v>
      </c>
      <c r="DG82" s="148">
        <v>8.0</v>
      </c>
      <c r="DH82" s="148">
        <v>8.0</v>
      </c>
      <c r="DI82" s="148">
        <v>8.0</v>
      </c>
      <c r="DJ82" s="148">
        <v>8.0</v>
      </c>
      <c r="DK82" s="148">
        <v>8.0</v>
      </c>
      <c r="DL82" s="147" t="s">
        <v>165</v>
      </c>
      <c r="DM82" s="148">
        <v>8.0</v>
      </c>
      <c r="DN82" s="147">
        <v>8.0</v>
      </c>
      <c r="DO82" s="147">
        <v>8.0</v>
      </c>
      <c r="DP82" s="146" t="s">
        <v>245</v>
      </c>
      <c r="DQ82" s="148">
        <v>8.0</v>
      </c>
      <c r="DR82" s="146" t="s">
        <v>165</v>
      </c>
      <c r="DS82" s="165">
        <v>4.0</v>
      </c>
      <c r="DT82" s="148">
        <v>8.0</v>
      </c>
      <c r="DU82" s="147">
        <v>8.0</v>
      </c>
      <c r="DV82" s="147">
        <v>8.0</v>
      </c>
      <c r="DW82" s="146" t="s">
        <v>245</v>
      </c>
      <c r="DX82" s="148">
        <v>8.0</v>
      </c>
      <c r="DY82" s="146">
        <v>8.0</v>
      </c>
      <c r="DZ82" s="147" t="s">
        <v>165</v>
      </c>
      <c r="EA82" s="148">
        <v>8.0</v>
      </c>
      <c r="EB82" s="147">
        <v>8.0</v>
      </c>
      <c r="EC82" s="147">
        <v>8.0</v>
      </c>
      <c r="ED82" s="147">
        <v>8.0</v>
      </c>
      <c r="EE82" s="147">
        <v>8.0</v>
      </c>
      <c r="EF82" s="113">
        <f t="shared" si="17"/>
        <v>184</v>
      </c>
      <c r="EG82" s="145"/>
      <c r="EH82" s="145"/>
      <c r="EI82" s="145"/>
      <c r="EJ82" s="145"/>
      <c r="EK82" s="145"/>
      <c r="EL82" s="145"/>
      <c r="EM82" s="145"/>
      <c r="EN82" s="145"/>
      <c r="EO82" s="145"/>
      <c r="EP82" s="145"/>
      <c r="EQ82" s="145"/>
      <c r="ER82" s="145"/>
      <c r="ES82" s="145"/>
      <c r="ET82" s="145"/>
      <c r="EU82" s="145"/>
      <c r="EV82" s="145"/>
      <c r="EW82" s="145"/>
      <c r="EX82" s="145"/>
      <c r="EY82" s="145"/>
      <c r="EZ82" s="145"/>
      <c r="FA82" s="145"/>
      <c r="FB82" s="145"/>
      <c r="FC82" s="1"/>
      <c r="FD82" s="145"/>
      <c r="FE82" s="145"/>
      <c r="FF82" s="145"/>
      <c r="FG82" s="145"/>
      <c r="FH82" s="145"/>
      <c r="FI82" s="145"/>
      <c r="FJ82" s="145"/>
      <c r="FK82" s="145"/>
      <c r="FL82" s="145"/>
      <c r="FM82" s="145"/>
      <c r="FN82" s="145"/>
      <c r="FO82" s="145"/>
      <c r="FP82" s="145"/>
      <c r="FQ82" s="145"/>
      <c r="FR82" s="145"/>
      <c r="FS82" s="145"/>
      <c r="FT82" s="145"/>
      <c r="FU82" s="145"/>
      <c r="FV82" s="145"/>
      <c r="FW82" s="145"/>
      <c r="FX82" s="145"/>
      <c r="FY82" s="145"/>
      <c r="FZ82" s="145"/>
      <c r="GA82" s="145"/>
      <c r="GB82" s="145"/>
      <c r="GC82" s="145"/>
      <c r="GD82" s="145"/>
      <c r="GE82" s="145"/>
      <c r="GF82" s="145"/>
      <c r="GG82" s="145"/>
      <c r="GH82" s="145"/>
      <c r="GI82" s="145"/>
      <c r="GJ82" s="145"/>
      <c r="GK82" s="145"/>
      <c r="GL82" s="145"/>
      <c r="GM82" s="145"/>
      <c r="GN82" s="145"/>
      <c r="GO82" s="145"/>
      <c r="GP82" s="145"/>
      <c r="GQ82" s="145"/>
      <c r="GR82" s="145"/>
      <c r="GS82" s="145"/>
      <c r="GT82" s="145"/>
      <c r="GU82" s="145"/>
      <c r="GV82" s="145"/>
      <c r="GW82" s="145"/>
      <c r="GX82" s="145"/>
      <c r="GY82" s="145"/>
      <c r="GZ82" s="145"/>
      <c r="HA82" s="145"/>
      <c r="HB82" s="145"/>
      <c r="HC82" s="145"/>
      <c r="HD82" s="145"/>
      <c r="HE82" s="145"/>
    </row>
    <row r="83">
      <c r="A83" s="101" t="s">
        <v>300</v>
      </c>
      <c r="B83" s="106" t="str">
        <f>iferror(vlookup(A83,'SoS - Agents Info'!A:H,5,false),"")</f>
        <v>ID</v>
      </c>
      <c r="C83" s="107" t="str">
        <f>iferror(vlookup(A83,'SoS - Agents Info'!A:AQ,43,false),"")</f>
        <v>JM</v>
      </c>
      <c r="D83" s="108" t="s">
        <v>98</v>
      </c>
      <c r="E83" s="108" t="s">
        <v>199</v>
      </c>
      <c r="F83" s="109">
        <f>IFERROR(__xludf.DUMMYFUNCTION("sum(COUNTIFS(Filter(FILTER('Shiftplan SoS'!G$3:GU166,'Shiftplan SoS'!$G$1:$GU$1&lt;=today()),'Shiftplan SoS'!$A$3:$A166=A83),""&gt;0"",(Filter(FILTER('Shiftplan SoS'!G$3:GU166,'Shiftplan SoS'!$G$1:$GU$1&lt;=today()),'Shiftplan SoS'!$A$3:$A166=A83)),""&lt;12""))"),60.0)</f>
        <v>60</v>
      </c>
      <c r="G83" s="145"/>
      <c r="H83" s="145"/>
      <c r="I83" s="145"/>
      <c r="J83" s="145"/>
      <c r="K83" s="145"/>
      <c r="L83" s="145"/>
      <c r="M83" s="145"/>
      <c r="N83" s="145"/>
      <c r="O83" s="145"/>
      <c r="P83" s="145"/>
      <c r="Q83" s="145"/>
      <c r="R83" s="145"/>
      <c r="S83" s="145"/>
      <c r="T83" s="145"/>
      <c r="U83" s="145"/>
      <c r="V83" s="145"/>
      <c r="W83" s="145"/>
      <c r="X83" s="145"/>
      <c r="Y83" s="145"/>
      <c r="Z83" s="145"/>
      <c r="AA83" s="145"/>
      <c r="AB83" s="145"/>
      <c r="AC83" s="145"/>
      <c r="AD83" s="145"/>
      <c r="AE83" s="145"/>
      <c r="AF83" s="145"/>
      <c r="AG83" s="145"/>
      <c r="AH83" s="145"/>
      <c r="AI83" s="145"/>
      <c r="AJ83" s="145"/>
      <c r="AK83" s="66"/>
      <c r="AL83" s="167"/>
      <c r="AM83" s="145"/>
      <c r="AN83" s="15"/>
      <c r="AO83" s="15"/>
      <c r="AP83" s="15"/>
      <c r="AQ83" s="15"/>
      <c r="AR83" s="15"/>
      <c r="AS83" s="15"/>
      <c r="AT83" s="16">
        <v>8.0</v>
      </c>
      <c r="AU83" s="16">
        <v>8.0</v>
      </c>
      <c r="AV83" s="16">
        <v>8.0</v>
      </c>
      <c r="AW83" s="16">
        <v>8.0</v>
      </c>
      <c r="AX83" s="16">
        <v>8.0</v>
      </c>
      <c r="AY83" s="16" t="s">
        <v>165</v>
      </c>
      <c r="AZ83" s="16" t="s">
        <v>165</v>
      </c>
      <c r="BA83" s="16">
        <v>8.0</v>
      </c>
      <c r="BB83" s="16">
        <v>8.0</v>
      </c>
      <c r="BC83" s="16">
        <v>8.0</v>
      </c>
      <c r="BD83" s="16">
        <v>8.0</v>
      </c>
      <c r="BE83" s="16">
        <v>8.0</v>
      </c>
      <c r="BF83" s="16" t="s">
        <v>165</v>
      </c>
      <c r="BG83" s="16" t="s">
        <v>165</v>
      </c>
      <c r="BH83" s="16">
        <v>8.0</v>
      </c>
      <c r="BI83" s="16">
        <v>8.0</v>
      </c>
      <c r="BJ83" s="16">
        <v>8.0</v>
      </c>
      <c r="BK83" s="16" t="s">
        <v>245</v>
      </c>
      <c r="BL83" s="16">
        <v>8.0</v>
      </c>
      <c r="BM83" s="16" t="s">
        <v>165</v>
      </c>
      <c r="BN83" s="16" t="s">
        <v>165</v>
      </c>
      <c r="BO83" s="16">
        <v>8.0</v>
      </c>
      <c r="BP83" s="16">
        <v>8.0</v>
      </c>
      <c r="BQ83" s="16">
        <v>8.0</v>
      </c>
      <c r="BR83" s="105">
        <f t="shared" si="15"/>
        <v>136</v>
      </c>
      <c r="BS83" s="145"/>
      <c r="BT83" s="64">
        <v>8.0</v>
      </c>
      <c r="BU83" s="25">
        <v>5.0</v>
      </c>
      <c r="BV83" s="114" t="s">
        <v>165</v>
      </c>
      <c r="BW83" s="114" t="s">
        <v>165</v>
      </c>
      <c r="BX83" s="64">
        <v>8.0</v>
      </c>
      <c r="BY83" s="25">
        <v>9.0</v>
      </c>
      <c r="BZ83" s="25">
        <v>9.0</v>
      </c>
      <c r="CA83" s="25">
        <v>9.0</v>
      </c>
      <c r="CB83" s="64">
        <v>8.0</v>
      </c>
      <c r="CC83" s="114" t="s">
        <v>165</v>
      </c>
      <c r="CD83" s="114" t="s">
        <v>165</v>
      </c>
      <c r="CE83" s="64">
        <v>8.0</v>
      </c>
      <c r="CF83" s="64">
        <v>8.0</v>
      </c>
      <c r="CG83" s="64">
        <v>8.0</v>
      </c>
      <c r="CH83" s="64">
        <v>8.0</v>
      </c>
      <c r="CI83" s="64">
        <v>8.0</v>
      </c>
      <c r="CJ83" s="114" t="s">
        <v>165</v>
      </c>
      <c r="CK83" s="114" t="s">
        <v>165</v>
      </c>
      <c r="CL83" s="64">
        <v>8.0</v>
      </c>
      <c r="CM83" s="64">
        <v>8.0</v>
      </c>
      <c r="CN83" s="64">
        <v>8.0</v>
      </c>
      <c r="CO83" s="64">
        <v>8.0</v>
      </c>
      <c r="CP83" s="25">
        <v>4.0</v>
      </c>
      <c r="CQ83" s="114" t="s">
        <v>165</v>
      </c>
      <c r="CR83" s="114" t="s">
        <v>165</v>
      </c>
      <c r="CS83" s="25">
        <v>9.0</v>
      </c>
      <c r="CT83" s="25">
        <v>9.0</v>
      </c>
      <c r="CU83" s="25">
        <v>9.0</v>
      </c>
      <c r="CV83" s="25">
        <v>9.0</v>
      </c>
      <c r="CW83" s="64">
        <v>8.0</v>
      </c>
      <c r="CX83" s="114" t="s">
        <v>165</v>
      </c>
      <c r="CY83" s="105">
        <f t="shared" si="16"/>
        <v>176</v>
      </c>
      <c r="CZ83" s="145"/>
      <c r="DA83" s="113" t="s">
        <v>165</v>
      </c>
      <c r="DB83" s="147">
        <v>8.0</v>
      </c>
      <c r="DC83" s="147">
        <v>8.0</v>
      </c>
      <c r="DD83" s="147">
        <v>8.0</v>
      </c>
      <c r="DE83" s="147">
        <v>8.0</v>
      </c>
      <c r="DF83" s="147">
        <v>8.0</v>
      </c>
      <c r="DG83" s="147" t="s">
        <v>165</v>
      </c>
      <c r="DH83" s="147" t="s">
        <v>165</v>
      </c>
      <c r="DI83" s="147">
        <v>8.0</v>
      </c>
      <c r="DJ83" s="147">
        <v>8.0</v>
      </c>
      <c r="DK83" s="147">
        <v>8.0</v>
      </c>
      <c r="DL83" s="147">
        <v>8.0</v>
      </c>
      <c r="DM83" s="147">
        <v>8.0</v>
      </c>
      <c r="DN83" s="147" t="s">
        <v>165</v>
      </c>
      <c r="DO83" s="147" t="s">
        <v>165</v>
      </c>
      <c r="DP83" s="147">
        <v>8.0</v>
      </c>
      <c r="DQ83" s="146" t="s">
        <v>245</v>
      </c>
      <c r="DR83" s="146">
        <v>9.0</v>
      </c>
      <c r="DS83" s="146">
        <v>9.0</v>
      </c>
      <c r="DT83" s="146">
        <v>9.0</v>
      </c>
      <c r="DU83" s="147" t="s">
        <v>165</v>
      </c>
      <c r="DV83" s="147" t="s">
        <v>165</v>
      </c>
      <c r="DW83" s="146">
        <v>9.0</v>
      </c>
      <c r="DX83" s="146">
        <v>9.0</v>
      </c>
      <c r="DY83" s="146">
        <v>9.0</v>
      </c>
      <c r="DZ83" s="146">
        <v>9.0</v>
      </c>
      <c r="EA83" s="146">
        <v>9.0</v>
      </c>
      <c r="EB83" s="147" t="s">
        <v>165</v>
      </c>
      <c r="EC83" s="147" t="s">
        <v>165</v>
      </c>
      <c r="ED83" s="147">
        <v>8.0</v>
      </c>
      <c r="EE83" s="147">
        <v>8.0</v>
      </c>
      <c r="EF83" s="113">
        <f t="shared" si="17"/>
        <v>176</v>
      </c>
      <c r="EG83" s="145"/>
      <c r="EH83" s="145"/>
      <c r="EI83" s="145"/>
      <c r="EJ83" s="145"/>
      <c r="EK83" s="145"/>
      <c r="EL83" s="145"/>
      <c r="EM83" s="145"/>
      <c r="EN83" s="145"/>
      <c r="EO83" s="145"/>
      <c r="EP83" s="145"/>
      <c r="EQ83" s="145"/>
      <c r="ER83" s="145"/>
      <c r="ES83" s="145"/>
      <c r="ET83" s="145"/>
      <c r="EU83" s="145"/>
      <c r="EV83" s="145"/>
      <c r="EW83" s="145"/>
      <c r="EX83" s="145"/>
      <c r="EY83" s="145"/>
      <c r="EZ83" s="145"/>
      <c r="FA83" s="145"/>
      <c r="FB83" s="145"/>
      <c r="FC83" s="145"/>
      <c r="FD83" s="145"/>
      <c r="FE83" s="145"/>
      <c r="FF83" s="145"/>
      <c r="FG83" s="145"/>
      <c r="FH83" s="145"/>
      <c r="FI83" s="145"/>
      <c r="FJ83" s="145"/>
      <c r="FK83" s="145"/>
      <c r="FL83" s="145"/>
      <c r="FM83" s="145"/>
      <c r="FN83" s="145"/>
      <c r="FO83" s="145"/>
      <c r="FP83" s="145"/>
      <c r="FQ83" s="145"/>
      <c r="FR83" s="145"/>
      <c r="FS83" s="145"/>
      <c r="FT83" s="145"/>
      <c r="FU83" s="145"/>
      <c r="FV83" s="145"/>
      <c r="FW83" s="145"/>
      <c r="FX83" s="145"/>
      <c r="FY83" s="145"/>
      <c r="FZ83" s="145"/>
      <c r="GA83" s="145"/>
      <c r="GB83" s="145"/>
      <c r="GC83" s="145"/>
      <c r="GD83" s="145"/>
      <c r="GE83" s="145"/>
      <c r="GF83" s="145"/>
      <c r="GG83" s="145"/>
      <c r="GH83" s="145"/>
      <c r="GI83" s="145"/>
      <c r="GJ83" s="145"/>
      <c r="GK83" s="145"/>
      <c r="GL83" s="145"/>
      <c r="GM83" s="145"/>
      <c r="GN83" s="145"/>
      <c r="GO83" s="145"/>
      <c r="GP83" s="145"/>
      <c r="GQ83" s="145"/>
      <c r="GR83" s="145"/>
      <c r="GS83" s="145"/>
      <c r="GT83" s="145"/>
      <c r="GU83" s="145"/>
      <c r="GV83" s="145"/>
      <c r="GW83" s="145"/>
      <c r="GX83" s="145"/>
      <c r="GY83" s="145"/>
      <c r="GZ83" s="145"/>
      <c r="HA83" s="145"/>
      <c r="HB83" s="145"/>
      <c r="HC83" s="145"/>
      <c r="HD83" s="145"/>
      <c r="HE83" s="145"/>
    </row>
    <row r="84">
      <c r="A84" s="101" t="s">
        <v>301</v>
      </c>
      <c r="B84" s="106" t="str">
        <f>iferror(vlookup(A84,'SoS - Agents Info'!A:H,5,false),"")</f>
        <v>EN</v>
      </c>
      <c r="C84" s="107" t="str">
        <f>iferror(vlookup(A84,'SoS - Agents Info'!A:AQ,43,false),"")</f>
        <v>FL</v>
      </c>
      <c r="D84" s="108" t="s">
        <v>97</v>
      </c>
      <c r="E84" s="108" t="s">
        <v>189</v>
      </c>
      <c r="F84" s="109">
        <f>IFERROR(__xludf.DUMMYFUNCTION("sum(COUNTIFS(Filter(FILTER('Shiftplan SoS'!G$3:GU166,'Shiftplan SoS'!$G$1:$GU$1&lt;=today()),'Shiftplan SoS'!$A$3:$A166=A84),""&gt;0"",(Filter(FILTER('Shiftplan SoS'!G$3:GU166,'Shiftplan SoS'!$G$1:$GU$1&lt;=today()),'Shiftplan SoS'!$A$3:$A166=A84)),""&lt;12""))"),23.0)</f>
        <v>23</v>
      </c>
      <c r="G84" s="145"/>
      <c r="H84" s="145"/>
      <c r="I84" s="145"/>
      <c r="J84" s="145"/>
      <c r="K84" s="145"/>
      <c r="L84" s="145"/>
      <c r="M84" s="145"/>
      <c r="N84" s="145"/>
      <c r="O84" s="145"/>
      <c r="P84" s="145"/>
      <c r="Q84" s="145"/>
      <c r="R84" s="145"/>
      <c r="S84" s="145"/>
      <c r="T84" s="145"/>
      <c r="U84" s="145"/>
      <c r="V84" s="145"/>
      <c r="W84" s="145"/>
      <c r="X84" s="145"/>
      <c r="Y84" s="145"/>
      <c r="Z84" s="145"/>
      <c r="AA84" s="145"/>
      <c r="AB84" s="145"/>
      <c r="AC84" s="145"/>
      <c r="AD84" s="145"/>
      <c r="AE84" s="145"/>
      <c r="AF84" s="145"/>
      <c r="AG84" s="145"/>
      <c r="AH84" s="145"/>
      <c r="AI84" s="145"/>
      <c r="AJ84" s="145"/>
      <c r="AK84" s="66"/>
      <c r="AL84" s="167"/>
      <c r="AM84" s="145"/>
      <c r="AN84" s="15"/>
      <c r="AO84" s="15"/>
      <c r="AP84" s="15"/>
      <c r="AQ84" s="15"/>
      <c r="AR84" s="15"/>
      <c r="AS84" s="15"/>
      <c r="AT84" s="16">
        <v>8.0</v>
      </c>
      <c r="AU84" s="16">
        <v>8.0</v>
      </c>
      <c r="AV84" s="16">
        <v>8.0</v>
      </c>
      <c r="AW84" s="16">
        <v>8.0</v>
      </c>
      <c r="AX84" s="16">
        <v>8.0</v>
      </c>
      <c r="AY84" s="16" t="s">
        <v>165</v>
      </c>
      <c r="AZ84" s="16" t="s">
        <v>165</v>
      </c>
      <c r="BA84" s="16" t="s">
        <v>165</v>
      </c>
      <c r="BB84" s="16" t="s">
        <v>165</v>
      </c>
      <c r="BC84" s="16" t="s">
        <v>165</v>
      </c>
      <c r="BD84" s="16" t="s">
        <v>165</v>
      </c>
      <c r="BE84" s="16" t="s">
        <v>165</v>
      </c>
      <c r="BF84" s="16">
        <v>8.0</v>
      </c>
      <c r="BG84" s="16">
        <v>8.0</v>
      </c>
      <c r="BH84" s="16" t="s">
        <v>165</v>
      </c>
      <c r="BI84" s="16" t="s">
        <v>165</v>
      </c>
      <c r="BJ84" s="16" t="s">
        <v>165</v>
      </c>
      <c r="BK84" s="16" t="s">
        <v>165</v>
      </c>
      <c r="BL84" s="16" t="s">
        <v>165</v>
      </c>
      <c r="BM84" s="16">
        <v>8.0</v>
      </c>
      <c r="BN84" s="16" t="s">
        <v>245</v>
      </c>
      <c r="BO84" s="16" t="s">
        <v>165</v>
      </c>
      <c r="BP84" s="16" t="s">
        <v>165</v>
      </c>
      <c r="BQ84" s="16">
        <v>8.0</v>
      </c>
      <c r="BR84" s="105">
        <f t="shared" si="15"/>
        <v>72</v>
      </c>
      <c r="BS84" s="145"/>
      <c r="BT84" s="16" t="s">
        <v>165</v>
      </c>
      <c r="BU84" s="16" t="s">
        <v>165</v>
      </c>
      <c r="BV84" s="16">
        <v>8.0</v>
      </c>
      <c r="BW84" s="16">
        <v>8.0</v>
      </c>
      <c r="BX84" s="16" t="s">
        <v>165</v>
      </c>
      <c r="BY84" s="16" t="s">
        <v>165</v>
      </c>
      <c r="BZ84" s="16" t="s">
        <v>165</v>
      </c>
      <c r="CA84" s="16" t="s">
        <v>165</v>
      </c>
      <c r="CB84" s="16" t="s">
        <v>165</v>
      </c>
      <c r="CC84" s="16" t="s">
        <v>245</v>
      </c>
      <c r="CD84" s="16">
        <v>8.0</v>
      </c>
      <c r="CE84" s="16" t="s">
        <v>165</v>
      </c>
      <c r="CF84" s="16" t="s">
        <v>165</v>
      </c>
      <c r="CG84" s="16" t="s">
        <v>165</v>
      </c>
      <c r="CH84" s="16" t="s">
        <v>165</v>
      </c>
      <c r="CI84" s="16" t="s">
        <v>165</v>
      </c>
      <c r="CJ84" s="16">
        <v>8.0</v>
      </c>
      <c r="CK84" s="16">
        <v>8.0</v>
      </c>
      <c r="CL84" s="16" t="s">
        <v>165</v>
      </c>
      <c r="CM84" s="16" t="s">
        <v>165</v>
      </c>
      <c r="CN84" s="16" t="s">
        <v>165</v>
      </c>
      <c r="CO84" s="16" t="s">
        <v>165</v>
      </c>
      <c r="CP84" s="16">
        <v>8.0</v>
      </c>
      <c r="CQ84" s="16">
        <v>8.0</v>
      </c>
      <c r="CR84" s="16">
        <v>8.0</v>
      </c>
      <c r="CS84" s="16" t="s">
        <v>165</v>
      </c>
      <c r="CT84" s="16" t="s">
        <v>165</v>
      </c>
      <c r="CU84" s="16" t="s">
        <v>165</v>
      </c>
      <c r="CV84" s="16" t="s">
        <v>165</v>
      </c>
      <c r="CW84" s="16" t="s">
        <v>165</v>
      </c>
      <c r="CX84" s="16">
        <v>8.0</v>
      </c>
      <c r="CY84" s="105">
        <f t="shared" si="16"/>
        <v>72</v>
      </c>
      <c r="CZ84" s="145"/>
      <c r="DA84" s="113">
        <v>8.0</v>
      </c>
      <c r="DB84" s="147" t="s">
        <v>165</v>
      </c>
      <c r="DC84" s="147" t="s">
        <v>165</v>
      </c>
      <c r="DD84" s="147" t="s">
        <v>165</v>
      </c>
      <c r="DE84" s="147" t="s">
        <v>165</v>
      </c>
      <c r="DF84" s="147" t="s">
        <v>165</v>
      </c>
      <c r="DG84" s="146" t="s">
        <v>245</v>
      </c>
      <c r="DH84" s="147">
        <v>8.0</v>
      </c>
      <c r="DI84" s="147" t="s">
        <v>165</v>
      </c>
      <c r="DJ84" s="147" t="s">
        <v>165</v>
      </c>
      <c r="DK84" s="147" t="s">
        <v>165</v>
      </c>
      <c r="DL84" s="147" t="s">
        <v>165</v>
      </c>
      <c r="DM84" s="113" t="s">
        <v>165</v>
      </c>
      <c r="DN84" s="146" t="s">
        <v>170</v>
      </c>
      <c r="DO84" s="146" t="s">
        <v>170</v>
      </c>
      <c r="DP84" s="147" t="s">
        <v>165</v>
      </c>
      <c r="DQ84" s="147" t="s">
        <v>165</v>
      </c>
      <c r="DR84" s="147" t="s">
        <v>165</v>
      </c>
      <c r="DS84" s="147" t="s">
        <v>165</v>
      </c>
      <c r="DT84" s="146">
        <v>8.0</v>
      </c>
      <c r="DU84" s="147">
        <v>8.0</v>
      </c>
      <c r="DV84" s="147">
        <v>8.0</v>
      </c>
      <c r="DW84" s="147" t="s">
        <v>165</v>
      </c>
      <c r="DX84" s="147"/>
      <c r="DY84" s="147"/>
      <c r="DZ84" s="147"/>
      <c r="EA84" s="147"/>
      <c r="EB84" s="147"/>
      <c r="EC84" s="147"/>
      <c r="ED84" s="147"/>
      <c r="EE84" s="147"/>
      <c r="EF84" s="113">
        <f t="shared" si="17"/>
        <v>40</v>
      </c>
      <c r="EG84" s="145"/>
      <c r="EH84" s="145"/>
      <c r="EI84" s="145"/>
      <c r="EJ84" s="145"/>
      <c r="EK84" s="145"/>
      <c r="EL84" s="145"/>
      <c r="EM84" s="145"/>
      <c r="EN84" s="145"/>
      <c r="EO84" s="145"/>
      <c r="EP84" s="145"/>
      <c r="EQ84" s="145"/>
      <c r="ER84" s="145"/>
      <c r="ES84" s="145"/>
      <c r="ET84" s="145"/>
      <c r="EU84" s="145"/>
      <c r="EV84" s="145"/>
      <c r="EW84" s="145"/>
      <c r="EX84" s="145"/>
      <c r="EY84" s="145"/>
      <c r="EZ84" s="145"/>
      <c r="FA84" s="145"/>
      <c r="FB84" s="145"/>
      <c r="FC84" s="145"/>
      <c r="FD84" s="145"/>
      <c r="FE84" s="145"/>
      <c r="FF84" s="145"/>
      <c r="FG84" s="145"/>
      <c r="FH84" s="145"/>
      <c r="FI84" s="145"/>
      <c r="FJ84" s="145"/>
      <c r="FK84" s="145"/>
      <c r="FL84" s="145"/>
      <c r="FM84" s="145"/>
      <c r="FN84" s="145"/>
      <c r="FO84" s="145"/>
      <c r="FP84" s="145"/>
      <c r="FQ84" s="145"/>
      <c r="FR84" s="145"/>
      <c r="FS84" s="145"/>
      <c r="FT84" s="145"/>
      <c r="FU84" s="145"/>
      <c r="FV84" s="145"/>
      <c r="FW84" s="145"/>
      <c r="FX84" s="145"/>
      <c r="FY84" s="145"/>
      <c r="FZ84" s="145"/>
      <c r="GA84" s="145"/>
      <c r="GB84" s="145"/>
      <c r="GC84" s="145"/>
      <c r="GD84" s="145"/>
      <c r="GE84" s="145"/>
      <c r="GF84" s="145"/>
      <c r="GG84" s="145"/>
      <c r="GH84" s="145"/>
      <c r="GI84" s="145"/>
      <c r="GJ84" s="145"/>
      <c r="GK84" s="145"/>
      <c r="GL84" s="145"/>
      <c r="GM84" s="145"/>
      <c r="GN84" s="145"/>
      <c r="GO84" s="145"/>
      <c r="GP84" s="145"/>
      <c r="GQ84" s="145"/>
      <c r="GR84" s="145"/>
      <c r="GS84" s="145"/>
      <c r="GT84" s="145"/>
      <c r="GU84" s="145"/>
      <c r="GV84" s="145"/>
      <c r="GW84" s="145"/>
      <c r="GX84" s="145"/>
      <c r="GY84" s="145"/>
      <c r="GZ84" s="145"/>
      <c r="HA84" s="145"/>
      <c r="HB84" s="145"/>
      <c r="HC84" s="145"/>
      <c r="HD84" s="145"/>
      <c r="HE84" s="145"/>
    </row>
    <row r="85">
      <c r="A85" s="127" t="s">
        <v>302</v>
      </c>
      <c r="B85" s="106" t="str">
        <f>iferror(vlookup(A85,'SoS - Agents Info'!A:H,5,false),"")</f>
        <v>DE</v>
      </c>
      <c r="C85" s="107" t="str">
        <f>iferror(vlookup(A85,'SoS - Agents Info'!A:AQ,43,false),"")</f>
        <v>RA+VM</v>
      </c>
      <c r="D85" s="108" t="str">
        <f>iferror(vlookup(A85,'SoS - Agents Info'!A:H,6,false),"")</f>
        <v>WE</v>
      </c>
      <c r="E85" s="108" t="str">
        <f>iferror(vlookup(A85,'SoS - Agents Info'!A:H,7,false),"")</f>
        <v>16:00-01:00</v>
      </c>
      <c r="F85" s="109">
        <f>IFERROR(__xludf.DUMMYFUNCTION("sum(COUNTIFS(Filter(FILTER('Shiftplan SoS'!G$3:GU166,'Shiftplan SoS'!$G$1:$GU$1&lt;=today()),'Shiftplan SoS'!$A$3:$A166=A85),""&gt;0"",(Filter(FILTER('Shiftplan SoS'!G$3:GU166,'Shiftplan SoS'!$G$1:$GU$1&lt;=today()),'Shiftplan SoS'!$A$3:$A166=A85)),""&lt;12""))"),27.0)</f>
        <v>27</v>
      </c>
      <c r="G85" s="145"/>
      <c r="H85" s="145"/>
      <c r="I85" s="145"/>
      <c r="J85" s="145"/>
      <c r="K85" s="145"/>
      <c r="L85" s="145"/>
      <c r="M85" s="145"/>
      <c r="N85" s="145"/>
      <c r="O85" s="145"/>
      <c r="P85" s="145"/>
      <c r="Q85" s="145"/>
      <c r="R85" s="145"/>
      <c r="S85" s="145"/>
      <c r="T85" s="145"/>
      <c r="U85" s="145"/>
      <c r="V85" s="145"/>
      <c r="W85" s="145"/>
      <c r="X85" s="145"/>
      <c r="Y85" s="145"/>
      <c r="Z85" s="145"/>
      <c r="AA85" s="145"/>
      <c r="AB85" s="145"/>
      <c r="AC85" s="145"/>
      <c r="AD85" s="145"/>
      <c r="AE85" s="145"/>
      <c r="AF85" s="145"/>
      <c r="AG85" s="145"/>
      <c r="AH85" s="145"/>
      <c r="AI85" s="145"/>
      <c r="AJ85" s="145"/>
      <c r="AK85" s="66"/>
      <c r="AL85" s="167"/>
      <c r="AM85" s="145"/>
      <c r="AN85" s="15"/>
      <c r="AO85" s="15"/>
      <c r="AP85" s="15"/>
      <c r="AQ85" s="15"/>
      <c r="AR85" s="15"/>
      <c r="AS85" s="15"/>
      <c r="AT85" s="15"/>
      <c r="AU85" s="15"/>
      <c r="AV85" s="16">
        <v>8.0</v>
      </c>
      <c r="AW85" s="16">
        <v>8.0</v>
      </c>
      <c r="AX85" s="16">
        <v>8.0</v>
      </c>
      <c r="AY85" s="16" t="s">
        <v>165</v>
      </c>
      <c r="AZ85" s="16" t="s">
        <v>165</v>
      </c>
      <c r="BA85" s="16">
        <v>8.0</v>
      </c>
      <c r="BB85" s="16">
        <v>8.0</v>
      </c>
      <c r="BC85" s="16" t="s">
        <v>165</v>
      </c>
      <c r="BD85" s="16" t="s">
        <v>165</v>
      </c>
      <c r="BE85" s="16" t="s">
        <v>165</v>
      </c>
      <c r="BF85" s="16">
        <v>8.0</v>
      </c>
      <c r="BG85" s="16">
        <v>8.0</v>
      </c>
      <c r="BH85" s="16" t="s">
        <v>165</v>
      </c>
      <c r="BI85" s="16" t="s">
        <v>165</v>
      </c>
      <c r="BJ85" s="16" t="s">
        <v>165</v>
      </c>
      <c r="BK85" s="16" t="s">
        <v>165</v>
      </c>
      <c r="BL85" s="16" t="s">
        <v>165</v>
      </c>
      <c r="BM85" s="16">
        <v>8.0</v>
      </c>
      <c r="BN85" s="16">
        <v>8.0</v>
      </c>
      <c r="BO85" s="16" t="s">
        <v>165</v>
      </c>
      <c r="BP85" s="16" t="s">
        <v>165</v>
      </c>
      <c r="BQ85" s="16" t="s">
        <v>165</v>
      </c>
      <c r="BR85" s="105">
        <f t="shared" si="15"/>
        <v>72</v>
      </c>
      <c r="BS85" s="145"/>
      <c r="BT85" s="16" t="s">
        <v>165</v>
      </c>
      <c r="BU85" s="16" t="s">
        <v>165</v>
      </c>
      <c r="BV85" s="16">
        <v>8.0</v>
      </c>
      <c r="BW85" s="16">
        <v>8.0</v>
      </c>
      <c r="BX85" s="16" t="s">
        <v>165</v>
      </c>
      <c r="BY85" s="16" t="s">
        <v>165</v>
      </c>
      <c r="BZ85" s="16" t="s">
        <v>165</v>
      </c>
      <c r="CA85" s="16" t="s">
        <v>165</v>
      </c>
      <c r="CB85" s="16" t="s">
        <v>165</v>
      </c>
      <c r="CC85" s="16">
        <v>8.0</v>
      </c>
      <c r="CD85" s="16">
        <v>8.0</v>
      </c>
      <c r="CE85" s="16" t="s">
        <v>165</v>
      </c>
      <c r="CF85" s="16" t="s">
        <v>165</v>
      </c>
      <c r="CG85" s="16" t="s">
        <v>165</v>
      </c>
      <c r="CH85" s="16" t="s">
        <v>165</v>
      </c>
      <c r="CI85" s="16" t="s">
        <v>165</v>
      </c>
      <c r="CJ85" s="16">
        <v>8.0</v>
      </c>
      <c r="CK85" s="16">
        <v>8.0</v>
      </c>
      <c r="CL85" s="16" t="s">
        <v>165</v>
      </c>
      <c r="CM85" s="16" t="s">
        <v>165</v>
      </c>
      <c r="CN85" s="16" t="s">
        <v>165</v>
      </c>
      <c r="CO85" s="16" t="s">
        <v>165</v>
      </c>
      <c r="CP85" s="16" t="s">
        <v>165</v>
      </c>
      <c r="CQ85" s="110">
        <v>8.0</v>
      </c>
      <c r="CR85" s="110">
        <v>8.0</v>
      </c>
      <c r="CS85" s="16" t="s">
        <v>165</v>
      </c>
      <c r="CT85" s="16" t="s">
        <v>165</v>
      </c>
      <c r="CU85" s="16" t="s">
        <v>165</v>
      </c>
      <c r="CV85" s="16" t="s">
        <v>165</v>
      </c>
      <c r="CW85" s="16" t="s">
        <v>165</v>
      </c>
      <c r="CX85" s="16">
        <v>8.0</v>
      </c>
      <c r="CY85" s="105">
        <f t="shared" si="16"/>
        <v>72</v>
      </c>
      <c r="CZ85" s="145"/>
      <c r="DA85" s="113">
        <v>8.0</v>
      </c>
      <c r="DB85" s="147" t="s">
        <v>165</v>
      </c>
      <c r="DC85" s="147" t="s">
        <v>165</v>
      </c>
      <c r="DD85" s="147" t="s">
        <v>165</v>
      </c>
      <c r="DE85" s="147" t="s">
        <v>165</v>
      </c>
      <c r="DF85" s="147" t="s">
        <v>165</v>
      </c>
      <c r="DG85" s="148">
        <v>8.0</v>
      </c>
      <c r="DH85" s="148">
        <v>8.0</v>
      </c>
      <c r="DI85" s="147" t="s">
        <v>165</v>
      </c>
      <c r="DJ85" s="147" t="s">
        <v>165</v>
      </c>
      <c r="DK85" s="147" t="s">
        <v>165</v>
      </c>
      <c r="DL85" s="147" t="s">
        <v>165</v>
      </c>
      <c r="DM85" s="147" t="s">
        <v>165</v>
      </c>
      <c r="DN85" s="147">
        <v>8.0</v>
      </c>
      <c r="DO85" s="147">
        <v>8.0</v>
      </c>
      <c r="DP85" s="147" t="s">
        <v>165</v>
      </c>
      <c r="DQ85" s="147" t="s">
        <v>165</v>
      </c>
      <c r="DR85" s="147" t="s">
        <v>165</v>
      </c>
      <c r="DS85" s="147" t="s">
        <v>165</v>
      </c>
      <c r="DT85" s="147" t="s">
        <v>165</v>
      </c>
      <c r="DU85" s="147">
        <v>8.0</v>
      </c>
      <c r="DV85" s="147">
        <v>8.0</v>
      </c>
      <c r="DW85" s="147" t="s">
        <v>165</v>
      </c>
      <c r="DX85" s="147" t="s">
        <v>165</v>
      </c>
      <c r="DY85" s="147" t="s">
        <v>165</v>
      </c>
      <c r="DZ85" s="147" t="s">
        <v>165</v>
      </c>
      <c r="EA85" s="147" t="s">
        <v>165</v>
      </c>
      <c r="EB85" s="147">
        <v>8.0</v>
      </c>
      <c r="EC85" s="147">
        <v>8.0</v>
      </c>
      <c r="ED85" s="147" t="s">
        <v>165</v>
      </c>
      <c r="EE85" s="147" t="s">
        <v>165</v>
      </c>
      <c r="EF85" s="113">
        <f t="shared" si="17"/>
        <v>72</v>
      </c>
      <c r="EG85" s="145"/>
      <c r="EH85" s="145"/>
      <c r="EI85" s="145"/>
      <c r="EJ85" s="145"/>
      <c r="EK85" s="145"/>
      <c r="EL85" s="145"/>
      <c r="EM85" s="145"/>
      <c r="EN85" s="145"/>
      <c r="EO85" s="145"/>
      <c r="EP85" s="145"/>
      <c r="EQ85" s="145"/>
      <c r="ER85" s="145"/>
      <c r="ES85" s="145"/>
      <c r="ET85" s="145"/>
      <c r="EU85" s="145"/>
      <c r="EV85" s="145"/>
      <c r="EW85" s="145"/>
      <c r="EX85" s="145"/>
      <c r="EY85" s="145"/>
      <c r="EZ85" s="145"/>
      <c r="FA85" s="145"/>
      <c r="FB85" s="145"/>
      <c r="FC85" s="145"/>
      <c r="FD85" s="145"/>
      <c r="FE85" s="145"/>
      <c r="FF85" s="145"/>
      <c r="FG85" s="145"/>
      <c r="FH85" s="145"/>
      <c r="FI85" s="145"/>
      <c r="FJ85" s="145"/>
      <c r="FK85" s="145"/>
      <c r="FL85" s="145"/>
      <c r="FM85" s="145"/>
      <c r="FN85" s="145"/>
      <c r="FO85" s="145"/>
      <c r="FP85" s="145"/>
      <c r="FQ85" s="145"/>
      <c r="FR85" s="145"/>
      <c r="FS85" s="145"/>
      <c r="FT85" s="145"/>
      <c r="FU85" s="145"/>
      <c r="FV85" s="145"/>
      <c r="FW85" s="145"/>
      <c r="FX85" s="145"/>
      <c r="FY85" s="145"/>
      <c r="FZ85" s="145"/>
      <c r="GA85" s="145"/>
      <c r="GB85" s="145"/>
      <c r="GC85" s="145"/>
      <c r="GD85" s="145"/>
      <c r="GE85" s="145"/>
      <c r="GF85" s="145"/>
      <c r="GG85" s="145"/>
      <c r="GH85" s="145"/>
      <c r="GI85" s="145"/>
      <c r="GJ85" s="145"/>
      <c r="GK85" s="145"/>
      <c r="GL85" s="145"/>
      <c r="GM85" s="145"/>
      <c r="GN85" s="145"/>
      <c r="GO85" s="145"/>
      <c r="GP85" s="145"/>
      <c r="GQ85" s="145"/>
      <c r="GR85" s="145"/>
      <c r="GS85" s="145"/>
      <c r="GT85" s="145"/>
      <c r="GU85" s="145"/>
      <c r="GV85" s="145"/>
      <c r="GW85" s="145"/>
      <c r="GX85" s="145"/>
      <c r="GY85" s="145"/>
      <c r="GZ85" s="145"/>
      <c r="HA85" s="145"/>
      <c r="HB85" s="145"/>
      <c r="HC85" s="145"/>
      <c r="HD85" s="145"/>
      <c r="HE85" s="145"/>
    </row>
    <row r="86">
      <c r="A86" s="127" t="s">
        <v>303</v>
      </c>
      <c r="B86" s="106" t="str">
        <f>iferror(vlookup(A86,'SoS - Agents Info'!A:H,5,false),"")</f>
        <v>EN</v>
      </c>
      <c r="C86" s="107" t="str">
        <f>iferror(vlookup(A86,'SoS - Agents Info'!A:AQ,43,false),"")</f>
        <v>FL</v>
      </c>
      <c r="D86" s="108" t="str">
        <f>iferror(vlookup(A86,'SoS - Agents Info'!A:H,6,false),"")</f>
        <v>WD</v>
      </c>
      <c r="E86" s="108" t="str">
        <f>iferror(vlookup(A86,'SoS - Agents Info'!A:H,7,false),"")</f>
        <v>00:00-09:00</v>
      </c>
      <c r="F86" s="109">
        <f>IFERROR(__xludf.DUMMYFUNCTION("sum(COUNTIFS(Filter(FILTER('Shiftplan SoS'!G$3:GU166,'Shiftplan SoS'!$G$1:$GU$1&lt;=today()),'Shiftplan SoS'!$A$3:$A166=A86),""&gt;0"",(Filter(FILTER('Shiftplan SoS'!G$3:GU166,'Shiftplan SoS'!$G$1:$GU$1&lt;=today()),'Shiftplan SoS'!$A$3:$A166=A86)),""&lt;12""))"),58.0)</f>
        <v>58</v>
      </c>
      <c r="G86" s="145"/>
      <c r="H86" s="145"/>
      <c r="I86" s="145"/>
      <c r="J86" s="145"/>
      <c r="K86" s="145"/>
      <c r="L86" s="145"/>
      <c r="M86" s="145"/>
      <c r="N86" s="145"/>
      <c r="O86" s="145"/>
      <c r="P86" s="145"/>
      <c r="Q86" s="145"/>
      <c r="R86" s="145"/>
      <c r="S86" s="145"/>
      <c r="T86" s="145"/>
      <c r="U86" s="145"/>
      <c r="V86" s="145"/>
      <c r="W86" s="145"/>
      <c r="X86" s="145"/>
      <c r="Y86" s="145"/>
      <c r="Z86" s="145"/>
      <c r="AA86" s="145"/>
      <c r="AB86" s="145"/>
      <c r="AC86" s="145"/>
      <c r="AD86" s="145"/>
      <c r="AE86" s="145"/>
      <c r="AF86" s="145"/>
      <c r="AG86" s="145"/>
      <c r="AH86" s="145"/>
      <c r="AI86" s="145"/>
      <c r="AJ86" s="145"/>
      <c r="AK86" s="66"/>
      <c r="AL86" s="167"/>
      <c r="AM86" s="145"/>
      <c r="AN86" s="15"/>
      <c r="AO86" s="15"/>
      <c r="AP86" s="15"/>
      <c r="AQ86" s="15"/>
      <c r="AR86" s="15"/>
      <c r="AS86" s="15"/>
      <c r="AT86" s="15"/>
      <c r="AU86" s="15"/>
      <c r="AV86" s="16">
        <v>8.0</v>
      </c>
      <c r="AW86" s="16">
        <v>8.0</v>
      </c>
      <c r="AX86" s="16">
        <v>8.0</v>
      </c>
      <c r="AY86" s="16" t="s">
        <v>165</v>
      </c>
      <c r="AZ86" s="16" t="s">
        <v>165</v>
      </c>
      <c r="BA86" s="16">
        <v>8.0</v>
      </c>
      <c r="BB86" s="16">
        <v>8.0</v>
      </c>
      <c r="BC86" s="16">
        <v>8.0</v>
      </c>
      <c r="BD86" s="16">
        <v>8.0</v>
      </c>
      <c r="BE86" s="16">
        <v>8.0</v>
      </c>
      <c r="BF86" s="16" t="s">
        <v>165</v>
      </c>
      <c r="BG86" s="16" t="s">
        <v>165</v>
      </c>
      <c r="BH86" s="16">
        <v>8.0</v>
      </c>
      <c r="BI86" s="16">
        <v>8.0</v>
      </c>
      <c r="BJ86" s="16">
        <v>8.0</v>
      </c>
      <c r="BK86" s="16">
        <v>8.0</v>
      </c>
      <c r="BL86" s="16">
        <v>8.0</v>
      </c>
      <c r="BM86" s="16" t="s">
        <v>165</v>
      </c>
      <c r="BN86" s="16" t="s">
        <v>165</v>
      </c>
      <c r="BO86" s="16">
        <v>8.0</v>
      </c>
      <c r="BP86" s="16">
        <v>8.0</v>
      </c>
      <c r="BQ86" s="16">
        <v>8.0</v>
      </c>
      <c r="BR86" s="105">
        <f t="shared" si="15"/>
        <v>128</v>
      </c>
      <c r="BS86" s="145"/>
      <c r="BT86" s="64">
        <v>8.0</v>
      </c>
      <c r="BU86" s="64">
        <v>8.0</v>
      </c>
      <c r="BV86" s="114" t="s">
        <v>165</v>
      </c>
      <c r="BW86" s="114" t="s">
        <v>165</v>
      </c>
      <c r="BX86" s="64">
        <v>8.0</v>
      </c>
      <c r="BY86" s="64">
        <v>8.0</v>
      </c>
      <c r="BZ86" s="64">
        <v>8.0</v>
      </c>
      <c r="CA86" s="64">
        <v>8.0</v>
      </c>
      <c r="CB86" s="64">
        <v>8.0</v>
      </c>
      <c r="CC86" s="114" t="s">
        <v>165</v>
      </c>
      <c r="CD86" s="114" t="s">
        <v>165</v>
      </c>
      <c r="CE86" s="64">
        <v>8.0</v>
      </c>
      <c r="CF86" s="64">
        <v>8.0</v>
      </c>
      <c r="CG86" s="64">
        <v>8.0</v>
      </c>
      <c r="CH86" s="64">
        <v>8.0</v>
      </c>
      <c r="CI86" s="64">
        <v>8.0</v>
      </c>
      <c r="CJ86" s="114" t="s">
        <v>165</v>
      </c>
      <c r="CK86" s="114" t="s">
        <v>165</v>
      </c>
      <c r="CL86" s="64">
        <v>8.0</v>
      </c>
      <c r="CM86" s="64">
        <v>8.0</v>
      </c>
      <c r="CN86" s="64">
        <v>8.0</v>
      </c>
      <c r="CO86" s="64">
        <v>8.0</v>
      </c>
      <c r="CP86" s="64">
        <v>8.0</v>
      </c>
      <c r="CQ86" s="114" t="s">
        <v>165</v>
      </c>
      <c r="CR86" s="114" t="s">
        <v>165</v>
      </c>
      <c r="CS86" s="64">
        <v>8.0</v>
      </c>
      <c r="CT86" s="64">
        <v>8.0</v>
      </c>
      <c r="CU86" s="64">
        <v>8.0</v>
      </c>
      <c r="CV86" s="25" t="s">
        <v>245</v>
      </c>
      <c r="CW86" s="25" t="s">
        <v>245</v>
      </c>
      <c r="CX86" s="114" t="s">
        <v>165</v>
      </c>
      <c r="CY86" s="105">
        <f t="shared" si="16"/>
        <v>160</v>
      </c>
      <c r="CZ86" s="145"/>
      <c r="DA86" s="113" t="s">
        <v>165</v>
      </c>
      <c r="DB86" s="147">
        <v>8.0</v>
      </c>
      <c r="DC86" s="147">
        <v>8.0</v>
      </c>
      <c r="DD86" s="147">
        <v>8.0</v>
      </c>
      <c r="DE86" s="147">
        <v>8.0</v>
      </c>
      <c r="DF86" s="147">
        <v>8.0</v>
      </c>
      <c r="DG86" s="147" t="s">
        <v>165</v>
      </c>
      <c r="DH86" s="147" t="s">
        <v>165</v>
      </c>
      <c r="DI86" s="147">
        <v>8.0</v>
      </c>
      <c r="DJ86" s="147">
        <v>8.0</v>
      </c>
      <c r="DK86" s="147">
        <v>8.0</v>
      </c>
      <c r="DL86" s="147">
        <v>8.0</v>
      </c>
      <c r="DM86" s="113">
        <v>8.0</v>
      </c>
      <c r="DN86" s="147" t="s">
        <v>165</v>
      </c>
      <c r="DO86" s="147" t="s">
        <v>165</v>
      </c>
      <c r="DP86" s="147">
        <v>8.0</v>
      </c>
      <c r="DQ86" s="147">
        <v>8.0</v>
      </c>
      <c r="DR86" s="147">
        <v>8.0</v>
      </c>
      <c r="DS86" s="147">
        <v>8.0</v>
      </c>
      <c r="DT86" s="147">
        <v>8.0</v>
      </c>
      <c r="DU86" s="147" t="s">
        <v>165</v>
      </c>
      <c r="DV86" s="147" t="s">
        <v>165</v>
      </c>
      <c r="DW86" s="147">
        <v>8.0</v>
      </c>
      <c r="DX86" s="147">
        <v>8.0</v>
      </c>
      <c r="DY86" s="113">
        <v>8.0</v>
      </c>
      <c r="DZ86" s="147">
        <v>8.0</v>
      </c>
      <c r="EA86" s="147">
        <v>8.0</v>
      </c>
      <c r="EB86" s="147" t="s">
        <v>165</v>
      </c>
      <c r="EC86" s="147" t="s">
        <v>165</v>
      </c>
      <c r="ED86" s="147">
        <v>8.0</v>
      </c>
      <c r="EE86" s="147">
        <v>8.0</v>
      </c>
      <c r="EF86" s="113">
        <f t="shared" si="17"/>
        <v>176</v>
      </c>
      <c r="EG86" s="145"/>
      <c r="EH86" s="145"/>
      <c r="EI86" s="145"/>
      <c r="EJ86" s="145"/>
      <c r="EK86" s="145"/>
      <c r="EL86" s="145"/>
      <c r="EM86" s="145"/>
      <c r="EN86" s="145"/>
      <c r="EO86" s="145"/>
      <c r="EP86" s="145"/>
      <c r="EQ86" s="145"/>
      <c r="ER86" s="145"/>
      <c r="ES86" s="145"/>
      <c r="ET86" s="145"/>
      <c r="EU86" s="145"/>
      <c r="EV86" s="145"/>
      <c r="EW86" s="145"/>
      <c r="EX86" s="145"/>
      <c r="EY86" s="145"/>
      <c r="EZ86" s="145"/>
      <c r="FA86" s="145"/>
      <c r="FB86" s="145"/>
      <c r="FC86" s="145"/>
      <c r="FD86" s="145"/>
      <c r="FE86" s="145"/>
      <c r="FF86" s="145"/>
      <c r="FG86" s="145"/>
      <c r="FH86" s="145"/>
      <c r="FI86" s="145"/>
      <c r="FJ86" s="145"/>
      <c r="FK86" s="145"/>
      <c r="FL86" s="145"/>
      <c r="FM86" s="145"/>
      <c r="FN86" s="145"/>
      <c r="FO86" s="145"/>
      <c r="FP86" s="145"/>
      <c r="FQ86" s="145"/>
      <c r="FR86" s="145"/>
      <c r="FS86" s="145"/>
      <c r="FT86" s="145"/>
      <c r="FU86" s="145"/>
      <c r="FV86" s="145"/>
      <c r="FW86" s="145"/>
      <c r="FX86" s="145"/>
      <c r="FY86" s="145"/>
      <c r="FZ86" s="145"/>
      <c r="GA86" s="145"/>
      <c r="GB86" s="145"/>
      <c r="GC86" s="145"/>
      <c r="GD86" s="145"/>
      <c r="GE86" s="145"/>
      <c r="GF86" s="145"/>
      <c r="GG86" s="145"/>
      <c r="GH86" s="145"/>
      <c r="GI86" s="145"/>
      <c r="GJ86" s="145"/>
      <c r="GK86" s="145"/>
      <c r="GL86" s="145"/>
      <c r="GM86" s="145"/>
      <c r="GN86" s="145"/>
      <c r="GO86" s="145"/>
      <c r="GP86" s="145"/>
      <c r="GQ86" s="145"/>
      <c r="GR86" s="145"/>
      <c r="GS86" s="145"/>
      <c r="GT86" s="145"/>
      <c r="GU86" s="145"/>
      <c r="GV86" s="145"/>
      <c r="GW86" s="145"/>
      <c r="GX86" s="145"/>
      <c r="GY86" s="145"/>
      <c r="GZ86" s="145"/>
      <c r="HA86" s="145"/>
      <c r="HB86" s="145"/>
      <c r="HC86" s="145"/>
      <c r="HD86" s="145"/>
      <c r="HE86" s="145"/>
    </row>
    <row r="87">
      <c r="A87" s="101" t="s">
        <v>304</v>
      </c>
      <c r="B87" s="106" t="str">
        <f>iferror(vlookup(A87,'SoS - Agents Info'!A:H,5,false),"")</f>
        <v>EN</v>
      </c>
      <c r="C87" s="107" t="str">
        <f>iferror(vlookup(A87,'SoS - Agents Info'!A:AQ,43,false),"")</f>
        <v>FL</v>
      </c>
      <c r="D87" s="108" t="str">
        <f>iferror(vlookup(A87,'SoS - Agents Info'!A:H,6,false),"")</f>
        <v>WE+WD</v>
      </c>
      <c r="E87" s="108" t="str">
        <f>iferror(vlookup(A87,'SoS - Agents Info'!A:H,7,false),"")</f>
        <v>00:00-09:00</v>
      </c>
      <c r="F87" s="109">
        <f>IFERROR(__xludf.DUMMYFUNCTION("sum(COUNTIFS(Filter(FILTER('Shiftplan SoS'!G$3:GU166,'Shiftplan SoS'!$G$1:$GU$1&lt;=today()),'Shiftplan SoS'!$A$3:$A166=A87),""&gt;0"",(Filter(FILTER('Shiftplan SoS'!G$3:GU166,'Shiftplan SoS'!$G$1:$GU$1&lt;=today()),'Shiftplan SoS'!$A$3:$A166=A87)),""&lt;12""))"),56.0)</f>
        <v>56</v>
      </c>
      <c r="G87" s="145"/>
      <c r="H87" s="145"/>
      <c r="I87" s="145"/>
      <c r="J87" s="145"/>
      <c r="K87" s="145"/>
      <c r="L87" s="145"/>
      <c r="M87" s="145"/>
      <c r="N87" s="145"/>
      <c r="O87" s="145"/>
      <c r="P87" s="145"/>
      <c r="Q87" s="145"/>
      <c r="R87" s="145"/>
      <c r="S87" s="145"/>
      <c r="T87" s="145"/>
      <c r="U87" s="145"/>
      <c r="V87" s="145"/>
      <c r="W87" s="145"/>
      <c r="X87" s="145"/>
      <c r="Y87" s="145"/>
      <c r="Z87" s="145"/>
      <c r="AA87" s="145"/>
      <c r="AB87" s="145"/>
      <c r="AC87" s="145"/>
      <c r="AD87" s="145"/>
      <c r="AE87" s="145"/>
      <c r="AF87" s="145"/>
      <c r="AG87" s="145"/>
      <c r="AH87" s="145"/>
      <c r="AI87" s="145"/>
      <c r="AJ87" s="145"/>
      <c r="AK87" s="66"/>
      <c r="AL87" s="167"/>
      <c r="AM87" s="145"/>
      <c r="AN87" s="15"/>
      <c r="AO87" s="15"/>
      <c r="AP87" s="15"/>
      <c r="AQ87" s="15"/>
      <c r="AR87" s="15"/>
      <c r="AS87" s="15"/>
      <c r="AT87" s="15"/>
      <c r="AU87" s="15"/>
      <c r="AV87" s="15"/>
      <c r="AW87" s="15"/>
      <c r="AX87" s="15"/>
      <c r="AY87" s="15"/>
      <c r="AZ87" s="15"/>
      <c r="BA87" s="16">
        <v>8.0</v>
      </c>
      <c r="BB87" s="16">
        <v>8.0</v>
      </c>
      <c r="BC87" s="16">
        <v>8.0</v>
      </c>
      <c r="BD87" s="16">
        <v>8.0</v>
      </c>
      <c r="BE87" s="16">
        <v>8.0</v>
      </c>
      <c r="BF87" s="16" t="s">
        <v>165</v>
      </c>
      <c r="BG87" s="16" t="s">
        <v>165</v>
      </c>
      <c r="BH87" s="16">
        <v>8.0</v>
      </c>
      <c r="BI87" s="16">
        <v>8.0</v>
      </c>
      <c r="BJ87" s="16" t="s">
        <v>165</v>
      </c>
      <c r="BK87" s="16" t="s">
        <v>165</v>
      </c>
      <c r="BL87" s="16">
        <v>8.0</v>
      </c>
      <c r="BM87" s="16">
        <v>8.0</v>
      </c>
      <c r="BN87" s="16">
        <v>8.0</v>
      </c>
      <c r="BO87" s="16">
        <v>8.0</v>
      </c>
      <c r="BP87" s="16">
        <v>8.0</v>
      </c>
      <c r="BQ87" s="16" t="s">
        <v>165</v>
      </c>
      <c r="BR87" s="105">
        <f t="shared" si="15"/>
        <v>96</v>
      </c>
      <c r="BS87" s="145"/>
      <c r="BT87" s="16" t="s">
        <v>165</v>
      </c>
      <c r="BU87" s="16">
        <v>8.0</v>
      </c>
      <c r="BV87" s="16">
        <v>8.0</v>
      </c>
      <c r="BW87" s="16">
        <v>8.0</v>
      </c>
      <c r="BX87" s="16">
        <v>8.0</v>
      </c>
      <c r="BY87" s="16">
        <v>8.0</v>
      </c>
      <c r="BZ87" s="16" t="s">
        <v>165</v>
      </c>
      <c r="CA87" s="16" t="s">
        <v>165</v>
      </c>
      <c r="CB87" s="16">
        <v>8.0</v>
      </c>
      <c r="CC87" s="16">
        <v>8.0</v>
      </c>
      <c r="CD87" s="16">
        <v>8.0</v>
      </c>
      <c r="CE87" s="16">
        <v>8.0</v>
      </c>
      <c r="CF87" s="16">
        <v>8.0</v>
      </c>
      <c r="CG87" s="16" t="s">
        <v>165</v>
      </c>
      <c r="CH87" s="16" t="s">
        <v>165</v>
      </c>
      <c r="CI87" s="16">
        <v>8.0</v>
      </c>
      <c r="CJ87" s="16">
        <v>8.0</v>
      </c>
      <c r="CK87" s="16">
        <v>8.0</v>
      </c>
      <c r="CL87" s="16">
        <v>8.0</v>
      </c>
      <c r="CM87" s="16">
        <v>8.0</v>
      </c>
      <c r="CN87" s="16" t="s">
        <v>165</v>
      </c>
      <c r="CO87" s="16" t="s">
        <v>165</v>
      </c>
      <c r="CP87" s="16">
        <v>8.0</v>
      </c>
      <c r="CQ87" s="16">
        <v>8.0</v>
      </c>
      <c r="CR87" s="16">
        <v>8.0</v>
      </c>
      <c r="CS87" s="16">
        <v>8.0</v>
      </c>
      <c r="CT87" s="16">
        <v>8.0</v>
      </c>
      <c r="CU87" s="16" t="s">
        <v>165</v>
      </c>
      <c r="CV87" s="131" t="s">
        <v>165</v>
      </c>
      <c r="CW87" s="131">
        <v>8.0</v>
      </c>
      <c r="CX87" s="131">
        <v>8.0</v>
      </c>
      <c r="CY87" s="105">
        <f t="shared" si="16"/>
        <v>176</v>
      </c>
      <c r="CZ87" s="145"/>
      <c r="DA87" s="113">
        <v>8.0</v>
      </c>
      <c r="DB87" s="146" t="s">
        <v>245</v>
      </c>
      <c r="DC87" s="147">
        <v>8.0</v>
      </c>
      <c r="DD87" s="147" t="s">
        <v>165</v>
      </c>
      <c r="DE87" s="147" t="s">
        <v>165</v>
      </c>
      <c r="DF87" s="147">
        <v>8.0</v>
      </c>
      <c r="DG87" s="147">
        <v>8.0</v>
      </c>
      <c r="DH87" s="147">
        <v>8.0</v>
      </c>
      <c r="DI87" s="147">
        <v>8.0</v>
      </c>
      <c r="DJ87" s="147">
        <v>8.0</v>
      </c>
      <c r="DK87" s="147" t="s">
        <v>165</v>
      </c>
      <c r="DL87" s="147" t="s">
        <v>165</v>
      </c>
      <c r="DM87" s="113">
        <v>8.0</v>
      </c>
      <c r="DN87" s="147">
        <v>8.0</v>
      </c>
      <c r="DO87" s="147">
        <v>8.0</v>
      </c>
      <c r="DP87" s="147">
        <v>8.0</v>
      </c>
      <c r="DQ87" s="147">
        <v>8.0</v>
      </c>
      <c r="DR87" s="147" t="s">
        <v>165</v>
      </c>
      <c r="DS87" s="147" t="s">
        <v>165</v>
      </c>
      <c r="DT87" s="147">
        <v>8.0</v>
      </c>
      <c r="DU87" s="147">
        <v>8.0</v>
      </c>
      <c r="DV87" s="147">
        <v>8.0</v>
      </c>
      <c r="DW87" s="147">
        <v>8.0</v>
      </c>
      <c r="DX87" s="147">
        <v>8.0</v>
      </c>
      <c r="DY87" s="147" t="s">
        <v>165</v>
      </c>
      <c r="DZ87" s="147" t="s">
        <v>165</v>
      </c>
      <c r="EA87" s="147">
        <v>8.0</v>
      </c>
      <c r="EB87" s="147">
        <v>8.0</v>
      </c>
      <c r="EC87" s="147">
        <v>8.0</v>
      </c>
      <c r="ED87" s="147">
        <v>8.0</v>
      </c>
      <c r="EE87" s="147">
        <v>8.0</v>
      </c>
      <c r="EF87" s="113">
        <f t="shared" si="17"/>
        <v>176</v>
      </c>
      <c r="EG87" s="145"/>
      <c r="EH87" s="145"/>
      <c r="EI87" s="145"/>
      <c r="EJ87" s="145"/>
      <c r="EK87" s="145"/>
      <c r="EL87" s="145"/>
      <c r="EM87" s="145"/>
      <c r="EN87" s="145"/>
      <c r="EO87" s="145"/>
      <c r="EP87" s="145"/>
      <c r="EQ87" s="145"/>
      <c r="ER87" s="145"/>
      <c r="ES87" s="145"/>
      <c r="ET87" s="145"/>
      <c r="EU87" s="145"/>
      <c r="EV87" s="145"/>
      <c r="EW87" s="145"/>
      <c r="EX87" s="145"/>
      <c r="EY87" s="145"/>
      <c r="EZ87" s="145"/>
      <c r="FA87" s="145"/>
      <c r="FB87" s="145"/>
      <c r="FC87" s="145"/>
      <c r="FD87" s="145"/>
      <c r="FE87" s="145"/>
      <c r="FF87" s="145"/>
      <c r="FG87" s="145"/>
      <c r="FH87" s="145"/>
      <c r="FI87" s="145"/>
      <c r="FJ87" s="145"/>
      <c r="FK87" s="145"/>
      <c r="FL87" s="145"/>
      <c r="FM87" s="145"/>
      <c r="FN87" s="145"/>
      <c r="FO87" s="145"/>
      <c r="FP87" s="145"/>
      <c r="FQ87" s="145"/>
      <c r="FR87" s="145"/>
      <c r="FS87" s="145"/>
      <c r="FT87" s="145"/>
      <c r="FU87" s="145"/>
      <c r="FV87" s="145"/>
      <c r="FW87" s="145"/>
      <c r="FX87" s="145"/>
      <c r="FY87" s="145"/>
      <c r="FZ87" s="145"/>
      <c r="GA87" s="145"/>
      <c r="GB87" s="145"/>
      <c r="GC87" s="145"/>
      <c r="GD87" s="145"/>
      <c r="GE87" s="145"/>
      <c r="GF87" s="145"/>
      <c r="GG87" s="145"/>
      <c r="GH87" s="145"/>
      <c r="GI87" s="145"/>
      <c r="GJ87" s="145"/>
      <c r="GK87" s="145"/>
      <c r="GL87" s="145"/>
      <c r="GM87" s="145"/>
      <c r="GN87" s="145"/>
      <c r="GO87" s="145"/>
      <c r="GP87" s="145"/>
      <c r="GQ87" s="145"/>
      <c r="GR87" s="145"/>
      <c r="GS87" s="145"/>
      <c r="GT87" s="145"/>
      <c r="GU87" s="145"/>
      <c r="GV87" s="155"/>
      <c r="GW87" s="155"/>
      <c r="GX87" s="155"/>
      <c r="GY87" s="155"/>
      <c r="GZ87" s="155"/>
      <c r="HA87" s="155"/>
      <c r="HB87" s="155"/>
      <c r="HC87" s="155"/>
      <c r="HD87" s="155"/>
      <c r="HE87" s="155"/>
    </row>
    <row r="88">
      <c r="A88" s="101" t="s">
        <v>305</v>
      </c>
      <c r="B88" s="106" t="str">
        <f>iferror(vlookup(A88,'SoS - Agents Info'!A:H,5,false),"")</f>
        <v>RU</v>
      </c>
      <c r="C88" s="107" t="str">
        <f>iferror(vlookup(A88,'SoS - Agents Info'!A:AQ,43,false),"")</f>
        <v>JM</v>
      </c>
      <c r="D88" s="108" t="str">
        <f>iferror(vlookup(A88,'SoS - Agents Info'!A:H,6,false),"")</f>
        <v>WD</v>
      </c>
      <c r="E88" s="108" t="str">
        <f>iferror(vlookup(A88,'SoS - Agents Info'!A:H,7,false),"")</f>
        <v>08:00-17:00</v>
      </c>
      <c r="F88" s="109">
        <f>IFERROR(__xludf.DUMMYFUNCTION("sum(COUNTIFS(Filter(FILTER('Shiftplan SoS'!G$3:GU166,'Shiftplan SoS'!$G$1:$GU$1&lt;=today()),'Shiftplan SoS'!$A$3:$A166=A88),""&gt;0"",(Filter(FILTER('Shiftplan SoS'!G$3:GU166,'Shiftplan SoS'!$G$1:$GU$1&lt;=today()),'Shiftplan SoS'!$A$3:$A166=A88)),""&lt;12""))"),51.0)</f>
        <v>51</v>
      </c>
      <c r="G88" s="145"/>
      <c r="H88" s="145"/>
      <c r="I88" s="145"/>
      <c r="J88" s="145"/>
      <c r="K88" s="145"/>
      <c r="L88" s="145"/>
      <c r="M88" s="145"/>
      <c r="N88" s="145"/>
      <c r="O88" s="145"/>
      <c r="P88" s="145"/>
      <c r="Q88" s="145"/>
      <c r="R88" s="145"/>
      <c r="S88" s="145"/>
      <c r="T88" s="145"/>
      <c r="U88" s="145"/>
      <c r="V88" s="145"/>
      <c r="W88" s="145"/>
      <c r="X88" s="145"/>
      <c r="Y88" s="145"/>
      <c r="Z88" s="145"/>
      <c r="AA88" s="145"/>
      <c r="AB88" s="145"/>
      <c r="AC88" s="145"/>
      <c r="AD88" s="145"/>
      <c r="AE88" s="145"/>
      <c r="AF88" s="145"/>
      <c r="AG88" s="145"/>
      <c r="AH88" s="145"/>
      <c r="AI88" s="145"/>
      <c r="AJ88" s="145"/>
      <c r="AK88" s="66"/>
      <c r="AL88" s="167"/>
      <c r="AM88" s="145"/>
      <c r="AN88" s="15"/>
      <c r="AO88" s="15"/>
      <c r="AP88" s="15"/>
      <c r="AQ88" s="15"/>
      <c r="AR88" s="15"/>
      <c r="AS88" s="15"/>
      <c r="AT88" s="15"/>
      <c r="AU88" s="15"/>
      <c r="AV88" s="15"/>
      <c r="AW88" s="15"/>
      <c r="AX88" s="15"/>
      <c r="AY88" s="15"/>
      <c r="AZ88" s="15"/>
      <c r="BA88" s="16"/>
      <c r="BB88" s="15"/>
      <c r="BC88" s="16">
        <v>8.0</v>
      </c>
      <c r="BD88" s="16">
        <v>8.0</v>
      </c>
      <c r="BE88" s="16">
        <v>8.0</v>
      </c>
      <c r="BF88" s="168" t="s">
        <v>165</v>
      </c>
      <c r="BG88" s="168" t="s">
        <v>165</v>
      </c>
      <c r="BH88" s="16">
        <v>8.0</v>
      </c>
      <c r="BI88" s="16">
        <v>8.0</v>
      </c>
      <c r="BJ88" s="16">
        <v>8.0</v>
      </c>
      <c r="BK88" s="16">
        <v>8.0</v>
      </c>
      <c r="BL88" s="16">
        <v>8.0</v>
      </c>
      <c r="BM88" s="168" t="s">
        <v>165</v>
      </c>
      <c r="BN88" s="168" t="s">
        <v>165</v>
      </c>
      <c r="BO88" s="16">
        <v>8.0</v>
      </c>
      <c r="BP88" s="16">
        <v>8.0</v>
      </c>
      <c r="BQ88" s="16">
        <v>8.0</v>
      </c>
      <c r="BR88" s="105">
        <f t="shared" si="15"/>
        <v>88</v>
      </c>
      <c r="BS88" s="145"/>
      <c r="BT88" s="64">
        <v>8.0</v>
      </c>
      <c r="BU88" s="64">
        <v>8.0</v>
      </c>
      <c r="BV88" s="114" t="s">
        <v>165</v>
      </c>
      <c r="BW88" s="114" t="s">
        <v>165</v>
      </c>
      <c r="BX88" s="64">
        <v>8.0</v>
      </c>
      <c r="BY88" s="64">
        <v>8.0</v>
      </c>
      <c r="BZ88" s="64">
        <v>8.0</v>
      </c>
      <c r="CA88" s="64">
        <v>8.0</v>
      </c>
      <c r="CB88" s="64">
        <v>8.0</v>
      </c>
      <c r="CC88" s="114" t="s">
        <v>165</v>
      </c>
      <c r="CD88" s="114" t="s">
        <v>165</v>
      </c>
      <c r="CE88" s="64">
        <v>8.0</v>
      </c>
      <c r="CF88" s="64">
        <v>8.0</v>
      </c>
      <c r="CG88" s="64">
        <v>8.0</v>
      </c>
      <c r="CH88" s="64">
        <v>8.0</v>
      </c>
      <c r="CI88" s="64">
        <v>8.0</v>
      </c>
      <c r="CJ88" s="114" t="s">
        <v>165</v>
      </c>
      <c r="CK88" s="114" t="s">
        <v>165</v>
      </c>
      <c r="CL88" s="64">
        <v>8.0</v>
      </c>
      <c r="CM88" s="64">
        <v>8.0</v>
      </c>
      <c r="CN88" s="64">
        <v>8.0</v>
      </c>
      <c r="CO88" s="64">
        <v>8.0</v>
      </c>
      <c r="CP88" s="64">
        <v>8.0</v>
      </c>
      <c r="CQ88" s="114" t="s">
        <v>165</v>
      </c>
      <c r="CR88" s="114" t="s">
        <v>165</v>
      </c>
      <c r="CS88" s="64">
        <v>8.0</v>
      </c>
      <c r="CT88" s="64">
        <v>8.0</v>
      </c>
      <c r="CU88" s="64">
        <v>8.0</v>
      </c>
      <c r="CV88" s="64">
        <v>8.0</v>
      </c>
      <c r="CW88" s="64">
        <v>8.0</v>
      </c>
      <c r="CX88" s="114" t="s">
        <v>165</v>
      </c>
      <c r="CY88" s="105">
        <f t="shared" si="16"/>
        <v>176</v>
      </c>
      <c r="CZ88" s="145"/>
      <c r="DA88" s="113" t="s">
        <v>165</v>
      </c>
      <c r="DB88" s="147">
        <v>8.0</v>
      </c>
      <c r="DC88" s="147">
        <v>8.0</v>
      </c>
      <c r="DD88" s="147">
        <v>8.0</v>
      </c>
      <c r="DE88" s="147">
        <v>8.0</v>
      </c>
      <c r="DF88" s="147">
        <v>8.0</v>
      </c>
      <c r="DG88" s="147" t="s">
        <v>165</v>
      </c>
      <c r="DH88" s="147" t="s">
        <v>165</v>
      </c>
      <c r="DI88" s="147">
        <v>8.0</v>
      </c>
      <c r="DJ88" s="147">
        <v>8.0</v>
      </c>
      <c r="DK88" s="147">
        <v>8.0</v>
      </c>
      <c r="DL88" s="147">
        <v>8.0</v>
      </c>
      <c r="DM88" s="147">
        <v>8.0</v>
      </c>
      <c r="DN88" s="147" t="s">
        <v>165</v>
      </c>
      <c r="DO88" s="147" t="s">
        <v>165</v>
      </c>
      <c r="DP88" s="146">
        <v>8.0</v>
      </c>
      <c r="DQ88" s="146">
        <v>8.0</v>
      </c>
      <c r="DR88" s="147">
        <v>8.0</v>
      </c>
      <c r="DS88" s="147">
        <v>8.0</v>
      </c>
      <c r="DT88" s="147">
        <v>8.0</v>
      </c>
      <c r="DU88" s="147" t="s">
        <v>165</v>
      </c>
      <c r="DV88" s="147" t="s">
        <v>165</v>
      </c>
      <c r="DW88" s="146" t="s">
        <v>167</v>
      </c>
      <c r="DX88" s="146" t="s">
        <v>167</v>
      </c>
      <c r="DY88" s="146" t="s">
        <v>167</v>
      </c>
      <c r="DZ88" s="146" t="s">
        <v>167</v>
      </c>
      <c r="EA88" s="147">
        <v>8.0</v>
      </c>
      <c r="EB88" s="147" t="s">
        <v>165</v>
      </c>
      <c r="EC88" s="147" t="s">
        <v>165</v>
      </c>
      <c r="ED88" s="147">
        <v>8.0</v>
      </c>
      <c r="EE88" s="147">
        <v>8.0</v>
      </c>
      <c r="EF88" s="113">
        <f t="shared" si="17"/>
        <v>144</v>
      </c>
      <c r="EG88" s="145"/>
      <c r="EH88" s="145"/>
      <c r="EI88" s="145"/>
      <c r="EJ88" s="145"/>
      <c r="EK88" s="145"/>
      <c r="EL88" s="145"/>
      <c r="EM88" s="145"/>
      <c r="EN88" s="145"/>
      <c r="EO88" s="145"/>
      <c r="EP88" s="145"/>
      <c r="EQ88" s="145"/>
      <c r="ER88" s="145"/>
      <c r="ES88" s="145"/>
      <c r="ET88" s="145"/>
      <c r="EU88" s="145"/>
      <c r="EV88" s="145"/>
      <c r="EW88" s="145"/>
      <c r="EX88" s="1" t="s">
        <v>167</v>
      </c>
      <c r="EY88" s="145"/>
      <c r="EZ88" s="145"/>
      <c r="FA88" s="145"/>
      <c r="FB88" s="145"/>
      <c r="FC88" s="145"/>
      <c r="FD88" s="145"/>
      <c r="FE88" s="145"/>
      <c r="FF88" s="145"/>
      <c r="FG88" s="145"/>
      <c r="FH88" s="145"/>
      <c r="FI88" s="145"/>
      <c r="FJ88" s="145"/>
      <c r="FK88" s="145"/>
      <c r="FL88" s="145"/>
      <c r="FM88" s="145"/>
      <c r="FN88" s="145"/>
      <c r="FO88" s="145"/>
      <c r="FP88" s="145"/>
      <c r="FQ88" s="145"/>
      <c r="FR88" s="145"/>
      <c r="FS88" s="145"/>
      <c r="FT88" s="145"/>
      <c r="FU88" s="145"/>
      <c r="FV88" s="145"/>
      <c r="FW88" s="145"/>
      <c r="FX88" s="145"/>
      <c r="FY88" s="145"/>
      <c r="FZ88" s="145"/>
      <c r="GA88" s="145"/>
      <c r="GB88" s="145"/>
      <c r="GC88" s="145"/>
      <c r="GD88" s="145"/>
      <c r="GE88" s="145"/>
      <c r="GF88" s="145"/>
      <c r="GG88" s="145"/>
      <c r="GH88" s="145"/>
      <c r="GI88" s="145"/>
      <c r="GJ88" s="145"/>
      <c r="GK88" s="145"/>
      <c r="GL88" s="145"/>
      <c r="GM88" s="145"/>
      <c r="GN88" s="145"/>
      <c r="GO88" s="145"/>
      <c r="GP88" s="145"/>
      <c r="GQ88" s="145"/>
      <c r="GR88" s="145"/>
      <c r="GS88" s="145"/>
      <c r="GT88" s="145"/>
      <c r="GU88" s="145"/>
      <c r="GV88" s="145"/>
      <c r="GW88" s="145"/>
      <c r="GX88" s="145"/>
      <c r="GY88" s="145"/>
      <c r="GZ88" s="145"/>
      <c r="HA88" s="145"/>
      <c r="HB88" s="145"/>
      <c r="HC88" s="145"/>
      <c r="HD88" s="145"/>
      <c r="HE88" s="145"/>
    </row>
    <row r="89">
      <c r="A89" s="101" t="s">
        <v>306</v>
      </c>
      <c r="B89" s="106" t="str">
        <f>iferror(vlookup(A89,'SoS - Agents Info'!A:H,5,false),"")</f>
        <v>ID</v>
      </c>
      <c r="C89" s="107" t="str">
        <f>iferror(vlookup(A89,'SoS - Agents Info'!A:AQ,43,false),"")</f>
        <v>FL</v>
      </c>
      <c r="D89" s="108" t="str">
        <f>iferror(vlookup(A89,'SoS - Agents Info'!A:H,6,false),"")</f>
        <v>WE</v>
      </c>
      <c r="E89" s="108" t="str">
        <f>iferror(vlookup(A89,'SoS - Agents Info'!A:H,7,false),"")</f>
        <v>00:00-09:00</v>
      </c>
      <c r="F89" s="109">
        <f>IFERROR(__xludf.DUMMYFUNCTION("sum(COUNTIFS(Filter(FILTER('Shiftplan SoS'!G$3:GU166,'Shiftplan SoS'!$G$1:$GU$1&lt;=today()),'Shiftplan SoS'!$A$3:$A166=A89),""&gt;0"",(Filter(FILTER('Shiftplan SoS'!G$3:GU166,'Shiftplan SoS'!$G$1:$GU$1&lt;=today()),'Shiftplan SoS'!$A$3:$A166=A89)),""&lt;12""))"),20.0)</f>
        <v>20</v>
      </c>
      <c r="G89" s="145"/>
      <c r="H89" s="145"/>
      <c r="I89" s="145"/>
      <c r="J89" s="145"/>
      <c r="K89" s="145"/>
      <c r="L89" s="145"/>
      <c r="M89" s="145"/>
      <c r="N89" s="145"/>
      <c r="O89" s="145"/>
      <c r="P89" s="145"/>
      <c r="Q89" s="145"/>
      <c r="R89" s="145"/>
      <c r="S89" s="145"/>
      <c r="T89" s="145"/>
      <c r="U89" s="145"/>
      <c r="V89" s="145"/>
      <c r="W89" s="145"/>
      <c r="X89" s="145"/>
      <c r="Y89" s="145"/>
      <c r="Z89" s="145"/>
      <c r="AA89" s="145"/>
      <c r="AB89" s="145"/>
      <c r="AC89" s="145"/>
      <c r="AD89" s="145"/>
      <c r="AE89" s="145"/>
      <c r="AF89" s="145"/>
      <c r="AG89" s="145"/>
      <c r="AH89" s="145"/>
      <c r="AI89" s="145"/>
      <c r="AJ89" s="145"/>
      <c r="AK89" s="66"/>
      <c r="AL89" s="167"/>
      <c r="AM89" s="145"/>
      <c r="AN89" s="15"/>
      <c r="AO89" s="15"/>
      <c r="AP89" s="15"/>
      <c r="AQ89" s="15"/>
      <c r="AR89" s="15"/>
      <c r="AS89" s="15"/>
      <c r="AT89" s="15"/>
      <c r="AU89" s="15"/>
      <c r="AV89" s="15"/>
      <c r="AW89" s="15"/>
      <c r="AX89" s="15"/>
      <c r="AY89" s="15"/>
      <c r="AZ89" s="15"/>
      <c r="BA89" s="16"/>
      <c r="BB89" s="16"/>
      <c r="BC89" s="16"/>
      <c r="BD89" s="16"/>
      <c r="BE89" s="16"/>
      <c r="BF89" s="168"/>
      <c r="BG89" s="168"/>
      <c r="BH89" s="16"/>
      <c r="BI89" s="168"/>
      <c r="BJ89" s="168"/>
      <c r="BK89" s="168"/>
      <c r="BL89" s="168"/>
      <c r="BM89" s="16"/>
      <c r="BN89" s="16"/>
      <c r="BO89" s="16">
        <v>8.0</v>
      </c>
      <c r="BP89" s="16">
        <v>8.0</v>
      </c>
      <c r="BQ89" s="16">
        <v>8.0</v>
      </c>
      <c r="BR89" s="105">
        <f t="shared" si="15"/>
        <v>24</v>
      </c>
      <c r="BS89" s="145"/>
      <c r="BT89" s="16">
        <v>8.0</v>
      </c>
      <c r="BU89" s="16">
        <v>8.0</v>
      </c>
      <c r="BV89" s="16" t="s">
        <v>165</v>
      </c>
      <c r="BW89" s="16" t="s">
        <v>165</v>
      </c>
      <c r="BX89" s="16" t="s">
        <v>165</v>
      </c>
      <c r="BY89" s="16" t="s">
        <v>165</v>
      </c>
      <c r="BZ89" s="16" t="s">
        <v>165</v>
      </c>
      <c r="CA89" s="16" t="s">
        <v>165</v>
      </c>
      <c r="CB89" s="16" t="s">
        <v>165</v>
      </c>
      <c r="CC89" s="16">
        <v>8.0</v>
      </c>
      <c r="CD89" s="16">
        <v>8.0</v>
      </c>
      <c r="CE89" s="16" t="s">
        <v>165</v>
      </c>
      <c r="CF89" s="16" t="s">
        <v>165</v>
      </c>
      <c r="CG89" s="16" t="s">
        <v>165</v>
      </c>
      <c r="CH89" s="16" t="s">
        <v>165</v>
      </c>
      <c r="CI89" s="16" t="s">
        <v>165</v>
      </c>
      <c r="CJ89" s="16">
        <v>8.0</v>
      </c>
      <c r="CK89" s="16">
        <v>8.0</v>
      </c>
      <c r="CL89" s="16" t="s">
        <v>165</v>
      </c>
      <c r="CM89" s="16" t="s">
        <v>165</v>
      </c>
      <c r="CN89" s="16" t="s">
        <v>165</v>
      </c>
      <c r="CO89" s="16" t="s">
        <v>165</v>
      </c>
      <c r="CP89" s="16" t="s">
        <v>165</v>
      </c>
      <c r="CQ89" s="16">
        <v>8.0</v>
      </c>
      <c r="CR89" s="16">
        <v>8.0</v>
      </c>
      <c r="CS89" s="16" t="s">
        <v>165</v>
      </c>
      <c r="CT89" s="16" t="s">
        <v>165</v>
      </c>
      <c r="CU89" s="16" t="s">
        <v>165</v>
      </c>
      <c r="CV89" s="16" t="s">
        <v>165</v>
      </c>
      <c r="CW89" s="16" t="s">
        <v>165</v>
      </c>
      <c r="CX89" s="16" t="s">
        <v>245</v>
      </c>
      <c r="CY89" s="105">
        <f t="shared" si="16"/>
        <v>64</v>
      </c>
      <c r="CZ89" s="145"/>
      <c r="DA89" s="16" t="s">
        <v>245</v>
      </c>
      <c r="DB89" s="147" t="s">
        <v>165</v>
      </c>
      <c r="DC89" s="147" t="s">
        <v>165</v>
      </c>
      <c r="DD89" s="147" t="s">
        <v>165</v>
      </c>
      <c r="DE89" s="147" t="s">
        <v>165</v>
      </c>
      <c r="DF89" s="147" t="s">
        <v>165</v>
      </c>
      <c r="DG89" s="146" t="s">
        <v>245</v>
      </c>
      <c r="DH89" s="146" t="s">
        <v>245</v>
      </c>
      <c r="DI89" s="147" t="s">
        <v>165</v>
      </c>
      <c r="DJ89" s="147" t="s">
        <v>165</v>
      </c>
      <c r="DK89" s="147" t="s">
        <v>165</v>
      </c>
      <c r="DL89" s="146">
        <v>8.0</v>
      </c>
      <c r="DM89" s="58" t="s">
        <v>170</v>
      </c>
      <c r="DN89" s="147">
        <v>8.0</v>
      </c>
      <c r="DO89" s="147">
        <v>8.0</v>
      </c>
      <c r="DP89" s="147" t="s">
        <v>165</v>
      </c>
      <c r="DQ89" s="147" t="s">
        <v>165</v>
      </c>
      <c r="DR89" s="147" t="s">
        <v>165</v>
      </c>
      <c r="DS89" s="146">
        <v>8.0</v>
      </c>
      <c r="DT89" s="146">
        <v>8.0</v>
      </c>
      <c r="DU89" s="147">
        <v>8.0</v>
      </c>
      <c r="DV89" s="147">
        <v>8.0</v>
      </c>
      <c r="DW89" s="147" t="s">
        <v>165</v>
      </c>
      <c r="DX89" s="147" t="s">
        <v>165</v>
      </c>
      <c r="DY89" s="147" t="s">
        <v>165</v>
      </c>
      <c r="DZ89" s="147" t="s">
        <v>165</v>
      </c>
      <c r="EA89" s="147" t="s">
        <v>165</v>
      </c>
      <c r="EB89" s="147">
        <v>8.0</v>
      </c>
      <c r="EC89" s="147">
        <v>8.0</v>
      </c>
      <c r="ED89" s="147" t="s">
        <v>165</v>
      </c>
      <c r="EE89" s="147" t="s">
        <v>165</v>
      </c>
      <c r="EF89" s="113">
        <f t="shared" si="17"/>
        <v>72</v>
      </c>
      <c r="EG89" s="145"/>
      <c r="EH89" s="145"/>
      <c r="EI89" s="145"/>
      <c r="EJ89" s="145"/>
      <c r="EK89" s="145"/>
      <c r="EL89" s="145"/>
      <c r="EM89" s="145"/>
      <c r="EN89" s="145"/>
      <c r="EO89" s="145"/>
      <c r="EP89" s="145"/>
      <c r="EQ89" s="145"/>
      <c r="ER89" s="145"/>
      <c r="ES89" s="145"/>
      <c r="ET89" s="145"/>
      <c r="EU89" s="145"/>
      <c r="EV89" s="145"/>
      <c r="EW89" s="145"/>
      <c r="EX89" s="145"/>
      <c r="EY89" s="145"/>
      <c r="EZ89" s="145"/>
      <c r="FA89" s="145"/>
      <c r="FB89" s="145"/>
      <c r="FC89" s="145"/>
      <c r="FD89" s="145"/>
      <c r="FE89" s="145"/>
      <c r="FF89" s="145"/>
      <c r="FG89" s="145"/>
      <c r="FH89" s="145"/>
      <c r="FI89" s="145"/>
      <c r="FJ89" s="145"/>
      <c r="FK89" s="145"/>
      <c r="FL89" s="145"/>
      <c r="FM89" s="145"/>
      <c r="FN89" s="145"/>
      <c r="FO89" s="145"/>
      <c r="FP89" s="145"/>
      <c r="FQ89" s="145"/>
      <c r="FR89" s="145"/>
      <c r="FS89" s="145"/>
      <c r="FT89" s="145"/>
      <c r="FU89" s="145"/>
      <c r="FV89" s="145"/>
      <c r="FW89" s="145"/>
      <c r="FX89" s="145"/>
      <c r="FY89" s="145"/>
      <c r="FZ89" s="145"/>
      <c r="GA89" s="145"/>
      <c r="GB89" s="145"/>
      <c r="GC89" s="145"/>
      <c r="GD89" s="145"/>
      <c r="GE89" s="145"/>
      <c r="GF89" s="145"/>
      <c r="GG89" s="145"/>
      <c r="GH89" s="145"/>
      <c r="GI89" s="145"/>
      <c r="GJ89" s="145"/>
      <c r="GK89" s="145"/>
      <c r="GL89" s="145"/>
      <c r="GM89" s="145"/>
      <c r="GN89" s="145"/>
      <c r="GO89" s="145"/>
      <c r="GP89" s="145"/>
      <c r="GQ89" s="145"/>
      <c r="GR89" s="145"/>
      <c r="GS89" s="145"/>
      <c r="GT89" s="145"/>
      <c r="GU89" s="145"/>
      <c r="GV89" s="145"/>
      <c r="GW89" s="145"/>
      <c r="GX89" s="145"/>
      <c r="GY89" s="145"/>
      <c r="GZ89" s="145"/>
      <c r="HA89" s="145"/>
      <c r="HB89" s="145"/>
      <c r="HC89" s="145"/>
      <c r="HD89" s="145"/>
      <c r="HE89" s="145"/>
    </row>
    <row r="90">
      <c r="A90" s="111" t="s">
        <v>307</v>
      </c>
      <c r="B90" s="106" t="str">
        <f>iferror(vlookup(A90,'SoS - Agents Info'!A:H,5,false),"")</f>
        <v>EN</v>
      </c>
      <c r="C90" s="107" t="str">
        <f>iferror(vlookup(A90,'SoS - Agents Info'!A:AQ,43,false),"")</f>
        <v>RA+VM</v>
      </c>
      <c r="D90" s="108" t="str">
        <f>iferror(vlookup(A90,'SoS - Agents Info'!A:H,6,false),"")</f>
        <v>WE+WD</v>
      </c>
      <c r="E90" s="108" t="str">
        <f>iferror(vlookup(A90,'SoS - Agents Info'!A:H,7,false),"")</f>
        <v>16:00-01:00</v>
      </c>
      <c r="F90" s="109">
        <f>IFERROR(__xludf.DUMMYFUNCTION("sum(COUNTIFS(Filter(FILTER('Shiftplan SoS'!G$3:GU166,'Shiftplan SoS'!$G$1:$GU$1&lt;=today()),'Shiftplan SoS'!$A$3:$A166=A90),""&gt;0"",(Filter(FILTER('Shiftplan SoS'!G$3:GU166,'Shiftplan SoS'!$G$1:$GU$1&lt;=today()),'Shiftplan SoS'!$A$3:$A166=A90)),""&lt;12""))"),22.0)</f>
        <v>22</v>
      </c>
      <c r="G90" s="118"/>
      <c r="H90" s="118"/>
      <c r="I90" s="118"/>
      <c r="J90" s="118"/>
      <c r="K90" s="118"/>
      <c r="L90" s="118"/>
      <c r="M90" s="118"/>
      <c r="N90" s="118"/>
      <c r="O90" s="118"/>
      <c r="P90" s="118"/>
      <c r="Q90" s="118"/>
      <c r="R90" s="118"/>
      <c r="S90" s="118"/>
      <c r="T90" s="118"/>
      <c r="U90" s="118"/>
      <c r="V90" s="118"/>
      <c r="W90" s="118"/>
      <c r="X90" s="118"/>
      <c r="Y90" s="118"/>
      <c r="Z90" s="118"/>
      <c r="AA90" s="118"/>
      <c r="AB90" s="118"/>
      <c r="AC90" s="118"/>
      <c r="AD90" s="118"/>
      <c r="AE90" s="118"/>
      <c r="AF90" s="118"/>
      <c r="AG90" s="118"/>
      <c r="AH90" s="118"/>
      <c r="AI90" s="118"/>
      <c r="AJ90" s="118"/>
      <c r="AK90" s="169"/>
      <c r="AL90" s="105"/>
      <c r="AM90" s="48"/>
      <c r="AN90" s="16"/>
      <c r="AO90" s="16"/>
      <c r="AP90" s="16"/>
      <c r="AQ90" s="16"/>
      <c r="AR90" s="16"/>
      <c r="AS90" s="16"/>
      <c r="AT90" s="118"/>
      <c r="AU90" s="118"/>
      <c r="AV90" s="118"/>
      <c r="AW90" s="118"/>
      <c r="AX90" s="118"/>
      <c r="AY90" s="118"/>
      <c r="AZ90" s="118"/>
      <c r="BA90" s="118"/>
      <c r="BB90" s="118"/>
      <c r="BC90" s="118"/>
      <c r="BD90" s="118"/>
      <c r="BE90" s="118"/>
      <c r="BF90" s="118"/>
      <c r="BG90" s="118"/>
      <c r="BH90" s="118"/>
      <c r="BI90" s="118"/>
      <c r="BJ90" s="118"/>
      <c r="BK90" s="118"/>
      <c r="BL90" s="118"/>
      <c r="BM90" s="168" t="s">
        <v>165</v>
      </c>
      <c r="BN90" s="168" t="s">
        <v>165</v>
      </c>
      <c r="BO90" s="53">
        <v>8.0</v>
      </c>
      <c r="BP90" s="110">
        <v>8.0</v>
      </c>
      <c r="BQ90" s="53">
        <v>8.0</v>
      </c>
      <c r="BR90" s="157">
        <f t="shared" si="15"/>
        <v>24</v>
      </c>
      <c r="BS90" s="48"/>
      <c r="BT90" s="121">
        <v>8.0</v>
      </c>
      <c r="BU90" s="121">
        <v>8.0</v>
      </c>
      <c r="BV90" s="114" t="s">
        <v>165</v>
      </c>
      <c r="BW90" s="114" t="s">
        <v>165</v>
      </c>
      <c r="BX90" s="25" t="s">
        <v>245</v>
      </c>
      <c r="BY90" s="121">
        <v>8.0</v>
      </c>
      <c r="BZ90" s="121">
        <v>8.0</v>
      </c>
      <c r="CA90" s="121">
        <v>8.0</v>
      </c>
      <c r="CB90" s="64">
        <v>8.0</v>
      </c>
      <c r="CC90" s="114" t="s">
        <v>165</v>
      </c>
      <c r="CD90" s="114" t="s">
        <v>165</v>
      </c>
      <c r="CE90" s="64">
        <v>8.0</v>
      </c>
      <c r="CF90" s="121">
        <v>8.0</v>
      </c>
      <c r="CG90" s="121">
        <v>8.0</v>
      </c>
      <c r="CH90" s="121">
        <v>8.0</v>
      </c>
      <c r="CI90" s="121">
        <v>8.0</v>
      </c>
      <c r="CJ90" s="114" t="s">
        <v>165</v>
      </c>
      <c r="CK90" s="114" t="s">
        <v>165</v>
      </c>
      <c r="CL90" s="121">
        <v>8.0</v>
      </c>
      <c r="CM90" s="121">
        <v>8.0</v>
      </c>
      <c r="CN90" s="121">
        <v>8.0</v>
      </c>
      <c r="CO90" s="121">
        <v>8.0</v>
      </c>
      <c r="CP90" s="121">
        <v>8.0</v>
      </c>
      <c r="CQ90" s="114" t="s">
        <v>165</v>
      </c>
      <c r="CR90" s="112" t="s">
        <v>245</v>
      </c>
      <c r="CS90" s="25" t="s">
        <v>165</v>
      </c>
      <c r="CT90" s="25" t="s">
        <v>165</v>
      </c>
      <c r="CU90" s="121">
        <v>8.0</v>
      </c>
      <c r="CV90" s="64">
        <v>8.0</v>
      </c>
      <c r="CW90" s="64">
        <v>8.0</v>
      </c>
      <c r="CX90" s="112" t="s">
        <v>170</v>
      </c>
      <c r="CY90" s="105">
        <f t="shared" si="16"/>
        <v>152</v>
      </c>
      <c r="CZ90" s="170"/>
      <c r="DA90" s="112" t="s">
        <v>245</v>
      </c>
      <c r="DB90" s="113" t="s">
        <v>165</v>
      </c>
      <c r="DC90" s="113" t="s">
        <v>165</v>
      </c>
      <c r="DD90" s="112" t="s">
        <v>245</v>
      </c>
      <c r="DE90" s="112" t="s">
        <v>245</v>
      </c>
      <c r="DF90" s="112" t="s">
        <v>245</v>
      </c>
      <c r="DG90" s="112" t="s">
        <v>245</v>
      </c>
      <c r="DH90" s="112" t="s">
        <v>245</v>
      </c>
      <c r="DI90" s="113" t="s">
        <v>165</v>
      </c>
      <c r="DJ90" s="113" t="s">
        <v>165</v>
      </c>
      <c r="DK90" s="112" t="s">
        <v>245</v>
      </c>
      <c r="DL90" s="112" t="s">
        <v>245</v>
      </c>
      <c r="DM90" s="112" t="s">
        <v>245</v>
      </c>
      <c r="DN90" s="112" t="s">
        <v>245</v>
      </c>
      <c r="DO90" s="112" t="s">
        <v>245</v>
      </c>
      <c r="DP90" s="113" t="s">
        <v>165</v>
      </c>
      <c r="DQ90" s="113" t="s">
        <v>165</v>
      </c>
      <c r="DR90" s="112" t="s">
        <v>245</v>
      </c>
      <c r="DS90" s="112" t="s">
        <v>245</v>
      </c>
      <c r="DT90" s="112" t="s">
        <v>245</v>
      </c>
      <c r="DU90" s="112" t="s">
        <v>245</v>
      </c>
      <c r="DV90" s="112" t="s">
        <v>245</v>
      </c>
      <c r="DW90" s="113" t="s">
        <v>165</v>
      </c>
      <c r="DX90" s="113" t="s">
        <v>165</v>
      </c>
      <c r="DY90" s="112" t="s">
        <v>245</v>
      </c>
      <c r="DZ90" s="112" t="s">
        <v>245</v>
      </c>
      <c r="EA90" s="112" t="s">
        <v>245</v>
      </c>
      <c r="EB90" s="112" t="s">
        <v>245</v>
      </c>
      <c r="EC90" s="112" t="s">
        <v>245</v>
      </c>
      <c r="ED90" s="113" t="s">
        <v>165</v>
      </c>
      <c r="EE90" s="113" t="s">
        <v>165</v>
      </c>
      <c r="EF90" s="113">
        <f t="shared" si="17"/>
        <v>0</v>
      </c>
      <c r="EG90" s="170"/>
      <c r="EH90" s="170"/>
      <c r="EI90" s="170"/>
      <c r="EJ90" s="170"/>
      <c r="EK90" s="170"/>
      <c r="EL90" s="170"/>
      <c r="EM90" s="170"/>
      <c r="EN90" s="170"/>
      <c r="EO90" s="170"/>
      <c r="EP90" s="170"/>
      <c r="EQ90" s="170"/>
      <c r="ER90" s="170"/>
      <c r="ES90" s="170"/>
      <c r="ET90" s="170"/>
      <c r="EU90" s="170"/>
      <c r="EV90" s="170"/>
      <c r="EW90" s="170"/>
      <c r="EX90" s="170"/>
      <c r="EY90" s="170"/>
      <c r="EZ90" s="170"/>
      <c r="FA90" s="170"/>
      <c r="FB90" s="170"/>
      <c r="FC90" s="170"/>
      <c r="FD90" s="170"/>
      <c r="FE90" s="170"/>
      <c r="FF90" s="170"/>
      <c r="FG90" s="170"/>
      <c r="FH90" s="170"/>
      <c r="FI90" s="170"/>
      <c r="FJ90" s="170"/>
      <c r="FK90" s="170"/>
      <c r="FL90" s="170"/>
      <c r="FM90" s="170"/>
      <c r="FN90" s="170"/>
      <c r="FO90" s="170"/>
      <c r="FP90" s="170"/>
      <c r="FQ90" s="170"/>
      <c r="FR90" s="170"/>
      <c r="FS90" s="170"/>
      <c r="FT90" s="170"/>
      <c r="FU90" s="170"/>
      <c r="FV90" s="170"/>
      <c r="FW90" s="170"/>
      <c r="FX90" s="170"/>
      <c r="FY90" s="170"/>
      <c r="FZ90" s="170"/>
      <c r="GA90" s="170"/>
      <c r="GB90" s="170"/>
      <c r="GC90" s="170"/>
      <c r="GD90" s="170"/>
      <c r="GE90" s="170"/>
      <c r="GF90" s="170"/>
      <c r="GG90" s="170"/>
      <c r="GH90" s="170"/>
      <c r="GI90" s="170"/>
      <c r="GJ90" s="170"/>
      <c r="GK90" s="170"/>
      <c r="GL90" s="170"/>
      <c r="GM90" s="170"/>
      <c r="GN90" s="170"/>
      <c r="GO90" s="170"/>
      <c r="GP90" s="170"/>
      <c r="GQ90" s="170"/>
      <c r="GR90" s="170"/>
      <c r="GS90" s="170"/>
      <c r="GT90" s="170"/>
      <c r="GU90" s="170"/>
      <c r="GV90" s="170"/>
      <c r="GW90" s="170"/>
      <c r="GX90" s="170"/>
      <c r="GY90" s="170"/>
      <c r="GZ90" s="170"/>
      <c r="HA90" s="170"/>
      <c r="HB90" s="170"/>
      <c r="HC90" s="170"/>
      <c r="HD90" s="170"/>
      <c r="HE90" s="170"/>
    </row>
    <row r="91">
      <c r="A91" s="111" t="s">
        <v>308</v>
      </c>
      <c r="B91" s="106" t="str">
        <f>iferror(vlookup(A91,'SoS - Agents Info'!A:H,5,false),"")</f>
        <v>EN</v>
      </c>
      <c r="C91" s="107" t="str">
        <f>iferror(vlookup(A91,'SoS - Agents Info'!A:AQ,43,false),"")</f>
        <v>FL</v>
      </c>
      <c r="D91" s="108" t="str">
        <f>iferror(vlookup(A91,'SoS - Agents Info'!A:H,6,false),"")</f>
        <v>WE</v>
      </c>
      <c r="E91" s="108" t="str">
        <f>iferror(vlookup(A91,'SoS - Agents Info'!A:H,7,false),"")</f>
        <v>00:00-09:00</v>
      </c>
      <c r="F91" s="109">
        <f>IFERROR(__xludf.DUMMYFUNCTION("sum(COUNTIFS(Filter(FILTER('Shiftplan SoS'!G$3:GU166,'Shiftplan SoS'!$G$1:$GU$1&lt;=today()),'Shiftplan SoS'!$A$3:$A166=A91),""&gt;0"",(Filter(FILTER('Shiftplan SoS'!G$3:GU166,'Shiftplan SoS'!$G$1:$GU$1&lt;=today()),'Shiftplan SoS'!$A$3:$A166=A91)),""&lt;12""))"),22.0)</f>
        <v>22</v>
      </c>
      <c r="G91" s="118"/>
      <c r="H91" s="118"/>
      <c r="I91" s="118"/>
      <c r="J91" s="118"/>
      <c r="K91" s="118"/>
      <c r="L91" s="118"/>
      <c r="M91" s="118"/>
      <c r="N91" s="118"/>
      <c r="O91" s="118"/>
      <c r="P91" s="118"/>
      <c r="Q91" s="118"/>
      <c r="R91" s="118"/>
      <c r="S91" s="118"/>
      <c r="T91" s="118"/>
      <c r="U91" s="118"/>
      <c r="V91" s="118"/>
      <c r="W91" s="118"/>
      <c r="X91" s="118"/>
      <c r="Y91" s="118"/>
      <c r="Z91" s="118"/>
      <c r="AA91" s="118"/>
      <c r="AB91" s="118"/>
      <c r="AC91" s="118"/>
      <c r="AD91" s="118"/>
      <c r="AE91" s="118"/>
      <c r="AF91" s="118"/>
      <c r="AG91" s="118"/>
      <c r="AH91" s="118"/>
      <c r="AI91" s="118"/>
      <c r="AJ91" s="118"/>
      <c r="AK91" s="169"/>
      <c r="AL91" s="105"/>
      <c r="AM91" s="48"/>
      <c r="AN91" s="16"/>
      <c r="AO91" s="16"/>
      <c r="AP91" s="16"/>
      <c r="AQ91" s="16"/>
      <c r="AR91" s="16"/>
      <c r="AS91" s="16"/>
      <c r="AT91" s="118"/>
      <c r="AU91" s="118"/>
      <c r="AV91" s="118"/>
      <c r="AW91" s="118"/>
      <c r="AX91" s="118"/>
      <c r="AY91" s="118"/>
      <c r="AZ91" s="118"/>
      <c r="BA91" s="118"/>
      <c r="BB91" s="118"/>
      <c r="BC91" s="118"/>
      <c r="BD91" s="118"/>
      <c r="BE91" s="118"/>
      <c r="BF91" s="118"/>
      <c r="BG91" s="118"/>
      <c r="BH91" s="118"/>
      <c r="BI91" s="118"/>
      <c r="BJ91" s="118"/>
      <c r="BK91" s="118"/>
      <c r="BL91" s="53">
        <v>8.0</v>
      </c>
      <c r="BM91" s="168" t="s">
        <v>165</v>
      </c>
      <c r="BN91" s="168" t="s">
        <v>165</v>
      </c>
      <c r="BO91" s="53">
        <v>8.0</v>
      </c>
      <c r="BP91" s="53">
        <v>8.0</v>
      </c>
      <c r="BQ91" s="53">
        <v>8.0</v>
      </c>
      <c r="BR91" s="105">
        <f t="shared" si="15"/>
        <v>32</v>
      </c>
      <c r="BS91" s="48"/>
      <c r="BT91" s="16">
        <v>8.0</v>
      </c>
      <c r="BU91" s="16" t="s">
        <v>165</v>
      </c>
      <c r="BV91" s="16">
        <v>8.0</v>
      </c>
      <c r="BW91" s="16">
        <v>8.0</v>
      </c>
      <c r="BX91" s="16" t="s">
        <v>165</v>
      </c>
      <c r="BY91" s="16" t="s">
        <v>165</v>
      </c>
      <c r="BZ91" s="16" t="s">
        <v>165</v>
      </c>
      <c r="CA91" s="16" t="s">
        <v>165</v>
      </c>
      <c r="CB91" s="16" t="s">
        <v>165</v>
      </c>
      <c r="CC91" s="16">
        <v>8.0</v>
      </c>
      <c r="CD91" s="16">
        <v>8.0</v>
      </c>
      <c r="CE91" s="16" t="s">
        <v>165</v>
      </c>
      <c r="CF91" s="16" t="s">
        <v>165</v>
      </c>
      <c r="CG91" s="16" t="s">
        <v>165</v>
      </c>
      <c r="CH91" s="16" t="s">
        <v>165</v>
      </c>
      <c r="CI91" s="16" t="s">
        <v>165</v>
      </c>
      <c r="CJ91" s="16">
        <v>8.0</v>
      </c>
      <c r="CK91" s="16">
        <v>8.0</v>
      </c>
      <c r="CL91" s="16" t="s">
        <v>165</v>
      </c>
      <c r="CM91" s="16" t="s">
        <v>165</v>
      </c>
      <c r="CN91" s="16" t="s">
        <v>165</v>
      </c>
      <c r="CO91" s="16" t="s">
        <v>165</v>
      </c>
      <c r="CP91" s="16" t="s">
        <v>165</v>
      </c>
      <c r="CQ91" s="16">
        <v>8.0</v>
      </c>
      <c r="CR91" s="16">
        <v>8.0</v>
      </c>
      <c r="CS91" s="16" t="s">
        <v>165</v>
      </c>
      <c r="CT91" s="16" t="s">
        <v>165</v>
      </c>
      <c r="CU91" s="16" t="s">
        <v>165</v>
      </c>
      <c r="CV91" s="16" t="s">
        <v>165</v>
      </c>
      <c r="CW91" s="16" t="s">
        <v>165</v>
      </c>
      <c r="CX91" s="16">
        <v>8.0</v>
      </c>
      <c r="CY91" s="105">
        <f t="shared" si="16"/>
        <v>80</v>
      </c>
      <c r="CZ91" s="170"/>
      <c r="DA91" s="113">
        <v>8.0</v>
      </c>
      <c r="DB91" s="113" t="s">
        <v>165</v>
      </c>
      <c r="DC91" s="113" t="s">
        <v>165</v>
      </c>
      <c r="DD91" s="113" t="s">
        <v>165</v>
      </c>
      <c r="DE91" s="113" t="s">
        <v>165</v>
      </c>
      <c r="DF91" s="113" t="s">
        <v>165</v>
      </c>
      <c r="DG91" s="58" t="s">
        <v>170</v>
      </c>
      <c r="DH91" s="113">
        <v>8.0</v>
      </c>
      <c r="DI91" s="113" t="s">
        <v>165</v>
      </c>
      <c r="DJ91" s="113" t="s">
        <v>165</v>
      </c>
      <c r="DK91" s="113" t="s">
        <v>165</v>
      </c>
      <c r="DL91" s="113" t="s">
        <v>165</v>
      </c>
      <c r="DM91" s="113" t="s">
        <v>165</v>
      </c>
      <c r="DN91" s="113">
        <v>8.0</v>
      </c>
      <c r="DO91" s="113">
        <v>8.0</v>
      </c>
      <c r="DP91" s="113" t="s">
        <v>165</v>
      </c>
      <c r="DQ91" s="113" t="s">
        <v>165</v>
      </c>
      <c r="DR91" s="113" t="s">
        <v>165</v>
      </c>
      <c r="DS91" s="113" t="s">
        <v>165</v>
      </c>
      <c r="DT91" s="113" t="s">
        <v>165</v>
      </c>
      <c r="DU91" s="113">
        <v>8.0</v>
      </c>
      <c r="DV91" s="113">
        <v>8.0</v>
      </c>
      <c r="DW91" s="113" t="s">
        <v>165</v>
      </c>
      <c r="DX91" s="113" t="s">
        <v>165</v>
      </c>
      <c r="DY91" s="113" t="s">
        <v>165</v>
      </c>
      <c r="DZ91" s="113" t="s">
        <v>165</v>
      </c>
      <c r="EA91" s="113" t="s">
        <v>165</v>
      </c>
      <c r="EB91" s="113">
        <v>8.0</v>
      </c>
      <c r="EC91" s="113">
        <v>8.0</v>
      </c>
      <c r="ED91" s="113" t="s">
        <v>165</v>
      </c>
      <c r="EE91" s="113" t="s">
        <v>165</v>
      </c>
      <c r="EF91" s="113">
        <f t="shared" si="17"/>
        <v>64</v>
      </c>
      <c r="EG91" s="170"/>
      <c r="EH91" s="170"/>
      <c r="EI91" s="170"/>
      <c r="EJ91" s="170"/>
      <c r="EK91" s="170"/>
      <c r="EL91" s="170"/>
      <c r="EM91" s="170"/>
      <c r="EN91" s="170"/>
      <c r="EO91" s="170"/>
      <c r="EP91" s="170"/>
      <c r="EQ91" s="170"/>
      <c r="ER91" s="170"/>
      <c r="ES91" s="170"/>
      <c r="ET91" s="170"/>
      <c r="EU91" s="170"/>
      <c r="EV91" s="170"/>
      <c r="EW91" s="170"/>
      <c r="EX91" s="170"/>
      <c r="EY91" s="170"/>
      <c r="EZ91" s="170"/>
      <c r="FA91" s="170"/>
      <c r="FB91" s="170"/>
      <c r="FC91" s="170"/>
      <c r="FD91" s="170"/>
      <c r="FE91" s="170"/>
      <c r="FF91" s="170"/>
      <c r="FG91" s="170"/>
      <c r="FH91" s="170"/>
      <c r="FI91" s="170"/>
      <c r="FJ91" s="170"/>
      <c r="FK91" s="170"/>
      <c r="FL91" s="170"/>
      <c r="FM91" s="170"/>
      <c r="FN91" s="170"/>
      <c r="FO91" s="170"/>
      <c r="FP91" s="170"/>
      <c r="FQ91" s="170"/>
      <c r="FR91" s="170"/>
      <c r="FS91" s="170"/>
      <c r="FT91" s="170"/>
      <c r="FU91" s="170"/>
      <c r="FV91" s="170"/>
      <c r="FW91" s="170"/>
      <c r="FX91" s="170"/>
      <c r="FY91" s="170"/>
      <c r="FZ91" s="170"/>
      <c r="GA91" s="170"/>
      <c r="GB91" s="170"/>
      <c r="GC91" s="170"/>
      <c r="GD91" s="170"/>
      <c r="GE91" s="170"/>
      <c r="GF91" s="170"/>
      <c r="GG91" s="170"/>
      <c r="GH91" s="170"/>
      <c r="GI91" s="170"/>
      <c r="GJ91" s="170"/>
      <c r="GK91" s="170"/>
      <c r="GL91" s="170"/>
      <c r="GM91" s="170"/>
      <c r="GN91" s="170"/>
      <c r="GO91" s="170"/>
      <c r="GP91" s="170"/>
      <c r="GQ91" s="170"/>
      <c r="GR91" s="170"/>
      <c r="GS91" s="170"/>
      <c r="GT91" s="170"/>
      <c r="GU91" s="170"/>
      <c r="GV91" s="170"/>
      <c r="GW91" s="170"/>
      <c r="GX91" s="170"/>
      <c r="GY91" s="170"/>
      <c r="GZ91" s="170"/>
      <c r="HA91" s="170"/>
      <c r="HB91" s="170"/>
      <c r="HC91" s="170"/>
      <c r="HD91" s="170"/>
      <c r="HE91" s="170"/>
    </row>
    <row r="92">
      <c r="A92" s="111" t="s">
        <v>309</v>
      </c>
      <c r="B92" s="106" t="str">
        <f>iferror(vlookup(A92,'SoS - Agents Info'!A:H,5,false),"")</f>
        <v>EN</v>
      </c>
      <c r="C92" s="107" t="str">
        <f>iferror(vlookup(A92,'SoS - Agents Info'!A:AQ,43,false),"")</f>
        <v>FL</v>
      </c>
      <c r="D92" s="108" t="str">
        <f>iferror(vlookup(A92,'SoS - Agents Info'!A:H,6,false),"")</f>
        <v>WE+WD</v>
      </c>
      <c r="E92" s="108" t="str">
        <f>iferror(vlookup(A92,'SoS - Agents Info'!A:H,7,false),"")</f>
        <v>00:00-09:00</v>
      </c>
      <c r="F92" s="109">
        <f>IFERROR(__xludf.DUMMYFUNCTION("sum(COUNTIFS(Filter(FILTER('Shiftplan SoS'!G$3:GU166,'Shiftplan SoS'!$G$1:$GU$1&lt;=today()),'Shiftplan SoS'!$A$3:$A166=A92),""&gt;0"",(Filter(FILTER('Shiftplan SoS'!G$3:GU166,'Shiftplan SoS'!$G$1:$GU$1&lt;=today()),'Shiftplan SoS'!$A$3:$A166=A92)),""&lt;12""))"),51.0)</f>
        <v>51</v>
      </c>
      <c r="G92" s="118"/>
      <c r="H92" s="118"/>
      <c r="I92" s="118"/>
      <c r="J92" s="118"/>
      <c r="K92" s="118"/>
      <c r="L92" s="118"/>
      <c r="M92" s="118"/>
      <c r="N92" s="118"/>
      <c r="O92" s="118"/>
      <c r="P92" s="118"/>
      <c r="Q92" s="118"/>
      <c r="R92" s="118"/>
      <c r="S92" s="118"/>
      <c r="T92" s="118"/>
      <c r="U92" s="118"/>
      <c r="V92" s="118"/>
      <c r="W92" s="118"/>
      <c r="X92" s="118"/>
      <c r="Y92" s="118"/>
      <c r="Z92" s="118"/>
      <c r="AA92" s="118"/>
      <c r="AB92" s="118"/>
      <c r="AC92" s="118"/>
      <c r="AD92" s="118"/>
      <c r="AE92" s="118"/>
      <c r="AF92" s="118"/>
      <c r="AG92" s="118"/>
      <c r="AH92" s="118"/>
      <c r="AI92" s="118"/>
      <c r="AJ92" s="118"/>
      <c r="AK92" s="169"/>
      <c r="AL92" s="105"/>
      <c r="AM92" s="48"/>
      <c r="AN92" s="16"/>
      <c r="AO92" s="16"/>
      <c r="AP92" s="16"/>
      <c r="AQ92" s="16"/>
      <c r="AR92" s="16"/>
      <c r="AS92" s="16"/>
      <c r="AT92" s="118"/>
      <c r="AU92" s="118"/>
      <c r="AV92" s="118"/>
      <c r="AW92" s="118"/>
      <c r="AX92" s="118"/>
      <c r="AY92" s="118"/>
      <c r="AZ92" s="118"/>
      <c r="BA92" s="118"/>
      <c r="BB92" s="118"/>
      <c r="BC92" s="118"/>
      <c r="BD92" s="118"/>
      <c r="BE92" s="118"/>
      <c r="BF92" s="118"/>
      <c r="BG92" s="118"/>
      <c r="BH92" s="118"/>
      <c r="BI92" s="118"/>
      <c r="BJ92" s="118"/>
      <c r="BK92" s="118"/>
      <c r="BL92" s="118"/>
      <c r="BM92" s="168"/>
      <c r="BN92" s="168"/>
      <c r="BO92" s="118"/>
      <c r="BP92" s="53">
        <v>8.0</v>
      </c>
      <c r="BQ92" s="53">
        <v>8.0</v>
      </c>
      <c r="BR92" s="105">
        <f t="shared" si="15"/>
        <v>16</v>
      </c>
      <c r="BS92" s="48"/>
      <c r="BT92" s="53">
        <v>8.0</v>
      </c>
      <c r="BU92" s="53">
        <v>8.0</v>
      </c>
      <c r="BV92" s="114" t="s">
        <v>165</v>
      </c>
      <c r="BW92" s="114" t="s">
        <v>165</v>
      </c>
      <c r="BX92" s="53">
        <v>8.0</v>
      </c>
      <c r="BY92" s="171" t="s">
        <v>165</v>
      </c>
      <c r="BZ92" s="172">
        <v>8.0</v>
      </c>
      <c r="CA92" s="171" t="s">
        <v>165</v>
      </c>
      <c r="CB92" s="172">
        <v>8.0</v>
      </c>
      <c r="CC92" s="172">
        <v>8.0</v>
      </c>
      <c r="CD92" s="172">
        <v>8.0</v>
      </c>
      <c r="CE92" s="172">
        <v>8.0</v>
      </c>
      <c r="CF92" s="53" t="s">
        <v>165</v>
      </c>
      <c r="CG92" s="53">
        <v>8.0</v>
      </c>
      <c r="CH92" s="171" t="s">
        <v>165</v>
      </c>
      <c r="CI92" s="172">
        <v>8.0</v>
      </c>
      <c r="CJ92" s="172">
        <v>8.0</v>
      </c>
      <c r="CK92" s="172">
        <v>8.0</v>
      </c>
      <c r="CL92" s="172">
        <v>8.0</v>
      </c>
      <c r="CM92" s="53" t="s">
        <v>165</v>
      </c>
      <c r="CN92" s="53">
        <v>8.0</v>
      </c>
      <c r="CO92" s="171" t="s">
        <v>165</v>
      </c>
      <c r="CP92" s="172">
        <v>8.0</v>
      </c>
      <c r="CQ92" s="172">
        <v>8.0</v>
      </c>
      <c r="CR92" s="172">
        <v>8.0</v>
      </c>
      <c r="CS92" s="172">
        <v>8.0</v>
      </c>
      <c r="CT92" s="53" t="s">
        <v>165</v>
      </c>
      <c r="CU92" s="53">
        <v>8.0</v>
      </c>
      <c r="CV92" s="171" t="s">
        <v>165</v>
      </c>
      <c r="CW92" s="172">
        <v>8.0</v>
      </c>
      <c r="CX92" s="172">
        <v>8.0</v>
      </c>
      <c r="CY92" s="105">
        <f t="shared" si="16"/>
        <v>168</v>
      </c>
      <c r="CZ92" s="170"/>
      <c r="DA92" s="16" t="s">
        <v>245</v>
      </c>
      <c r="DB92" s="113">
        <v>8.0</v>
      </c>
      <c r="DC92" s="113" t="s">
        <v>165</v>
      </c>
      <c r="DD92" s="113">
        <v>8.0</v>
      </c>
      <c r="DE92" s="58">
        <v>8.0</v>
      </c>
      <c r="DF92" s="113">
        <v>8.0</v>
      </c>
      <c r="DG92" s="113">
        <v>8.0</v>
      </c>
      <c r="DH92" s="113">
        <v>8.0</v>
      </c>
      <c r="DI92" s="113">
        <v>8.0</v>
      </c>
      <c r="DJ92" s="113" t="s">
        <v>165</v>
      </c>
      <c r="DK92" s="113">
        <v>8.0</v>
      </c>
      <c r="DL92" s="113" t="s">
        <v>165</v>
      </c>
      <c r="DM92" s="113">
        <v>8.0</v>
      </c>
      <c r="DN92" s="113">
        <v>8.0</v>
      </c>
      <c r="DO92" s="113">
        <v>8.0</v>
      </c>
      <c r="DP92" s="113">
        <v>8.0</v>
      </c>
      <c r="DQ92" s="113" t="s">
        <v>165</v>
      </c>
      <c r="DR92" s="113">
        <v>8.0</v>
      </c>
      <c r="DS92" s="113" t="s">
        <v>165</v>
      </c>
      <c r="DT92" s="113">
        <v>8.0</v>
      </c>
      <c r="DU92" s="113">
        <v>8.0</v>
      </c>
      <c r="DV92" s="113">
        <v>8.0</v>
      </c>
      <c r="DW92" s="113">
        <v>8.0</v>
      </c>
      <c r="DX92" s="113" t="s">
        <v>165</v>
      </c>
      <c r="DY92" s="113">
        <v>8.0</v>
      </c>
      <c r="DZ92" s="113" t="s">
        <v>165</v>
      </c>
      <c r="EA92" s="113">
        <v>8.0</v>
      </c>
      <c r="EB92" s="113">
        <v>8.0</v>
      </c>
      <c r="EC92" s="58" t="s">
        <v>245</v>
      </c>
      <c r="ED92" s="113">
        <v>8.0</v>
      </c>
      <c r="EE92" s="113" t="s">
        <v>165</v>
      </c>
      <c r="EF92" s="113">
        <f t="shared" si="17"/>
        <v>168</v>
      </c>
      <c r="EG92" s="170"/>
      <c r="EH92" s="118">
        <v>8.0</v>
      </c>
      <c r="EI92" s="118">
        <v>8.0</v>
      </c>
      <c r="EJ92" s="118">
        <v>8.0</v>
      </c>
      <c r="EK92" s="118">
        <v>8.0</v>
      </c>
      <c r="EL92" s="118">
        <v>8.0</v>
      </c>
      <c r="EM92" s="118">
        <v>8.0</v>
      </c>
      <c r="EN92" s="118" t="s">
        <v>165</v>
      </c>
      <c r="EO92" s="118">
        <v>8.0</v>
      </c>
      <c r="EP92" s="118" t="s">
        <v>165</v>
      </c>
      <c r="EQ92" s="170"/>
      <c r="ER92" s="170"/>
      <c r="ES92" s="170"/>
      <c r="ET92" s="170"/>
      <c r="EU92" s="170"/>
      <c r="EV92" s="170"/>
      <c r="EW92" s="170"/>
      <c r="EX92" s="170"/>
      <c r="EY92" s="170"/>
      <c r="EZ92" s="170"/>
      <c r="FA92" s="170"/>
      <c r="FB92" s="170"/>
      <c r="FC92" s="170"/>
      <c r="FD92" s="170"/>
      <c r="FE92" s="170"/>
      <c r="FF92" s="170"/>
      <c r="FG92" s="170"/>
      <c r="FH92" s="170"/>
      <c r="FI92" s="170"/>
      <c r="FJ92" s="170"/>
      <c r="FK92" s="170"/>
      <c r="FL92" s="170"/>
      <c r="FM92" s="170"/>
      <c r="FN92" s="170"/>
      <c r="FO92" s="170"/>
      <c r="FP92" s="170"/>
      <c r="FQ92" s="170"/>
      <c r="FR92" s="170"/>
      <c r="FS92" s="170"/>
      <c r="FT92" s="170"/>
      <c r="FU92" s="170"/>
      <c r="FV92" s="170"/>
      <c r="FW92" s="170"/>
      <c r="FX92" s="170"/>
      <c r="FY92" s="170"/>
      <c r="FZ92" s="170"/>
      <c r="GA92" s="170"/>
      <c r="GB92" s="170"/>
      <c r="GC92" s="170"/>
      <c r="GD92" s="170"/>
      <c r="GE92" s="170"/>
      <c r="GF92" s="170"/>
      <c r="GG92" s="170"/>
      <c r="GH92" s="170"/>
      <c r="GI92" s="170"/>
      <c r="GJ92" s="170"/>
      <c r="GK92" s="170"/>
      <c r="GL92" s="170"/>
      <c r="GM92" s="170"/>
      <c r="GN92" s="170"/>
      <c r="GO92" s="170"/>
      <c r="GP92" s="170"/>
      <c r="GQ92" s="170"/>
      <c r="GR92" s="170"/>
      <c r="GS92" s="170"/>
      <c r="GT92" s="170"/>
      <c r="GU92" s="170"/>
      <c r="GV92" s="170"/>
      <c r="GW92" s="170"/>
      <c r="GX92" s="170"/>
      <c r="GY92" s="170"/>
      <c r="GZ92" s="170"/>
      <c r="HA92" s="170"/>
      <c r="HB92" s="170"/>
      <c r="HC92" s="170"/>
      <c r="HD92" s="170"/>
      <c r="HE92" s="170"/>
    </row>
    <row r="93">
      <c r="A93" s="111" t="s">
        <v>310</v>
      </c>
      <c r="B93" s="106" t="str">
        <f>iferror(vlookup(A93,'SoS - Agents Info'!A:H,5,false),"")</f>
        <v>EN</v>
      </c>
      <c r="C93" s="107" t="str">
        <f>iferror(vlookup(A93,'SoS - Agents Info'!A:AQ,43,false),"")</f>
        <v>FL</v>
      </c>
      <c r="D93" s="108" t="str">
        <f>iferror(vlookup(A93,'SoS - Agents Info'!A:H,6,false),"")</f>
        <v>WE+WD</v>
      </c>
      <c r="E93" s="108" t="str">
        <f>iferror(vlookup(A93,'SoS - Agents Info'!A:H,7,false),"")</f>
        <v>00:00-09:00</v>
      </c>
      <c r="F93" s="109">
        <f>IFERROR(__xludf.DUMMYFUNCTION("sum(COUNTIFS(Filter(FILTER('Shiftplan SoS'!G$3:GU166,'Shiftplan SoS'!$G$1:$GU$1&lt;=today()),'Shiftplan SoS'!$A$3:$A166=A93),""&gt;0"",(Filter(FILTER('Shiftplan SoS'!G$3:GU166,'Shiftplan SoS'!$G$1:$GU$1&lt;=today()),'Shiftplan SoS'!$A$3:$A166=A93)),""&lt;12""))"),39.0)</f>
        <v>39</v>
      </c>
      <c r="G93" s="118"/>
      <c r="H93" s="118"/>
      <c r="I93" s="118"/>
      <c r="J93" s="118"/>
      <c r="K93" s="118"/>
      <c r="L93" s="118"/>
      <c r="M93" s="118"/>
      <c r="N93" s="118"/>
      <c r="O93" s="118"/>
      <c r="P93" s="118"/>
      <c r="Q93" s="118"/>
      <c r="R93" s="118"/>
      <c r="S93" s="118"/>
      <c r="T93" s="118"/>
      <c r="U93" s="118"/>
      <c r="V93" s="118"/>
      <c r="W93" s="118"/>
      <c r="X93" s="118"/>
      <c r="Y93" s="118"/>
      <c r="Z93" s="118"/>
      <c r="AA93" s="118"/>
      <c r="AB93" s="118"/>
      <c r="AC93" s="118"/>
      <c r="AD93" s="118"/>
      <c r="AE93" s="118"/>
      <c r="AF93" s="118"/>
      <c r="AG93" s="118"/>
      <c r="AH93" s="118"/>
      <c r="AI93" s="118"/>
      <c r="AJ93" s="118"/>
      <c r="AK93" s="169"/>
      <c r="AL93" s="105"/>
      <c r="AM93" s="48"/>
      <c r="AN93" s="16"/>
      <c r="AO93" s="16"/>
      <c r="AP93" s="16"/>
      <c r="AQ93" s="16"/>
      <c r="AR93" s="16"/>
      <c r="AS93" s="16"/>
      <c r="AT93" s="118"/>
      <c r="AU93" s="118"/>
      <c r="AV93" s="118"/>
      <c r="AW93" s="118"/>
      <c r="AX93" s="118"/>
      <c r="AY93" s="118"/>
      <c r="AZ93" s="118"/>
      <c r="BA93" s="118"/>
      <c r="BB93" s="118"/>
      <c r="BC93" s="118"/>
      <c r="BD93" s="118"/>
      <c r="BE93" s="118"/>
      <c r="BF93" s="118"/>
      <c r="BG93" s="118"/>
      <c r="BH93" s="118"/>
      <c r="BI93" s="118"/>
      <c r="BJ93" s="118"/>
      <c r="BK93" s="118"/>
      <c r="BL93" s="118"/>
      <c r="BM93" s="168"/>
      <c r="BN93" s="168"/>
      <c r="BO93" s="118"/>
      <c r="BP93" s="53">
        <v>8.0</v>
      </c>
      <c r="BQ93" s="53">
        <v>8.0</v>
      </c>
      <c r="BR93" s="105">
        <f t="shared" si="15"/>
        <v>16</v>
      </c>
      <c r="BS93" s="48"/>
      <c r="BT93" s="53">
        <v>8.0</v>
      </c>
      <c r="BU93" s="53" t="s">
        <v>165</v>
      </c>
      <c r="BV93" s="114" t="s">
        <v>165</v>
      </c>
      <c r="BW93" s="114" t="s">
        <v>165</v>
      </c>
      <c r="BX93" s="53">
        <v>8.0</v>
      </c>
      <c r="BY93" s="53">
        <v>8.0</v>
      </c>
      <c r="BZ93" s="53">
        <v>8.0</v>
      </c>
      <c r="CA93" s="171" t="s">
        <v>165</v>
      </c>
      <c r="CB93" s="53" t="s">
        <v>165</v>
      </c>
      <c r="CC93" s="53">
        <v>8.0</v>
      </c>
      <c r="CD93" s="53">
        <v>8.0</v>
      </c>
      <c r="CE93" s="172">
        <v>8.0</v>
      </c>
      <c r="CF93" s="172">
        <v>8.0</v>
      </c>
      <c r="CG93" s="172">
        <v>8.0</v>
      </c>
      <c r="CH93" s="171" t="s">
        <v>165</v>
      </c>
      <c r="CI93" s="53" t="s">
        <v>165</v>
      </c>
      <c r="CJ93" s="53">
        <v>8.0</v>
      </c>
      <c r="CK93" s="53">
        <v>8.0</v>
      </c>
      <c r="CL93" s="172">
        <v>8.0</v>
      </c>
      <c r="CM93" s="172">
        <v>4.0</v>
      </c>
      <c r="CN93" s="172">
        <v>8.0</v>
      </c>
      <c r="CO93" s="171" t="s">
        <v>165</v>
      </c>
      <c r="CP93" s="53" t="s">
        <v>165</v>
      </c>
      <c r="CQ93" s="53" t="s">
        <v>245</v>
      </c>
      <c r="CR93" s="53">
        <v>8.0</v>
      </c>
      <c r="CS93" s="172">
        <v>8.0</v>
      </c>
      <c r="CT93" s="172">
        <v>8.0</v>
      </c>
      <c r="CU93" s="172">
        <v>12.0</v>
      </c>
      <c r="CV93" s="172">
        <v>8.0</v>
      </c>
      <c r="CW93" s="53" t="s">
        <v>165</v>
      </c>
      <c r="CX93" s="53">
        <v>8.0</v>
      </c>
      <c r="CY93" s="105">
        <f t="shared" si="16"/>
        <v>160</v>
      </c>
      <c r="CZ93" s="170"/>
      <c r="DA93" s="53" t="s">
        <v>170</v>
      </c>
      <c r="DB93" s="113">
        <v>8.0</v>
      </c>
      <c r="DC93" s="113">
        <v>8.0</v>
      </c>
      <c r="DD93" s="53" t="s">
        <v>170</v>
      </c>
      <c r="DE93" s="113" t="s">
        <v>165</v>
      </c>
      <c r="DF93" s="113" t="s">
        <v>165</v>
      </c>
      <c r="DG93" s="113">
        <v>8.0</v>
      </c>
      <c r="DH93" s="113">
        <v>8.0</v>
      </c>
      <c r="DI93" s="113">
        <v>8.0</v>
      </c>
      <c r="DJ93" s="113">
        <v>8.0</v>
      </c>
      <c r="DK93" s="53" t="s">
        <v>170</v>
      </c>
      <c r="DL93" s="113" t="s">
        <v>165</v>
      </c>
      <c r="DM93" s="113" t="s">
        <v>165</v>
      </c>
      <c r="DN93" s="113">
        <v>8.0</v>
      </c>
      <c r="DO93" s="113">
        <v>8.0</v>
      </c>
      <c r="DP93" s="113">
        <v>8.0</v>
      </c>
      <c r="DQ93" s="113">
        <v>8.0</v>
      </c>
      <c r="DR93" s="58" t="s">
        <v>170</v>
      </c>
      <c r="DS93" s="113" t="s">
        <v>165</v>
      </c>
      <c r="DT93" s="113" t="s">
        <v>165</v>
      </c>
      <c r="DU93" s="113">
        <v>8.0</v>
      </c>
      <c r="DV93" s="113">
        <v>8.0</v>
      </c>
      <c r="DW93" s="113">
        <v>8.0</v>
      </c>
      <c r="DX93" s="113">
        <v>8.0</v>
      </c>
      <c r="DY93" s="113">
        <v>8.0</v>
      </c>
      <c r="DZ93" s="113" t="s">
        <v>165</v>
      </c>
      <c r="EA93" s="113" t="s">
        <v>165</v>
      </c>
      <c r="EB93" s="113">
        <v>8.0</v>
      </c>
      <c r="EC93" s="58" t="s">
        <v>245</v>
      </c>
      <c r="ED93" s="113">
        <v>8.0</v>
      </c>
      <c r="EE93" s="113">
        <v>8.0</v>
      </c>
      <c r="EF93" s="113">
        <f t="shared" si="17"/>
        <v>144</v>
      </c>
      <c r="EG93" s="170"/>
      <c r="EH93" s="170"/>
      <c r="EI93" s="170"/>
      <c r="EJ93" s="170"/>
      <c r="EK93" s="170"/>
      <c r="EL93" s="170"/>
      <c r="EM93" s="170"/>
      <c r="EN93" s="170"/>
      <c r="EO93" s="170"/>
      <c r="EP93" s="170"/>
      <c r="EQ93" s="170"/>
      <c r="ER93" s="170"/>
      <c r="ES93" s="170"/>
      <c r="ET93" s="170"/>
      <c r="EU93" s="170"/>
      <c r="EV93" s="170"/>
      <c r="EW93" s="170"/>
      <c r="EX93" s="170"/>
      <c r="EY93" s="170"/>
      <c r="EZ93" s="170"/>
      <c r="FA93" s="170"/>
      <c r="FB93" s="170"/>
      <c r="FC93" s="170"/>
      <c r="FD93" s="170"/>
      <c r="FE93" s="170"/>
      <c r="FF93" s="170"/>
      <c r="FG93" s="170"/>
      <c r="FH93" s="170"/>
      <c r="FI93" s="170"/>
      <c r="FJ93" s="170"/>
      <c r="FK93" s="170"/>
      <c r="FL93" s="170"/>
      <c r="FM93" s="170"/>
      <c r="FN93" s="170"/>
      <c r="FO93" s="170"/>
      <c r="FP93" s="170"/>
      <c r="FQ93" s="170"/>
      <c r="FR93" s="170"/>
      <c r="FS93" s="170"/>
      <c r="FT93" s="170"/>
      <c r="FU93" s="170"/>
      <c r="FV93" s="170"/>
      <c r="FW93" s="170"/>
      <c r="FX93" s="170"/>
      <c r="FY93" s="170"/>
      <c r="FZ93" s="170"/>
      <c r="GA93" s="170"/>
      <c r="GB93" s="170"/>
      <c r="GC93" s="170"/>
      <c r="GD93" s="170"/>
      <c r="GE93" s="170"/>
      <c r="GF93" s="170"/>
      <c r="GG93" s="170"/>
      <c r="GH93" s="170"/>
      <c r="GI93" s="170"/>
      <c r="GJ93" s="170"/>
      <c r="GK93" s="170"/>
      <c r="GL93" s="170"/>
      <c r="GM93" s="170"/>
      <c r="GN93" s="170"/>
      <c r="GO93" s="170"/>
      <c r="GP93" s="170"/>
      <c r="GQ93" s="170"/>
      <c r="GR93" s="170"/>
      <c r="GS93" s="170"/>
      <c r="GT93" s="170"/>
      <c r="GU93" s="170"/>
      <c r="GV93" s="170"/>
      <c r="GW93" s="170"/>
      <c r="GX93" s="170"/>
      <c r="GY93" s="170"/>
      <c r="GZ93" s="170"/>
      <c r="HA93" s="170"/>
      <c r="HB93" s="170"/>
      <c r="HC93" s="170"/>
      <c r="HD93" s="170"/>
      <c r="HE93" s="170"/>
    </row>
    <row r="94">
      <c r="A94" s="111" t="s">
        <v>311</v>
      </c>
      <c r="B94" s="106" t="str">
        <f>iferror(vlookup(A94,'SoS - Agents Info'!A:H,5,false),"")</f>
        <v>EN</v>
      </c>
      <c r="C94" s="107" t="str">
        <f>iferror(vlookup(A94,'SoS - Agents Info'!A:AQ,43,false),"")</f>
        <v>FL</v>
      </c>
      <c r="D94" s="108" t="str">
        <f>iferror(vlookup(A94,'SoS - Agents Info'!A:H,6,false),"")</f>
        <v>WE+WD</v>
      </c>
      <c r="E94" s="108" t="str">
        <f>iferror(vlookup(A94,'SoS - Agents Info'!A:H,7,false),"")</f>
        <v>00:00-09:00</v>
      </c>
      <c r="F94" s="109">
        <f>IFERROR(__xludf.DUMMYFUNCTION("sum(COUNTIFS(Filter(FILTER('Shiftplan SoS'!G$3:GU166,'Shiftplan SoS'!$G$1:$GU$1&lt;=today()),'Shiftplan SoS'!$A$3:$A166=A94),""&gt;0"",(Filter(FILTER('Shiftplan SoS'!G$3:GU166,'Shiftplan SoS'!$G$1:$GU$1&lt;=today()),'Shiftplan SoS'!$A$3:$A166=A94)),""&lt;12""))"),45.0)</f>
        <v>45</v>
      </c>
      <c r="G94" s="118"/>
      <c r="H94" s="118"/>
      <c r="I94" s="118"/>
      <c r="J94" s="118"/>
      <c r="K94" s="118"/>
      <c r="L94" s="118"/>
      <c r="M94" s="118"/>
      <c r="N94" s="118"/>
      <c r="O94" s="118"/>
      <c r="P94" s="118"/>
      <c r="Q94" s="118"/>
      <c r="R94" s="118"/>
      <c r="S94" s="118"/>
      <c r="T94" s="118"/>
      <c r="U94" s="118"/>
      <c r="V94" s="118"/>
      <c r="W94" s="118"/>
      <c r="X94" s="118"/>
      <c r="Y94" s="118"/>
      <c r="Z94" s="118"/>
      <c r="AA94" s="118"/>
      <c r="AB94" s="118"/>
      <c r="AC94" s="118"/>
      <c r="AD94" s="118"/>
      <c r="AE94" s="118"/>
      <c r="AF94" s="118"/>
      <c r="AG94" s="118"/>
      <c r="AH94" s="118"/>
      <c r="AI94" s="118"/>
      <c r="AJ94" s="118"/>
      <c r="AK94" s="169"/>
      <c r="AL94" s="105"/>
      <c r="AM94" s="48"/>
      <c r="AN94" s="16"/>
      <c r="AO94" s="16"/>
      <c r="AP94" s="16"/>
      <c r="AQ94" s="16"/>
      <c r="AR94" s="16"/>
      <c r="AS94" s="16"/>
      <c r="AT94" s="118"/>
      <c r="AU94" s="118"/>
      <c r="AV94" s="118"/>
      <c r="AW94" s="118"/>
      <c r="AX94" s="118"/>
      <c r="AY94" s="118"/>
      <c r="AZ94" s="118"/>
      <c r="BA94" s="118"/>
      <c r="BB94" s="118"/>
      <c r="BC94" s="118"/>
      <c r="BD94" s="118"/>
      <c r="BE94" s="118"/>
      <c r="BF94" s="118"/>
      <c r="BG94" s="118"/>
      <c r="BH94" s="118"/>
      <c r="BI94" s="118"/>
      <c r="BJ94" s="118"/>
      <c r="BK94" s="118"/>
      <c r="BL94" s="118"/>
      <c r="BM94" s="168"/>
      <c r="BN94" s="168"/>
      <c r="BO94" s="118"/>
      <c r="BP94" s="53">
        <v>8.0</v>
      </c>
      <c r="BQ94" s="53">
        <v>8.0</v>
      </c>
      <c r="BR94" s="105">
        <f t="shared" si="15"/>
        <v>16</v>
      </c>
      <c r="BS94" s="48"/>
      <c r="BT94" s="53">
        <v>8.0</v>
      </c>
      <c r="BU94" s="53">
        <v>8.0</v>
      </c>
      <c r="BV94" s="114" t="s">
        <v>165</v>
      </c>
      <c r="BW94" s="114" t="s">
        <v>165</v>
      </c>
      <c r="BX94" s="53">
        <v>8.0</v>
      </c>
      <c r="BY94" s="171" t="s">
        <v>165</v>
      </c>
      <c r="BZ94" s="171" t="s">
        <v>165</v>
      </c>
      <c r="CA94" s="53">
        <v>8.0</v>
      </c>
      <c r="CB94" s="53">
        <v>8.0</v>
      </c>
      <c r="CC94" s="53">
        <v>8.0</v>
      </c>
      <c r="CD94" s="53">
        <v>8.0</v>
      </c>
      <c r="CE94" s="53">
        <v>8.0</v>
      </c>
      <c r="CF94" s="53" t="s">
        <v>165</v>
      </c>
      <c r="CG94" s="53" t="s">
        <v>165</v>
      </c>
      <c r="CH94" s="53">
        <v>8.0</v>
      </c>
      <c r="CI94" s="53">
        <v>8.0</v>
      </c>
      <c r="CJ94" s="53">
        <v>8.0</v>
      </c>
      <c r="CK94" s="53">
        <v>8.0</v>
      </c>
      <c r="CL94" s="53">
        <v>8.0</v>
      </c>
      <c r="CM94" s="53" t="s">
        <v>165</v>
      </c>
      <c r="CN94" s="53" t="s">
        <v>165</v>
      </c>
      <c r="CO94" s="53">
        <v>8.0</v>
      </c>
      <c r="CP94" s="53">
        <v>8.0</v>
      </c>
      <c r="CQ94" s="53">
        <v>8.0</v>
      </c>
      <c r="CR94" s="53">
        <v>8.0</v>
      </c>
      <c r="CS94" s="53">
        <v>8.0</v>
      </c>
      <c r="CT94" s="53" t="s">
        <v>165</v>
      </c>
      <c r="CU94" s="53" t="s">
        <v>165</v>
      </c>
      <c r="CV94" s="53">
        <v>8.0</v>
      </c>
      <c r="CW94" s="53">
        <v>8.0</v>
      </c>
      <c r="CX94" s="53">
        <v>8.0</v>
      </c>
      <c r="CY94" s="105">
        <f t="shared" si="16"/>
        <v>168</v>
      </c>
      <c r="CZ94" s="170"/>
      <c r="DA94" s="113">
        <v>8.0</v>
      </c>
      <c r="DB94" s="113">
        <v>8.0</v>
      </c>
      <c r="DC94" s="113" t="s">
        <v>165</v>
      </c>
      <c r="DD94" s="113" t="s">
        <v>165</v>
      </c>
      <c r="DE94" s="113">
        <v>8.0</v>
      </c>
      <c r="DF94" s="113">
        <v>8.0</v>
      </c>
      <c r="DG94" s="113">
        <v>8.0</v>
      </c>
      <c r="DH94" s="113">
        <v>8.0</v>
      </c>
      <c r="DI94" s="113">
        <v>8.0</v>
      </c>
      <c r="DJ94" s="113" t="s">
        <v>165</v>
      </c>
      <c r="DK94" s="113" t="s">
        <v>165</v>
      </c>
      <c r="DL94" s="113">
        <v>8.0</v>
      </c>
      <c r="DM94" s="113">
        <v>8.0</v>
      </c>
      <c r="DN94" s="113">
        <v>8.0</v>
      </c>
      <c r="DO94" s="113">
        <v>8.0</v>
      </c>
      <c r="DP94" s="113">
        <v>8.0</v>
      </c>
      <c r="DQ94" s="113" t="s">
        <v>165</v>
      </c>
      <c r="DR94" s="113" t="s">
        <v>165</v>
      </c>
      <c r="DS94" s="113">
        <v>8.0</v>
      </c>
      <c r="DT94" s="58">
        <v>1.0</v>
      </c>
      <c r="DU94" s="58" t="s">
        <v>245</v>
      </c>
      <c r="DV94" s="113">
        <v>8.0</v>
      </c>
      <c r="DW94" s="113">
        <v>8.0</v>
      </c>
      <c r="DX94" s="58">
        <v>7.0</v>
      </c>
      <c r="DY94" s="113" t="s">
        <v>165</v>
      </c>
      <c r="DZ94" s="113">
        <v>8.0</v>
      </c>
      <c r="EA94" s="113">
        <v>8.0</v>
      </c>
      <c r="EB94" s="113">
        <v>8.0</v>
      </c>
      <c r="EC94" s="113">
        <v>8.0</v>
      </c>
      <c r="ED94" s="113">
        <v>8.0</v>
      </c>
      <c r="EE94" s="113" t="s">
        <v>165</v>
      </c>
      <c r="EF94" s="113">
        <f t="shared" si="17"/>
        <v>168</v>
      </c>
      <c r="EG94" s="170"/>
      <c r="EH94" s="170"/>
      <c r="EI94" s="170"/>
      <c r="EJ94" s="170"/>
      <c r="EK94" s="170"/>
      <c r="EL94" s="170"/>
      <c r="EM94" s="170"/>
      <c r="EN94" s="170"/>
      <c r="EO94" s="170"/>
      <c r="EP94" s="170"/>
      <c r="EQ94" s="170"/>
      <c r="ER94" s="170"/>
      <c r="ES94" s="170"/>
      <c r="ET94" s="170"/>
      <c r="EU94" s="170"/>
      <c r="EV94" s="170"/>
      <c r="EW94" s="170"/>
      <c r="EX94" s="170"/>
      <c r="EY94" s="170"/>
      <c r="EZ94" s="170"/>
      <c r="FA94" s="170"/>
      <c r="FB94" s="170"/>
      <c r="FC94" s="170"/>
      <c r="FD94" s="170"/>
      <c r="FE94" s="170"/>
      <c r="FF94" s="170"/>
      <c r="FG94" s="170"/>
      <c r="FH94" s="170"/>
      <c r="FI94" s="170"/>
      <c r="FJ94" s="170"/>
      <c r="FK94" s="170"/>
      <c r="FL94" s="170"/>
      <c r="FM94" s="170"/>
      <c r="FN94" s="170"/>
      <c r="FO94" s="170"/>
      <c r="FP94" s="170"/>
      <c r="FQ94" s="170"/>
      <c r="FR94" s="170"/>
      <c r="FS94" s="170"/>
      <c r="FT94" s="170"/>
      <c r="FU94" s="170"/>
      <c r="FV94" s="170"/>
      <c r="FW94" s="170"/>
      <c r="FX94" s="170"/>
      <c r="FY94" s="170"/>
      <c r="FZ94" s="170"/>
      <c r="GA94" s="170"/>
      <c r="GB94" s="170"/>
      <c r="GC94" s="170"/>
      <c r="GD94" s="170"/>
      <c r="GE94" s="170"/>
      <c r="GF94" s="170"/>
      <c r="GG94" s="170"/>
      <c r="GH94" s="170"/>
      <c r="GI94" s="170"/>
      <c r="GJ94" s="170"/>
      <c r="GK94" s="170"/>
      <c r="GL94" s="170"/>
      <c r="GM94" s="170"/>
      <c r="GN94" s="170"/>
      <c r="GO94" s="170"/>
      <c r="GP94" s="170"/>
      <c r="GQ94" s="170"/>
      <c r="GR94" s="170"/>
      <c r="GS94" s="170"/>
      <c r="GT94" s="170"/>
      <c r="GU94" s="170"/>
      <c r="GV94" s="170"/>
      <c r="GW94" s="170"/>
      <c r="GX94" s="170"/>
      <c r="GY94" s="170"/>
      <c r="GZ94" s="170"/>
      <c r="HA94" s="170"/>
      <c r="HB94" s="170"/>
      <c r="HC94" s="170"/>
      <c r="HD94" s="170"/>
      <c r="HE94" s="170"/>
    </row>
    <row r="95">
      <c r="A95" s="111" t="s">
        <v>312</v>
      </c>
      <c r="B95" s="106" t="str">
        <f>iferror(vlookup(A95,'SoS - Agents Info'!A:H,5,false),"")</f>
        <v>AR</v>
      </c>
      <c r="C95" s="107" t="str">
        <f>iferror(vlookup(A95,'SoS - Agents Info'!A:AQ,43,false),"")</f>
        <v>JM</v>
      </c>
      <c r="D95" s="108" t="str">
        <f>iferror(vlookup(A95,'SoS - Agents Info'!A:H,6,false),"")</f>
        <v>WE+WD</v>
      </c>
      <c r="E95" s="108" t="str">
        <f>iferror(vlookup(A95,'SoS - Agents Info'!A:H,7,false),"")</f>
        <v>08:00-17:00</v>
      </c>
      <c r="F95" s="109">
        <f>IFERROR(__xludf.DUMMYFUNCTION("sum(COUNTIFS(Filter(FILTER('Shiftplan SoS'!G$3:GU166,'Shiftplan SoS'!$G$1:$GU$1&lt;=today()),'Shiftplan SoS'!$A$3:$A166=A95),""&gt;0"",(Filter(FILTER('Shiftplan SoS'!G$3:GU166,'Shiftplan SoS'!$G$1:$GU$1&lt;=today()),'Shiftplan SoS'!$A$3:$A166=A95)),""&lt;12""))"),27.0)</f>
        <v>27</v>
      </c>
      <c r="G95" s="118"/>
      <c r="H95" s="118"/>
      <c r="I95" s="118"/>
      <c r="J95" s="118"/>
      <c r="K95" s="118"/>
      <c r="L95" s="118"/>
      <c r="M95" s="118"/>
      <c r="N95" s="118"/>
      <c r="O95" s="118"/>
      <c r="P95" s="118"/>
      <c r="Q95" s="118"/>
      <c r="R95" s="118"/>
      <c r="S95" s="118"/>
      <c r="T95" s="118"/>
      <c r="U95" s="118"/>
      <c r="V95" s="118"/>
      <c r="W95" s="118"/>
      <c r="X95" s="118"/>
      <c r="Y95" s="118"/>
      <c r="Z95" s="118"/>
      <c r="AA95" s="118"/>
      <c r="AB95" s="118"/>
      <c r="AC95" s="118"/>
      <c r="AD95" s="118"/>
      <c r="AE95" s="118"/>
      <c r="AF95" s="118"/>
      <c r="AG95" s="118"/>
      <c r="AH95" s="118"/>
      <c r="AI95" s="118"/>
      <c r="AJ95" s="118"/>
      <c r="AK95" s="169"/>
      <c r="AL95" s="105"/>
      <c r="AM95" s="48"/>
      <c r="AN95" s="16"/>
      <c r="AO95" s="16"/>
      <c r="AP95" s="16"/>
      <c r="AQ95" s="16"/>
      <c r="AR95" s="16"/>
      <c r="AS95" s="16"/>
      <c r="AT95" s="118"/>
      <c r="AU95" s="118"/>
      <c r="AV95" s="118"/>
      <c r="AW95" s="118"/>
      <c r="AX95" s="118"/>
      <c r="AY95" s="118"/>
      <c r="AZ95" s="118"/>
      <c r="BA95" s="118"/>
      <c r="BB95" s="118"/>
      <c r="BC95" s="118"/>
      <c r="BD95" s="118"/>
      <c r="BE95" s="118"/>
      <c r="BF95" s="118"/>
      <c r="BG95" s="118"/>
      <c r="BH95" s="118"/>
      <c r="BI95" s="118"/>
      <c r="BJ95" s="118"/>
      <c r="BK95" s="118"/>
      <c r="BL95" s="118"/>
      <c r="BM95" s="118"/>
      <c r="BN95" s="118"/>
      <c r="BO95" s="118"/>
      <c r="BP95" s="53"/>
      <c r="BQ95" s="53">
        <v>8.0</v>
      </c>
      <c r="BR95" s="105">
        <f t="shared" si="15"/>
        <v>8</v>
      </c>
      <c r="BS95" s="48"/>
      <c r="BT95" s="53">
        <v>8.0</v>
      </c>
      <c r="BU95" s="53">
        <v>8.0</v>
      </c>
      <c r="BV95" s="114" t="s">
        <v>165</v>
      </c>
      <c r="BW95" s="114" t="s">
        <v>165</v>
      </c>
      <c r="BX95" s="53">
        <v>8.0</v>
      </c>
      <c r="BY95" s="53">
        <v>8.0</v>
      </c>
      <c r="BZ95" s="53">
        <v>8.0</v>
      </c>
      <c r="CA95" s="171" t="s">
        <v>165</v>
      </c>
      <c r="CB95" s="171" t="s">
        <v>165</v>
      </c>
      <c r="CC95" s="171" t="s">
        <v>165</v>
      </c>
      <c r="CD95" s="171" t="s">
        <v>165</v>
      </c>
      <c r="CE95" s="53">
        <v>8.0</v>
      </c>
      <c r="CF95" s="53" t="s">
        <v>165</v>
      </c>
      <c r="CG95" s="53">
        <v>8.0</v>
      </c>
      <c r="CH95" s="171" t="s">
        <v>165</v>
      </c>
      <c r="CI95" s="171" t="s">
        <v>165</v>
      </c>
      <c r="CJ95" s="172">
        <v>8.0</v>
      </c>
      <c r="CK95" s="172">
        <v>8.0</v>
      </c>
      <c r="CL95" s="53">
        <v>8.0</v>
      </c>
      <c r="CM95" s="53" t="s">
        <v>165</v>
      </c>
      <c r="CN95" s="53">
        <v>8.0</v>
      </c>
      <c r="CO95" s="171" t="s">
        <v>165</v>
      </c>
      <c r="CP95" s="171" t="s">
        <v>165</v>
      </c>
      <c r="CQ95" s="172">
        <v>8.0</v>
      </c>
      <c r="CR95" s="172">
        <v>8.0</v>
      </c>
      <c r="CS95" s="53">
        <v>8.0</v>
      </c>
      <c r="CT95" s="53" t="s">
        <v>165</v>
      </c>
      <c r="CU95" s="53">
        <v>8.0</v>
      </c>
      <c r="CV95" s="171" t="s">
        <v>165</v>
      </c>
      <c r="CW95" s="171" t="s">
        <v>165</v>
      </c>
      <c r="CX95" s="172">
        <v>8.0</v>
      </c>
      <c r="CY95" s="105">
        <f t="shared" si="16"/>
        <v>128</v>
      </c>
      <c r="CZ95" s="170"/>
      <c r="DA95" s="113">
        <v>8.0</v>
      </c>
      <c r="DB95" s="113" t="s">
        <v>165</v>
      </c>
      <c r="DC95" s="113" t="s">
        <v>165</v>
      </c>
      <c r="DD95" s="113" t="s">
        <v>165</v>
      </c>
      <c r="DE95" s="113" t="s">
        <v>165</v>
      </c>
      <c r="DF95" s="113" t="s">
        <v>165</v>
      </c>
      <c r="DG95" s="113">
        <v>8.0</v>
      </c>
      <c r="DH95" s="113">
        <v>8.0</v>
      </c>
      <c r="DI95" s="113" t="s">
        <v>165</v>
      </c>
      <c r="DJ95" s="113" t="s">
        <v>165</v>
      </c>
      <c r="DK95" s="113" t="s">
        <v>165</v>
      </c>
      <c r="DL95" s="113" t="s">
        <v>165</v>
      </c>
      <c r="DM95" s="113" t="s">
        <v>165</v>
      </c>
      <c r="DN95" s="113">
        <v>8.0</v>
      </c>
      <c r="DO95" s="113">
        <v>8.0</v>
      </c>
      <c r="DP95" s="113" t="s">
        <v>165</v>
      </c>
      <c r="DQ95" s="113" t="s">
        <v>165</v>
      </c>
      <c r="DR95" s="113" t="s">
        <v>165</v>
      </c>
      <c r="DS95" s="113" t="s">
        <v>165</v>
      </c>
      <c r="DT95" s="113" t="s">
        <v>165</v>
      </c>
      <c r="DU95" s="113">
        <v>8.0</v>
      </c>
      <c r="DV95" s="113">
        <v>8.0</v>
      </c>
      <c r="DW95" s="113" t="s">
        <v>165</v>
      </c>
      <c r="DX95" s="113" t="s">
        <v>165</v>
      </c>
      <c r="DY95" s="113" t="s">
        <v>165</v>
      </c>
      <c r="DZ95" s="113" t="s">
        <v>165</v>
      </c>
      <c r="EA95" s="113" t="s">
        <v>165</v>
      </c>
      <c r="EB95" s="113">
        <v>8.0</v>
      </c>
      <c r="EC95" s="113">
        <v>8.0</v>
      </c>
      <c r="ED95" s="113" t="s">
        <v>165</v>
      </c>
      <c r="EE95" s="113" t="s">
        <v>165</v>
      </c>
      <c r="EF95" s="113">
        <f t="shared" si="17"/>
        <v>72</v>
      </c>
      <c r="EG95" s="170"/>
      <c r="EH95" s="170"/>
      <c r="EI95" s="170"/>
      <c r="EJ95" s="170"/>
      <c r="EK95" s="170"/>
      <c r="EL95" s="170"/>
      <c r="EM95" s="170"/>
      <c r="EN95" s="170"/>
      <c r="EO95" s="170"/>
      <c r="EP95" s="170"/>
      <c r="EQ95" s="170"/>
      <c r="ER95" s="170"/>
      <c r="ES95" s="170"/>
      <c r="ET95" s="170"/>
      <c r="EU95" s="170"/>
      <c r="EV95" s="170"/>
      <c r="EW95" s="170"/>
      <c r="EX95" s="170"/>
      <c r="EY95" s="170"/>
      <c r="EZ95" s="170"/>
      <c r="FA95" s="170"/>
      <c r="FB95" s="170"/>
      <c r="FC95" s="170"/>
      <c r="FD95" s="170"/>
      <c r="FE95" s="170"/>
      <c r="FF95" s="170"/>
      <c r="FG95" s="170"/>
      <c r="FH95" s="170"/>
      <c r="FI95" s="170"/>
      <c r="FJ95" s="170"/>
      <c r="FK95" s="170"/>
      <c r="FL95" s="170"/>
      <c r="FM95" s="170"/>
      <c r="FN95" s="170"/>
      <c r="FO95" s="170"/>
      <c r="FP95" s="170"/>
      <c r="FQ95" s="170"/>
      <c r="FR95" s="170"/>
      <c r="FS95" s="170"/>
      <c r="FT95" s="170"/>
      <c r="FU95" s="170"/>
      <c r="FV95" s="170"/>
      <c r="FW95" s="170"/>
      <c r="FX95" s="170"/>
      <c r="FY95" s="170"/>
      <c r="FZ95" s="170"/>
      <c r="GA95" s="170"/>
      <c r="GB95" s="170"/>
      <c r="GC95" s="170"/>
      <c r="GD95" s="170"/>
      <c r="GE95" s="170"/>
      <c r="GF95" s="170"/>
      <c r="GG95" s="170"/>
      <c r="GH95" s="170"/>
      <c r="GI95" s="170"/>
      <c r="GJ95" s="170"/>
      <c r="GK95" s="170"/>
      <c r="GL95" s="170"/>
      <c r="GM95" s="170"/>
      <c r="GN95" s="170"/>
      <c r="GO95" s="170"/>
      <c r="GP95" s="170"/>
      <c r="GQ95" s="170"/>
      <c r="GR95" s="170"/>
      <c r="GS95" s="170"/>
      <c r="GT95" s="170"/>
      <c r="GU95" s="170"/>
      <c r="GV95" s="170"/>
      <c r="GW95" s="170"/>
      <c r="GX95" s="170"/>
      <c r="GY95" s="170"/>
      <c r="GZ95" s="170"/>
      <c r="HA95" s="170"/>
      <c r="HB95" s="170"/>
      <c r="HC95" s="170"/>
      <c r="HD95" s="170"/>
      <c r="HE95" s="170"/>
    </row>
    <row r="96">
      <c r="A96" s="111" t="s">
        <v>313</v>
      </c>
      <c r="B96" s="106" t="str">
        <f>iferror(vlookup(A96,'SoS - Agents Info'!A:H,5,false),"")</f>
        <v>EN</v>
      </c>
      <c r="C96" s="107" t="str">
        <f>iferror(vlookup(A96,'SoS - Agents Info'!A:AQ,43,false),"")</f>
        <v>FL</v>
      </c>
      <c r="D96" s="108" t="str">
        <f>iferror(vlookup(A96,'SoS - Agents Info'!A:H,6,false),"")</f>
        <v>WE</v>
      </c>
      <c r="E96" s="108" t="str">
        <f>iferror(vlookup(A96,'SoS - Agents Info'!A:H,7,false),"")</f>
        <v>00:00-09:00</v>
      </c>
      <c r="F96" s="109">
        <f>IFERROR(__xludf.DUMMYFUNCTION("sum(COUNTIFS(Filter(FILTER('Shiftplan SoS'!G$3:GU166,'Shiftplan SoS'!$G$1:$GU$1&lt;=today()),'Shiftplan SoS'!$A$3:$A166=A96),""&gt;0"",(Filter(FILTER('Shiftplan SoS'!G$3:GU166,'Shiftplan SoS'!$G$1:$GU$1&lt;=today()),'Shiftplan SoS'!$A$3:$A166=A96)),""&lt;12""))"),22.0)</f>
        <v>22</v>
      </c>
      <c r="G96" s="118"/>
      <c r="H96" s="118"/>
      <c r="I96" s="118"/>
      <c r="J96" s="118"/>
      <c r="K96" s="118"/>
      <c r="L96" s="118"/>
      <c r="M96" s="118"/>
      <c r="N96" s="118"/>
      <c r="O96" s="118"/>
      <c r="P96" s="118"/>
      <c r="Q96" s="118"/>
      <c r="R96" s="118"/>
      <c r="S96" s="118"/>
      <c r="T96" s="118"/>
      <c r="U96" s="118"/>
      <c r="V96" s="118"/>
      <c r="W96" s="118"/>
      <c r="X96" s="118"/>
      <c r="Y96" s="118"/>
      <c r="Z96" s="118"/>
      <c r="AA96" s="118"/>
      <c r="AB96" s="118"/>
      <c r="AC96" s="118"/>
      <c r="AD96" s="118"/>
      <c r="AE96" s="118"/>
      <c r="AF96" s="118"/>
      <c r="AG96" s="118"/>
      <c r="AH96" s="118"/>
      <c r="AI96" s="118"/>
      <c r="AJ96" s="118"/>
      <c r="AK96" s="169"/>
      <c r="AL96" s="105"/>
      <c r="AM96" s="48"/>
      <c r="AN96" s="16"/>
      <c r="AO96" s="16"/>
      <c r="AP96" s="16"/>
      <c r="AQ96" s="16"/>
      <c r="AR96" s="16"/>
      <c r="AS96" s="16"/>
      <c r="AT96" s="118"/>
      <c r="AU96" s="118"/>
      <c r="AV96" s="118"/>
      <c r="AW96" s="118"/>
      <c r="AX96" s="118"/>
      <c r="AY96" s="118"/>
      <c r="AZ96" s="118"/>
      <c r="BA96" s="118"/>
      <c r="BB96" s="118"/>
      <c r="BC96" s="118"/>
      <c r="BD96" s="118"/>
      <c r="BE96" s="118"/>
      <c r="BF96" s="118"/>
      <c r="BG96" s="118"/>
      <c r="BH96" s="118"/>
      <c r="BI96" s="118"/>
      <c r="BJ96" s="118"/>
      <c r="BK96" s="118"/>
      <c r="BL96" s="118"/>
      <c r="BM96" s="118"/>
      <c r="BN96" s="118"/>
      <c r="BO96" s="118"/>
      <c r="BP96" s="53"/>
      <c r="BQ96" s="53">
        <v>8.0</v>
      </c>
      <c r="BR96" s="105">
        <f t="shared" si="15"/>
        <v>8</v>
      </c>
      <c r="BS96" s="48"/>
      <c r="BT96" s="53">
        <v>8.0</v>
      </c>
      <c r="BU96" s="53">
        <v>8.0</v>
      </c>
      <c r="BV96" s="114" t="s">
        <v>165</v>
      </c>
      <c r="BW96" s="114" t="s">
        <v>165</v>
      </c>
      <c r="BX96" s="53">
        <v>8.0</v>
      </c>
      <c r="BY96" s="53">
        <v>8.0</v>
      </c>
      <c r="BZ96" s="171" t="s">
        <v>165</v>
      </c>
      <c r="CA96" s="171" t="s">
        <v>165</v>
      </c>
      <c r="CB96" s="171" t="s">
        <v>165</v>
      </c>
      <c r="CC96" s="53">
        <v>8.0</v>
      </c>
      <c r="CD96" s="53">
        <v>8.0</v>
      </c>
      <c r="CE96" s="53" t="s">
        <v>165</v>
      </c>
      <c r="CF96" s="53" t="s">
        <v>165</v>
      </c>
      <c r="CG96" s="53" t="s">
        <v>165</v>
      </c>
      <c r="CH96" s="171" t="s">
        <v>165</v>
      </c>
      <c r="CI96" s="171" t="s">
        <v>165</v>
      </c>
      <c r="CJ96" s="53">
        <v>8.0</v>
      </c>
      <c r="CK96" s="53">
        <v>8.0</v>
      </c>
      <c r="CL96" s="53" t="s">
        <v>165</v>
      </c>
      <c r="CM96" s="53" t="s">
        <v>165</v>
      </c>
      <c r="CN96" s="53" t="s">
        <v>165</v>
      </c>
      <c r="CO96" s="171" t="s">
        <v>165</v>
      </c>
      <c r="CP96" s="171" t="s">
        <v>165</v>
      </c>
      <c r="CQ96" s="53">
        <v>8.0</v>
      </c>
      <c r="CR96" s="53">
        <v>8.0</v>
      </c>
      <c r="CS96" s="53" t="s">
        <v>165</v>
      </c>
      <c r="CT96" s="53" t="s">
        <v>165</v>
      </c>
      <c r="CU96" s="53" t="s">
        <v>165</v>
      </c>
      <c r="CV96" s="171" t="s">
        <v>165</v>
      </c>
      <c r="CW96" s="171" t="s">
        <v>165</v>
      </c>
      <c r="CX96" s="53">
        <v>8.0</v>
      </c>
      <c r="CY96" s="105">
        <f t="shared" si="16"/>
        <v>88</v>
      </c>
      <c r="CZ96" s="170"/>
      <c r="DA96" s="113">
        <v>8.0</v>
      </c>
      <c r="DB96" s="113" t="s">
        <v>165</v>
      </c>
      <c r="DC96" s="113" t="s">
        <v>165</v>
      </c>
      <c r="DD96" s="113" t="s">
        <v>165</v>
      </c>
      <c r="DE96" s="113" t="s">
        <v>165</v>
      </c>
      <c r="DF96" s="113" t="s">
        <v>165</v>
      </c>
      <c r="DG96" s="113">
        <v>8.0</v>
      </c>
      <c r="DH96" s="113">
        <v>8.0</v>
      </c>
      <c r="DI96" s="113" t="s">
        <v>165</v>
      </c>
      <c r="DJ96" s="113" t="s">
        <v>165</v>
      </c>
      <c r="DK96" s="113" t="s">
        <v>165</v>
      </c>
      <c r="DL96" s="113" t="s">
        <v>165</v>
      </c>
      <c r="DM96" s="113" t="s">
        <v>165</v>
      </c>
      <c r="DN96" s="113">
        <v>8.0</v>
      </c>
      <c r="DO96" s="113">
        <v>8.0</v>
      </c>
      <c r="DP96" s="113" t="s">
        <v>165</v>
      </c>
      <c r="DQ96" s="113" t="s">
        <v>165</v>
      </c>
      <c r="DR96" s="113" t="s">
        <v>165</v>
      </c>
      <c r="DS96" s="113" t="s">
        <v>165</v>
      </c>
      <c r="DT96" s="113" t="s">
        <v>165</v>
      </c>
      <c r="DU96" s="113">
        <v>8.0</v>
      </c>
      <c r="DV96" s="113">
        <v>8.0</v>
      </c>
      <c r="DW96" s="113" t="s">
        <v>165</v>
      </c>
      <c r="DX96" s="113" t="s">
        <v>165</v>
      </c>
      <c r="DY96" s="113" t="s">
        <v>165</v>
      </c>
      <c r="DZ96" s="113" t="s">
        <v>165</v>
      </c>
      <c r="EA96" s="113" t="s">
        <v>165</v>
      </c>
      <c r="EB96" s="113">
        <v>8.0</v>
      </c>
      <c r="EC96" s="113">
        <v>8.0</v>
      </c>
      <c r="ED96" s="113" t="s">
        <v>165</v>
      </c>
      <c r="EE96" s="113" t="s">
        <v>165</v>
      </c>
      <c r="EF96" s="113">
        <f t="shared" si="17"/>
        <v>72</v>
      </c>
      <c r="EG96" s="170"/>
      <c r="EH96" s="170"/>
      <c r="EI96" s="170"/>
      <c r="EJ96" s="170"/>
      <c r="EK96" s="170"/>
      <c r="EL96" s="170"/>
      <c r="EM96" s="170"/>
      <c r="EN96" s="170"/>
      <c r="EO96" s="170"/>
      <c r="EP96" s="170"/>
      <c r="EQ96" s="170"/>
      <c r="ER96" s="170"/>
      <c r="ES96" s="170"/>
      <c r="ET96" s="170"/>
      <c r="EU96" s="170"/>
      <c r="EV96" s="170"/>
      <c r="EW96" s="170"/>
      <c r="EX96" s="170"/>
      <c r="EY96" s="170"/>
      <c r="EZ96" s="170"/>
      <c r="FA96" s="170"/>
      <c r="FB96" s="170"/>
      <c r="FC96" s="170"/>
      <c r="FD96" s="170"/>
      <c r="FE96" s="170"/>
      <c r="FF96" s="170"/>
      <c r="FG96" s="170"/>
      <c r="FH96" s="170"/>
      <c r="FI96" s="170"/>
      <c r="FJ96" s="170"/>
      <c r="FK96" s="170"/>
      <c r="FL96" s="170"/>
      <c r="FM96" s="170"/>
      <c r="FN96" s="170"/>
      <c r="FO96" s="170"/>
      <c r="FP96" s="170"/>
      <c r="FQ96" s="170"/>
      <c r="FR96" s="170"/>
      <c r="FS96" s="170"/>
      <c r="FT96" s="170"/>
      <c r="FU96" s="170"/>
      <c r="FV96" s="170"/>
      <c r="FW96" s="170"/>
      <c r="FX96" s="170"/>
      <c r="FY96" s="170"/>
      <c r="FZ96" s="170"/>
      <c r="GA96" s="170"/>
      <c r="GB96" s="170"/>
      <c r="GC96" s="170"/>
      <c r="GD96" s="170"/>
      <c r="GE96" s="170"/>
      <c r="GF96" s="170"/>
      <c r="GG96" s="170"/>
      <c r="GH96" s="170"/>
      <c r="GI96" s="170"/>
      <c r="GJ96" s="170"/>
      <c r="GK96" s="170"/>
      <c r="GL96" s="170"/>
      <c r="GM96" s="170"/>
      <c r="GN96" s="170"/>
      <c r="GO96" s="170"/>
      <c r="GP96" s="170"/>
      <c r="GQ96" s="170"/>
      <c r="GR96" s="170"/>
      <c r="GS96" s="170"/>
      <c r="GT96" s="170"/>
      <c r="GU96" s="170"/>
      <c r="GV96" s="170"/>
      <c r="GW96" s="170"/>
      <c r="GX96" s="170"/>
      <c r="GY96" s="170"/>
      <c r="GZ96" s="170"/>
      <c r="HA96" s="170"/>
      <c r="HB96" s="170"/>
      <c r="HC96" s="170"/>
      <c r="HD96" s="170"/>
      <c r="HE96" s="170"/>
    </row>
    <row r="97">
      <c r="A97" s="111" t="s">
        <v>314</v>
      </c>
      <c r="B97" s="106" t="str">
        <f>iferror(vlookup(A97,'SoS - Agents Info'!A:H,5,false),"")</f>
        <v>EN</v>
      </c>
      <c r="C97" s="107" t="str">
        <f>iferror(vlookup(A97,'SoS - Agents Info'!A:AQ,43,false),"")</f>
        <v>JM</v>
      </c>
      <c r="D97" s="108" t="str">
        <f>iferror(vlookup(A97,'SoS - Agents Info'!A:H,6,false),"")</f>
        <v>WE+WD</v>
      </c>
      <c r="E97" s="108" t="str">
        <f>iferror(vlookup(A97,'SoS - Agents Info'!A:H,7,false),"")</f>
        <v>08:00-17:00</v>
      </c>
      <c r="F97" s="109">
        <f>IFERROR(__xludf.DUMMYFUNCTION("sum(COUNTIFS(Filter(FILTER('Shiftplan SoS'!G$3:GU166,'Shiftplan SoS'!$G$1:$GU$1&lt;=today()),'Shiftplan SoS'!$A$3:$A166=A97),""&gt;0"",(Filter(FILTER('Shiftplan SoS'!G$3:GU166,'Shiftplan SoS'!$G$1:$GU$1&lt;=today()),'Shiftplan SoS'!$A$3:$A166=A97)),""&lt;12""))"),44.0)</f>
        <v>44</v>
      </c>
      <c r="G97" s="118"/>
      <c r="H97" s="118"/>
      <c r="I97" s="118"/>
      <c r="J97" s="118"/>
      <c r="K97" s="118"/>
      <c r="L97" s="118"/>
      <c r="M97" s="118"/>
      <c r="N97" s="118"/>
      <c r="O97" s="118"/>
      <c r="P97" s="118"/>
      <c r="Q97" s="118"/>
      <c r="R97" s="118"/>
      <c r="S97" s="118"/>
      <c r="T97" s="118"/>
      <c r="U97" s="118"/>
      <c r="V97" s="118"/>
      <c r="W97" s="118"/>
      <c r="X97" s="118"/>
      <c r="Y97" s="118"/>
      <c r="Z97" s="118"/>
      <c r="AA97" s="118"/>
      <c r="AB97" s="118"/>
      <c r="AC97" s="118"/>
      <c r="AD97" s="118"/>
      <c r="AE97" s="118"/>
      <c r="AF97" s="118"/>
      <c r="AG97" s="118"/>
      <c r="AH97" s="118"/>
      <c r="AI97" s="118"/>
      <c r="AJ97" s="118"/>
      <c r="AK97" s="169"/>
      <c r="AL97" s="105"/>
      <c r="AM97" s="48"/>
      <c r="AN97" s="16"/>
      <c r="AO97" s="16"/>
      <c r="AP97" s="16"/>
      <c r="AQ97" s="16"/>
      <c r="AR97" s="16"/>
      <c r="AS97" s="16"/>
      <c r="AT97" s="118"/>
      <c r="AU97" s="118"/>
      <c r="AV97" s="118"/>
      <c r="AW97" s="118"/>
      <c r="AX97" s="118"/>
      <c r="AY97" s="118"/>
      <c r="AZ97" s="118"/>
      <c r="BA97" s="118"/>
      <c r="BB97" s="118"/>
      <c r="BC97" s="118"/>
      <c r="BD97" s="118"/>
      <c r="BE97" s="118"/>
      <c r="BF97" s="118"/>
      <c r="BG97" s="118"/>
      <c r="BH97" s="118"/>
      <c r="BI97" s="118"/>
      <c r="BJ97" s="118"/>
      <c r="BK97" s="118"/>
      <c r="BL97" s="118"/>
      <c r="BM97" s="118"/>
      <c r="BN97" s="118"/>
      <c r="BO97" s="118"/>
      <c r="BP97" s="53"/>
      <c r="BQ97" s="53">
        <v>8.0</v>
      </c>
      <c r="BR97" s="157">
        <f t="shared" si="15"/>
        <v>8</v>
      </c>
      <c r="BS97" s="48"/>
      <c r="BT97" s="53">
        <v>8.0</v>
      </c>
      <c r="BU97" s="53">
        <v>8.0</v>
      </c>
      <c r="BV97" s="114" t="s">
        <v>165</v>
      </c>
      <c r="BW97" s="114" t="s">
        <v>165</v>
      </c>
      <c r="BX97" s="53">
        <v>8.0</v>
      </c>
      <c r="BY97" s="53">
        <v>8.0</v>
      </c>
      <c r="BZ97" s="53">
        <v>8.0</v>
      </c>
      <c r="CA97" s="53">
        <v>8.0</v>
      </c>
      <c r="CB97" s="171" t="s">
        <v>165</v>
      </c>
      <c r="CC97" s="171" t="s">
        <v>165</v>
      </c>
      <c r="CD97" s="53">
        <v>8.0</v>
      </c>
      <c r="CE97" s="53">
        <v>8.0</v>
      </c>
      <c r="CF97" s="53">
        <v>8.0</v>
      </c>
      <c r="CG97" s="53">
        <v>8.0</v>
      </c>
      <c r="CH97" s="53">
        <v>8.0</v>
      </c>
      <c r="CI97" s="171" t="s">
        <v>165</v>
      </c>
      <c r="CJ97" s="171" t="s">
        <v>165</v>
      </c>
      <c r="CK97" s="53">
        <v>8.0</v>
      </c>
      <c r="CL97" s="53">
        <v>8.0</v>
      </c>
      <c r="CM97" s="53">
        <v>8.0</v>
      </c>
      <c r="CN97" s="53">
        <v>8.0</v>
      </c>
      <c r="CO97" s="53">
        <v>8.0</v>
      </c>
      <c r="CP97" s="171" t="s">
        <v>165</v>
      </c>
      <c r="CQ97" s="171" t="s">
        <v>165</v>
      </c>
      <c r="CR97" s="53">
        <v>8.0</v>
      </c>
      <c r="CS97" s="53">
        <v>8.0</v>
      </c>
      <c r="CT97" s="53">
        <v>8.0</v>
      </c>
      <c r="CU97" s="53">
        <v>8.0</v>
      </c>
      <c r="CV97" s="53">
        <v>8.0</v>
      </c>
      <c r="CW97" s="171" t="s">
        <v>165</v>
      </c>
      <c r="CX97" s="171" t="s">
        <v>165</v>
      </c>
      <c r="CY97" s="105">
        <f t="shared" si="16"/>
        <v>168</v>
      </c>
      <c r="CZ97" s="170"/>
      <c r="DA97" s="53">
        <v>8.0</v>
      </c>
      <c r="DB97" s="53">
        <v>8.0</v>
      </c>
      <c r="DC97" s="53" t="s">
        <v>167</v>
      </c>
      <c r="DD97" s="53">
        <v>8.0</v>
      </c>
      <c r="DE97" s="53">
        <v>8.0</v>
      </c>
      <c r="DF97" s="171" t="s">
        <v>165</v>
      </c>
      <c r="DG97" s="171" t="s">
        <v>165</v>
      </c>
      <c r="DH97" s="53">
        <v>8.0</v>
      </c>
      <c r="DI97" s="53">
        <v>8.0</v>
      </c>
      <c r="DJ97" s="53">
        <v>8.0</v>
      </c>
      <c r="DK97" s="53">
        <v>8.0</v>
      </c>
      <c r="DL97" s="53">
        <v>8.0</v>
      </c>
      <c r="DM97" s="171" t="s">
        <v>165</v>
      </c>
      <c r="DN97" s="171" t="s">
        <v>165</v>
      </c>
      <c r="DO97" s="53">
        <v>8.0</v>
      </c>
      <c r="DP97" s="53" t="s">
        <v>171</v>
      </c>
      <c r="DQ97" s="53">
        <v>8.0</v>
      </c>
      <c r="DR97" s="53">
        <v>8.0</v>
      </c>
      <c r="DS97" s="53">
        <v>8.0</v>
      </c>
      <c r="DT97" s="171" t="s">
        <v>165</v>
      </c>
      <c r="DU97" s="171" t="s">
        <v>165</v>
      </c>
      <c r="DV97" s="53">
        <v>8.0</v>
      </c>
      <c r="DW97" s="53">
        <v>8.0</v>
      </c>
      <c r="DX97" s="53">
        <v>8.0</v>
      </c>
      <c r="DY97" s="53">
        <v>8.0</v>
      </c>
      <c r="DZ97" s="53">
        <v>8.0</v>
      </c>
      <c r="EA97" s="171" t="s">
        <v>165</v>
      </c>
      <c r="EB97" s="171" t="s">
        <v>165</v>
      </c>
      <c r="EC97" s="53">
        <v>8.0</v>
      </c>
      <c r="ED97" s="53">
        <v>8.0</v>
      </c>
      <c r="EE97" s="53">
        <v>8.0</v>
      </c>
      <c r="EF97" s="113">
        <f t="shared" si="17"/>
        <v>168</v>
      </c>
      <c r="EG97" s="170"/>
      <c r="EH97" s="170"/>
      <c r="EI97" s="170"/>
      <c r="EJ97" s="170"/>
      <c r="EK97" s="170"/>
      <c r="EL97" s="170"/>
      <c r="EM97" s="170"/>
      <c r="EN97" s="170"/>
      <c r="EO97" s="170"/>
      <c r="EP97" s="170"/>
      <c r="EQ97" s="170"/>
      <c r="ER97" s="170"/>
      <c r="ES97" s="170"/>
      <c r="ET97" s="170"/>
      <c r="EU97" s="170"/>
      <c r="EV97" s="170"/>
      <c r="EW97" s="170"/>
      <c r="EX97" s="170"/>
      <c r="EY97" s="170"/>
      <c r="EZ97" s="170"/>
      <c r="FA97" s="170"/>
      <c r="FB97" s="170"/>
      <c r="FC97" s="170"/>
      <c r="FD97" s="170"/>
      <c r="FE97" s="170"/>
      <c r="FF97" s="170"/>
      <c r="FG97" s="170"/>
      <c r="FH97" s="170"/>
      <c r="FI97" s="170"/>
      <c r="FJ97" s="170"/>
      <c r="FK97" s="170"/>
      <c r="FL97" s="170"/>
      <c r="FM97" s="170"/>
      <c r="FN97" s="170"/>
      <c r="FO97" s="170"/>
      <c r="FP97" s="170"/>
      <c r="FQ97" s="170"/>
      <c r="FR97" s="170"/>
      <c r="FS97" s="170"/>
      <c r="FT97" s="170"/>
      <c r="FU97" s="170"/>
      <c r="FV97" s="170"/>
      <c r="FW97" s="170"/>
      <c r="FX97" s="170"/>
      <c r="FY97" s="170"/>
      <c r="FZ97" s="170"/>
      <c r="GA97" s="170"/>
      <c r="GB97" s="170"/>
      <c r="GC97" s="170"/>
      <c r="GD97" s="170"/>
      <c r="GE97" s="170"/>
      <c r="GF97" s="170"/>
      <c r="GG97" s="170"/>
      <c r="GH97" s="170"/>
      <c r="GI97" s="170"/>
      <c r="GJ97" s="170"/>
      <c r="GK97" s="170"/>
      <c r="GL97" s="170"/>
      <c r="GM97" s="170"/>
      <c r="GN97" s="170"/>
      <c r="GO97" s="170"/>
      <c r="GP97" s="170"/>
      <c r="GQ97" s="170"/>
      <c r="GR97" s="170"/>
      <c r="GS97" s="170"/>
      <c r="GT97" s="170"/>
      <c r="GU97" s="170"/>
      <c r="GV97" s="170"/>
      <c r="GW97" s="170"/>
      <c r="GX97" s="170"/>
      <c r="GY97" s="170"/>
      <c r="GZ97" s="170"/>
      <c r="HA97" s="170"/>
      <c r="HB97" s="170"/>
      <c r="HC97" s="170"/>
      <c r="HD97" s="170"/>
      <c r="HE97" s="170"/>
    </row>
    <row r="98">
      <c r="A98" s="1" t="s">
        <v>315</v>
      </c>
      <c r="B98" s="106" t="str">
        <f>iferror(vlookup(A98,'SoS - Agents Info'!A:H,5,false),"")</f>
        <v>ES</v>
      </c>
      <c r="C98" s="107" t="str">
        <f>iferror(vlookup(A98,'SoS - Agents Info'!A:AQ,43,false),"")</f>
        <v>JM</v>
      </c>
      <c r="D98" s="108" t="str">
        <f>iferror(vlookup(A98,'SoS - Agents Info'!A:H,6,false),"")</f>
        <v>WE+WD</v>
      </c>
      <c r="E98" s="108" t="str">
        <f>iferror(vlookup(A98,'SoS - Agents Info'!A:H,7,false),"")</f>
        <v>09:00-18:00</v>
      </c>
      <c r="F98" s="109">
        <f>IFERROR(__xludf.DUMMYFUNCTION("sum(COUNTIFS(Filter(FILTER('Shiftplan SoS'!G$3:GU166,'Shiftplan SoS'!$G$1:$GU$1&lt;=today()),'Shiftplan SoS'!$A$3:$A166=A98),""&gt;0"",(Filter(FILTER('Shiftplan SoS'!G$3:GU166,'Shiftplan SoS'!$G$1:$GU$1&lt;=today()),'Shiftplan SoS'!$A$3:$A166=A98)),""&lt;12""))"),44.0)</f>
        <v>44</v>
      </c>
      <c r="G98" s="118"/>
      <c r="H98" s="118"/>
      <c r="I98" s="118"/>
      <c r="J98" s="118"/>
      <c r="K98" s="118"/>
      <c r="L98" s="118"/>
      <c r="M98" s="118"/>
      <c r="N98" s="118"/>
      <c r="O98" s="118"/>
      <c r="P98" s="118"/>
      <c r="Q98" s="118"/>
      <c r="R98" s="118"/>
      <c r="S98" s="118"/>
      <c r="T98" s="118"/>
      <c r="U98" s="118"/>
      <c r="V98" s="118"/>
      <c r="W98" s="118"/>
      <c r="X98" s="118"/>
      <c r="Y98" s="118"/>
      <c r="Z98" s="118"/>
      <c r="AA98" s="118"/>
      <c r="AB98" s="118"/>
      <c r="AC98" s="118"/>
      <c r="AD98" s="118"/>
      <c r="AE98" s="118"/>
      <c r="AF98" s="118"/>
      <c r="AG98" s="118"/>
      <c r="AH98" s="118"/>
      <c r="AI98" s="118"/>
      <c r="AJ98" s="118"/>
      <c r="AK98" s="169"/>
      <c r="AL98" s="105"/>
      <c r="AM98" s="48"/>
      <c r="AN98" s="16"/>
      <c r="AO98" s="16"/>
      <c r="AP98" s="16"/>
      <c r="AQ98" s="16"/>
      <c r="AR98" s="16"/>
      <c r="AS98" s="16"/>
      <c r="AT98" s="118"/>
      <c r="AU98" s="118"/>
      <c r="AV98" s="118"/>
      <c r="AW98" s="118"/>
      <c r="AX98" s="118"/>
      <c r="AY98" s="118"/>
      <c r="AZ98" s="118"/>
      <c r="BA98" s="118"/>
      <c r="BB98" s="118"/>
      <c r="BC98" s="118"/>
      <c r="BD98" s="118"/>
      <c r="BE98" s="118"/>
      <c r="BF98" s="118"/>
      <c r="BG98" s="118"/>
      <c r="BH98" s="118"/>
      <c r="BI98" s="118"/>
      <c r="BJ98" s="118"/>
      <c r="BK98" s="118"/>
      <c r="BL98" s="118"/>
      <c r="BM98" s="118"/>
      <c r="BN98" s="118"/>
      <c r="BO98" s="118"/>
      <c r="BP98" s="118"/>
      <c r="BQ98" s="118"/>
      <c r="BR98" s="170"/>
      <c r="BS98" s="48"/>
      <c r="BT98" s="53">
        <v>8.0</v>
      </c>
      <c r="BU98" s="53">
        <v>8.0</v>
      </c>
      <c r="BV98" s="114" t="s">
        <v>165</v>
      </c>
      <c r="BW98" s="114" t="s">
        <v>165</v>
      </c>
      <c r="BX98" s="53">
        <v>8.0</v>
      </c>
      <c r="BY98" s="53">
        <v>8.0</v>
      </c>
      <c r="BZ98" s="53">
        <v>8.0</v>
      </c>
      <c r="CA98" s="53">
        <v>8.0</v>
      </c>
      <c r="CB98" s="171" t="s">
        <v>165</v>
      </c>
      <c r="CC98" s="171" t="s">
        <v>165</v>
      </c>
      <c r="CD98" s="172">
        <v>8.0</v>
      </c>
      <c r="CE98" s="172">
        <v>8.0</v>
      </c>
      <c r="CF98" s="172">
        <v>6.0</v>
      </c>
      <c r="CG98" s="172">
        <v>9.0</v>
      </c>
      <c r="CH98" s="53">
        <v>9.0</v>
      </c>
      <c r="CI98" s="171" t="s">
        <v>165</v>
      </c>
      <c r="CJ98" s="171" t="s">
        <v>165</v>
      </c>
      <c r="CK98" s="172">
        <v>8.0</v>
      </c>
      <c r="CL98" s="172">
        <v>8.0</v>
      </c>
      <c r="CM98" s="172">
        <v>8.0</v>
      </c>
      <c r="CN98" s="172">
        <v>8.0</v>
      </c>
      <c r="CO98" s="53">
        <v>8.0</v>
      </c>
      <c r="CP98" s="171" t="s">
        <v>165</v>
      </c>
      <c r="CQ98" s="171" t="s">
        <v>165</v>
      </c>
      <c r="CR98" s="172">
        <v>8.0</v>
      </c>
      <c r="CS98" s="172">
        <v>8.0</v>
      </c>
      <c r="CT98" s="172">
        <v>8.0</v>
      </c>
      <c r="CU98" s="172">
        <v>8.0</v>
      </c>
      <c r="CV98" s="53">
        <v>8.0</v>
      </c>
      <c r="CW98" s="171" t="s">
        <v>165</v>
      </c>
      <c r="CX98" s="171" t="s">
        <v>165</v>
      </c>
      <c r="CY98" s="105">
        <f t="shared" si="16"/>
        <v>168</v>
      </c>
      <c r="CZ98" s="170"/>
      <c r="DA98" s="113">
        <v>8.0</v>
      </c>
      <c r="DB98" s="113">
        <v>8.0</v>
      </c>
      <c r="DC98" s="113">
        <v>8.0</v>
      </c>
      <c r="DD98" s="113">
        <v>8.0</v>
      </c>
      <c r="DE98" s="58">
        <v>5.0</v>
      </c>
      <c r="DF98" s="113" t="s">
        <v>165</v>
      </c>
      <c r="DG98" s="113" t="s">
        <v>165</v>
      </c>
      <c r="DH98" s="113">
        <v>8.0</v>
      </c>
      <c r="DI98" s="58">
        <v>9.0</v>
      </c>
      <c r="DJ98" s="58">
        <v>9.0</v>
      </c>
      <c r="DK98" s="58">
        <v>9.0</v>
      </c>
      <c r="DL98" s="113">
        <v>8.0</v>
      </c>
      <c r="DM98" s="113" t="s">
        <v>165</v>
      </c>
      <c r="DN98" s="113" t="s">
        <v>165</v>
      </c>
      <c r="DO98" s="113">
        <v>8.0</v>
      </c>
      <c r="DP98" s="113">
        <v>8.0</v>
      </c>
      <c r="DQ98" s="113">
        <v>8.0</v>
      </c>
      <c r="DR98" s="113">
        <v>8.0</v>
      </c>
      <c r="DS98" s="113">
        <v>8.0</v>
      </c>
      <c r="DT98" s="113" t="s">
        <v>165</v>
      </c>
      <c r="DU98" s="113" t="s">
        <v>165</v>
      </c>
      <c r="DV98" s="113">
        <v>8.0</v>
      </c>
      <c r="DW98" s="113">
        <v>8.0</v>
      </c>
      <c r="DX98" s="113">
        <v>8.0</v>
      </c>
      <c r="DY98" s="113">
        <v>8.0</v>
      </c>
      <c r="DZ98" s="113">
        <v>8.0</v>
      </c>
      <c r="EA98" s="113" t="s">
        <v>165</v>
      </c>
      <c r="EB98" s="113" t="s">
        <v>165</v>
      </c>
      <c r="EC98" s="113">
        <v>8.0</v>
      </c>
      <c r="ED98" s="113">
        <v>8.0</v>
      </c>
      <c r="EE98" s="113">
        <v>8.0</v>
      </c>
      <c r="EF98" s="113">
        <f t="shared" si="17"/>
        <v>184</v>
      </c>
      <c r="EG98" s="170"/>
      <c r="EH98" s="170"/>
      <c r="EI98" s="170"/>
      <c r="EJ98" s="170"/>
      <c r="EK98" s="170"/>
      <c r="EL98" s="170"/>
      <c r="EM98" s="170"/>
      <c r="EN98" s="170"/>
      <c r="EO98" s="170"/>
      <c r="EP98" s="170"/>
      <c r="EQ98" s="170"/>
      <c r="ER98" s="170"/>
      <c r="ES98" s="170"/>
      <c r="ET98" s="170"/>
      <c r="EU98" s="170"/>
      <c r="EV98" s="170"/>
      <c r="EW98" s="170"/>
      <c r="EX98" s="170"/>
      <c r="EY98" s="170"/>
      <c r="EZ98" s="170"/>
      <c r="FA98" s="170"/>
      <c r="FB98" s="170"/>
      <c r="FC98" s="170"/>
      <c r="FD98" s="170"/>
      <c r="FE98" s="170"/>
      <c r="FF98" s="170"/>
      <c r="FG98" s="170"/>
      <c r="FH98" s="170"/>
      <c r="FI98" s="170"/>
      <c r="FJ98" s="170"/>
      <c r="FK98" s="170"/>
      <c r="FL98" s="170"/>
      <c r="FM98" s="170"/>
      <c r="FN98" s="170"/>
      <c r="FO98" s="170"/>
      <c r="FP98" s="170"/>
      <c r="FQ98" s="170"/>
      <c r="FR98" s="170"/>
      <c r="FS98" s="170"/>
      <c r="FT98" s="170"/>
      <c r="FU98" s="170"/>
      <c r="FV98" s="170"/>
      <c r="FW98" s="170"/>
      <c r="FX98" s="170"/>
      <c r="FY98" s="170"/>
      <c r="FZ98" s="170"/>
      <c r="GA98" s="170"/>
      <c r="GB98" s="170"/>
      <c r="GC98" s="170"/>
      <c r="GD98" s="170"/>
      <c r="GE98" s="170"/>
      <c r="GF98" s="170"/>
      <c r="GG98" s="170"/>
      <c r="GH98" s="170"/>
      <c r="GI98" s="170"/>
      <c r="GJ98" s="170"/>
      <c r="GK98" s="170"/>
      <c r="GL98" s="170"/>
      <c r="GM98" s="170"/>
      <c r="GN98" s="170"/>
      <c r="GO98" s="170"/>
      <c r="GP98" s="170"/>
      <c r="GQ98" s="170"/>
      <c r="GR98" s="170"/>
      <c r="GS98" s="170"/>
      <c r="GT98" s="170"/>
      <c r="GU98" s="170"/>
      <c r="GV98" s="170"/>
      <c r="GW98" s="170"/>
      <c r="GX98" s="170"/>
      <c r="GY98" s="170"/>
      <c r="GZ98" s="170"/>
      <c r="HA98" s="170"/>
      <c r="HB98" s="170"/>
      <c r="HC98" s="170"/>
      <c r="HD98" s="170"/>
      <c r="HE98" s="170"/>
    </row>
    <row r="99">
      <c r="A99" s="111" t="s">
        <v>316</v>
      </c>
      <c r="B99" s="106" t="str">
        <f>iferror(vlookup(A99,'SoS - Agents Info'!A:H,5,false),"")</f>
        <v>EN</v>
      </c>
      <c r="C99" s="107" t="str">
        <f>iferror(vlookup(A99,'SoS - Agents Info'!A:AQ,43,false),"")</f>
        <v>RA+VM</v>
      </c>
      <c r="D99" s="108" t="str">
        <f>iferror(vlookup(A99,'SoS - Agents Info'!A:H,6,false),"")</f>
        <v>WD</v>
      </c>
      <c r="E99" s="108" t="str">
        <f>iferror(vlookup(A99,'SoS - Agents Info'!A:H,7,false),"")</f>
        <v>16:00-01:00</v>
      </c>
      <c r="F99" s="109">
        <f>IFERROR(__xludf.DUMMYFUNCTION("sum(COUNTIFS(Filter(FILTER('Shiftplan SoS'!G$3:GU166,'Shiftplan SoS'!$G$1:$GU$1&lt;=today()),'Shiftplan SoS'!$A$3:$A166=A99),""&gt;0"",(Filter(FILTER('Shiftplan SoS'!G$3:GU166,'Shiftplan SoS'!$G$1:$GU$1&lt;=today()),'Shiftplan SoS'!$A$3:$A166=A99)),""&lt;12""))"),24.0)</f>
        <v>24</v>
      </c>
      <c r="G99" s="118"/>
      <c r="H99" s="118"/>
      <c r="I99" s="118"/>
      <c r="J99" s="118"/>
      <c r="K99" s="118"/>
      <c r="L99" s="118"/>
      <c r="M99" s="118"/>
      <c r="N99" s="118"/>
      <c r="O99" s="118"/>
      <c r="P99" s="118"/>
      <c r="Q99" s="118"/>
      <c r="R99" s="118"/>
      <c r="S99" s="118"/>
      <c r="T99" s="118"/>
      <c r="U99" s="118"/>
      <c r="V99" s="118"/>
      <c r="W99" s="118"/>
      <c r="X99" s="118"/>
      <c r="Y99" s="118"/>
      <c r="Z99" s="118"/>
      <c r="AA99" s="118"/>
      <c r="AB99" s="118"/>
      <c r="AC99" s="118"/>
      <c r="AD99" s="118"/>
      <c r="AE99" s="118"/>
      <c r="AF99" s="118"/>
      <c r="AG99" s="118"/>
      <c r="AH99" s="118"/>
      <c r="AI99" s="118"/>
      <c r="AJ99" s="118"/>
      <c r="AK99" s="169"/>
      <c r="AL99" s="105"/>
      <c r="AM99" s="48"/>
      <c r="AN99" s="16"/>
      <c r="AO99" s="16"/>
      <c r="AP99" s="16"/>
      <c r="AQ99" s="16"/>
      <c r="AR99" s="16"/>
      <c r="AS99" s="16"/>
      <c r="AT99" s="118"/>
      <c r="AU99" s="118"/>
      <c r="AV99" s="118"/>
      <c r="AW99" s="118"/>
      <c r="AX99" s="118"/>
      <c r="AY99" s="118"/>
      <c r="AZ99" s="118"/>
      <c r="BA99" s="118"/>
      <c r="BB99" s="118"/>
      <c r="BC99" s="118"/>
      <c r="BD99" s="118"/>
      <c r="BE99" s="118"/>
      <c r="BF99" s="118"/>
      <c r="BG99" s="118"/>
      <c r="BH99" s="118"/>
      <c r="BI99" s="118"/>
      <c r="BJ99" s="118"/>
      <c r="BK99" s="118"/>
      <c r="BL99" s="118"/>
      <c r="BM99" s="118"/>
      <c r="BN99" s="118"/>
      <c r="BO99" s="118"/>
      <c r="BP99" s="118"/>
      <c r="BQ99" s="118"/>
      <c r="BR99" s="170"/>
      <c r="BS99" s="48"/>
      <c r="BT99" s="118"/>
      <c r="BU99" s="173"/>
      <c r="BV99" s="118"/>
      <c r="BW99" s="118"/>
      <c r="BX99" s="134"/>
      <c r="BY99" s="53"/>
      <c r="BZ99" s="53"/>
      <c r="CA99" s="53"/>
      <c r="CB99" s="53"/>
      <c r="CC99" s="53"/>
      <c r="CD99" s="53"/>
      <c r="CE99" s="134">
        <v>8.0</v>
      </c>
      <c r="CF99" s="53">
        <v>8.0</v>
      </c>
      <c r="CG99" s="53">
        <v>8.0</v>
      </c>
      <c r="CH99" s="53">
        <v>8.0</v>
      </c>
      <c r="CI99" s="134">
        <v>8.0</v>
      </c>
      <c r="CJ99" s="53" t="s">
        <v>165</v>
      </c>
      <c r="CK99" s="53" t="s">
        <v>165</v>
      </c>
      <c r="CL99" s="174" t="s">
        <v>165</v>
      </c>
      <c r="CM99" s="53">
        <v>8.0</v>
      </c>
      <c r="CN99" s="53" t="s">
        <v>165</v>
      </c>
      <c r="CO99" s="53">
        <v>8.0</v>
      </c>
      <c r="CP99" s="53">
        <v>8.0</v>
      </c>
      <c r="CQ99" s="53" t="s">
        <v>165</v>
      </c>
      <c r="CR99" s="53" t="s">
        <v>165</v>
      </c>
      <c r="CS99" s="174" t="s">
        <v>165</v>
      </c>
      <c r="CT99" s="53">
        <v>8.0</v>
      </c>
      <c r="CU99" s="53" t="s">
        <v>165</v>
      </c>
      <c r="CV99" s="53">
        <v>8.0</v>
      </c>
      <c r="CW99" s="53">
        <v>8.0</v>
      </c>
      <c r="CX99" s="53" t="s">
        <v>165</v>
      </c>
      <c r="CY99" s="105">
        <f t="shared" si="16"/>
        <v>88</v>
      </c>
      <c r="CZ99" s="170"/>
      <c r="DA99" s="53" t="s">
        <v>165</v>
      </c>
      <c r="DB99" s="174" t="s">
        <v>165</v>
      </c>
      <c r="DC99" s="110">
        <v>8.0</v>
      </c>
      <c r="DD99" s="53" t="s">
        <v>165</v>
      </c>
      <c r="DE99" s="110">
        <v>8.0</v>
      </c>
      <c r="DF99" s="110">
        <v>8.0</v>
      </c>
      <c r="DG99" s="53" t="s">
        <v>165</v>
      </c>
      <c r="DH99" s="53" t="s">
        <v>165</v>
      </c>
      <c r="DI99" s="174" t="s">
        <v>165</v>
      </c>
      <c r="DJ99" s="53">
        <v>8.0</v>
      </c>
      <c r="DK99" s="53" t="s">
        <v>165</v>
      </c>
      <c r="DL99" s="110">
        <v>8.0</v>
      </c>
      <c r="DM99" s="110">
        <v>8.0</v>
      </c>
      <c r="DN99" s="53" t="s">
        <v>165</v>
      </c>
      <c r="DO99" s="53" t="s">
        <v>165</v>
      </c>
      <c r="DP99" s="174" t="s">
        <v>165</v>
      </c>
      <c r="DQ99" s="110">
        <v>8.0</v>
      </c>
      <c r="DR99" s="53" t="s">
        <v>165</v>
      </c>
      <c r="DS99" s="53" t="s">
        <v>245</v>
      </c>
      <c r="DT99" s="110">
        <v>8.0</v>
      </c>
      <c r="DU99" s="53" t="s">
        <v>165</v>
      </c>
      <c r="DV99" s="53" t="s">
        <v>165</v>
      </c>
      <c r="DW99" s="119">
        <v>8.0</v>
      </c>
      <c r="DX99" s="110">
        <v>8.0</v>
      </c>
      <c r="DY99" s="53" t="s">
        <v>165</v>
      </c>
      <c r="DZ99" s="53">
        <v>8.0</v>
      </c>
      <c r="EA99" s="53">
        <v>8.0</v>
      </c>
      <c r="EB99" s="53" t="s">
        <v>165</v>
      </c>
      <c r="EC99" s="53" t="s">
        <v>165</v>
      </c>
      <c r="ED99" s="174" t="s">
        <v>165</v>
      </c>
      <c r="EE99" s="53">
        <v>8.0</v>
      </c>
      <c r="EF99" s="113">
        <f t="shared" si="17"/>
        <v>104</v>
      </c>
      <c r="EG99" s="170"/>
      <c r="EH99" s="170"/>
      <c r="EI99" s="170"/>
      <c r="EJ99" s="170"/>
      <c r="EK99" s="170"/>
      <c r="EL99" s="170"/>
      <c r="EM99" s="170"/>
      <c r="EN99" s="170"/>
      <c r="EO99" s="170"/>
      <c r="EP99" s="170"/>
      <c r="EQ99" s="170"/>
      <c r="ER99" s="170"/>
      <c r="ES99" s="170"/>
      <c r="ET99" s="170"/>
      <c r="EU99" s="170"/>
      <c r="EV99" s="170"/>
      <c r="EW99" s="170"/>
      <c r="EX99" s="170"/>
      <c r="EY99" s="170"/>
      <c r="EZ99" s="170"/>
      <c r="FA99" s="170"/>
      <c r="FB99" s="170"/>
      <c r="FC99" s="170"/>
      <c r="FD99" s="170"/>
      <c r="FE99" s="170"/>
      <c r="FF99" s="170"/>
      <c r="FG99" s="170"/>
      <c r="FH99" s="170"/>
      <c r="FI99" s="170"/>
      <c r="FJ99" s="170"/>
      <c r="FK99" s="170"/>
      <c r="FL99" s="170"/>
      <c r="FM99" s="170"/>
      <c r="FN99" s="170"/>
      <c r="FO99" s="170"/>
      <c r="FP99" s="170"/>
      <c r="FQ99" s="170"/>
      <c r="FR99" s="170"/>
      <c r="FS99" s="170"/>
      <c r="FT99" s="170"/>
      <c r="FU99" s="170"/>
      <c r="FV99" s="170"/>
      <c r="FW99" s="170"/>
      <c r="FX99" s="170"/>
      <c r="FY99" s="170"/>
      <c r="FZ99" s="170"/>
      <c r="GA99" s="170"/>
      <c r="GB99" s="170"/>
      <c r="GC99" s="170"/>
      <c r="GD99" s="170"/>
      <c r="GE99" s="170"/>
      <c r="GF99" s="170"/>
      <c r="GG99" s="170"/>
      <c r="GH99" s="170"/>
      <c r="GI99" s="170"/>
      <c r="GJ99" s="170"/>
      <c r="GK99" s="170"/>
      <c r="GL99" s="170"/>
      <c r="GM99" s="170"/>
      <c r="GN99" s="170"/>
      <c r="GO99" s="170"/>
      <c r="GP99" s="170"/>
      <c r="GQ99" s="170"/>
      <c r="GR99" s="170"/>
      <c r="GS99" s="170"/>
      <c r="GT99" s="170"/>
      <c r="GU99" s="170"/>
      <c r="GV99" s="170"/>
      <c r="GW99" s="170"/>
      <c r="GX99" s="170"/>
      <c r="GY99" s="170"/>
      <c r="GZ99" s="170"/>
      <c r="HA99" s="170"/>
      <c r="HB99" s="170"/>
      <c r="HC99" s="170"/>
      <c r="HD99" s="170"/>
      <c r="HE99" s="170"/>
    </row>
    <row r="100">
      <c r="A100" s="111" t="s">
        <v>317</v>
      </c>
      <c r="B100" s="106" t="str">
        <f>iferror(vlookup(A100,'SoS - Agents Info'!A:H,5,false),"")</f>
        <v>EN</v>
      </c>
      <c r="C100" s="107" t="str">
        <f>iferror(vlookup(A100,'SoS - Agents Info'!A:AQ,43,false),"")</f>
        <v>RA+VM</v>
      </c>
      <c r="D100" s="108" t="str">
        <f>iferror(vlookup(A100,'SoS - Agents Info'!A:H,6,false),"")</f>
        <v>WD</v>
      </c>
      <c r="E100" s="108" t="str">
        <f>iferror(vlookup(A100,'SoS - Agents Info'!A:H,7,false),"")</f>
        <v>16:00-01:00</v>
      </c>
      <c r="F100" s="109">
        <f>IFERROR(__xludf.DUMMYFUNCTION("sum(COUNTIFS(Filter(FILTER('Shiftplan SoS'!G$3:GU166,'Shiftplan SoS'!$G$1:$GU$1&lt;=today()),'Shiftplan SoS'!$A$3:$A166=A100),""&gt;0"",(Filter(FILTER('Shiftplan SoS'!G$3:GU166,'Shiftplan SoS'!$G$1:$GU$1&lt;=today()),'Shiftplan SoS'!$A$3:$A166=A100)),""&lt;12""))"),42.0)</f>
        <v>42</v>
      </c>
      <c r="G100" s="118"/>
      <c r="H100" s="118"/>
      <c r="I100" s="118"/>
      <c r="J100" s="118"/>
      <c r="K100" s="118"/>
      <c r="L100" s="118"/>
      <c r="M100" s="118"/>
      <c r="N100" s="118"/>
      <c r="O100" s="118"/>
      <c r="P100" s="118"/>
      <c r="Q100" s="118"/>
      <c r="R100" s="118"/>
      <c r="S100" s="118"/>
      <c r="T100" s="118"/>
      <c r="U100" s="118"/>
      <c r="V100" s="118"/>
      <c r="W100" s="118"/>
      <c r="X100" s="118"/>
      <c r="Y100" s="118"/>
      <c r="Z100" s="118"/>
      <c r="AA100" s="118"/>
      <c r="AB100" s="118"/>
      <c r="AC100" s="118"/>
      <c r="AD100" s="118"/>
      <c r="AE100" s="118"/>
      <c r="AF100" s="118"/>
      <c r="AG100" s="118"/>
      <c r="AH100" s="118"/>
      <c r="AI100" s="118"/>
      <c r="AJ100" s="118"/>
      <c r="AK100" s="169"/>
      <c r="AL100" s="105"/>
      <c r="AM100" s="48"/>
      <c r="AN100" s="16"/>
      <c r="AO100" s="16"/>
      <c r="AP100" s="16"/>
      <c r="AQ100" s="16"/>
      <c r="AR100" s="16"/>
      <c r="AS100" s="16"/>
      <c r="AT100" s="118"/>
      <c r="AU100" s="118"/>
      <c r="AV100" s="118"/>
      <c r="AW100" s="118"/>
      <c r="AX100" s="118"/>
      <c r="AY100" s="118"/>
      <c r="AZ100" s="118"/>
      <c r="BA100" s="118"/>
      <c r="BB100" s="118"/>
      <c r="BC100" s="118"/>
      <c r="BD100" s="118"/>
      <c r="BE100" s="118"/>
      <c r="BF100" s="118"/>
      <c r="BG100" s="118"/>
      <c r="BH100" s="118"/>
      <c r="BI100" s="118"/>
      <c r="BJ100" s="118"/>
      <c r="BK100" s="118"/>
      <c r="BL100" s="118"/>
      <c r="BM100" s="118"/>
      <c r="BN100" s="118"/>
      <c r="BO100" s="118"/>
      <c r="BP100" s="118"/>
      <c r="BQ100" s="118"/>
      <c r="BR100" s="170"/>
      <c r="BS100" s="48"/>
      <c r="BT100" s="170"/>
      <c r="BU100" s="170"/>
      <c r="BV100" s="170"/>
      <c r="BW100" s="170"/>
      <c r="BX100" s="53">
        <v>8.0</v>
      </c>
      <c r="BY100" s="53">
        <v>8.0</v>
      </c>
      <c r="BZ100" s="53">
        <v>8.0</v>
      </c>
      <c r="CA100" s="53">
        <v>8.0</v>
      </c>
      <c r="CB100" s="53">
        <v>8.0</v>
      </c>
      <c r="CC100" s="53" t="s">
        <v>165</v>
      </c>
      <c r="CD100" s="53" t="s">
        <v>165</v>
      </c>
      <c r="CE100" s="53">
        <v>8.0</v>
      </c>
      <c r="CF100" s="175">
        <v>8.0</v>
      </c>
      <c r="CG100" s="134">
        <v>8.0</v>
      </c>
      <c r="CH100" s="134">
        <v>8.0</v>
      </c>
      <c r="CI100" s="134">
        <v>8.0</v>
      </c>
      <c r="CJ100" s="53" t="s">
        <v>165</v>
      </c>
      <c r="CK100" s="53" t="s">
        <v>165</v>
      </c>
      <c r="CL100" s="53">
        <v>8.0</v>
      </c>
      <c r="CM100" s="175">
        <v>8.0</v>
      </c>
      <c r="CN100" s="134">
        <v>8.0</v>
      </c>
      <c r="CO100" s="134">
        <v>8.0</v>
      </c>
      <c r="CP100" s="134">
        <v>8.0</v>
      </c>
      <c r="CQ100" s="53" t="s">
        <v>165</v>
      </c>
      <c r="CR100" s="53" t="s">
        <v>165</v>
      </c>
      <c r="CS100" s="53">
        <v>8.0</v>
      </c>
      <c r="CT100" s="175">
        <v>8.0</v>
      </c>
      <c r="CU100" s="134">
        <v>8.0</v>
      </c>
      <c r="CV100" s="134">
        <v>8.0</v>
      </c>
      <c r="CW100" s="134">
        <v>8.0</v>
      </c>
      <c r="CX100" s="53" t="s">
        <v>165</v>
      </c>
      <c r="CY100" s="105">
        <f t="shared" si="16"/>
        <v>160</v>
      </c>
      <c r="CZ100" s="170"/>
      <c r="DA100" s="113" t="s">
        <v>165</v>
      </c>
      <c r="DB100" s="123">
        <v>8.0</v>
      </c>
      <c r="DC100" s="123">
        <v>8.0</v>
      </c>
      <c r="DD100" s="123">
        <v>8.0</v>
      </c>
      <c r="DE100" s="123">
        <v>8.0</v>
      </c>
      <c r="DF100" s="123">
        <v>8.0</v>
      </c>
      <c r="DG100" s="113" t="s">
        <v>165</v>
      </c>
      <c r="DH100" s="113" t="s">
        <v>165</v>
      </c>
      <c r="DI100" s="123">
        <v>8.0</v>
      </c>
      <c r="DJ100" s="113">
        <v>8.0</v>
      </c>
      <c r="DK100" s="123">
        <v>8.0</v>
      </c>
      <c r="DL100" s="123">
        <v>8.0</v>
      </c>
      <c r="DM100" s="123">
        <v>8.0</v>
      </c>
      <c r="DN100" s="113" t="s">
        <v>165</v>
      </c>
      <c r="DO100" s="113" t="s">
        <v>165</v>
      </c>
      <c r="DP100" s="123">
        <v>8.0</v>
      </c>
      <c r="DQ100" s="123">
        <v>8.0</v>
      </c>
      <c r="DR100" s="123">
        <v>8.0</v>
      </c>
      <c r="DS100" s="123">
        <v>8.0</v>
      </c>
      <c r="DT100" s="123">
        <v>8.0</v>
      </c>
      <c r="DU100" s="113" t="s">
        <v>165</v>
      </c>
      <c r="DV100" s="113" t="s">
        <v>165</v>
      </c>
      <c r="DW100" s="123">
        <v>8.0</v>
      </c>
      <c r="DX100" s="123">
        <v>8.0</v>
      </c>
      <c r="DY100" s="113">
        <v>8.0</v>
      </c>
      <c r="DZ100" s="113">
        <v>8.0</v>
      </c>
      <c r="EA100" s="123">
        <v>8.0</v>
      </c>
      <c r="EB100" s="113" t="s">
        <v>165</v>
      </c>
      <c r="EC100" s="113" t="s">
        <v>165</v>
      </c>
      <c r="ED100" s="113">
        <v>8.0</v>
      </c>
      <c r="EE100" s="113">
        <v>8.0</v>
      </c>
      <c r="EF100" s="113">
        <f t="shared" si="17"/>
        <v>176</v>
      </c>
      <c r="EG100" s="170"/>
      <c r="EH100" s="170"/>
      <c r="EI100" s="170"/>
      <c r="EJ100" s="170"/>
      <c r="EK100" s="170"/>
      <c r="EL100" s="170"/>
      <c r="EM100" s="170"/>
      <c r="EN100" s="170"/>
      <c r="EO100" s="170"/>
      <c r="EP100" s="170"/>
      <c r="EQ100" s="170"/>
      <c r="ER100" s="170"/>
      <c r="ES100" s="170"/>
      <c r="ET100" s="170"/>
      <c r="EU100" s="170"/>
      <c r="EV100" s="170"/>
      <c r="EW100" s="170"/>
      <c r="EX100" s="170"/>
      <c r="EY100" s="170"/>
      <c r="EZ100" s="170"/>
      <c r="FA100" s="170"/>
      <c r="FB100" s="170"/>
      <c r="FC100" s="170"/>
      <c r="FD100" s="170"/>
      <c r="FE100" s="170"/>
      <c r="FF100" s="170"/>
      <c r="FG100" s="170"/>
      <c r="FH100" s="170"/>
      <c r="FI100" s="170"/>
      <c r="FJ100" s="170"/>
      <c r="FK100" s="170"/>
      <c r="FL100" s="170"/>
      <c r="FM100" s="170"/>
      <c r="FN100" s="170"/>
      <c r="FO100" s="170"/>
      <c r="FP100" s="170"/>
      <c r="FQ100" s="170"/>
      <c r="FR100" s="170"/>
      <c r="FS100" s="170"/>
      <c r="FT100" s="170"/>
      <c r="FU100" s="170"/>
      <c r="FV100" s="170"/>
      <c r="FW100" s="170"/>
      <c r="FX100" s="170"/>
      <c r="FY100" s="170"/>
      <c r="FZ100" s="170"/>
      <c r="GA100" s="170"/>
      <c r="GB100" s="170"/>
      <c r="GC100" s="170"/>
      <c r="GD100" s="170"/>
      <c r="GE100" s="170"/>
      <c r="GF100" s="170"/>
      <c r="GG100" s="170"/>
      <c r="GH100" s="170"/>
      <c r="GI100" s="170"/>
      <c r="GJ100" s="170"/>
      <c r="GK100" s="170"/>
      <c r="GL100" s="170"/>
      <c r="GM100" s="170"/>
      <c r="GN100" s="170"/>
      <c r="GO100" s="170"/>
      <c r="GP100" s="170"/>
      <c r="GQ100" s="170"/>
      <c r="GR100" s="170"/>
      <c r="GS100" s="170"/>
      <c r="GT100" s="170"/>
      <c r="GU100" s="170"/>
      <c r="GV100" s="170"/>
      <c r="GW100" s="170"/>
      <c r="GX100" s="170"/>
      <c r="GY100" s="170"/>
      <c r="GZ100" s="170"/>
      <c r="HA100" s="170"/>
      <c r="HB100" s="170"/>
      <c r="HC100" s="170"/>
      <c r="HD100" s="170"/>
      <c r="HE100" s="170"/>
    </row>
    <row r="101">
      <c r="A101" s="111" t="s">
        <v>318</v>
      </c>
      <c r="B101" s="106" t="str">
        <f>iferror(vlookup(A101,'SoS - Agents Info'!A:H,5,false),"")</f>
        <v>EN</v>
      </c>
      <c r="C101" s="107" t="str">
        <f>iferror(vlookup(A101,'SoS - Agents Info'!A:AQ,43,false),"")</f>
        <v>RA+VM</v>
      </c>
      <c r="D101" s="108" t="str">
        <f>iferror(vlookup(A101,'SoS - Agents Info'!A:H,6,false),"")</f>
        <v>WE+WD</v>
      </c>
      <c r="E101" s="108" t="str">
        <f>iferror(vlookup(A101,'SoS - Agents Info'!A:H,7,false),"")</f>
        <v>16:00-01:00</v>
      </c>
      <c r="F101" s="109">
        <f>IFERROR(__xludf.DUMMYFUNCTION("sum(COUNTIFS(Filter(FILTER('Shiftplan SoS'!G$3:GU166,'Shiftplan SoS'!$G$1:$GU$1&lt;=today()),'Shiftplan SoS'!$A$3:$A166=A101),""&gt;0"",(Filter(FILTER('Shiftplan SoS'!G$3:GU166,'Shiftplan SoS'!$G$1:$GU$1&lt;=today()),'Shiftplan SoS'!$A$3:$A166=A101)),""&lt;12""))"),36.0)</f>
        <v>36</v>
      </c>
      <c r="G101" s="118"/>
      <c r="H101" s="118"/>
      <c r="I101" s="118"/>
      <c r="J101" s="118"/>
      <c r="K101" s="118"/>
      <c r="L101" s="118"/>
      <c r="M101" s="118"/>
      <c r="N101" s="118"/>
      <c r="O101" s="118"/>
      <c r="P101" s="118"/>
      <c r="Q101" s="118"/>
      <c r="R101" s="118"/>
      <c r="S101" s="118"/>
      <c r="T101" s="118"/>
      <c r="U101" s="118"/>
      <c r="V101" s="118"/>
      <c r="W101" s="118"/>
      <c r="X101" s="118"/>
      <c r="Y101" s="118"/>
      <c r="Z101" s="118"/>
      <c r="AA101" s="118"/>
      <c r="AB101" s="118"/>
      <c r="AC101" s="118"/>
      <c r="AD101" s="118"/>
      <c r="AE101" s="118"/>
      <c r="AF101" s="118"/>
      <c r="AG101" s="118"/>
      <c r="AH101" s="118"/>
      <c r="AI101" s="118"/>
      <c r="AJ101" s="118"/>
      <c r="AK101" s="169"/>
      <c r="AL101" s="105"/>
      <c r="AM101" s="48"/>
      <c r="AN101" s="16"/>
      <c r="AO101" s="16"/>
      <c r="AP101" s="16"/>
      <c r="AQ101" s="16"/>
      <c r="AR101" s="16"/>
      <c r="AS101" s="16"/>
      <c r="AT101" s="118"/>
      <c r="AU101" s="118"/>
      <c r="AV101" s="118"/>
      <c r="AW101" s="118"/>
      <c r="AX101" s="118"/>
      <c r="AY101" s="118"/>
      <c r="AZ101" s="118"/>
      <c r="BA101" s="118"/>
      <c r="BB101" s="118"/>
      <c r="BC101" s="118"/>
      <c r="BD101" s="118"/>
      <c r="BE101" s="118"/>
      <c r="BF101" s="118"/>
      <c r="BG101" s="118"/>
      <c r="BH101" s="118"/>
      <c r="BI101" s="118"/>
      <c r="BJ101" s="118"/>
      <c r="BK101" s="118"/>
      <c r="BL101" s="118"/>
      <c r="BM101" s="118"/>
      <c r="BN101" s="118"/>
      <c r="BO101" s="118"/>
      <c r="BP101" s="118"/>
      <c r="BQ101" s="118"/>
      <c r="BR101" s="170"/>
      <c r="BS101" s="48"/>
      <c r="BT101" s="170"/>
      <c r="BU101" s="170"/>
      <c r="BV101" s="170"/>
      <c r="BW101" s="170"/>
      <c r="BX101" s="53"/>
      <c r="BY101" s="53"/>
      <c r="BZ101" s="53"/>
      <c r="CA101" s="53"/>
      <c r="CB101" s="53"/>
      <c r="CC101" s="53"/>
      <c r="CD101" s="53"/>
      <c r="CE101" s="53">
        <v>8.0</v>
      </c>
      <c r="CF101" s="175">
        <v>8.0</v>
      </c>
      <c r="CG101" s="134">
        <v>8.0</v>
      </c>
      <c r="CH101" s="134">
        <v>8.0</v>
      </c>
      <c r="CI101" s="134">
        <v>8.0</v>
      </c>
      <c r="CJ101" s="53" t="s">
        <v>165</v>
      </c>
      <c r="CK101" s="53" t="s">
        <v>165</v>
      </c>
      <c r="CL101" s="53" t="s">
        <v>165</v>
      </c>
      <c r="CM101" s="53">
        <v>8.0</v>
      </c>
      <c r="CN101" s="53">
        <v>8.0</v>
      </c>
      <c r="CO101" s="53">
        <v>8.0</v>
      </c>
      <c r="CP101" s="53">
        <v>8.0</v>
      </c>
      <c r="CQ101" s="53">
        <v>8.0</v>
      </c>
      <c r="CR101" s="53" t="s">
        <v>165</v>
      </c>
      <c r="CS101" s="53" t="s">
        <v>165</v>
      </c>
      <c r="CT101" s="53">
        <v>8.0</v>
      </c>
      <c r="CU101" s="53">
        <v>8.0</v>
      </c>
      <c r="CV101" s="53">
        <v>8.0</v>
      </c>
      <c r="CW101" s="53">
        <v>8.0</v>
      </c>
      <c r="CX101" s="53">
        <v>8.0</v>
      </c>
      <c r="CY101" s="105">
        <f t="shared" si="16"/>
        <v>120</v>
      </c>
      <c r="CZ101" s="170"/>
      <c r="DA101" s="113" t="s">
        <v>165</v>
      </c>
      <c r="DB101" s="113" t="s">
        <v>165</v>
      </c>
      <c r="DC101" s="124">
        <v>6.0</v>
      </c>
      <c r="DD101" s="123">
        <v>8.0</v>
      </c>
      <c r="DE101" s="123">
        <v>8.0</v>
      </c>
      <c r="DF101" s="124">
        <v>9.0</v>
      </c>
      <c r="DG101" s="124">
        <v>9.0</v>
      </c>
      <c r="DH101" s="113" t="s">
        <v>165</v>
      </c>
      <c r="DI101" s="113" t="s">
        <v>165</v>
      </c>
      <c r="DJ101" s="123">
        <v>8.0</v>
      </c>
      <c r="DK101" s="123">
        <v>8.0</v>
      </c>
      <c r="DL101" s="123">
        <v>8.0</v>
      </c>
      <c r="DM101" s="123">
        <v>8.0</v>
      </c>
      <c r="DN101" s="113">
        <v>8.0</v>
      </c>
      <c r="DO101" s="113" t="s">
        <v>165</v>
      </c>
      <c r="DP101" s="113" t="s">
        <v>165</v>
      </c>
      <c r="DQ101" s="123">
        <v>8.0</v>
      </c>
      <c r="DR101" s="123">
        <v>8.0</v>
      </c>
      <c r="DS101" s="123">
        <v>8.0</v>
      </c>
      <c r="DT101" s="123">
        <v>8.0</v>
      </c>
      <c r="DU101" s="113">
        <v>8.0</v>
      </c>
      <c r="DV101" s="113" t="s">
        <v>165</v>
      </c>
      <c r="DW101" s="113" t="s">
        <v>165</v>
      </c>
      <c r="DX101" s="123">
        <v>8.0</v>
      </c>
      <c r="DY101" s="53">
        <v>5.5</v>
      </c>
      <c r="DZ101" s="113">
        <v>8.0</v>
      </c>
      <c r="EA101" s="124">
        <v>9.5</v>
      </c>
      <c r="EB101" s="58">
        <v>9.0</v>
      </c>
      <c r="EC101" s="113" t="s">
        <v>165</v>
      </c>
      <c r="ED101" s="113" t="s">
        <v>165</v>
      </c>
      <c r="EE101" s="113">
        <v>8.0</v>
      </c>
      <c r="EF101" s="113">
        <f t="shared" si="17"/>
        <v>168</v>
      </c>
      <c r="EG101" s="170"/>
      <c r="EH101" s="170"/>
      <c r="EI101" s="170"/>
      <c r="EJ101" s="170"/>
      <c r="EK101" s="170"/>
      <c r="EL101" s="170"/>
      <c r="EM101" s="170"/>
      <c r="EN101" s="170"/>
      <c r="EO101" s="170"/>
      <c r="EP101" s="170"/>
      <c r="EQ101" s="170"/>
      <c r="ER101" s="170"/>
      <c r="ES101" s="170"/>
      <c r="ET101" s="170"/>
      <c r="EU101" s="170"/>
      <c r="EV101" s="170"/>
      <c r="EW101" s="170"/>
      <c r="EX101" s="170"/>
      <c r="EY101" s="170"/>
      <c r="EZ101" s="170"/>
      <c r="FA101" s="170"/>
      <c r="FB101" s="170"/>
      <c r="FC101" s="170"/>
      <c r="FD101" s="170"/>
      <c r="FE101" s="170"/>
      <c r="FF101" s="170"/>
      <c r="FG101" s="170"/>
      <c r="FH101" s="170"/>
      <c r="FI101" s="170"/>
      <c r="FJ101" s="170"/>
      <c r="FK101" s="170"/>
      <c r="FL101" s="170"/>
      <c r="FM101" s="170"/>
      <c r="FN101" s="170"/>
      <c r="FO101" s="170"/>
      <c r="FP101" s="170"/>
      <c r="FQ101" s="170"/>
      <c r="FR101" s="170"/>
      <c r="FS101" s="170"/>
      <c r="FT101" s="170"/>
      <c r="FU101" s="170"/>
      <c r="FV101" s="170"/>
      <c r="FW101" s="170"/>
      <c r="FX101" s="170"/>
      <c r="FY101" s="170"/>
      <c r="FZ101" s="170"/>
      <c r="GA101" s="170"/>
      <c r="GB101" s="170"/>
      <c r="GC101" s="170"/>
      <c r="GD101" s="170"/>
      <c r="GE101" s="170"/>
      <c r="GF101" s="170"/>
      <c r="GG101" s="170"/>
      <c r="GH101" s="170"/>
      <c r="GI101" s="170"/>
      <c r="GJ101" s="170"/>
      <c r="GK101" s="170"/>
      <c r="GL101" s="170"/>
      <c r="GM101" s="170"/>
      <c r="GN101" s="170"/>
      <c r="GO101" s="170"/>
      <c r="GP101" s="170"/>
      <c r="GQ101" s="170"/>
      <c r="GR101" s="170"/>
      <c r="GS101" s="170"/>
      <c r="GT101" s="170"/>
      <c r="GU101" s="170"/>
      <c r="GV101" s="170"/>
      <c r="GW101" s="170"/>
      <c r="GX101" s="170"/>
      <c r="GY101" s="170"/>
      <c r="GZ101" s="170"/>
      <c r="HA101" s="170"/>
      <c r="HB101" s="170"/>
      <c r="HC101" s="170"/>
      <c r="HD101" s="170"/>
      <c r="HE101" s="170"/>
    </row>
    <row r="102">
      <c r="A102" s="111" t="s">
        <v>319</v>
      </c>
      <c r="B102" s="106" t="str">
        <f>iferror(vlookup(A102,'SoS - Agents Info'!A:H,5,false),"")</f>
        <v>DE</v>
      </c>
      <c r="C102" s="107" t="str">
        <f>iferror(vlookup(A102,'SoS - Agents Info'!A:AQ,43,false),"")</f>
        <v>FL</v>
      </c>
      <c r="D102" s="108" t="str">
        <f>iferror(vlookup(A102,'SoS - Agents Info'!A:H,6,false),"")</f>
        <v>WE</v>
      </c>
      <c r="E102" s="108" t="str">
        <f>iferror(vlookup(A102,'SoS - Agents Info'!A:H,7,false),"")</f>
        <v>00:00-09:00</v>
      </c>
      <c r="F102" s="109">
        <f>IFERROR(__xludf.DUMMYFUNCTION("sum(COUNTIFS(Filter(FILTER('Shiftplan SoS'!G$3:GU166,'Shiftplan SoS'!$G$1:$GU$1&lt;=today()),'Shiftplan SoS'!$A$3:$A166=A102),""&gt;0"",(Filter(FILTER('Shiftplan SoS'!G$3:GU166,'Shiftplan SoS'!$G$1:$GU$1&lt;=today()),'Shiftplan SoS'!$A$3:$A166=A102)),""&lt;12""))"),13.0)</f>
        <v>13</v>
      </c>
      <c r="G102" s="118"/>
      <c r="H102" s="118"/>
      <c r="I102" s="118"/>
      <c r="J102" s="118"/>
      <c r="K102" s="118"/>
      <c r="L102" s="118"/>
      <c r="M102" s="118"/>
      <c r="N102" s="118"/>
      <c r="O102" s="118"/>
      <c r="P102" s="118"/>
      <c r="Q102" s="118"/>
      <c r="R102" s="118"/>
      <c r="S102" s="118"/>
      <c r="T102" s="118"/>
      <c r="U102" s="118"/>
      <c r="V102" s="118"/>
      <c r="W102" s="118"/>
      <c r="X102" s="118"/>
      <c r="Y102" s="118"/>
      <c r="Z102" s="118"/>
      <c r="AA102" s="118"/>
      <c r="AB102" s="118"/>
      <c r="AC102" s="118"/>
      <c r="AD102" s="118"/>
      <c r="AE102" s="118"/>
      <c r="AF102" s="118"/>
      <c r="AG102" s="118"/>
      <c r="AH102" s="118"/>
      <c r="AI102" s="118"/>
      <c r="AJ102" s="118"/>
      <c r="AK102" s="169"/>
      <c r="AL102" s="105"/>
      <c r="AM102" s="48"/>
      <c r="AN102" s="16"/>
      <c r="AO102" s="16"/>
      <c r="AP102" s="16"/>
      <c r="AQ102" s="16"/>
      <c r="AR102" s="16"/>
      <c r="AS102" s="16"/>
      <c r="AT102" s="118"/>
      <c r="AU102" s="118"/>
      <c r="AV102" s="118"/>
      <c r="AW102" s="118"/>
      <c r="AX102" s="118"/>
      <c r="AY102" s="118"/>
      <c r="AZ102" s="118"/>
      <c r="BA102" s="118"/>
      <c r="BB102" s="118"/>
      <c r="BC102" s="118"/>
      <c r="BD102" s="118"/>
      <c r="BE102" s="118"/>
      <c r="BF102" s="118"/>
      <c r="BG102" s="118"/>
      <c r="BH102" s="118"/>
      <c r="BI102" s="118"/>
      <c r="BJ102" s="118"/>
      <c r="BK102" s="118"/>
      <c r="BL102" s="118"/>
      <c r="BM102" s="118"/>
      <c r="BN102" s="118"/>
      <c r="BO102" s="118"/>
      <c r="BP102" s="118"/>
      <c r="BQ102" s="118"/>
      <c r="BR102" s="170"/>
      <c r="BS102" s="48"/>
      <c r="BT102" s="170"/>
      <c r="BU102" s="170"/>
      <c r="BV102" s="170"/>
      <c r="BW102" s="170"/>
      <c r="BX102" s="105"/>
      <c r="BY102" s="105"/>
      <c r="BZ102" s="105"/>
      <c r="CA102" s="105"/>
      <c r="CB102" s="105"/>
      <c r="CC102" s="105"/>
      <c r="CD102" s="105"/>
      <c r="CE102" s="53">
        <v>8.0</v>
      </c>
      <c r="CF102" s="134">
        <v>8.0</v>
      </c>
      <c r="CG102" s="174" t="s">
        <v>165</v>
      </c>
      <c r="CH102" s="174" t="s">
        <v>165</v>
      </c>
      <c r="CI102" s="174" t="s">
        <v>165</v>
      </c>
      <c r="CJ102" s="53" t="s">
        <v>165</v>
      </c>
      <c r="CK102" s="53" t="s">
        <v>165</v>
      </c>
      <c r="CL102" s="53">
        <v>8.0</v>
      </c>
      <c r="CM102" s="53">
        <v>8.0</v>
      </c>
      <c r="CN102" s="53">
        <v>8.0</v>
      </c>
      <c r="CO102" s="53" t="s">
        <v>165</v>
      </c>
      <c r="CP102" s="53" t="s">
        <v>165</v>
      </c>
      <c r="CQ102" s="53" t="s">
        <v>165</v>
      </c>
      <c r="CR102" s="53" t="s">
        <v>165</v>
      </c>
      <c r="CS102" s="53" t="s">
        <v>165</v>
      </c>
      <c r="CT102" s="53" t="s">
        <v>165</v>
      </c>
      <c r="CU102" s="53" t="s">
        <v>165</v>
      </c>
      <c r="CV102" s="53" t="s">
        <v>165</v>
      </c>
      <c r="CW102" s="53" t="s">
        <v>165</v>
      </c>
      <c r="CX102" s="53">
        <v>8.0</v>
      </c>
      <c r="CY102" s="105">
        <f t="shared" si="16"/>
        <v>48</v>
      </c>
      <c r="CZ102" s="170"/>
      <c r="DA102" s="113">
        <v>8.0</v>
      </c>
      <c r="DB102" s="113" t="s">
        <v>165</v>
      </c>
      <c r="DC102" s="113" t="s">
        <v>165</v>
      </c>
      <c r="DD102" s="113" t="s">
        <v>165</v>
      </c>
      <c r="DE102" s="113" t="s">
        <v>165</v>
      </c>
      <c r="DF102" s="113" t="s">
        <v>165</v>
      </c>
      <c r="DG102" s="113">
        <v>8.0</v>
      </c>
      <c r="DH102" s="113">
        <v>8.0</v>
      </c>
      <c r="DI102" s="113" t="s">
        <v>165</v>
      </c>
      <c r="DJ102" s="113" t="s">
        <v>165</v>
      </c>
      <c r="DK102" s="113" t="s">
        <v>165</v>
      </c>
      <c r="DL102" s="113" t="s">
        <v>165</v>
      </c>
      <c r="DM102" s="113" t="s">
        <v>165</v>
      </c>
      <c r="DN102" s="113">
        <v>8.0</v>
      </c>
      <c r="DO102" s="113">
        <v>8.0</v>
      </c>
      <c r="DP102" s="113" t="s">
        <v>165</v>
      </c>
      <c r="DQ102" s="113" t="s">
        <v>165</v>
      </c>
      <c r="DR102" s="113" t="s">
        <v>165</v>
      </c>
      <c r="DS102" s="113" t="s">
        <v>165</v>
      </c>
      <c r="DT102" s="113" t="s">
        <v>165</v>
      </c>
      <c r="DU102" s="113">
        <v>8.0</v>
      </c>
      <c r="DV102" s="113">
        <v>8.0</v>
      </c>
      <c r="DW102" s="113" t="s">
        <v>165</v>
      </c>
      <c r="DX102" s="113" t="s">
        <v>165</v>
      </c>
      <c r="DY102" s="113" t="s">
        <v>165</v>
      </c>
      <c r="DZ102" s="113" t="s">
        <v>165</v>
      </c>
      <c r="EA102" s="113" t="s">
        <v>165</v>
      </c>
      <c r="EB102" s="58" t="s">
        <v>169</v>
      </c>
      <c r="EC102" s="58" t="s">
        <v>169</v>
      </c>
      <c r="ED102" s="113" t="s">
        <v>165</v>
      </c>
      <c r="EE102" s="113" t="s">
        <v>165</v>
      </c>
      <c r="EF102" s="113">
        <f t="shared" si="17"/>
        <v>56</v>
      </c>
      <c r="EG102" s="170"/>
      <c r="EH102" s="170"/>
      <c r="EI102" s="170"/>
      <c r="EJ102" s="170"/>
      <c r="EK102" s="170"/>
      <c r="EL102" s="170"/>
      <c r="EM102" s="170"/>
      <c r="EN102" s="170"/>
      <c r="EO102" s="170"/>
      <c r="EP102" s="170"/>
      <c r="EQ102" s="170"/>
      <c r="ER102" s="170"/>
      <c r="ES102" s="170"/>
      <c r="ET102" s="170"/>
      <c r="EU102" s="170"/>
      <c r="EV102" s="170"/>
      <c r="EW102" s="170"/>
      <c r="EX102" s="170"/>
      <c r="EY102" s="170"/>
      <c r="EZ102" s="170"/>
      <c r="FA102" s="170"/>
      <c r="FB102" s="170"/>
      <c r="FC102" s="170"/>
      <c r="FD102" s="170"/>
      <c r="FE102" s="170"/>
      <c r="FF102" s="170"/>
      <c r="FG102" s="170"/>
      <c r="FH102" s="170"/>
      <c r="FI102" s="170"/>
      <c r="FJ102" s="170"/>
      <c r="FK102" s="170"/>
      <c r="FL102" s="170"/>
      <c r="FM102" s="170"/>
      <c r="FN102" s="170"/>
      <c r="FO102" s="170"/>
      <c r="FP102" s="170"/>
      <c r="FQ102" s="170"/>
      <c r="FR102" s="170"/>
      <c r="FS102" s="170"/>
      <c r="FT102" s="170"/>
      <c r="FU102" s="170"/>
      <c r="FV102" s="170"/>
      <c r="FW102" s="170"/>
      <c r="FX102" s="170"/>
      <c r="FY102" s="170"/>
      <c r="FZ102" s="170"/>
      <c r="GA102" s="170"/>
      <c r="GB102" s="170"/>
      <c r="GC102" s="170"/>
      <c r="GD102" s="170"/>
      <c r="GE102" s="170"/>
      <c r="GF102" s="170"/>
      <c r="GG102" s="170"/>
      <c r="GH102" s="170"/>
      <c r="GI102" s="170"/>
      <c r="GJ102" s="170"/>
      <c r="GK102" s="170"/>
      <c r="GL102" s="170"/>
      <c r="GM102" s="170"/>
      <c r="GN102" s="170"/>
      <c r="GO102" s="170"/>
      <c r="GP102" s="170"/>
      <c r="GQ102" s="170"/>
      <c r="GR102" s="170"/>
      <c r="GS102" s="170"/>
      <c r="GT102" s="170"/>
      <c r="GU102" s="170"/>
      <c r="GV102" s="170"/>
      <c r="GW102" s="170"/>
      <c r="GX102" s="170"/>
      <c r="GY102" s="170"/>
      <c r="GZ102" s="170"/>
      <c r="HA102" s="170"/>
      <c r="HB102" s="170"/>
      <c r="HC102" s="170"/>
      <c r="HD102" s="170"/>
      <c r="HE102" s="170"/>
    </row>
    <row r="103">
      <c r="A103" s="111" t="s">
        <v>320</v>
      </c>
      <c r="B103" s="106" t="str">
        <f>iferror(vlookup(A103,'SoS - Agents Info'!A:H,5,false),"")</f>
        <v>EN</v>
      </c>
      <c r="C103" s="107" t="str">
        <f>iferror(vlookup(A103,'SoS - Agents Info'!A:AQ,43,false),"")</f>
        <v>RA+VM</v>
      </c>
      <c r="D103" s="108" t="str">
        <f>iferror(vlookup(A103,'SoS - Agents Info'!A:H,6,false),"")</f>
        <v>WD</v>
      </c>
      <c r="E103" s="108" t="str">
        <f>iferror(vlookup(A103,'SoS - Agents Info'!A:H,7,false),"")</f>
        <v>16:00-01:00</v>
      </c>
      <c r="F103" s="109">
        <f>IFERROR(__xludf.DUMMYFUNCTION("sum(COUNTIFS(Filter(FILTER('Shiftplan SoS'!G$3:GU166,'Shiftplan SoS'!$G$1:$GU$1&lt;=today()),'Shiftplan SoS'!$A$3:$A166=A103),""&gt;0"",(Filter(FILTER('Shiftplan SoS'!G$3:GU166,'Shiftplan SoS'!$G$1:$GU$1&lt;=today()),'Shiftplan SoS'!$A$3:$A166=A103)),""&lt;12""))"),27.0)</f>
        <v>27</v>
      </c>
      <c r="G103" s="118"/>
      <c r="H103" s="118"/>
      <c r="I103" s="118"/>
      <c r="J103" s="118"/>
      <c r="K103" s="118"/>
      <c r="L103" s="118"/>
      <c r="M103" s="118"/>
      <c r="N103" s="118"/>
      <c r="O103" s="118"/>
      <c r="P103" s="118"/>
      <c r="Q103" s="118"/>
      <c r="R103" s="118"/>
      <c r="S103" s="118"/>
      <c r="T103" s="118"/>
      <c r="U103" s="118"/>
      <c r="V103" s="118"/>
      <c r="W103" s="118"/>
      <c r="X103" s="118"/>
      <c r="Y103" s="118"/>
      <c r="Z103" s="118"/>
      <c r="AA103" s="118"/>
      <c r="AB103" s="118"/>
      <c r="AC103" s="118"/>
      <c r="AD103" s="118"/>
      <c r="AE103" s="118"/>
      <c r="AF103" s="118"/>
      <c r="AG103" s="118"/>
      <c r="AH103" s="118"/>
      <c r="AI103" s="118"/>
      <c r="AJ103" s="118"/>
      <c r="AK103" s="169"/>
      <c r="AL103" s="105"/>
      <c r="AM103" s="48"/>
      <c r="AN103" s="16"/>
      <c r="AO103" s="16"/>
      <c r="AP103" s="16"/>
      <c r="AQ103" s="16"/>
      <c r="AR103" s="16"/>
      <c r="AS103" s="16"/>
      <c r="AT103" s="118"/>
      <c r="AU103" s="118"/>
      <c r="AV103" s="118"/>
      <c r="AW103" s="118"/>
      <c r="AX103" s="118"/>
      <c r="AY103" s="118"/>
      <c r="AZ103" s="118"/>
      <c r="BA103" s="118"/>
      <c r="BB103" s="118"/>
      <c r="BC103" s="118"/>
      <c r="BD103" s="118"/>
      <c r="BE103" s="118"/>
      <c r="BF103" s="118"/>
      <c r="BG103" s="118"/>
      <c r="BH103" s="118"/>
      <c r="BI103" s="118"/>
      <c r="BJ103" s="118"/>
      <c r="BK103" s="118"/>
      <c r="BL103" s="118"/>
      <c r="BM103" s="118"/>
      <c r="BN103" s="118"/>
      <c r="BO103" s="118"/>
      <c r="BP103" s="118"/>
      <c r="BQ103" s="118"/>
      <c r="BR103" s="170"/>
      <c r="BS103" s="48"/>
      <c r="BT103" s="170"/>
      <c r="BU103" s="170"/>
      <c r="BV103" s="170"/>
      <c r="BW103" s="170"/>
      <c r="BX103" s="105"/>
      <c r="BY103" s="105"/>
      <c r="BZ103" s="105"/>
      <c r="CA103" s="105"/>
      <c r="CB103" s="105"/>
      <c r="CC103" s="105"/>
      <c r="CD103" s="105"/>
      <c r="CE103" s="53">
        <v>8.0</v>
      </c>
      <c r="CF103" s="134">
        <v>8.0</v>
      </c>
      <c r="CG103" s="134">
        <v>8.0</v>
      </c>
      <c r="CH103" s="134">
        <v>8.0</v>
      </c>
      <c r="CI103" s="134">
        <v>8.0</v>
      </c>
      <c r="CJ103" s="53" t="s">
        <v>165</v>
      </c>
      <c r="CK103" s="53" t="s">
        <v>165</v>
      </c>
      <c r="CL103" s="53">
        <v>8.0</v>
      </c>
      <c r="CM103" s="53">
        <v>8.0</v>
      </c>
      <c r="CN103" s="53">
        <v>8.0</v>
      </c>
      <c r="CO103" s="53" t="s">
        <v>165</v>
      </c>
      <c r="CP103" s="53" t="s">
        <v>165</v>
      </c>
      <c r="CQ103" s="53" t="s">
        <v>165</v>
      </c>
      <c r="CR103" s="53" t="s">
        <v>165</v>
      </c>
      <c r="CS103" s="53">
        <v>8.0</v>
      </c>
      <c r="CT103" s="53">
        <v>8.0</v>
      </c>
      <c r="CU103" s="53">
        <v>8.0</v>
      </c>
      <c r="CV103" s="53" t="s">
        <v>165</v>
      </c>
      <c r="CW103" s="53" t="s">
        <v>165</v>
      </c>
      <c r="CX103" s="53" t="s">
        <v>165</v>
      </c>
      <c r="CY103" s="105">
        <f t="shared" si="16"/>
        <v>88</v>
      </c>
      <c r="CZ103" s="170"/>
      <c r="DA103" s="113" t="s">
        <v>165</v>
      </c>
      <c r="DB103" s="123">
        <v>8.0</v>
      </c>
      <c r="DC103" s="123">
        <v>8.0</v>
      </c>
      <c r="DD103" s="123">
        <v>8.0</v>
      </c>
      <c r="DE103" s="113" t="s">
        <v>165</v>
      </c>
      <c r="DF103" s="113" t="s">
        <v>165</v>
      </c>
      <c r="DG103" s="113" t="s">
        <v>165</v>
      </c>
      <c r="DH103" s="113" t="s">
        <v>165</v>
      </c>
      <c r="DI103" s="123">
        <v>8.0</v>
      </c>
      <c r="DJ103" s="123">
        <v>8.0</v>
      </c>
      <c r="DK103" s="123">
        <v>8.0</v>
      </c>
      <c r="DL103" s="113" t="s">
        <v>165</v>
      </c>
      <c r="DM103" s="113" t="s">
        <v>165</v>
      </c>
      <c r="DN103" s="113" t="s">
        <v>165</v>
      </c>
      <c r="DO103" s="113" t="s">
        <v>165</v>
      </c>
      <c r="DP103" s="123">
        <v>8.0</v>
      </c>
      <c r="DQ103" s="123">
        <v>8.0</v>
      </c>
      <c r="DR103" s="123">
        <v>8.0</v>
      </c>
      <c r="DS103" s="113" t="s">
        <v>165</v>
      </c>
      <c r="DT103" s="113" t="s">
        <v>165</v>
      </c>
      <c r="DU103" s="113" t="s">
        <v>165</v>
      </c>
      <c r="DV103" s="113" t="s">
        <v>165</v>
      </c>
      <c r="DW103" s="123">
        <v>8.0</v>
      </c>
      <c r="DX103" s="123">
        <v>8.0</v>
      </c>
      <c r="DY103" s="113">
        <v>8.0</v>
      </c>
      <c r="DZ103" s="58">
        <v>8.0</v>
      </c>
      <c r="EA103" s="124">
        <v>8.0</v>
      </c>
      <c r="EB103" s="113" t="s">
        <v>165</v>
      </c>
      <c r="EC103" s="113" t="s">
        <v>165</v>
      </c>
      <c r="ED103" s="113">
        <v>8.0</v>
      </c>
      <c r="EE103" s="113">
        <v>8.0</v>
      </c>
      <c r="EF103" s="113">
        <f t="shared" si="17"/>
        <v>128</v>
      </c>
      <c r="EG103" s="170"/>
      <c r="EH103" s="170"/>
      <c r="EI103" s="170"/>
      <c r="EJ103" s="170"/>
      <c r="EK103" s="170"/>
      <c r="EL103" s="170"/>
      <c r="EM103" s="170"/>
      <c r="EN103" s="170"/>
      <c r="EO103" s="170"/>
      <c r="EP103" s="170"/>
      <c r="EQ103" s="170"/>
      <c r="ER103" s="170"/>
      <c r="ES103" s="170"/>
      <c r="ET103" s="170"/>
      <c r="EU103" s="170"/>
      <c r="EV103" s="170"/>
      <c r="EW103" s="170"/>
      <c r="EX103" s="170"/>
      <c r="EY103" s="170"/>
      <c r="EZ103" s="170"/>
      <c r="FA103" s="170"/>
      <c r="FB103" s="170"/>
      <c r="FC103" s="170"/>
      <c r="FD103" s="170"/>
      <c r="FE103" s="170"/>
      <c r="FF103" s="170"/>
      <c r="FG103" s="170"/>
      <c r="FH103" s="170"/>
      <c r="FI103" s="170"/>
      <c r="FJ103" s="170"/>
      <c r="FK103" s="170"/>
      <c r="FL103" s="170"/>
      <c r="FM103" s="170"/>
      <c r="FN103" s="170"/>
      <c r="FO103" s="170"/>
      <c r="FP103" s="170"/>
      <c r="FQ103" s="170"/>
      <c r="FR103" s="170"/>
      <c r="FS103" s="170"/>
      <c r="FT103" s="170"/>
      <c r="FU103" s="170"/>
      <c r="FV103" s="170"/>
      <c r="FW103" s="170"/>
      <c r="FX103" s="170"/>
      <c r="FY103" s="170"/>
      <c r="FZ103" s="170"/>
      <c r="GA103" s="170"/>
      <c r="GB103" s="170"/>
      <c r="GC103" s="170"/>
      <c r="GD103" s="170"/>
      <c r="GE103" s="170"/>
      <c r="GF103" s="170"/>
      <c r="GG103" s="170"/>
      <c r="GH103" s="170"/>
      <c r="GI103" s="170"/>
      <c r="GJ103" s="170"/>
      <c r="GK103" s="170"/>
      <c r="GL103" s="170"/>
      <c r="GM103" s="170"/>
      <c r="GN103" s="170"/>
      <c r="GO103" s="170"/>
      <c r="GP103" s="170"/>
      <c r="GQ103" s="170"/>
      <c r="GR103" s="170"/>
      <c r="GS103" s="170"/>
      <c r="GT103" s="170"/>
      <c r="GU103" s="170"/>
      <c r="GV103" s="170"/>
      <c r="GW103" s="170"/>
      <c r="GX103" s="170"/>
      <c r="GY103" s="170"/>
      <c r="GZ103" s="170"/>
      <c r="HA103" s="170"/>
      <c r="HB103" s="170"/>
      <c r="HC103" s="170"/>
      <c r="HD103" s="170"/>
      <c r="HE103" s="170"/>
    </row>
    <row r="104">
      <c r="A104" s="111" t="s">
        <v>321</v>
      </c>
      <c r="B104" s="106" t="str">
        <f>iferror(vlookup(A104,'SoS - Agents Info'!A:H,5,false),"")</f>
        <v>EN</v>
      </c>
      <c r="C104" s="107" t="str">
        <f>iferror(vlookup(A104,'SoS - Agents Info'!A:AQ,43,false),"")</f>
        <v>JM</v>
      </c>
      <c r="D104" s="108" t="str">
        <f>iferror(vlookup(A104,'SoS - Agents Info'!A:H,6,false),"")</f>
        <v>WE+WD</v>
      </c>
      <c r="E104" s="108" t="str">
        <f>iferror(vlookup(A104,'SoS - Agents Info'!A:H,7,false),"")</f>
        <v>08:00-17:00</v>
      </c>
      <c r="F104" s="109">
        <f>IFERROR(__xludf.DUMMYFUNCTION("sum(COUNTIFS(Filter(FILTER('Shiftplan SoS'!G$3:GU166,'Shiftplan SoS'!$G$1:$GU$1&lt;=today()),'Shiftplan SoS'!$A$3:$A166=A104),""&gt;0"",(Filter(FILTER('Shiftplan SoS'!G$3:GU166,'Shiftplan SoS'!$G$1:$GU$1&lt;=today()),'Shiftplan SoS'!$A$3:$A166=A104)),""&lt;12""))"),22.0)</f>
        <v>22</v>
      </c>
      <c r="G104" s="118"/>
      <c r="H104" s="118"/>
      <c r="I104" s="118"/>
      <c r="J104" s="118"/>
      <c r="K104" s="118"/>
      <c r="L104" s="118"/>
      <c r="M104" s="118"/>
      <c r="N104" s="118"/>
      <c r="O104" s="118"/>
      <c r="P104" s="118"/>
      <c r="Q104" s="118"/>
      <c r="R104" s="118"/>
      <c r="S104" s="118"/>
      <c r="T104" s="118"/>
      <c r="U104" s="118"/>
      <c r="V104" s="118"/>
      <c r="W104" s="118"/>
      <c r="X104" s="118"/>
      <c r="Y104" s="118"/>
      <c r="Z104" s="118"/>
      <c r="AA104" s="118"/>
      <c r="AB104" s="118"/>
      <c r="AC104" s="118"/>
      <c r="AD104" s="118"/>
      <c r="AE104" s="118"/>
      <c r="AF104" s="118"/>
      <c r="AG104" s="118"/>
      <c r="AH104" s="118"/>
      <c r="AI104" s="118"/>
      <c r="AJ104" s="118"/>
      <c r="AK104" s="169"/>
      <c r="AL104" s="105"/>
      <c r="AM104" s="48"/>
      <c r="AN104" s="16"/>
      <c r="AO104" s="16"/>
      <c r="AP104" s="16"/>
      <c r="AQ104" s="16"/>
      <c r="AR104" s="16"/>
      <c r="AS104" s="16"/>
      <c r="AT104" s="118"/>
      <c r="AU104" s="118"/>
      <c r="AV104" s="118"/>
      <c r="AW104" s="118"/>
      <c r="AX104" s="118"/>
      <c r="AY104" s="118"/>
      <c r="AZ104" s="118"/>
      <c r="BA104" s="118"/>
      <c r="BB104" s="118"/>
      <c r="BC104" s="118"/>
      <c r="BD104" s="118"/>
      <c r="BE104" s="118"/>
      <c r="BF104" s="118"/>
      <c r="BG104" s="118"/>
      <c r="BH104" s="118"/>
      <c r="BI104" s="118"/>
      <c r="BJ104" s="118"/>
      <c r="BK104" s="118"/>
      <c r="BL104" s="118"/>
      <c r="BM104" s="118"/>
      <c r="BN104" s="118"/>
      <c r="BO104" s="118"/>
      <c r="BP104" s="118"/>
      <c r="BQ104" s="118"/>
      <c r="BR104" s="170"/>
      <c r="BS104" s="48"/>
      <c r="BT104" s="170"/>
      <c r="BU104" s="170"/>
      <c r="BV104" s="170"/>
      <c r="BW104" s="170"/>
      <c r="BX104" s="105"/>
      <c r="BY104" s="105"/>
      <c r="BZ104" s="105"/>
      <c r="CA104" s="105"/>
      <c r="CB104" s="105"/>
      <c r="CC104" s="105"/>
      <c r="CD104" s="105"/>
      <c r="CE104" s="105"/>
      <c r="CF104" s="105"/>
      <c r="CG104" s="105"/>
      <c r="CH104" s="105"/>
      <c r="CI104" s="105"/>
      <c r="CJ104" s="105"/>
      <c r="CK104" s="105"/>
      <c r="CL104" s="53">
        <v>8.0</v>
      </c>
      <c r="CM104" s="53" t="s">
        <v>245</v>
      </c>
      <c r="CN104" s="53">
        <v>8.0</v>
      </c>
      <c r="CO104" s="53">
        <v>8.0</v>
      </c>
      <c r="CP104" s="53">
        <v>8.0</v>
      </c>
      <c r="CQ104" s="53" t="s">
        <v>165</v>
      </c>
      <c r="CR104" s="53" t="s">
        <v>165</v>
      </c>
      <c r="CS104" s="53">
        <v>8.0</v>
      </c>
      <c r="CT104" s="53">
        <v>8.0</v>
      </c>
      <c r="CU104" s="53">
        <v>8.0</v>
      </c>
      <c r="CV104" s="53" t="s">
        <v>165</v>
      </c>
      <c r="CW104" s="53" t="s">
        <v>165</v>
      </c>
      <c r="CX104" s="53">
        <v>8.0</v>
      </c>
      <c r="CY104" s="105">
        <f t="shared" si="16"/>
        <v>64</v>
      </c>
      <c r="CZ104" s="170"/>
      <c r="DA104" s="113">
        <v>8.0</v>
      </c>
      <c r="DB104" s="113">
        <v>8.0</v>
      </c>
      <c r="DC104" s="113">
        <v>8.0</v>
      </c>
      <c r="DD104" s="58" t="s">
        <v>170</v>
      </c>
      <c r="DE104" s="113" t="s">
        <v>165</v>
      </c>
      <c r="DF104" s="113" t="s">
        <v>165</v>
      </c>
      <c r="DG104" s="58" t="s">
        <v>170</v>
      </c>
      <c r="DH104" s="58" t="s">
        <v>170</v>
      </c>
      <c r="DI104" s="58" t="s">
        <v>170</v>
      </c>
      <c r="DJ104" s="58" t="s">
        <v>170</v>
      </c>
      <c r="DK104" s="58" t="s">
        <v>170</v>
      </c>
      <c r="DL104" s="113" t="s">
        <v>165</v>
      </c>
      <c r="DM104" s="113" t="s">
        <v>165</v>
      </c>
      <c r="DN104" s="58" t="s">
        <v>170</v>
      </c>
      <c r="DO104" s="58" t="s">
        <v>170</v>
      </c>
      <c r="DP104" s="58" t="s">
        <v>170</v>
      </c>
      <c r="DQ104" s="113">
        <v>8.0</v>
      </c>
      <c r="DR104" s="113">
        <v>8.0</v>
      </c>
      <c r="DS104" s="113" t="s">
        <v>165</v>
      </c>
      <c r="DT104" s="113" t="s">
        <v>165</v>
      </c>
      <c r="DU104" s="113">
        <v>8.0</v>
      </c>
      <c r="DV104" s="113">
        <v>8.0</v>
      </c>
      <c r="DW104" s="113">
        <v>8.0</v>
      </c>
      <c r="DX104" s="113">
        <v>8.0</v>
      </c>
      <c r="DY104" s="113">
        <v>8.0</v>
      </c>
      <c r="DZ104" s="113" t="s">
        <v>165</v>
      </c>
      <c r="EA104" s="113" t="s">
        <v>165</v>
      </c>
      <c r="EB104" s="113">
        <v>8.0</v>
      </c>
      <c r="EC104" s="113">
        <v>8.0</v>
      </c>
      <c r="ED104" s="113">
        <v>8.0</v>
      </c>
      <c r="EE104" s="113">
        <v>8.0</v>
      </c>
      <c r="EF104" s="113">
        <f t="shared" si="17"/>
        <v>112</v>
      </c>
      <c r="EG104" s="170"/>
      <c r="EH104" s="170"/>
      <c r="EI104" s="170"/>
      <c r="EJ104" s="170"/>
      <c r="EK104" s="170"/>
      <c r="EL104" s="170"/>
      <c r="EM104" s="170"/>
      <c r="EN104" s="170"/>
      <c r="EO104" s="170"/>
      <c r="EP104" s="170"/>
      <c r="EQ104" s="170"/>
      <c r="ER104" s="170"/>
      <c r="ES104" s="170"/>
      <c r="ET104" s="170"/>
      <c r="EU104" s="170"/>
      <c r="EV104" s="170"/>
      <c r="EW104" s="170"/>
      <c r="EX104" s="170"/>
      <c r="EY104" s="170"/>
      <c r="EZ104" s="170"/>
      <c r="FA104" s="170"/>
      <c r="FB104" s="170"/>
      <c r="FC104" s="170"/>
      <c r="FD104" s="170"/>
      <c r="FE104" s="170"/>
      <c r="FF104" s="170"/>
      <c r="FG104" s="170"/>
      <c r="FH104" s="170"/>
      <c r="FI104" s="170"/>
      <c r="FJ104" s="170"/>
      <c r="FK104" s="170"/>
      <c r="FL104" s="170"/>
      <c r="FM104" s="170"/>
      <c r="FN104" s="170"/>
      <c r="FO104" s="170"/>
      <c r="FP104" s="170"/>
      <c r="FQ104" s="170"/>
      <c r="FR104" s="170"/>
      <c r="FS104" s="170"/>
      <c r="FT104" s="170"/>
      <c r="FU104" s="170"/>
      <c r="FV104" s="170"/>
      <c r="FW104" s="170"/>
      <c r="FX104" s="170"/>
      <c r="FY104" s="170"/>
      <c r="FZ104" s="170"/>
      <c r="GA104" s="170"/>
      <c r="GB104" s="170"/>
      <c r="GC104" s="170"/>
      <c r="GD104" s="170"/>
      <c r="GE104" s="170"/>
      <c r="GF104" s="170"/>
      <c r="GG104" s="170"/>
      <c r="GH104" s="170"/>
      <c r="GI104" s="170"/>
      <c r="GJ104" s="170"/>
      <c r="GK104" s="170"/>
      <c r="GL104" s="170"/>
      <c r="GM104" s="170"/>
      <c r="GN104" s="170"/>
      <c r="GO104" s="170"/>
      <c r="GP104" s="170"/>
      <c r="GQ104" s="170"/>
      <c r="GR104" s="170"/>
      <c r="GS104" s="170"/>
      <c r="GT104" s="170"/>
      <c r="GU104" s="170"/>
      <c r="GV104" s="170"/>
      <c r="GW104" s="170"/>
      <c r="GX104" s="170"/>
      <c r="GY104" s="170"/>
      <c r="GZ104" s="170"/>
      <c r="HA104" s="170"/>
      <c r="HB104" s="170"/>
      <c r="HC104" s="170"/>
      <c r="HD104" s="170"/>
      <c r="HE104" s="170"/>
    </row>
    <row r="105">
      <c r="A105" s="111" t="s">
        <v>322</v>
      </c>
      <c r="B105" s="106" t="str">
        <f>iferror(vlookup(A105,'SoS - Agents Info'!A:H,5,false),"")</f>
        <v>FR</v>
      </c>
      <c r="C105" s="107" t="str">
        <f>iferror(vlookup(A105,'SoS - Agents Info'!A:AQ,43,false),"")</f>
        <v>AS+YS</v>
      </c>
      <c r="D105" s="108" t="str">
        <f>iferror(vlookup(A105,'SoS - Agents Info'!A:H,6,false),"")</f>
        <v>WE+WD</v>
      </c>
      <c r="E105" s="108" t="str">
        <f>iferror(vlookup(A105,'SoS - Agents Info'!A:H,7,false),"")</f>
        <v>00:00-09:00</v>
      </c>
      <c r="F105" s="109">
        <f>IFERROR(__xludf.DUMMYFUNCTION("sum(COUNTIFS(Filter(FILTER('Shiftplan SoS'!G$3:GU166,'Shiftplan SoS'!$G$1:$GU$1&lt;=today()),'Shiftplan SoS'!$A$3:$A166=A105),""&gt;0"",(Filter(FILTER('Shiftplan SoS'!G$3:GU166,'Shiftplan SoS'!$G$1:$GU$1&lt;=today()),'Shiftplan SoS'!$A$3:$A166=A105)),""&lt;12""))"),8.0)</f>
        <v>8</v>
      </c>
      <c r="G105" s="118"/>
      <c r="H105" s="118"/>
      <c r="I105" s="118"/>
      <c r="J105" s="118"/>
      <c r="K105" s="118"/>
      <c r="L105" s="118"/>
      <c r="M105" s="118"/>
      <c r="N105" s="118"/>
      <c r="O105" s="118"/>
      <c r="P105" s="118"/>
      <c r="Q105" s="118"/>
      <c r="R105" s="118"/>
      <c r="S105" s="118"/>
      <c r="T105" s="118"/>
      <c r="U105" s="118"/>
      <c r="V105" s="118"/>
      <c r="W105" s="118"/>
      <c r="X105" s="118"/>
      <c r="Y105" s="118"/>
      <c r="Z105" s="118"/>
      <c r="AA105" s="118"/>
      <c r="AB105" s="118"/>
      <c r="AC105" s="118"/>
      <c r="AD105" s="118"/>
      <c r="AE105" s="118"/>
      <c r="AF105" s="118"/>
      <c r="AG105" s="118"/>
      <c r="AH105" s="118"/>
      <c r="AI105" s="118"/>
      <c r="AJ105" s="118"/>
      <c r="AK105" s="169"/>
      <c r="AL105" s="105"/>
      <c r="AM105" s="48"/>
      <c r="AN105" s="16"/>
      <c r="AO105" s="16"/>
      <c r="AP105" s="16"/>
      <c r="AQ105" s="16"/>
      <c r="AR105" s="16"/>
      <c r="AS105" s="16"/>
      <c r="AT105" s="118"/>
      <c r="AU105" s="118"/>
      <c r="AV105" s="118"/>
      <c r="AW105" s="118"/>
      <c r="AX105" s="118"/>
      <c r="AY105" s="118"/>
      <c r="AZ105" s="118"/>
      <c r="BA105" s="118"/>
      <c r="BB105" s="118"/>
      <c r="BC105" s="118"/>
      <c r="BD105" s="118"/>
      <c r="BE105" s="118"/>
      <c r="BF105" s="118"/>
      <c r="BG105" s="118"/>
      <c r="BH105" s="118"/>
      <c r="BI105" s="118"/>
      <c r="BJ105" s="118"/>
      <c r="BK105" s="118"/>
      <c r="BL105" s="118"/>
      <c r="BM105" s="118"/>
      <c r="BN105" s="118"/>
      <c r="BO105" s="118"/>
      <c r="BP105" s="118"/>
      <c r="BQ105" s="118"/>
      <c r="BR105" s="170"/>
      <c r="BS105" s="48"/>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c r="CS105" s="170"/>
      <c r="CT105" s="170"/>
      <c r="CU105" s="170"/>
      <c r="CV105" s="170"/>
      <c r="CW105" s="170"/>
      <c r="CX105" s="170"/>
      <c r="CY105" s="170"/>
      <c r="CZ105" s="170"/>
      <c r="DA105" s="105"/>
      <c r="DB105" s="105"/>
      <c r="DC105" s="105"/>
      <c r="DD105" s="105"/>
      <c r="DE105" s="105"/>
      <c r="DF105" s="105"/>
      <c r="DG105" s="105"/>
      <c r="DH105" s="105"/>
      <c r="DI105" s="105"/>
      <c r="DJ105" s="105"/>
      <c r="DK105" s="105"/>
      <c r="DL105" s="105"/>
      <c r="DM105" s="105"/>
      <c r="DN105" s="105"/>
      <c r="DO105" s="105"/>
      <c r="DP105" s="105"/>
      <c r="DQ105" s="53">
        <v>8.0</v>
      </c>
      <c r="DR105" s="53" t="s">
        <v>165</v>
      </c>
      <c r="DS105" s="53">
        <v>8.0</v>
      </c>
      <c r="DT105" s="53">
        <v>8.0</v>
      </c>
      <c r="DU105" s="53" t="s">
        <v>165</v>
      </c>
      <c r="DV105" s="53" t="s">
        <v>165</v>
      </c>
      <c r="DW105" s="53">
        <v>8.0</v>
      </c>
      <c r="DX105" s="53">
        <v>8.0</v>
      </c>
      <c r="DY105" s="53">
        <v>8.0</v>
      </c>
      <c r="DZ105" s="53" t="s">
        <v>165</v>
      </c>
      <c r="EA105" s="53" t="s">
        <v>165</v>
      </c>
      <c r="EB105" s="53">
        <v>8.0</v>
      </c>
      <c r="EC105" s="53">
        <v>8.0</v>
      </c>
      <c r="ED105" s="53" t="s">
        <v>165</v>
      </c>
      <c r="EE105" s="53" t="s">
        <v>165</v>
      </c>
      <c r="EF105" s="113">
        <f t="shared" si="17"/>
        <v>64</v>
      </c>
      <c r="EG105" s="170"/>
      <c r="EH105" s="170"/>
      <c r="EI105" s="170"/>
      <c r="EJ105" s="170"/>
      <c r="EK105" s="170"/>
      <c r="EL105" s="170"/>
      <c r="EM105" s="170"/>
      <c r="EN105" s="170"/>
      <c r="EO105" s="170"/>
      <c r="EP105" s="170"/>
      <c r="EQ105" s="170"/>
      <c r="ER105" s="170"/>
      <c r="ES105" s="170"/>
      <c r="ET105" s="170"/>
      <c r="EU105" s="170"/>
      <c r="EV105" s="170"/>
      <c r="EW105" s="170"/>
      <c r="EX105" s="170"/>
      <c r="EY105" s="170"/>
      <c r="EZ105" s="170"/>
      <c r="FA105" s="170"/>
      <c r="FB105" s="170"/>
      <c r="FC105" s="170"/>
      <c r="FD105" s="170"/>
      <c r="FE105" s="170"/>
      <c r="FF105" s="170"/>
      <c r="FG105" s="170"/>
      <c r="FH105" s="170"/>
      <c r="FI105" s="170"/>
      <c r="FJ105" s="170"/>
      <c r="FK105" s="170"/>
      <c r="FL105" s="170"/>
      <c r="FM105" s="170"/>
      <c r="FN105" s="170"/>
      <c r="FO105" s="170"/>
      <c r="FP105" s="170"/>
      <c r="FQ105" s="170"/>
      <c r="FR105" s="170"/>
      <c r="FS105" s="170"/>
      <c r="FT105" s="170"/>
      <c r="FU105" s="170"/>
      <c r="FV105" s="170"/>
      <c r="FW105" s="170"/>
      <c r="FX105" s="170"/>
      <c r="FY105" s="170"/>
      <c r="FZ105" s="170"/>
      <c r="GA105" s="170"/>
      <c r="GB105" s="170"/>
      <c r="GC105" s="170"/>
      <c r="GD105" s="170"/>
      <c r="GE105" s="170"/>
      <c r="GF105" s="170"/>
      <c r="GG105" s="170"/>
      <c r="GH105" s="170"/>
      <c r="GI105" s="170"/>
      <c r="GJ105" s="170"/>
      <c r="GK105" s="170"/>
      <c r="GL105" s="170"/>
      <c r="GM105" s="170"/>
      <c r="GN105" s="170"/>
      <c r="GO105" s="170"/>
      <c r="GP105" s="170"/>
      <c r="GQ105" s="170"/>
      <c r="GR105" s="170"/>
      <c r="GS105" s="170"/>
      <c r="GT105" s="170"/>
      <c r="GU105" s="170"/>
      <c r="GV105" s="170"/>
      <c r="GW105" s="170"/>
      <c r="GX105" s="170"/>
      <c r="GY105" s="170"/>
      <c r="GZ105" s="170"/>
      <c r="HA105" s="170"/>
      <c r="HB105" s="170"/>
      <c r="HC105" s="170"/>
      <c r="HD105" s="170"/>
      <c r="HE105" s="170"/>
    </row>
    <row r="106">
      <c r="A106" s="166" t="s">
        <v>323</v>
      </c>
      <c r="B106" s="108" t="s">
        <v>93</v>
      </c>
      <c r="C106" s="176" t="s">
        <v>206</v>
      </c>
      <c r="D106" s="108" t="s">
        <v>192</v>
      </c>
      <c r="E106" s="108" t="s">
        <v>105</v>
      </c>
      <c r="F106" s="109">
        <f>IFERROR(__xludf.DUMMYFUNCTION("sum(COUNTIFS(Filter(FILTER('Shiftplan SoS'!G$3:GU166,'Shiftplan SoS'!$G$1:$GU$1&lt;=today()),'Shiftplan SoS'!$A$3:$A166=A106),""&gt;0"",(Filter(FILTER('Shiftplan SoS'!G$3:GU166,'Shiftplan SoS'!$G$1:$GU$1&lt;=today()),'Shiftplan SoS'!$A$3:$A166=A106)),""&lt;12""))"),12.0)</f>
        <v>12</v>
      </c>
      <c r="G106" s="118"/>
      <c r="H106" s="118"/>
      <c r="I106" s="118"/>
      <c r="J106" s="118"/>
      <c r="K106" s="118"/>
      <c r="L106" s="118"/>
      <c r="M106" s="118"/>
      <c r="N106" s="118"/>
      <c r="O106" s="118"/>
      <c r="P106" s="118"/>
      <c r="Q106" s="118"/>
      <c r="R106" s="118"/>
      <c r="S106" s="118"/>
      <c r="T106" s="118"/>
      <c r="U106" s="118"/>
      <c r="V106" s="118"/>
      <c r="W106" s="118"/>
      <c r="X106" s="118"/>
      <c r="Y106" s="118"/>
      <c r="Z106" s="118"/>
      <c r="AA106" s="118"/>
      <c r="AB106" s="118"/>
      <c r="AC106" s="118"/>
      <c r="AD106" s="118"/>
      <c r="AE106" s="118"/>
      <c r="AF106" s="118"/>
      <c r="AG106" s="118"/>
      <c r="AH106" s="118"/>
      <c r="AI106" s="118"/>
      <c r="AJ106" s="118"/>
      <c r="AK106" s="169"/>
      <c r="AL106" s="105"/>
      <c r="AM106" s="48"/>
      <c r="AN106" s="16"/>
      <c r="AO106" s="16"/>
      <c r="AP106" s="16"/>
      <c r="AQ106" s="16"/>
      <c r="AR106" s="16"/>
      <c r="AS106" s="16"/>
      <c r="AT106" s="118"/>
      <c r="AU106" s="118"/>
      <c r="AV106" s="118"/>
      <c r="AW106" s="118"/>
      <c r="AX106" s="118"/>
      <c r="AY106" s="118"/>
      <c r="AZ106" s="118"/>
      <c r="BA106" s="118"/>
      <c r="BB106" s="118"/>
      <c r="BC106" s="118"/>
      <c r="BD106" s="118"/>
      <c r="BE106" s="118"/>
      <c r="BF106" s="118"/>
      <c r="BG106" s="118"/>
      <c r="BH106" s="118"/>
      <c r="BI106" s="118"/>
      <c r="BJ106" s="118"/>
      <c r="BK106" s="118"/>
      <c r="BL106" s="118"/>
      <c r="BM106" s="118"/>
      <c r="BN106" s="118"/>
      <c r="BO106" s="118"/>
      <c r="BP106" s="118"/>
      <c r="BQ106" s="118"/>
      <c r="BR106" s="170"/>
      <c r="BS106" s="48"/>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c r="CS106" s="170"/>
      <c r="CT106" s="170"/>
      <c r="CU106" s="170"/>
      <c r="CV106" s="170"/>
      <c r="CW106" s="170"/>
      <c r="CX106" s="170"/>
      <c r="CY106" s="170"/>
      <c r="CZ106" s="170"/>
      <c r="DA106" s="105"/>
      <c r="DB106" s="105"/>
      <c r="DC106" s="105"/>
      <c r="DD106" s="105"/>
      <c r="DE106" s="105"/>
      <c r="DF106" s="105"/>
      <c r="DG106" s="105"/>
      <c r="DH106" s="105"/>
      <c r="DI106" s="105"/>
      <c r="DJ106" s="105"/>
      <c r="DK106" s="105"/>
      <c r="DL106" s="105"/>
      <c r="DM106" s="105"/>
      <c r="DN106" s="105"/>
      <c r="DO106" s="105"/>
      <c r="DP106" s="110">
        <v>8.0</v>
      </c>
      <c r="DQ106" s="110">
        <v>8.0</v>
      </c>
      <c r="DR106" s="110">
        <v>8.0</v>
      </c>
      <c r="DS106" s="110">
        <v>8.0</v>
      </c>
      <c r="DT106" s="110">
        <v>8.0</v>
      </c>
      <c r="DU106" s="53" t="s">
        <v>165</v>
      </c>
      <c r="DV106" s="53" t="s">
        <v>165</v>
      </c>
      <c r="DW106" s="110">
        <v>8.0</v>
      </c>
      <c r="DX106" s="110">
        <v>8.0</v>
      </c>
      <c r="DY106" s="53">
        <v>8.0</v>
      </c>
      <c r="DZ106" s="53" t="s">
        <v>165</v>
      </c>
      <c r="EA106" s="53" t="s">
        <v>165</v>
      </c>
      <c r="EB106" s="53">
        <v>8.0</v>
      </c>
      <c r="EC106" s="134">
        <v>8.0</v>
      </c>
      <c r="ED106" s="134">
        <v>8.0</v>
      </c>
      <c r="EE106" s="134">
        <v>8.0</v>
      </c>
      <c r="EF106" s="113">
        <f t="shared" si="17"/>
        <v>96</v>
      </c>
      <c r="EG106" s="114"/>
      <c r="EH106" s="114"/>
      <c r="EI106" s="131"/>
      <c r="EJ106" s="170"/>
      <c r="EK106" s="170"/>
      <c r="EL106" s="170"/>
      <c r="EM106" s="170"/>
      <c r="EN106" s="170"/>
      <c r="EO106" s="170"/>
      <c r="EP106" s="170"/>
      <c r="EQ106" s="170"/>
      <c r="ER106" s="170"/>
      <c r="ES106" s="170"/>
      <c r="ET106" s="170"/>
      <c r="EU106" s="170"/>
      <c r="EV106" s="170"/>
      <c r="EW106" s="170"/>
      <c r="EX106" s="170"/>
      <c r="EY106" s="170"/>
      <c r="EZ106" s="170"/>
      <c r="FA106" s="170"/>
      <c r="FB106" s="170"/>
      <c r="FC106" s="170"/>
      <c r="FD106" s="170"/>
      <c r="FE106" s="170"/>
      <c r="FF106" s="170"/>
      <c r="FG106" s="170"/>
      <c r="FH106" s="170"/>
      <c r="FI106" s="170"/>
      <c r="FJ106" s="170"/>
      <c r="FK106" s="170"/>
      <c r="FL106" s="170"/>
      <c r="FM106" s="170"/>
      <c r="FN106" s="170"/>
      <c r="FO106" s="170"/>
      <c r="FP106" s="170"/>
      <c r="FQ106" s="170"/>
      <c r="FR106" s="170"/>
      <c r="FS106" s="170"/>
      <c r="FT106" s="170"/>
      <c r="FU106" s="170"/>
      <c r="FV106" s="170"/>
      <c r="FW106" s="170"/>
      <c r="FX106" s="170"/>
      <c r="FY106" s="170"/>
      <c r="FZ106" s="170"/>
      <c r="GA106" s="170"/>
      <c r="GB106" s="170"/>
      <c r="GC106" s="170"/>
      <c r="GD106" s="170"/>
      <c r="GE106" s="170"/>
      <c r="GF106" s="170"/>
      <c r="GG106" s="170"/>
      <c r="GH106" s="170"/>
      <c r="GI106" s="170"/>
      <c r="GJ106" s="170"/>
      <c r="GK106" s="170"/>
      <c r="GL106" s="170"/>
      <c r="GM106" s="170"/>
      <c r="GN106" s="170"/>
      <c r="GO106" s="170"/>
      <c r="GP106" s="170"/>
      <c r="GQ106" s="170"/>
      <c r="GR106" s="170"/>
      <c r="GS106" s="170"/>
      <c r="GT106" s="170"/>
      <c r="GU106" s="170"/>
      <c r="GV106" s="170"/>
      <c r="GW106" s="170"/>
      <c r="GX106" s="170"/>
      <c r="GY106" s="170"/>
      <c r="GZ106" s="170"/>
      <c r="HA106" s="170"/>
      <c r="HB106" s="170"/>
      <c r="HC106" s="170"/>
      <c r="HD106" s="170"/>
      <c r="HE106" s="170"/>
    </row>
    <row r="107">
      <c r="A107" s="111" t="s">
        <v>324</v>
      </c>
      <c r="B107" s="106" t="str">
        <f>iferror(vlookup(A107,'SoS - Agents Info'!A:H,5,false),"")</f>
        <v>EN</v>
      </c>
      <c r="C107" s="107" t="str">
        <f>iferror(vlookup(A107,'SoS - Agents Info'!A:AQ,43,false),"")</f>
        <v>AS+YS</v>
      </c>
      <c r="D107" s="108" t="str">
        <f>iferror(vlookup(A107,'SoS - Agents Info'!A:H,6,false),"")</f>
        <v>WE+WD</v>
      </c>
      <c r="E107" s="108" t="str">
        <f>iferror(vlookup(A107,'SoS - Agents Info'!A:H,7,false),"")</f>
        <v>00:00-09:00</v>
      </c>
      <c r="F107" s="109">
        <f>IFERROR(__xludf.DUMMYFUNCTION("sum(COUNTIFS(Filter(FILTER('Shiftplan SoS'!G$3:GU166,'Shiftplan SoS'!$G$1:$GU$1&lt;=today()),'Shiftplan SoS'!$A$3:$A166=A107),""&gt;0"",(Filter(FILTER('Shiftplan SoS'!G$3:GU166,'Shiftplan SoS'!$G$1:$GU$1&lt;=today()),'Shiftplan SoS'!$A$3:$A166=A107)),""&lt;12""))"),8.0)</f>
        <v>8</v>
      </c>
      <c r="G107" s="118"/>
      <c r="H107" s="118"/>
      <c r="I107" s="118"/>
      <c r="J107" s="118"/>
      <c r="K107" s="118"/>
      <c r="L107" s="118"/>
      <c r="M107" s="118"/>
      <c r="N107" s="118"/>
      <c r="O107" s="118"/>
      <c r="P107" s="118"/>
      <c r="Q107" s="118"/>
      <c r="R107" s="118"/>
      <c r="S107" s="118"/>
      <c r="T107" s="118"/>
      <c r="U107" s="118"/>
      <c r="V107" s="118"/>
      <c r="W107" s="118"/>
      <c r="X107" s="118"/>
      <c r="Y107" s="118"/>
      <c r="Z107" s="118"/>
      <c r="AA107" s="118"/>
      <c r="AB107" s="118"/>
      <c r="AC107" s="118"/>
      <c r="AD107" s="118"/>
      <c r="AE107" s="118"/>
      <c r="AF107" s="118"/>
      <c r="AG107" s="118"/>
      <c r="AH107" s="118"/>
      <c r="AI107" s="118"/>
      <c r="AJ107" s="118"/>
      <c r="AK107" s="169"/>
      <c r="AL107" s="105"/>
      <c r="AM107" s="48"/>
      <c r="AN107" s="16"/>
      <c r="AO107" s="16"/>
      <c r="AP107" s="16"/>
      <c r="AQ107" s="16"/>
      <c r="AR107" s="16"/>
      <c r="AS107" s="16"/>
      <c r="AT107" s="118"/>
      <c r="AU107" s="118"/>
      <c r="AV107" s="118"/>
      <c r="AW107" s="118"/>
      <c r="AX107" s="118"/>
      <c r="AY107" s="118"/>
      <c r="AZ107" s="118"/>
      <c r="BA107" s="118"/>
      <c r="BB107" s="118"/>
      <c r="BC107" s="118"/>
      <c r="BD107" s="118"/>
      <c r="BE107" s="118"/>
      <c r="BF107" s="118"/>
      <c r="BG107" s="118"/>
      <c r="BH107" s="118"/>
      <c r="BI107" s="118"/>
      <c r="BJ107" s="118"/>
      <c r="BK107" s="118"/>
      <c r="BL107" s="118"/>
      <c r="BM107" s="118"/>
      <c r="BN107" s="118"/>
      <c r="BO107" s="118"/>
      <c r="BP107" s="118"/>
      <c r="BQ107" s="118"/>
      <c r="BR107" s="170"/>
      <c r="BS107" s="48"/>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c r="CS107" s="170"/>
      <c r="CT107" s="170"/>
      <c r="CU107" s="170"/>
      <c r="CV107" s="170"/>
      <c r="CW107" s="170"/>
      <c r="CX107" s="170"/>
      <c r="CY107" s="170"/>
      <c r="CZ107" s="170"/>
      <c r="DA107" s="105"/>
      <c r="DB107" s="105"/>
      <c r="DC107" s="105"/>
      <c r="DD107" s="105"/>
      <c r="DE107" s="105"/>
      <c r="DF107" s="105"/>
      <c r="DG107" s="105"/>
      <c r="DH107" s="105"/>
      <c r="DI107" s="105"/>
      <c r="DJ107" s="105"/>
      <c r="DK107" s="105"/>
      <c r="DL107" s="105"/>
      <c r="DM107" s="105"/>
      <c r="DN107" s="105"/>
      <c r="DO107" s="105"/>
      <c r="DP107" s="105"/>
      <c r="DQ107" s="53"/>
      <c r="DR107" s="53">
        <v>8.0</v>
      </c>
      <c r="DS107" s="53">
        <v>8.0</v>
      </c>
      <c r="DT107" s="53">
        <v>8.0</v>
      </c>
      <c r="DU107" s="53" t="s">
        <v>165</v>
      </c>
      <c r="DV107" s="53" t="s">
        <v>165</v>
      </c>
      <c r="DW107" s="53">
        <v>8.0</v>
      </c>
      <c r="DX107" s="53">
        <v>8.0</v>
      </c>
      <c r="DY107" s="53">
        <v>8.0</v>
      </c>
      <c r="DZ107" s="53" t="s">
        <v>165</v>
      </c>
      <c r="EA107" s="53" t="s">
        <v>165</v>
      </c>
      <c r="EB107" s="53">
        <v>8.0</v>
      </c>
      <c r="EC107" s="53">
        <v>8.0</v>
      </c>
      <c r="ED107" s="53" t="s">
        <v>165</v>
      </c>
      <c r="EE107" s="53" t="s">
        <v>165</v>
      </c>
      <c r="EF107" s="113">
        <f t="shared" si="17"/>
        <v>64</v>
      </c>
      <c r="EG107" s="170"/>
      <c r="EH107" s="170"/>
      <c r="EI107" s="170"/>
      <c r="EJ107" s="170"/>
      <c r="EK107" s="170"/>
      <c r="EL107" s="170"/>
      <c r="EM107" s="170"/>
      <c r="EN107" s="170"/>
      <c r="EO107" s="170"/>
      <c r="EP107" s="170"/>
      <c r="EQ107" s="170"/>
      <c r="ER107" s="170"/>
      <c r="ES107" s="170"/>
      <c r="ET107" s="170"/>
      <c r="EU107" s="170"/>
      <c r="EV107" s="170"/>
      <c r="EW107" s="170"/>
      <c r="EX107" s="170"/>
      <c r="EY107" s="170"/>
      <c r="EZ107" s="170"/>
      <c r="FA107" s="170"/>
      <c r="FB107" s="170"/>
      <c r="FC107" s="170"/>
      <c r="FD107" s="170"/>
      <c r="FE107" s="170"/>
      <c r="FF107" s="170"/>
      <c r="FG107" s="170"/>
      <c r="FH107" s="170"/>
      <c r="FI107" s="170"/>
      <c r="FJ107" s="170"/>
      <c r="FK107" s="170"/>
      <c r="FL107" s="170"/>
      <c r="FM107" s="170"/>
      <c r="FN107" s="170"/>
      <c r="FO107" s="170"/>
      <c r="FP107" s="170"/>
      <c r="FQ107" s="170"/>
      <c r="FR107" s="170"/>
      <c r="FS107" s="170"/>
      <c r="FT107" s="170"/>
      <c r="FU107" s="170"/>
      <c r="FV107" s="170"/>
      <c r="FW107" s="170"/>
      <c r="FX107" s="170"/>
      <c r="FY107" s="170"/>
      <c r="FZ107" s="170"/>
      <c r="GA107" s="170"/>
      <c r="GB107" s="170"/>
      <c r="GC107" s="170"/>
      <c r="GD107" s="170"/>
      <c r="GE107" s="170"/>
      <c r="GF107" s="170"/>
      <c r="GG107" s="170"/>
      <c r="GH107" s="170"/>
      <c r="GI107" s="170"/>
      <c r="GJ107" s="170"/>
      <c r="GK107" s="170"/>
      <c r="GL107" s="170"/>
      <c r="GM107" s="170"/>
      <c r="GN107" s="170"/>
      <c r="GO107" s="170"/>
      <c r="GP107" s="170"/>
      <c r="GQ107" s="170"/>
      <c r="GR107" s="170"/>
      <c r="GS107" s="170"/>
      <c r="GT107" s="170"/>
      <c r="GU107" s="170"/>
      <c r="GV107" s="170"/>
      <c r="GW107" s="170"/>
      <c r="GX107" s="170"/>
      <c r="GY107" s="170"/>
      <c r="GZ107" s="170"/>
      <c r="HA107" s="170"/>
      <c r="HB107" s="170"/>
      <c r="HC107" s="170"/>
      <c r="HD107" s="170"/>
      <c r="HE107" s="170"/>
    </row>
    <row r="108">
      <c r="A108" s="111" t="s">
        <v>325</v>
      </c>
      <c r="B108" s="106" t="str">
        <f>iferror(vlookup(A108,'SoS - Agents Info'!A:H,5,false),"")</f>
        <v>TH</v>
      </c>
      <c r="C108" s="107" t="str">
        <f>iferror(vlookup(A108,'SoS - Agents Info'!A:AQ,43,false),"")</f>
        <v>AS+YS</v>
      </c>
      <c r="D108" s="108" t="str">
        <f>iferror(vlookup(A108,'SoS - Agents Info'!A:H,6,false),"")</f>
        <v>WE+WD</v>
      </c>
      <c r="E108" s="108" t="str">
        <f>iferror(vlookup(A108,'SoS - Agents Info'!A:H,7,false),"")</f>
        <v>00:00-09:00</v>
      </c>
      <c r="F108" s="109">
        <f>IFERROR(__xludf.DUMMYFUNCTION("sum(COUNTIFS(Filter(FILTER('Shiftplan SoS'!G$3:GU166,'Shiftplan SoS'!$G$1:$GU$1&lt;=today()),'Shiftplan SoS'!$A$3:$A166=A108),""&gt;0"",(Filter(FILTER('Shiftplan SoS'!G$3:GU166,'Shiftplan SoS'!$G$1:$GU$1&lt;=today()),'Shiftplan SoS'!$A$3:$A166=A108)),""&lt;12""))"),9.0)</f>
        <v>9</v>
      </c>
      <c r="G108" s="118"/>
      <c r="H108" s="118"/>
      <c r="I108" s="118"/>
      <c r="J108" s="118"/>
      <c r="K108" s="118"/>
      <c r="L108" s="118"/>
      <c r="M108" s="118"/>
      <c r="N108" s="118"/>
      <c r="O108" s="118"/>
      <c r="P108" s="118"/>
      <c r="Q108" s="118"/>
      <c r="R108" s="118"/>
      <c r="S108" s="118"/>
      <c r="T108" s="118"/>
      <c r="U108" s="118"/>
      <c r="V108" s="118"/>
      <c r="W108" s="118"/>
      <c r="X108" s="118"/>
      <c r="Y108" s="118"/>
      <c r="Z108" s="118"/>
      <c r="AA108" s="118"/>
      <c r="AB108" s="118"/>
      <c r="AC108" s="118"/>
      <c r="AD108" s="118"/>
      <c r="AE108" s="118"/>
      <c r="AF108" s="118"/>
      <c r="AG108" s="118"/>
      <c r="AH108" s="118"/>
      <c r="AI108" s="118"/>
      <c r="AJ108" s="118"/>
      <c r="AK108" s="169"/>
      <c r="AL108" s="105"/>
      <c r="AM108" s="48"/>
      <c r="AN108" s="16"/>
      <c r="AO108" s="16"/>
      <c r="AP108" s="16"/>
      <c r="AQ108" s="16"/>
      <c r="AR108" s="16"/>
      <c r="AS108" s="16"/>
      <c r="AT108" s="118"/>
      <c r="AU108" s="118"/>
      <c r="AV108" s="118"/>
      <c r="AW108" s="118"/>
      <c r="AX108" s="118"/>
      <c r="AY108" s="118"/>
      <c r="AZ108" s="118"/>
      <c r="BA108" s="118"/>
      <c r="BB108" s="118"/>
      <c r="BC108" s="118"/>
      <c r="BD108" s="118"/>
      <c r="BE108" s="118"/>
      <c r="BF108" s="118"/>
      <c r="BG108" s="118"/>
      <c r="BH108" s="118"/>
      <c r="BI108" s="118"/>
      <c r="BJ108" s="118"/>
      <c r="BK108" s="118"/>
      <c r="BL108" s="118"/>
      <c r="BM108" s="118"/>
      <c r="BN108" s="118"/>
      <c r="BO108" s="118"/>
      <c r="BP108" s="118"/>
      <c r="BQ108" s="118"/>
      <c r="BR108" s="170"/>
      <c r="BS108" s="48"/>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c r="CS108" s="170"/>
      <c r="CT108" s="170"/>
      <c r="CU108" s="170"/>
      <c r="CV108" s="170"/>
      <c r="CW108" s="170"/>
      <c r="CX108" s="170"/>
      <c r="CY108" s="170"/>
      <c r="CZ108" s="170"/>
      <c r="DA108" s="105"/>
      <c r="DB108" s="105"/>
      <c r="DC108" s="105"/>
      <c r="DD108" s="105"/>
      <c r="DE108" s="105"/>
      <c r="DF108" s="105"/>
      <c r="DG108" s="105"/>
      <c r="DH108" s="105"/>
      <c r="DI108" s="105"/>
      <c r="DJ108" s="105"/>
      <c r="DK108" s="105"/>
      <c r="DL108" s="105"/>
      <c r="DM108" s="105"/>
      <c r="DN108" s="105"/>
      <c r="DO108" s="105"/>
      <c r="DP108" s="105"/>
      <c r="DQ108" s="105"/>
      <c r="DR108" s="105"/>
      <c r="DS108" s="105"/>
      <c r="DT108" s="105"/>
      <c r="DU108" s="105"/>
      <c r="DV108" s="105"/>
      <c r="DW108" s="105"/>
      <c r="DX108" s="105"/>
      <c r="DY108" s="53">
        <v>8.0</v>
      </c>
      <c r="DZ108" s="53">
        <v>8.0</v>
      </c>
      <c r="EA108" s="53">
        <v>8.0</v>
      </c>
      <c r="EB108" s="53" t="s">
        <v>165</v>
      </c>
      <c r="EC108" s="53" t="s">
        <v>165</v>
      </c>
      <c r="ED108" s="53">
        <v>8.0</v>
      </c>
      <c r="EE108" s="53">
        <v>8.0</v>
      </c>
      <c r="EF108" s="113">
        <f t="shared" si="17"/>
        <v>40</v>
      </c>
      <c r="EG108" s="170"/>
      <c r="EH108" s="122">
        <v>8.0</v>
      </c>
      <c r="EI108" s="122">
        <v>8.0</v>
      </c>
      <c r="EJ108" s="122">
        <v>8.0</v>
      </c>
      <c r="EK108" s="16" t="s">
        <v>165</v>
      </c>
      <c r="EL108" s="16" t="s">
        <v>165</v>
      </c>
      <c r="EM108" s="16" t="s">
        <v>165</v>
      </c>
      <c r="EN108" s="16">
        <v>8.0</v>
      </c>
      <c r="EO108" s="170"/>
      <c r="EP108" s="170"/>
      <c r="EQ108" s="170"/>
      <c r="ER108" s="170"/>
      <c r="ES108" s="170"/>
      <c r="ET108" s="170"/>
      <c r="EU108" s="170"/>
      <c r="EV108" s="170"/>
      <c r="EW108" s="170"/>
      <c r="EX108" s="170"/>
      <c r="EY108" s="170"/>
      <c r="EZ108" s="170"/>
      <c r="FA108" s="170"/>
      <c r="FB108" s="170"/>
      <c r="FC108" s="170"/>
      <c r="FD108" s="170"/>
      <c r="FE108" s="170"/>
      <c r="FF108" s="170"/>
      <c r="FG108" s="170"/>
      <c r="FH108" s="170"/>
      <c r="FI108" s="170"/>
      <c r="FJ108" s="170"/>
      <c r="FK108" s="170"/>
      <c r="FL108" s="170"/>
      <c r="FM108" s="170"/>
      <c r="FN108" s="170"/>
      <c r="FO108" s="170"/>
      <c r="FP108" s="170"/>
      <c r="FQ108" s="170"/>
      <c r="FR108" s="170"/>
      <c r="FS108" s="170"/>
      <c r="FT108" s="170"/>
      <c r="FU108" s="170"/>
      <c r="FV108" s="170"/>
      <c r="FW108" s="170"/>
      <c r="FX108" s="170"/>
      <c r="FY108" s="170"/>
      <c r="FZ108" s="170"/>
      <c r="GA108" s="170"/>
      <c r="GB108" s="170"/>
      <c r="GC108" s="170"/>
      <c r="GD108" s="170"/>
      <c r="GE108" s="170"/>
      <c r="GF108" s="170"/>
      <c r="GG108" s="170"/>
      <c r="GH108" s="170"/>
      <c r="GI108" s="170"/>
      <c r="GJ108" s="170"/>
      <c r="GK108" s="170"/>
      <c r="GL108" s="170"/>
      <c r="GM108" s="170"/>
      <c r="GN108" s="170"/>
      <c r="GO108" s="170"/>
      <c r="GP108" s="170"/>
      <c r="GQ108" s="170"/>
      <c r="GR108" s="170"/>
      <c r="GS108" s="170"/>
      <c r="GT108" s="170"/>
      <c r="GU108" s="170"/>
      <c r="GV108" s="170"/>
      <c r="GW108" s="170"/>
      <c r="GX108" s="170"/>
      <c r="GY108" s="170"/>
      <c r="GZ108" s="170"/>
      <c r="HA108" s="170"/>
      <c r="HB108" s="170"/>
      <c r="HC108" s="170"/>
      <c r="HD108" s="170"/>
      <c r="HE108" s="170"/>
    </row>
    <row r="109">
      <c r="A109" s="111" t="s">
        <v>326</v>
      </c>
      <c r="B109" s="106" t="str">
        <f>iferror(vlookup(A109,'SoS - Agents Info'!A:H,5,false),"")</f>
        <v>EN</v>
      </c>
      <c r="C109" s="107" t="str">
        <f>iferror(vlookup(A109,'SoS - Agents Info'!A:AQ,43,false),"")</f>
        <v>AS+YS</v>
      </c>
      <c r="D109" s="108" t="str">
        <f>iferror(vlookup(A109,'SoS - Agents Info'!A:H,6,false),"")</f>
        <v>WE+WD</v>
      </c>
      <c r="E109" s="108" t="str">
        <f>iferror(vlookup(A109,'SoS - Agents Info'!A:H,7,false),"")</f>
        <v>00:00-09:00</v>
      </c>
      <c r="F109" s="109">
        <f>IFERROR(__xludf.DUMMYFUNCTION("sum(COUNTIFS(Filter(FILTER('Shiftplan SoS'!G$3:GU166,'Shiftplan SoS'!$G$1:$GU$1&lt;=today()),'Shiftplan SoS'!$A$3:$A166=A109),""&gt;0"",(Filter(FILTER('Shiftplan SoS'!G$3:GU166,'Shiftplan SoS'!$G$1:$GU$1&lt;=today()),'Shiftplan SoS'!$A$3:$A166=A109)),""&lt;12""))"),10.0)</f>
        <v>10</v>
      </c>
      <c r="G109" s="118"/>
      <c r="H109" s="118"/>
      <c r="I109" s="118"/>
      <c r="J109" s="118"/>
      <c r="K109" s="118"/>
      <c r="L109" s="118"/>
      <c r="M109" s="118"/>
      <c r="N109" s="118"/>
      <c r="O109" s="118"/>
      <c r="P109" s="118"/>
      <c r="Q109" s="118"/>
      <c r="R109" s="118"/>
      <c r="S109" s="118"/>
      <c r="T109" s="118"/>
      <c r="U109" s="118"/>
      <c r="V109" s="118"/>
      <c r="W109" s="118"/>
      <c r="X109" s="118"/>
      <c r="Y109" s="118"/>
      <c r="Z109" s="118"/>
      <c r="AA109" s="118"/>
      <c r="AB109" s="118"/>
      <c r="AC109" s="118"/>
      <c r="AD109" s="118"/>
      <c r="AE109" s="118"/>
      <c r="AF109" s="118"/>
      <c r="AG109" s="118"/>
      <c r="AH109" s="118"/>
      <c r="AI109" s="118"/>
      <c r="AJ109" s="118"/>
      <c r="AK109" s="169"/>
      <c r="AL109" s="105"/>
      <c r="AM109" s="48"/>
      <c r="AN109" s="16"/>
      <c r="AO109" s="16"/>
      <c r="AP109" s="16"/>
      <c r="AQ109" s="16"/>
      <c r="AR109" s="16"/>
      <c r="AS109" s="16"/>
      <c r="AT109" s="118"/>
      <c r="AU109" s="118"/>
      <c r="AV109" s="118"/>
      <c r="AW109" s="118"/>
      <c r="AX109" s="118"/>
      <c r="AY109" s="118"/>
      <c r="AZ109" s="118"/>
      <c r="BA109" s="118"/>
      <c r="BB109" s="118"/>
      <c r="BC109" s="118"/>
      <c r="BD109" s="118"/>
      <c r="BE109" s="118"/>
      <c r="BF109" s="118"/>
      <c r="BG109" s="118"/>
      <c r="BH109" s="118"/>
      <c r="BI109" s="118"/>
      <c r="BJ109" s="118"/>
      <c r="BK109" s="118"/>
      <c r="BL109" s="118"/>
      <c r="BM109" s="118"/>
      <c r="BN109" s="118"/>
      <c r="BO109" s="118"/>
      <c r="BP109" s="118"/>
      <c r="BQ109" s="118"/>
      <c r="BR109" s="170"/>
      <c r="BS109" s="48"/>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c r="CS109" s="170"/>
      <c r="CT109" s="170"/>
      <c r="CU109" s="170"/>
      <c r="CV109" s="170"/>
      <c r="CW109" s="170"/>
      <c r="CX109" s="170"/>
      <c r="CY109" s="170"/>
      <c r="CZ109" s="170"/>
      <c r="DA109" s="105"/>
      <c r="DB109" s="105"/>
      <c r="DC109" s="105"/>
      <c r="DD109" s="105"/>
      <c r="DE109" s="105"/>
      <c r="DF109" s="105"/>
      <c r="DG109" s="105"/>
      <c r="DH109" s="105"/>
      <c r="DI109" s="105"/>
      <c r="DJ109" s="105"/>
      <c r="DK109" s="105"/>
      <c r="DL109" s="105"/>
      <c r="DM109" s="105"/>
      <c r="DN109" s="105"/>
      <c r="DO109" s="105"/>
      <c r="DP109" s="105"/>
      <c r="DQ109" s="105"/>
      <c r="DR109" s="105"/>
      <c r="DS109" s="105"/>
      <c r="DT109" s="105"/>
      <c r="DU109" s="105"/>
      <c r="DV109" s="105"/>
      <c r="DW109" s="105"/>
      <c r="DX109" s="105"/>
      <c r="DY109" s="105"/>
      <c r="DZ109" s="105"/>
      <c r="EA109" s="105"/>
      <c r="EB109" s="105"/>
      <c r="EC109" s="105"/>
      <c r="ED109" s="105"/>
      <c r="EE109" s="53">
        <v>8.0</v>
      </c>
      <c r="EF109" s="113">
        <f t="shared" si="17"/>
        <v>8</v>
      </c>
      <c r="EG109" s="170"/>
      <c r="EH109" s="53">
        <v>8.0</v>
      </c>
      <c r="EI109" s="53">
        <v>8.0</v>
      </c>
      <c r="EJ109" s="53">
        <v>8.0</v>
      </c>
      <c r="EK109" s="16" t="s">
        <v>165</v>
      </c>
      <c r="EL109" s="16" t="s">
        <v>165</v>
      </c>
      <c r="EM109" s="16" t="s">
        <v>165</v>
      </c>
      <c r="EN109" s="16">
        <v>8.0</v>
      </c>
      <c r="EO109" s="16">
        <v>8.0</v>
      </c>
      <c r="EP109" s="16">
        <v>8.0</v>
      </c>
      <c r="EQ109" s="16">
        <v>8.0</v>
      </c>
      <c r="ER109" s="16">
        <v>8.0</v>
      </c>
      <c r="ES109" s="170"/>
      <c r="ET109" s="170"/>
      <c r="EU109" s="170"/>
      <c r="EV109" s="170"/>
      <c r="EW109" s="170"/>
      <c r="EX109" s="170"/>
      <c r="EY109" s="170"/>
      <c r="EZ109" s="170"/>
      <c r="FA109" s="170"/>
      <c r="FB109" s="170"/>
      <c r="FC109" s="170"/>
      <c r="FD109" s="170"/>
      <c r="FE109" s="170"/>
      <c r="FF109" s="170"/>
      <c r="FG109" s="170"/>
      <c r="FH109" s="170"/>
      <c r="FI109" s="170"/>
      <c r="FJ109" s="170"/>
      <c r="FK109" s="170"/>
      <c r="FL109" s="170"/>
      <c r="FM109" s="170"/>
      <c r="FN109" s="170"/>
      <c r="FO109" s="170"/>
      <c r="FP109" s="170"/>
      <c r="FQ109" s="170"/>
      <c r="FR109" s="170"/>
      <c r="FS109" s="170"/>
      <c r="FT109" s="170"/>
      <c r="FU109" s="170"/>
      <c r="FV109" s="170"/>
      <c r="FW109" s="170"/>
      <c r="FX109" s="170"/>
      <c r="FY109" s="170"/>
      <c r="FZ109" s="170"/>
      <c r="GA109" s="170"/>
      <c r="GB109" s="170"/>
      <c r="GC109" s="170"/>
      <c r="GD109" s="170"/>
      <c r="GE109" s="170"/>
      <c r="GF109" s="170"/>
      <c r="GG109" s="170"/>
      <c r="GH109" s="170"/>
      <c r="GI109" s="170"/>
      <c r="GJ109" s="170"/>
      <c r="GK109" s="170"/>
      <c r="GL109" s="170"/>
      <c r="GM109" s="170"/>
      <c r="GN109" s="170"/>
      <c r="GO109" s="170"/>
      <c r="GP109" s="170"/>
      <c r="GQ109" s="170"/>
      <c r="GR109" s="170"/>
      <c r="GS109" s="170"/>
      <c r="GT109" s="170"/>
      <c r="GU109" s="170"/>
      <c r="GV109" s="170"/>
      <c r="GW109" s="170"/>
      <c r="GX109" s="170"/>
      <c r="GY109" s="170"/>
      <c r="GZ109" s="170"/>
      <c r="HA109" s="170"/>
      <c r="HB109" s="170"/>
      <c r="HC109" s="170"/>
      <c r="HD109" s="170"/>
      <c r="HE109" s="170"/>
    </row>
    <row r="110">
      <c r="A110" s="101" t="s">
        <v>327</v>
      </c>
      <c r="B110" s="108" t="s">
        <v>328</v>
      </c>
      <c r="C110" s="176" t="s">
        <v>191</v>
      </c>
      <c r="D110" s="108" t="s">
        <v>98</v>
      </c>
      <c r="E110" s="108" t="s">
        <v>199</v>
      </c>
      <c r="F110" s="177"/>
      <c r="G110" s="118"/>
      <c r="H110" s="118"/>
      <c r="I110" s="118"/>
      <c r="J110" s="118"/>
      <c r="K110" s="118"/>
      <c r="L110" s="118"/>
      <c r="M110" s="118"/>
      <c r="N110" s="118"/>
      <c r="O110" s="118"/>
      <c r="P110" s="118"/>
      <c r="Q110" s="118"/>
      <c r="R110" s="118"/>
      <c r="S110" s="118"/>
      <c r="T110" s="118"/>
      <c r="U110" s="118"/>
      <c r="V110" s="118"/>
      <c r="W110" s="118"/>
      <c r="X110" s="118"/>
      <c r="Y110" s="118"/>
      <c r="Z110" s="118"/>
      <c r="AA110" s="118"/>
      <c r="AB110" s="118"/>
      <c r="AC110" s="118"/>
      <c r="AD110" s="118"/>
      <c r="AE110" s="118"/>
      <c r="AF110" s="118"/>
      <c r="AG110" s="118"/>
      <c r="AH110" s="118"/>
      <c r="AI110" s="118"/>
      <c r="AJ110" s="118"/>
      <c r="AK110" s="169"/>
      <c r="AL110" s="105"/>
      <c r="AM110" s="48"/>
      <c r="AN110" s="16"/>
      <c r="AO110" s="16"/>
      <c r="AP110" s="16"/>
      <c r="AQ110" s="16"/>
      <c r="AR110" s="16"/>
      <c r="AS110" s="16"/>
      <c r="AT110" s="118"/>
      <c r="AU110" s="118"/>
      <c r="AV110" s="118"/>
      <c r="AW110" s="118"/>
      <c r="AX110" s="118"/>
      <c r="AY110" s="118"/>
      <c r="AZ110" s="118"/>
      <c r="BA110" s="118"/>
      <c r="BB110" s="118"/>
      <c r="BC110" s="118"/>
      <c r="BD110" s="118"/>
      <c r="BE110" s="118"/>
      <c r="BF110" s="118"/>
      <c r="BG110" s="118"/>
      <c r="BH110" s="118"/>
      <c r="BI110" s="118"/>
      <c r="BJ110" s="118"/>
      <c r="BK110" s="118"/>
      <c r="BL110" s="118"/>
      <c r="BM110" s="118"/>
      <c r="BN110" s="118"/>
      <c r="BO110" s="118"/>
      <c r="BP110" s="118"/>
      <c r="BQ110" s="118"/>
      <c r="BR110" s="170"/>
      <c r="BS110" s="48"/>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c r="CS110" s="170"/>
      <c r="CT110" s="170"/>
      <c r="CU110" s="170"/>
      <c r="CV110" s="170"/>
      <c r="CW110" s="170"/>
      <c r="CX110" s="170"/>
      <c r="CY110" s="170"/>
      <c r="CZ110" s="170"/>
      <c r="DA110" s="105"/>
      <c r="DB110" s="105"/>
      <c r="DC110" s="105"/>
      <c r="DD110" s="105"/>
      <c r="DE110" s="105"/>
      <c r="DF110" s="105"/>
      <c r="DG110" s="105"/>
      <c r="DH110" s="105"/>
      <c r="DI110" s="105"/>
      <c r="DJ110" s="105"/>
      <c r="DK110" s="105"/>
      <c r="DL110" s="105"/>
      <c r="DM110" s="105"/>
      <c r="DN110" s="105"/>
      <c r="DO110" s="105"/>
      <c r="DP110" s="105"/>
      <c r="DQ110" s="105"/>
      <c r="DR110" s="105"/>
      <c r="DS110" s="105"/>
      <c r="DT110" s="105"/>
      <c r="DU110" s="105"/>
      <c r="DV110" s="105"/>
      <c r="DW110" s="105"/>
      <c r="DX110" s="105"/>
      <c r="DY110" s="105"/>
      <c r="DZ110" s="105"/>
      <c r="EA110" s="105"/>
      <c r="EB110" s="105"/>
      <c r="EC110" s="105"/>
      <c r="ED110" s="53">
        <v>8.0</v>
      </c>
      <c r="EE110" s="53">
        <v>8.0</v>
      </c>
      <c r="EF110" s="118">
        <v>16.0</v>
      </c>
      <c r="EG110" s="170"/>
      <c r="EH110" s="170"/>
      <c r="EI110" s="170"/>
      <c r="EJ110" s="170"/>
      <c r="EK110" s="170"/>
      <c r="EL110" s="170"/>
      <c r="EM110" s="170"/>
      <c r="EN110" s="170"/>
      <c r="EO110" s="170"/>
      <c r="EP110" s="170"/>
      <c r="EQ110" s="170"/>
      <c r="ER110" s="170"/>
      <c r="ES110" s="170"/>
      <c r="ET110" s="170"/>
      <c r="EU110" s="170"/>
      <c r="EV110" s="170"/>
      <c r="EW110" s="170"/>
      <c r="EX110" s="170"/>
      <c r="EY110" s="170"/>
      <c r="EZ110" s="170"/>
      <c r="FA110" s="170"/>
      <c r="FB110" s="170"/>
      <c r="FC110" s="170"/>
      <c r="FD110" s="170"/>
      <c r="FE110" s="170"/>
      <c r="FF110" s="170"/>
      <c r="FG110" s="170"/>
      <c r="FH110" s="170"/>
      <c r="FI110" s="170"/>
      <c r="FJ110" s="170"/>
      <c r="FK110" s="170"/>
      <c r="FL110" s="170"/>
      <c r="FM110" s="170"/>
      <c r="FN110" s="170"/>
      <c r="FO110" s="170"/>
      <c r="FP110" s="170"/>
      <c r="FQ110" s="170"/>
      <c r="FR110" s="170"/>
      <c r="FS110" s="170"/>
      <c r="FT110" s="170"/>
      <c r="FU110" s="170"/>
      <c r="FV110" s="170"/>
      <c r="FW110" s="170"/>
      <c r="FX110" s="170"/>
      <c r="FY110" s="170"/>
      <c r="FZ110" s="170"/>
      <c r="GA110" s="170"/>
      <c r="GB110" s="170"/>
      <c r="GC110" s="170"/>
      <c r="GD110" s="170"/>
      <c r="GE110" s="170"/>
      <c r="GF110" s="170"/>
      <c r="GG110" s="170"/>
      <c r="GH110" s="170"/>
      <c r="GI110" s="170"/>
      <c r="GJ110" s="170"/>
      <c r="GK110" s="170"/>
      <c r="GL110" s="170"/>
      <c r="GM110" s="170"/>
      <c r="GN110" s="170"/>
      <c r="GO110" s="170"/>
      <c r="GP110" s="170"/>
      <c r="GQ110" s="170"/>
      <c r="GR110" s="170"/>
      <c r="GS110" s="170"/>
      <c r="GT110" s="170"/>
      <c r="GU110" s="170"/>
      <c r="GV110" s="170"/>
      <c r="GW110" s="170"/>
      <c r="GX110" s="170"/>
      <c r="GY110" s="170"/>
      <c r="GZ110" s="170"/>
      <c r="HA110" s="170"/>
      <c r="HB110" s="170"/>
      <c r="HC110" s="170"/>
      <c r="HD110" s="170"/>
      <c r="HE110" s="170"/>
    </row>
    <row r="111">
      <c r="A111" s="101" t="s">
        <v>329</v>
      </c>
      <c r="B111" s="108" t="s">
        <v>88</v>
      </c>
      <c r="C111" s="176" t="s">
        <v>206</v>
      </c>
      <c r="D111" s="108" t="s">
        <v>98</v>
      </c>
      <c r="E111" s="108" t="s">
        <v>105</v>
      </c>
      <c r="F111" s="177"/>
      <c r="G111" s="118"/>
      <c r="H111" s="118"/>
      <c r="I111" s="118"/>
      <c r="J111" s="118"/>
      <c r="K111" s="118"/>
      <c r="L111" s="118"/>
      <c r="M111" s="118"/>
      <c r="N111" s="118"/>
      <c r="O111" s="118"/>
      <c r="P111" s="118"/>
      <c r="Q111" s="118"/>
      <c r="R111" s="118"/>
      <c r="S111" s="118"/>
      <c r="T111" s="118"/>
      <c r="U111" s="118"/>
      <c r="V111" s="118"/>
      <c r="W111" s="118"/>
      <c r="X111" s="118"/>
      <c r="Y111" s="118"/>
      <c r="Z111" s="118"/>
      <c r="AA111" s="118"/>
      <c r="AB111" s="118"/>
      <c r="AC111" s="118"/>
      <c r="AD111" s="118"/>
      <c r="AE111" s="118"/>
      <c r="AF111" s="118"/>
      <c r="AG111" s="118"/>
      <c r="AH111" s="118"/>
      <c r="AI111" s="118"/>
      <c r="AJ111" s="118"/>
      <c r="AK111" s="169"/>
      <c r="AL111" s="105"/>
      <c r="AM111" s="48"/>
      <c r="AN111" s="16"/>
      <c r="AO111" s="16"/>
      <c r="AP111" s="16"/>
      <c r="AQ111" s="16"/>
      <c r="AR111" s="16"/>
      <c r="AS111" s="16"/>
      <c r="AT111" s="118"/>
      <c r="AU111" s="118"/>
      <c r="AV111" s="118"/>
      <c r="AW111" s="118"/>
      <c r="AX111" s="118"/>
      <c r="AY111" s="118"/>
      <c r="AZ111" s="118"/>
      <c r="BA111" s="118"/>
      <c r="BB111" s="118"/>
      <c r="BC111" s="118"/>
      <c r="BD111" s="118"/>
      <c r="BE111" s="118"/>
      <c r="BF111" s="118"/>
      <c r="BG111" s="118"/>
      <c r="BH111" s="118"/>
      <c r="BI111" s="118"/>
      <c r="BJ111" s="118"/>
      <c r="BK111" s="118"/>
      <c r="BL111" s="118"/>
      <c r="BM111" s="118"/>
      <c r="BN111" s="118"/>
      <c r="BO111" s="118"/>
      <c r="BP111" s="118"/>
      <c r="BQ111" s="118"/>
      <c r="BR111" s="170"/>
      <c r="BS111" s="48"/>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c r="CS111" s="170"/>
      <c r="CT111" s="170"/>
      <c r="CU111" s="170"/>
      <c r="CV111" s="170"/>
      <c r="CW111" s="170"/>
      <c r="CX111" s="170"/>
      <c r="CY111" s="170"/>
      <c r="CZ111" s="170"/>
      <c r="DA111" s="105"/>
      <c r="DB111" s="105"/>
      <c r="DC111" s="105"/>
      <c r="DD111" s="105"/>
      <c r="DE111" s="105"/>
      <c r="DF111" s="105"/>
      <c r="DG111" s="105"/>
      <c r="DH111" s="105"/>
      <c r="DI111" s="105"/>
      <c r="DJ111" s="105"/>
      <c r="DK111" s="105"/>
      <c r="DL111" s="105"/>
      <c r="DM111" s="105"/>
      <c r="DN111" s="105"/>
      <c r="DO111" s="105"/>
      <c r="DP111" s="105"/>
      <c r="DQ111" s="105"/>
      <c r="DR111" s="105"/>
      <c r="DS111" s="105"/>
      <c r="DT111" s="105"/>
      <c r="DU111" s="105"/>
      <c r="DV111" s="105"/>
      <c r="DW111" s="105"/>
      <c r="DX111" s="105"/>
      <c r="DY111" s="105"/>
      <c r="DZ111" s="105"/>
      <c r="EA111" s="105"/>
      <c r="EB111" s="105"/>
      <c r="EC111" s="105"/>
      <c r="ED111" s="53">
        <v>8.0</v>
      </c>
      <c r="EE111" s="53">
        <v>8.0</v>
      </c>
      <c r="EF111" s="113">
        <f t="shared" ref="EF111:EF114" si="22">sum(DA111:EE111)</f>
        <v>16</v>
      </c>
      <c r="EG111" s="170"/>
      <c r="EH111" s="118">
        <v>8.0</v>
      </c>
      <c r="EI111" s="118">
        <v>8.0</v>
      </c>
      <c r="EJ111" s="118">
        <v>8.0</v>
      </c>
      <c r="EK111" s="118" t="s">
        <v>165</v>
      </c>
      <c r="EL111" s="118" t="s">
        <v>165</v>
      </c>
      <c r="EM111" s="170"/>
      <c r="EN111" s="170"/>
      <c r="EO111" s="170"/>
      <c r="EP111" s="170"/>
      <c r="EQ111" s="170"/>
      <c r="ER111" s="170"/>
      <c r="ES111" s="170"/>
      <c r="ET111" s="170"/>
      <c r="EU111" s="170"/>
      <c r="EV111" s="170"/>
      <c r="EW111" s="170"/>
      <c r="EX111" s="170"/>
      <c r="EY111" s="170"/>
      <c r="EZ111" s="170"/>
      <c r="FA111" s="170"/>
      <c r="FB111" s="170"/>
      <c r="FC111" s="170"/>
      <c r="FD111" s="170"/>
      <c r="FE111" s="170"/>
      <c r="FF111" s="170"/>
      <c r="FG111" s="170"/>
      <c r="FH111" s="170"/>
      <c r="FI111" s="170"/>
      <c r="FJ111" s="170"/>
      <c r="FK111" s="170"/>
      <c r="FL111" s="170"/>
      <c r="FM111" s="170"/>
      <c r="FN111" s="170"/>
      <c r="FO111" s="170"/>
      <c r="FP111" s="170"/>
      <c r="FQ111" s="170"/>
      <c r="FR111" s="170"/>
      <c r="FS111" s="170"/>
      <c r="FT111" s="170"/>
      <c r="FU111" s="170"/>
      <c r="FV111" s="170"/>
      <c r="FW111" s="170"/>
      <c r="FX111" s="170"/>
      <c r="FY111" s="170"/>
      <c r="FZ111" s="170"/>
      <c r="GA111" s="170"/>
      <c r="GB111" s="170"/>
      <c r="GC111" s="170"/>
      <c r="GD111" s="170"/>
      <c r="GE111" s="170"/>
      <c r="GF111" s="170"/>
      <c r="GG111" s="170"/>
      <c r="GH111" s="170"/>
      <c r="GI111" s="170"/>
      <c r="GJ111" s="170"/>
      <c r="GK111" s="170"/>
      <c r="GL111" s="170"/>
      <c r="GM111" s="170"/>
      <c r="GN111" s="170"/>
      <c r="GO111" s="170"/>
      <c r="GP111" s="170"/>
      <c r="GQ111" s="170"/>
      <c r="GR111" s="170"/>
      <c r="GS111" s="170"/>
      <c r="GT111" s="170"/>
      <c r="GU111" s="170"/>
      <c r="GV111" s="170"/>
      <c r="GW111" s="170"/>
      <c r="GX111" s="170"/>
      <c r="GY111" s="170"/>
      <c r="GZ111" s="170"/>
      <c r="HA111" s="170"/>
      <c r="HB111" s="170"/>
      <c r="HC111" s="170"/>
      <c r="HD111" s="170"/>
      <c r="HE111" s="170"/>
    </row>
    <row r="112" ht="16.5" customHeight="1">
      <c r="A112" s="111" t="s">
        <v>330</v>
      </c>
      <c r="B112" s="108" t="s">
        <v>89</v>
      </c>
      <c r="C112" s="107" t="s">
        <v>191</v>
      </c>
      <c r="D112" s="108" t="s">
        <v>192</v>
      </c>
      <c r="E112" s="108" t="s">
        <v>199</v>
      </c>
      <c r="F112" s="153"/>
      <c r="G112" s="158"/>
      <c r="H112" s="158"/>
      <c r="I112" s="158"/>
      <c r="J112" s="158"/>
      <c r="K112" s="158"/>
      <c r="L112" s="158"/>
      <c r="M112" s="158"/>
      <c r="N112" s="158"/>
      <c r="O112" s="158"/>
      <c r="P112" s="158"/>
      <c r="Q112" s="158"/>
      <c r="R112" s="158"/>
      <c r="S112" s="158"/>
      <c r="T112" s="158"/>
      <c r="U112" s="158"/>
      <c r="V112" s="158"/>
      <c r="W112" s="158"/>
      <c r="X112" s="158"/>
      <c r="Y112" s="158"/>
      <c r="Z112" s="158"/>
      <c r="AA112" s="158"/>
      <c r="AB112" s="158"/>
      <c r="AC112" s="158"/>
      <c r="AD112" s="158"/>
      <c r="AE112" s="158"/>
      <c r="AF112" s="158"/>
      <c r="AG112" s="158"/>
      <c r="AH112" s="158"/>
      <c r="AI112" s="158"/>
      <c r="AJ112" s="158"/>
      <c r="AK112" s="178"/>
      <c r="AL112" s="157"/>
      <c r="AM112" s="179"/>
      <c r="AN112" s="158"/>
      <c r="AO112" s="158"/>
      <c r="AP112" s="158"/>
      <c r="AQ112" s="158"/>
      <c r="AR112" s="158"/>
      <c r="AS112" s="158"/>
      <c r="AT112" s="158"/>
      <c r="AU112" s="158"/>
      <c r="AV112" s="158"/>
      <c r="AW112" s="158"/>
      <c r="AX112" s="158"/>
      <c r="AY112" s="158"/>
      <c r="AZ112" s="158"/>
      <c r="BA112" s="158"/>
      <c r="BB112" s="158"/>
      <c r="BC112" s="158"/>
      <c r="BD112" s="158"/>
      <c r="BE112" s="158"/>
      <c r="BF112" s="158"/>
      <c r="BG112" s="158"/>
      <c r="BH112" s="158"/>
      <c r="BI112" s="158"/>
      <c r="BJ112" s="158"/>
      <c r="BK112" s="158"/>
      <c r="BL112" s="158"/>
      <c r="BM112" s="158"/>
      <c r="BN112" s="158"/>
      <c r="BO112" s="160"/>
      <c r="BP112" s="160"/>
      <c r="BQ112" s="160"/>
      <c r="BR112" s="157"/>
      <c r="BS112" s="179"/>
      <c r="BT112" s="160"/>
      <c r="BU112" s="160"/>
      <c r="BV112" s="160"/>
      <c r="BW112" s="160"/>
      <c r="BX112" s="161"/>
      <c r="BY112" s="161"/>
      <c r="BZ112" s="161"/>
      <c r="CA112" s="161"/>
      <c r="CB112" s="161"/>
      <c r="CC112" s="160"/>
      <c r="CD112" s="160"/>
      <c r="CE112" s="161"/>
      <c r="CF112" s="161"/>
      <c r="CG112" s="161"/>
      <c r="CH112" s="161"/>
      <c r="CI112" s="161"/>
      <c r="CJ112" s="160"/>
      <c r="CK112" s="160"/>
      <c r="CL112" s="161"/>
      <c r="CM112" s="161"/>
      <c r="CN112" s="161"/>
      <c r="CO112" s="161"/>
      <c r="CP112" s="161"/>
      <c r="CQ112" s="160"/>
      <c r="CR112" s="160"/>
      <c r="CS112" s="161"/>
      <c r="CT112" s="161"/>
      <c r="CU112" s="161"/>
      <c r="CV112" s="161"/>
      <c r="CW112" s="161"/>
      <c r="CX112" s="160"/>
      <c r="CY112" s="157"/>
      <c r="CZ112" s="179"/>
      <c r="DA112" s="113"/>
      <c r="DB112" s="162"/>
      <c r="DC112" s="162"/>
      <c r="DD112" s="162"/>
      <c r="DE112" s="162"/>
      <c r="DF112" s="162"/>
      <c r="DG112" s="162"/>
      <c r="DH112" s="162"/>
      <c r="DI112" s="162"/>
      <c r="DJ112" s="162"/>
      <c r="DK112" s="162"/>
      <c r="DL112" s="162"/>
      <c r="DM112" s="162"/>
      <c r="DN112" s="162"/>
      <c r="DO112" s="162"/>
      <c r="DP112" s="162"/>
      <c r="DQ112" s="162"/>
      <c r="DR112" s="162"/>
      <c r="DS112" s="162"/>
      <c r="DT112" s="162"/>
      <c r="DU112" s="162"/>
      <c r="DV112" s="162"/>
      <c r="DW112" s="162"/>
      <c r="DX112" s="162"/>
      <c r="DY112" s="162"/>
      <c r="DZ112" s="162"/>
      <c r="EA112" s="162"/>
      <c r="EB112" s="162"/>
      <c r="EC112" s="162"/>
      <c r="ED112" s="58">
        <v>8.0</v>
      </c>
      <c r="EE112" s="58">
        <v>8.0</v>
      </c>
      <c r="EF112" s="113">
        <f t="shared" si="22"/>
        <v>16</v>
      </c>
      <c r="EG112" s="179"/>
      <c r="EH112" s="180"/>
      <c r="EI112" s="180"/>
      <c r="EJ112" s="180"/>
      <c r="EK112" s="180"/>
      <c r="EL112" s="180"/>
      <c r="EM112" s="180"/>
      <c r="EN112" s="180"/>
      <c r="EO112" s="180"/>
      <c r="EP112" s="180"/>
      <c r="EQ112" s="180"/>
      <c r="ER112" s="180"/>
      <c r="ES112" s="180"/>
      <c r="ET112" s="180"/>
      <c r="EU112" s="180"/>
      <c r="EV112" s="180"/>
      <c r="EW112" s="180"/>
      <c r="EX112" s="180"/>
      <c r="EY112" s="180"/>
      <c r="EZ112" s="180"/>
      <c r="FA112" s="180"/>
      <c r="FB112" s="180"/>
      <c r="FC112" s="180"/>
      <c r="FD112" s="180"/>
      <c r="FE112" s="180"/>
      <c r="FF112" s="180"/>
      <c r="FG112" s="180"/>
      <c r="FH112" s="180"/>
      <c r="FI112" s="180"/>
      <c r="FJ112" s="180"/>
      <c r="FK112" s="180"/>
      <c r="FL112" s="157"/>
      <c r="FM112" s="179"/>
      <c r="FN112" s="180"/>
      <c r="FO112" s="180"/>
      <c r="FP112" s="180"/>
      <c r="FQ112" s="180"/>
      <c r="FR112" s="180"/>
      <c r="FS112" s="180"/>
      <c r="FT112" s="180"/>
      <c r="FU112" s="180"/>
      <c r="FV112" s="180"/>
      <c r="FW112" s="180"/>
      <c r="FX112" s="180"/>
      <c r="FY112" s="180"/>
      <c r="FZ112" s="180"/>
      <c r="GA112" s="180"/>
      <c r="GB112" s="180"/>
      <c r="GC112" s="180"/>
      <c r="GD112" s="180"/>
      <c r="GE112" s="180"/>
      <c r="GF112" s="180"/>
      <c r="GG112" s="180"/>
      <c r="GH112" s="180"/>
      <c r="GI112" s="180"/>
      <c r="GJ112" s="180"/>
      <c r="GK112" s="180"/>
      <c r="GL112" s="180"/>
      <c r="GM112" s="180"/>
      <c r="GN112" s="180"/>
      <c r="GO112" s="180"/>
      <c r="GP112" s="180"/>
      <c r="GQ112" s="180"/>
      <c r="GR112" s="180"/>
      <c r="GS112" s="157"/>
      <c r="GT112" s="179"/>
      <c r="GU112" s="180"/>
      <c r="GV112" s="180"/>
      <c r="GW112" s="180"/>
      <c r="GX112" s="180"/>
      <c r="GY112" s="180"/>
      <c r="GZ112" s="180"/>
      <c r="HA112" s="180"/>
      <c r="HB112" s="180"/>
      <c r="HC112" s="180"/>
      <c r="HD112" s="180"/>
      <c r="HE112" s="180"/>
    </row>
    <row r="113" ht="16.5" customHeight="1">
      <c r="A113" s="166" t="s">
        <v>331</v>
      </c>
      <c r="B113" s="108" t="s">
        <v>91</v>
      </c>
      <c r="C113" s="107" t="s">
        <v>191</v>
      </c>
      <c r="D113" s="108" t="s">
        <v>192</v>
      </c>
      <c r="E113" s="108" t="s">
        <v>199</v>
      </c>
      <c r="F113" s="153"/>
      <c r="G113" s="158"/>
      <c r="H113" s="158"/>
      <c r="I113" s="158"/>
      <c r="J113" s="158"/>
      <c r="K113" s="158"/>
      <c r="L113" s="158"/>
      <c r="M113" s="158"/>
      <c r="N113" s="158"/>
      <c r="O113" s="158"/>
      <c r="P113" s="158"/>
      <c r="Q113" s="158"/>
      <c r="R113" s="158"/>
      <c r="S113" s="158"/>
      <c r="T113" s="158"/>
      <c r="U113" s="158"/>
      <c r="V113" s="158"/>
      <c r="W113" s="158"/>
      <c r="X113" s="158"/>
      <c r="Y113" s="158"/>
      <c r="Z113" s="158"/>
      <c r="AA113" s="158"/>
      <c r="AB113" s="158"/>
      <c r="AC113" s="158"/>
      <c r="AD113" s="158"/>
      <c r="AE113" s="158"/>
      <c r="AF113" s="158"/>
      <c r="AG113" s="158"/>
      <c r="AH113" s="158"/>
      <c r="AI113" s="158"/>
      <c r="AJ113" s="158"/>
      <c r="AK113" s="178"/>
      <c r="AL113" s="157"/>
      <c r="AM113" s="179"/>
      <c r="AN113" s="158"/>
      <c r="AO113" s="158"/>
      <c r="AP113" s="158"/>
      <c r="AQ113" s="158"/>
      <c r="AR113" s="158"/>
      <c r="AS113" s="158"/>
      <c r="AT113" s="158"/>
      <c r="AU113" s="158"/>
      <c r="AV113" s="158"/>
      <c r="AW113" s="158"/>
      <c r="AX113" s="158"/>
      <c r="AY113" s="158"/>
      <c r="AZ113" s="158"/>
      <c r="BA113" s="158"/>
      <c r="BB113" s="158"/>
      <c r="BC113" s="158"/>
      <c r="BD113" s="158"/>
      <c r="BE113" s="158"/>
      <c r="BF113" s="158"/>
      <c r="BG113" s="158"/>
      <c r="BH113" s="158"/>
      <c r="BI113" s="158"/>
      <c r="BJ113" s="158"/>
      <c r="BK113" s="158"/>
      <c r="BL113" s="158"/>
      <c r="BM113" s="158"/>
      <c r="BN113" s="158"/>
      <c r="BO113" s="160"/>
      <c r="BP113" s="160"/>
      <c r="BQ113" s="160"/>
      <c r="BR113" s="157"/>
      <c r="BS113" s="179"/>
      <c r="BT113" s="160"/>
      <c r="BU113" s="160"/>
      <c r="BV113" s="160"/>
      <c r="BW113" s="160"/>
      <c r="BX113" s="161"/>
      <c r="BY113" s="161"/>
      <c r="BZ113" s="161"/>
      <c r="CA113" s="161"/>
      <c r="CB113" s="161"/>
      <c r="CC113" s="160"/>
      <c r="CD113" s="160"/>
      <c r="CE113" s="161"/>
      <c r="CF113" s="161"/>
      <c r="CG113" s="161"/>
      <c r="CH113" s="161"/>
      <c r="CI113" s="161"/>
      <c r="CJ113" s="160"/>
      <c r="CK113" s="160"/>
      <c r="CL113" s="161"/>
      <c r="CM113" s="161"/>
      <c r="CN113" s="161"/>
      <c r="CO113" s="161"/>
      <c r="CP113" s="161"/>
      <c r="CQ113" s="160"/>
      <c r="CR113" s="160"/>
      <c r="CS113" s="161"/>
      <c r="CT113" s="161"/>
      <c r="CU113" s="161"/>
      <c r="CV113" s="161"/>
      <c r="CW113" s="161"/>
      <c r="CX113" s="160"/>
      <c r="CY113" s="157"/>
      <c r="CZ113" s="179"/>
      <c r="DA113" s="113"/>
      <c r="DB113" s="162"/>
      <c r="DC113" s="162"/>
      <c r="DD113" s="162"/>
      <c r="DE113" s="162"/>
      <c r="DF113" s="162"/>
      <c r="DG113" s="162"/>
      <c r="DH113" s="162"/>
      <c r="DI113" s="162"/>
      <c r="DJ113" s="162"/>
      <c r="DK113" s="162"/>
      <c r="DL113" s="162"/>
      <c r="DM113" s="162"/>
      <c r="DN113" s="162"/>
      <c r="DO113" s="162"/>
      <c r="DP113" s="162"/>
      <c r="DQ113" s="162"/>
      <c r="DR113" s="162"/>
      <c r="DS113" s="162"/>
      <c r="DT113" s="162"/>
      <c r="DU113" s="162"/>
      <c r="DV113" s="162"/>
      <c r="DW113" s="162"/>
      <c r="DX113" s="162"/>
      <c r="DY113" s="162"/>
      <c r="DZ113" s="162"/>
      <c r="EA113" s="162"/>
      <c r="EB113" s="162"/>
      <c r="EC113" s="162"/>
      <c r="ED113" s="58">
        <v>8.0</v>
      </c>
      <c r="EE113" s="58">
        <v>8.0</v>
      </c>
      <c r="EF113" s="113">
        <f t="shared" si="22"/>
        <v>16</v>
      </c>
      <c r="EG113" s="179"/>
      <c r="EH113" s="180"/>
      <c r="EI113" s="180"/>
      <c r="EJ113" s="180"/>
      <c r="EK113" s="180"/>
      <c r="EL113" s="180"/>
      <c r="EM113" s="180"/>
      <c r="EN113" s="180"/>
      <c r="EO113" s="180"/>
      <c r="EP113" s="180"/>
      <c r="EQ113" s="180"/>
      <c r="ER113" s="180"/>
      <c r="ES113" s="180"/>
      <c r="ET113" s="180"/>
      <c r="EU113" s="180"/>
      <c r="EV113" s="180"/>
      <c r="EW113" s="180"/>
      <c r="EX113" s="180"/>
      <c r="EY113" s="180"/>
      <c r="EZ113" s="180"/>
      <c r="FA113" s="180"/>
      <c r="FB113" s="180"/>
      <c r="FC113" s="180"/>
      <c r="FD113" s="180"/>
      <c r="FE113" s="180"/>
      <c r="FF113" s="180"/>
      <c r="FG113" s="180"/>
      <c r="FH113" s="180"/>
      <c r="FI113" s="180"/>
      <c r="FJ113" s="180"/>
      <c r="FK113" s="180"/>
      <c r="FL113" s="157"/>
      <c r="FM113" s="179"/>
      <c r="FN113" s="180"/>
      <c r="FO113" s="180"/>
      <c r="FP113" s="180"/>
      <c r="FQ113" s="180"/>
      <c r="FR113" s="180"/>
      <c r="FS113" s="180"/>
      <c r="FT113" s="180"/>
      <c r="FU113" s="180"/>
      <c r="FV113" s="180"/>
      <c r="FW113" s="180"/>
      <c r="FX113" s="180"/>
      <c r="FY113" s="180"/>
      <c r="FZ113" s="180"/>
      <c r="GA113" s="180"/>
      <c r="GB113" s="180"/>
      <c r="GC113" s="180"/>
      <c r="GD113" s="180"/>
      <c r="GE113" s="180"/>
      <c r="GF113" s="180"/>
      <c r="GG113" s="180"/>
      <c r="GH113" s="180"/>
      <c r="GI113" s="180"/>
      <c r="GJ113" s="180"/>
      <c r="GK113" s="180"/>
      <c r="GL113" s="180"/>
      <c r="GM113" s="180"/>
      <c r="GN113" s="180"/>
      <c r="GO113" s="180"/>
      <c r="GP113" s="180"/>
      <c r="GQ113" s="180"/>
      <c r="GR113" s="180"/>
      <c r="GS113" s="157"/>
      <c r="GT113" s="179"/>
      <c r="GU113" s="180"/>
      <c r="GV113" s="180"/>
      <c r="GW113" s="180"/>
      <c r="GX113" s="180"/>
      <c r="GY113" s="180"/>
      <c r="GZ113" s="180"/>
      <c r="HA113" s="180"/>
      <c r="HB113" s="180"/>
      <c r="HC113" s="180"/>
      <c r="HD113" s="180"/>
      <c r="HE113" s="180"/>
    </row>
    <row r="114" ht="16.5" customHeight="1">
      <c r="A114" s="166" t="s">
        <v>332</v>
      </c>
      <c r="B114" s="108" t="s">
        <v>91</v>
      </c>
      <c r="C114" s="176" t="s">
        <v>206</v>
      </c>
      <c r="D114" s="108" t="s">
        <v>192</v>
      </c>
      <c r="E114" s="108" t="s">
        <v>105</v>
      </c>
      <c r="F114" s="109"/>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6"/>
      <c r="AI114" s="16"/>
      <c r="AJ114" s="16"/>
      <c r="AK114" s="70"/>
      <c r="AL114" s="105"/>
      <c r="AM114" s="48"/>
      <c r="AN114" s="16"/>
      <c r="AO114" s="16"/>
      <c r="AP114" s="16"/>
      <c r="AQ114" s="16"/>
      <c r="AR114" s="16"/>
      <c r="AS114" s="16"/>
      <c r="AT114" s="16"/>
      <c r="AU114" s="16"/>
      <c r="AV114" s="16"/>
      <c r="AW114" s="16"/>
      <c r="AX114" s="16"/>
      <c r="AY114" s="16"/>
      <c r="AZ114" s="16"/>
      <c r="BA114" s="16"/>
      <c r="BB114" s="16"/>
      <c r="BC114" s="16"/>
      <c r="BD114" s="16"/>
      <c r="BE114" s="16"/>
      <c r="BF114" s="16"/>
      <c r="BG114" s="16"/>
      <c r="BH114" s="16"/>
      <c r="BI114" s="16"/>
      <c r="BJ114" s="16"/>
      <c r="BK114" s="16"/>
      <c r="BL114" s="16"/>
      <c r="BM114" s="16"/>
      <c r="BN114" s="16"/>
      <c r="BO114" s="114"/>
      <c r="BP114" s="114"/>
      <c r="BQ114" s="114"/>
      <c r="BR114" s="105"/>
      <c r="BS114" s="48"/>
      <c r="BT114" s="114"/>
      <c r="BU114" s="114"/>
      <c r="BV114" s="114"/>
      <c r="BW114" s="114"/>
      <c r="BX114" s="64"/>
      <c r="BY114" s="64"/>
      <c r="BZ114" s="64"/>
      <c r="CA114" s="64"/>
      <c r="CB114" s="64"/>
      <c r="CC114" s="114"/>
      <c r="CD114" s="114"/>
      <c r="CE114" s="64"/>
      <c r="CF114" s="64"/>
      <c r="CG114" s="64"/>
      <c r="CH114" s="64"/>
      <c r="CI114" s="64"/>
      <c r="CJ114" s="114"/>
      <c r="CK114" s="114"/>
      <c r="CL114" s="64"/>
      <c r="CM114" s="64"/>
      <c r="CN114" s="64"/>
      <c r="CO114" s="64"/>
      <c r="CP114" s="64"/>
      <c r="CQ114" s="114"/>
      <c r="CR114" s="114"/>
      <c r="CS114" s="64"/>
      <c r="CT114" s="64"/>
      <c r="CU114" s="64"/>
      <c r="CV114" s="64"/>
      <c r="CW114" s="64"/>
      <c r="CX114" s="114"/>
      <c r="CY114" s="105"/>
      <c r="CZ114" s="48"/>
      <c r="DA114" s="113"/>
      <c r="DB114" s="113"/>
      <c r="DC114" s="113"/>
      <c r="DD114" s="113"/>
      <c r="DE114" s="113"/>
      <c r="DF114" s="113"/>
      <c r="DG114" s="113"/>
      <c r="DH114" s="113"/>
      <c r="DI114" s="113"/>
      <c r="DJ114" s="113"/>
      <c r="DK114" s="113"/>
      <c r="DL114" s="113"/>
      <c r="DM114" s="113"/>
      <c r="DN114" s="113"/>
      <c r="DO114" s="113"/>
      <c r="DP114" s="113"/>
      <c r="DQ114" s="113"/>
      <c r="DR114" s="113"/>
      <c r="DS114" s="113"/>
      <c r="DT114" s="113"/>
      <c r="DU114" s="113"/>
      <c r="DV114" s="113"/>
      <c r="DW114" s="113"/>
      <c r="DX114" s="113"/>
      <c r="DY114" s="113"/>
      <c r="DZ114" s="113"/>
      <c r="EA114" s="113"/>
      <c r="EB114" s="113"/>
      <c r="EC114" s="113"/>
      <c r="ED114" s="58"/>
      <c r="EE114" s="58">
        <v>8.0</v>
      </c>
      <c r="EF114" s="113">
        <f t="shared" si="22"/>
        <v>8</v>
      </c>
      <c r="EG114" s="48"/>
      <c r="EH114" s="16">
        <v>8.0</v>
      </c>
      <c r="EI114" s="16">
        <v>8.0</v>
      </c>
      <c r="EJ114" s="16">
        <v>8.0</v>
      </c>
      <c r="EK114" s="16" t="s">
        <v>165</v>
      </c>
      <c r="EL114" s="16" t="s">
        <v>165</v>
      </c>
      <c r="EM114" s="16">
        <v>8.0</v>
      </c>
      <c r="EN114" s="16">
        <v>8.0</v>
      </c>
      <c r="EO114" s="16">
        <v>8.0</v>
      </c>
      <c r="EP114" s="16" t="s">
        <v>165</v>
      </c>
      <c r="EQ114" s="16" t="s">
        <v>165</v>
      </c>
      <c r="ER114" s="16">
        <v>8.0</v>
      </c>
      <c r="ES114" s="16">
        <v>8.0</v>
      </c>
      <c r="ET114" s="16" t="s">
        <v>165</v>
      </c>
      <c r="EU114" s="16" t="s">
        <v>165</v>
      </c>
      <c r="EV114" s="15"/>
      <c r="EW114" s="15"/>
      <c r="EX114" s="15"/>
      <c r="EY114" s="15"/>
      <c r="EZ114" s="15"/>
      <c r="FA114" s="15"/>
      <c r="FB114" s="15"/>
      <c r="FC114" s="15"/>
      <c r="FD114" s="15"/>
      <c r="FE114" s="15"/>
      <c r="FF114" s="15"/>
      <c r="FG114" s="15"/>
      <c r="FH114" s="15"/>
      <c r="FI114" s="15"/>
      <c r="FJ114" s="15"/>
      <c r="FK114" s="15"/>
      <c r="FL114" s="105"/>
      <c r="FM114" s="48"/>
      <c r="FN114" s="15"/>
      <c r="FO114" s="15"/>
      <c r="FP114" s="15"/>
      <c r="FQ114" s="15"/>
      <c r="FR114" s="15"/>
      <c r="FS114" s="15"/>
      <c r="FT114" s="15"/>
      <c r="FU114" s="15"/>
      <c r="FV114" s="15"/>
      <c r="FW114" s="15"/>
      <c r="FX114" s="15"/>
      <c r="FY114" s="15"/>
      <c r="FZ114" s="15"/>
      <c r="GA114" s="15"/>
      <c r="GB114" s="15"/>
      <c r="GC114" s="15"/>
      <c r="GD114" s="15"/>
      <c r="GE114" s="15"/>
      <c r="GF114" s="15"/>
      <c r="GG114" s="15"/>
      <c r="GH114" s="15"/>
      <c r="GI114" s="15"/>
      <c r="GJ114" s="15"/>
      <c r="GK114" s="15"/>
      <c r="GL114" s="15"/>
      <c r="GM114" s="15"/>
      <c r="GN114" s="15"/>
      <c r="GO114" s="15"/>
      <c r="GP114" s="15"/>
      <c r="GQ114" s="15"/>
      <c r="GR114" s="15"/>
      <c r="GS114" s="105"/>
      <c r="GT114" s="48"/>
      <c r="GU114" s="15"/>
      <c r="GV114" s="15"/>
      <c r="GW114" s="15"/>
      <c r="GX114" s="15"/>
      <c r="GY114" s="15"/>
      <c r="GZ114" s="15"/>
      <c r="HA114" s="15"/>
      <c r="HB114" s="15"/>
      <c r="HC114" s="15"/>
      <c r="HD114" s="15"/>
      <c r="HE114" s="15"/>
    </row>
    <row r="115" ht="16.5" customHeight="1">
      <c r="A115" s="111"/>
      <c r="B115" s="108"/>
      <c r="C115" s="176"/>
      <c r="D115" s="108"/>
      <c r="E115" s="108"/>
      <c r="F115" s="109"/>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c r="AK115" s="70"/>
      <c r="AL115" s="105"/>
      <c r="AM115" s="48"/>
      <c r="AN115" s="16"/>
      <c r="AO115" s="16"/>
      <c r="AP115" s="16"/>
      <c r="AQ115" s="16"/>
      <c r="AR115" s="16"/>
      <c r="AS115" s="16"/>
      <c r="AT115" s="16"/>
      <c r="AU115" s="16"/>
      <c r="AV115" s="16"/>
      <c r="AW115" s="16"/>
      <c r="AX115" s="16"/>
      <c r="AY115" s="16"/>
      <c r="AZ115" s="16"/>
      <c r="BA115" s="16"/>
      <c r="BB115" s="16"/>
      <c r="BC115" s="16"/>
      <c r="BD115" s="16"/>
      <c r="BE115" s="16"/>
      <c r="BF115" s="16"/>
      <c r="BG115" s="16"/>
      <c r="BH115" s="16"/>
      <c r="BI115" s="16"/>
      <c r="BJ115" s="16"/>
      <c r="BK115" s="16"/>
      <c r="BL115" s="16"/>
      <c r="BM115" s="16"/>
      <c r="BN115" s="16"/>
      <c r="BO115" s="114"/>
      <c r="BP115" s="114"/>
      <c r="BQ115" s="114"/>
      <c r="BR115" s="105"/>
      <c r="BS115" s="48"/>
      <c r="BT115" s="114"/>
      <c r="BU115" s="114"/>
      <c r="BV115" s="114"/>
      <c r="BW115" s="114"/>
      <c r="BX115" s="64"/>
      <c r="BY115" s="64"/>
      <c r="BZ115" s="64"/>
      <c r="CA115" s="64"/>
      <c r="CB115" s="64"/>
      <c r="CC115" s="114"/>
      <c r="CD115" s="114"/>
      <c r="CE115" s="64"/>
      <c r="CF115" s="64"/>
      <c r="CG115" s="64"/>
      <c r="CH115" s="64"/>
      <c r="CI115" s="64"/>
      <c r="CJ115" s="114"/>
      <c r="CK115" s="114"/>
      <c r="CL115" s="64"/>
      <c r="CM115" s="64"/>
      <c r="CN115" s="64"/>
      <c r="CO115" s="64"/>
      <c r="CP115" s="64"/>
      <c r="CQ115" s="114"/>
      <c r="CR115" s="114"/>
      <c r="CS115" s="64"/>
      <c r="CT115" s="64"/>
      <c r="CU115" s="64"/>
      <c r="CV115" s="64"/>
      <c r="CW115" s="64"/>
      <c r="CX115" s="114"/>
      <c r="CY115" s="105"/>
      <c r="CZ115" s="48"/>
      <c r="DA115" s="113"/>
      <c r="DB115" s="113"/>
      <c r="DC115" s="113"/>
      <c r="DD115" s="113"/>
      <c r="DE115" s="113"/>
      <c r="DF115" s="113"/>
      <c r="DG115" s="113"/>
      <c r="DH115" s="113"/>
      <c r="DI115" s="113"/>
      <c r="DJ115" s="113"/>
      <c r="DK115" s="113"/>
      <c r="DL115" s="113"/>
      <c r="DM115" s="113"/>
      <c r="DN115" s="113"/>
      <c r="DO115" s="113"/>
      <c r="DP115" s="113"/>
      <c r="DQ115" s="113"/>
      <c r="DR115" s="113"/>
      <c r="DS115" s="113"/>
      <c r="DT115" s="113"/>
      <c r="DU115" s="113"/>
      <c r="DV115" s="113"/>
      <c r="DW115" s="113"/>
      <c r="DX115" s="113"/>
      <c r="DY115" s="113"/>
      <c r="DZ115" s="113"/>
      <c r="EA115" s="113"/>
      <c r="EB115" s="113"/>
      <c r="EC115" s="113"/>
      <c r="ED115" s="58"/>
      <c r="EE115" s="58"/>
      <c r="EF115" s="58"/>
      <c r="EG115" s="48"/>
      <c r="EH115" s="15"/>
      <c r="EI115" s="15"/>
      <c r="EJ115" s="15"/>
      <c r="EK115" s="15"/>
      <c r="EL115" s="15"/>
      <c r="EM115" s="15"/>
      <c r="EN115" s="15"/>
      <c r="EO115" s="15"/>
      <c r="EP115" s="15"/>
      <c r="EQ115" s="15"/>
      <c r="ER115" s="15"/>
      <c r="ES115" s="15"/>
      <c r="ET115" s="15"/>
      <c r="EU115" s="15"/>
      <c r="EV115" s="15"/>
      <c r="EW115" s="15"/>
      <c r="EX115" s="15"/>
      <c r="EY115" s="15"/>
      <c r="EZ115" s="15"/>
      <c r="FA115" s="15"/>
      <c r="FB115" s="15"/>
      <c r="FC115" s="15"/>
      <c r="FD115" s="15"/>
      <c r="FE115" s="15"/>
      <c r="FF115" s="15"/>
      <c r="FG115" s="15"/>
      <c r="FH115" s="15"/>
      <c r="FI115" s="15"/>
      <c r="FJ115" s="15"/>
      <c r="FK115" s="15"/>
      <c r="FL115" s="105"/>
      <c r="FM115" s="48"/>
      <c r="FN115" s="15"/>
      <c r="FO115" s="15"/>
      <c r="FP115" s="15"/>
      <c r="FQ115" s="15"/>
      <c r="FR115" s="15"/>
      <c r="FS115" s="15"/>
      <c r="FT115" s="15"/>
      <c r="FU115" s="15"/>
      <c r="FV115" s="15"/>
      <c r="FW115" s="15"/>
      <c r="FX115" s="15"/>
      <c r="FY115" s="15"/>
      <c r="FZ115" s="15"/>
      <c r="GA115" s="15"/>
      <c r="GB115" s="15"/>
      <c r="GC115" s="15"/>
      <c r="GD115" s="15"/>
      <c r="GE115" s="15"/>
      <c r="GF115" s="15"/>
      <c r="GG115" s="15"/>
      <c r="GH115" s="15"/>
      <c r="GI115" s="15"/>
      <c r="GJ115" s="15"/>
      <c r="GK115" s="15"/>
      <c r="GL115" s="15"/>
      <c r="GM115" s="15"/>
      <c r="GN115" s="15"/>
      <c r="GO115" s="15"/>
      <c r="GP115" s="15"/>
      <c r="GQ115" s="15"/>
      <c r="GR115" s="15"/>
      <c r="GS115" s="105"/>
      <c r="GT115" s="48"/>
      <c r="GU115" s="15"/>
      <c r="GV115" s="15"/>
      <c r="GW115" s="15"/>
      <c r="GX115" s="15"/>
      <c r="GY115" s="15"/>
      <c r="GZ115" s="15"/>
      <c r="HA115" s="15"/>
      <c r="HB115" s="15"/>
      <c r="HC115" s="15"/>
      <c r="HD115" s="15"/>
      <c r="HE115" s="15"/>
    </row>
    <row r="116" ht="16.5" customHeight="1" outlineLevel="1">
      <c r="A116" s="181" t="s">
        <v>142</v>
      </c>
      <c r="B116" s="150" t="str">
        <f>iferror(vlookup(A116,'SoS - Agents Info'!A:H,5,false),"")</f>
        <v>EN</v>
      </c>
      <c r="C116" s="151" t="str">
        <f>iferror(vlookup(A116,'SoS - Agents Info'!A:AQ,43,false),"")</f>
        <v>RA+VM</v>
      </c>
      <c r="D116" s="152" t="str">
        <f>iferror(vlookup(A116,'SoS - Agents Info'!A:H,6,false),"")</f>
        <v>WD</v>
      </c>
      <c r="E116" s="152" t="str">
        <f>iferror(vlookup(A116,'SoS - Agents Info'!A:H,7,false),"")</f>
        <v>15:00-00:00</v>
      </c>
      <c r="F116" s="153">
        <f>IFERROR(__xludf.DUMMYFUNCTION("sum(COUNTIFS(Filter(FILTER('Shiftplan SoS'!G$3:GU166,'Shiftplan SoS'!$G$1:$GU$1&lt;=today()),'Shiftplan SoS'!$A$3:$A166=A116),""&gt;0"",(Filter(FILTER('Shiftplan SoS'!G$3:GU166,'Shiftplan SoS'!$G$1:$GU$1&lt;=today()),'Shiftplan SoS'!$A$3:$A166=A116)),""&lt;12""))"),40.0)</f>
        <v>40</v>
      </c>
      <c r="G116" s="158" t="s">
        <v>165</v>
      </c>
      <c r="H116" s="158" t="s">
        <v>165</v>
      </c>
      <c r="I116" s="158">
        <v>8.0</v>
      </c>
      <c r="J116" s="158">
        <v>8.0</v>
      </c>
      <c r="K116" s="158">
        <v>8.0</v>
      </c>
      <c r="L116" s="158">
        <v>8.0</v>
      </c>
      <c r="M116" s="158">
        <v>8.0</v>
      </c>
      <c r="N116" s="158" t="s">
        <v>165</v>
      </c>
      <c r="O116" s="158" t="s">
        <v>165</v>
      </c>
      <c r="P116" s="158">
        <v>8.0</v>
      </c>
      <c r="Q116" s="158">
        <v>8.0</v>
      </c>
      <c r="R116" s="158">
        <v>8.0</v>
      </c>
      <c r="S116" s="158">
        <v>8.0</v>
      </c>
      <c r="T116" s="158">
        <v>8.0</v>
      </c>
      <c r="U116" s="158" t="s">
        <v>165</v>
      </c>
      <c r="V116" s="158" t="s">
        <v>165</v>
      </c>
      <c r="W116" s="158">
        <v>8.0</v>
      </c>
      <c r="X116" s="158">
        <v>8.0</v>
      </c>
      <c r="Y116" s="158">
        <v>8.0</v>
      </c>
      <c r="Z116" s="158">
        <v>8.0</v>
      </c>
      <c r="AA116" s="158">
        <v>8.0</v>
      </c>
      <c r="AB116" s="158" t="s">
        <v>165</v>
      </c>
      <c r="AC116" s="158" t="s">
        <v>165</v>
      </c>
      <c r="AD116" s="158">
        <v>8.0</v>
      </c>
      <c r="AE116" s="158">
        <v>8.0</v>
      </c>
      <c r="AF116" s="158">
        <v>8.0</v>
      </c>
      <c r="AG116" s="158">
        <v>8.0</v>
      </c>
      <c r="AH116" s="158">
        <v>8.0</v>
      </c>
      <c r="AI116" s="158" t="s">
        <v>165</v>
      </c>
      <c r="AJ116" s="158" t="s">
        <v>165</v>
      </c>
      <c r="AK116" s="178">
        <v>8.0</v>
      </c>
      <c r="AL116" s="157">
        <f t="shared" ref="AL116:AL117" si="23">sum(G116:AK116)</f>
        <v>168</v>
      </c>
      <c r="AM116" s="179"/>
      <c r="AN116" s="158">
        <v>8.0</v>
      </c>
      <c r="AO116" s="158">
        <v>8.0</v>
      </c>
      <c r="AP116" s="158">
        <v>8.0</v>
      </c>
      <c r="AQ116" s="158">
        <v>8.0</v>
      </c>
      <c r="AR116" s="158" t="s">
        <v>165</v>
      </c>
      <c r="AS116" s="158" t="s">
        <v>165</v>
      </c>
      <c r="AT116" s="158">
        <v>8.0</v>
      </c>
      <c r="AU116" s="158">
        <v>8.0</v>
      </c>
      <c r="AV116" s="158">
        <v>8.0</v>
      </c>
      <c r="AW116" s="158">
        <v>8.0</v>
      </c>
      <c r="AX116" s="158">
        <v>8.0</v>
      </c>
      <c r="AY116" s="158" t="s">
        <v>165</v>
      </c>
      <c r="AZ116" s="158" t="s">
        <v>165</v>
      </c>
      <c r="BA116" s="158">
        <v>8.0</v>
      </c>
      <c r="BB116" s="158">
        <v>8.0</v>
      </c>
      <c r="BC116" s="158">
        <v>8.0</v>
      </c>
      <c r="BD116" s="158">
        <v>8.0</v>
      </c>
      <c r="BE116" s="158">
        <v>8.0</v>
      </c>
      <c r="BF116" s="158" t="s">
        <v>165</v>
      </c>
      <c r="BG116" s="158" t="s">
        <v>165</v>
      </c>
      <c r="BH116" s="158">
        <v>8.0</v>
      </c>
      <c r="BI116" s="158">
        <v>8.0</v>
      </c>
      <c r="BJ116" s="158">
        <v>8.0</v>
      </c>
      <c r="BK116" s="158">
        <v>8.0</v>
      </c>
      <c r="BL116" s="158">
        <v>8.0</v>
      </c>
      <c r="BM116" s="158" t="s">
        <v>165</v>
      </c>
      <c r="BN116" s="158" t="s">
        <v>165</v>
      </c>
      <c r="BO116" s="160"/>
      <c r="BP116" s="160"/>
      <c r="BQ116" s="160"/>
      <c r="BR116" s="157">
        <f t="shared" ref="BR116:BR123" si="24">sum(AN116:BQ116)</f>
        <v>152</v>
      </c>
      <c r="BS116" s="179"/>
      <c r="BT116" s="160"/>
      <c r="BU116" s="160"/>
      <c r="BV116" s="160"/>
      <c r="BW116" s="160"/>
      <c r="BX116" s="161"/>
      <c r="BY116" s="161"/>
      <c r="BZ116" s="161"/>
      <c r="CA116" s="161"/>
      <c r="CB116" s="161"/>
      <c r="CC116" s="160"/>
      <c r="CD116" s="160"/>
      <c r="CE116" s="161"/>
      <c r="CF116" s="161"/>
      <c r="CG116" s="161"/>
      <c r="CH116" s="161"/>
      <c r="CI116" s="161"/>
      <c r="CJ116" s="160"/>
      <c r="CK116" s="160"/>
      <c r="CL116" s="161"/>
      <c r="CM116" s="161"/>
      <c r="CN116" s="161"/>
      <c r="CO116" s="161"/>
      <c r="CP116" s="161"/>
      <c r="CQ116" s="160"/>
      <c r="CR116" s="160"/>
      <c r="CS116" s="161"/>
      <c r="CT116" s="161"/>
      <c r="CU116" s="161"/>
      <c r="CV116" s="161"/>
      <c r="CW116" s="161"/>
      <c r="CX116" s="160"/>
      <c r="CY116" s="157">
        <f t="shared" ref="CY116:CY121" si="25">sum(BT116:CX116)</f>
        <v>0</v>
      </c>
      <c r="CZ116" s="179"/>
      <c r="DA116" s="113" t="s">
        <v>333</v>
      </c>
      <c r="DB116" s="162" t="s">
        <v>333</v>
      </c>
      <c r="DC116" s="162" t="s">
        <v>333</v>
      </c>
      <c r="DD116" s="162" t="s">
        <v>333</v>
      </c>
      <c r="DE116" s="162" t="s">
        <v>333</v>
      </c>
      <c r="DF116" s="162" t="s">
        <v>333</v>
      </c>
      <c r="DG116" s="162" t="s">
        <v>333</v>
      </c>
      <c r="DH116" s="162" t="s">
        <v>333</v>
      </c>
      <c r="DI116" s="162" t="s">
        <v>333</v>
      </c>
      <c r="DJ116" s="162" t="s">
        <v>333</v>
      </c>
      <c r="DK116" s="162" t="s">
        <v>333</v>
      </c>
      <c r="DL116" s="162" t="s">
        <v>333</v>
      </c>
      <c r="DM116" s="162" t="s">
        <v>333</v>
      </c>
      <c r="DN116" s="162" t="s">
        <v>333</v>
      </c>
      <c r="DO116" s="162" t="s">
        <v>333</v>
      </c>
      <c r="DP116" s="162" t="s">
        <v>333</v>
      </c>
      <c r="DQ116" s="162" t="s">
        <v>333</v>
      </c>
      <c r="DR116" s="162" t="s">
        <v>333</v>
      </c>
      <c r="DS116" s="162" t="s">
        <v>333</v>
      </c>
      <c r="DT116" s="162" t="s">
        <v>333</v>
      </c>
      <c r="DU116" s="162" t="s">
        <v>333</v>
      </c>
      <c r="DV116" s="162" t="s">
        <v>333</v>
      </c>
      <c r="DW116" s="162" t="s">
        <v>333</v>
      </c>
      <c r="DX116" s="162" t="s">
        <v>333</v>
      </c>
      <c r="DY116" s="162" t="s">
        <v>333</v>
      </c>
      <c r="DZ116" s="162" t="s">
        <v>333</v>
      </c>
      <c r="EA116" s="162" t="s">
        <v>333</v>
      </c>
      <c r="EB116" s="162" t="s">
        <v>333</v>
      </c>
      <c r="EC116" s="162" t="s">
        <v>333</v>
      </c>
      <c r="ED116" s="182"/>
      <c r="EE116" s="162" t="s">
        <v>333</v>
      </c>
      <c r="EF116" s="113">
        <f t="shared" ref="EF116:EF121" si="26">sum(DA116:EE116)</f>
        <v>0</v>
      </c>
      <c r="EG116" s="179"/>
      <c r="EH116" s="180"/>
      <c r="EI116" s="180"/>
      <c r="EJ116" s="180"/>
      <c r="EK116" s="180"/>
      <c r="EL116" s="180"/>
      <c r="EM116" s="180"/>
      <c r="EN116" s="180"/>
      <c r="EO116" s="180"/>
      <c r="EP116" s="180"/>
      <c r="EQ116" s="180"/>
      <c r="ER116" s="180"/>
      <c r="ES116" s="180"/>
      <c r="ET116" s="180"/>
      <c r="EU116" s="180"/>
      <c r="EV116" s="180"/>
      <c r="EW116" s="180"/>
      <c r="EX116" s="180"/>
      <c r="EY116" s="180"/>
      <c r="EZ116" s="180"/>
      <c r="FA116" s="180"/>
      <c r="FB116" s="180"/>
      <c r="FC116" s="180"/>
      <c r="FD116" s="180"/>
      <c r="FE116" s="180"/>
      <c r="FF116" s="180"/>
      <c r="FG116" s="180"/>
      <c r="FH116" s="180"/>
      <c r="FI116" s="180"/>
      <c r="FJ116" s="180"/>
      <c r="FK116" s="180"/>
      <c r="FL116" s="157">
        <f t="shared" ref="FL116:FL117" si="27">sum(EH116:FK116)</f>
        <v>0</v>
      </c>
      <c r="FM116" s="179"/>
      <c r="FN116" s="180"/>
      <c r="FO116" s="180"/>
      <c r="FP116" s="180"/>
      <c r="FQ116" s="180"/>
      <c r="FR116" s="180"/>
      <c r="FS116" s="180"/>
      <c r="FT116" s="180"/>
      <c r="FU116" s="180"/>
      <c r="FV116" s="180"/>
      <c r="FW116" s="180"/>
      <c r="FX116" s="180"/>
      <c r="FY116" s="180"/>
      <c r="FZ116" s="180"/>
      <c r="GA116" s="180"/>
      <c r="GB116" s="180"/>
      <c r="GC116" s="180"/>
      <c r="GD116" s="180"/>
      <c r="GE116" s="180"/>
      <c r="GF116" s="180"/>
      <c r="GG116" s="180"/>
      <c r="GH116" s="180"/>
      <c r="GI116" s="180"/>
      <c r="GJ116" s="180"/>
      <c r="GK116" s="180"/>
      <c r="GL116" s="180"/>
      <c r="GM116" s="180"/>
      <c r="GN116" s="180"/>
      <c r="GO116" s="180"/>
      <c r="GP116" s="180"/>
      <c r="GQ116" s="180"/>
      <c r="GR116" s="180"/>
      <c r="GS116" s="157">
        <f t="shared" ref="GS116:GS117" si="28">sum(FN116:GR116)</f>
        <v>0</v>
      </c>
      <c r="GT116" s="179"/>
      <c r="GU116" s="180"/>
      <c r="GV116" s="180"/>
      <c r="GW116" s="180"/>
      <c r="GX116" s="180"/>
      <c r="GY116" s="180"/>
      <c r="GZ116" s="180"/>
      <c r="HA116" s="180"/>
      <c r="HB116" s="180"/>
      <c r="HC116" s="180"/>
      <c r="HD116" s="180"/>
      <c r="HE116" s="180"/>
    </row>
    <row r="117" ht="16.5" customHeight="1" outlineLevel="1">
      <c r="A117" s="149" t="s">
        <v>334</v>
      </c>
      <c r="B117" s="150" t="str">
        <f>iferror(vlookup(A117,'SoS - Agents Info'!A:H,5,false),"")</f>
        <v>EN</v>
      </c>
      <c r="C117" s="107" t="str">
        <f>iferror(vlookup(A117,'SoS - Agents Info'!A:AQ,43,false),"")</f>
        <v>JM</v>
      </c>
      <c r="D117" s="152" t="str">
        <f>iferror(vlookup(A117,'SoS - Agents Info'!A:H,6,false),"")</f>
        <v>WD</v>
      </c>
      <c r="E117" s="152" t="str">
        <f>iferror(vlookup(A117,'SoS - Agents Info'!A:H,7,false),"")</f>
        <v>00:00-09:00</v>
      </c>
      <c r="F117" s="153">
        <f>IFERROR(__xludf.DUMMYFUNCTION("sum(COUNTIFS(Filter(FILTER('Shiftplan SoS'!G$3:GU166,'Shiftplan SoS'!$G$1:$GU$1&lt;=today()),'Shiftplan SoS'!$A$3:$A166=A117),""&gt;0"",(Filter(FILTER('Shiftplan SoS'!G$3:GU166,'Shiftplan SoS'!$G$1:$GU$1&lt;=today()),'Shiftplan SoS'!$A$3:$A166=A117)),""&lt;12""))"),34.0)</f>
        <v>34</v>
      </c>
      <c r="G117" s="158" t="s">
        <v>165</v>
      </c>
      <c r="H117" s="158" t="s">
        <v>165</v>
      </c>
      <c r="I117" s="158">
        <v>8.0</v>
      </c>
      <c r="J117" s="158">
        <v>8.0</v>
      </c>
      <c r="K117" s="158">
        <v>8.0</v>
      </c>
      <c r="L117" s="158">
        <v>8.0</v>
      </c>
      <c r="M117" s="158">
        <v>8.0</v>
      </c>
      <c r="N117" s="158" t="s">
        <v>165</v>
      </c>
      <c r="O117" s="158" t="s">
        <v>165</v>
      </c>
      <c r="P117" s="158">
        <v>8.0</v>
      </c>
      <c r="Q117" s="158">
        <v>8.0</v>
      </c>
      <c r="R117" s="158">
        <v>8.0</v>
      </c>
      <c r="S117" s="158">
        <v>8.0</v>
      </c>
      <c r="T117" s="158">
        <v>8.0</v>
      </c>
      <c r="U117" s="158" t="s">
        <v>165</v>
      </c>
      <c r="V117" s="158" t="s">
        <v>165</v>
      </c>
      <c r="W117" s="158">
        <v>8.0</v>
      </c>
      <c r="X117" s="158">
        <v>8.0</v>
      </c>
      <c r="Y117" s="158">
        <v>8.0</v>
      </c>
      <c r="Z117" s="158">
        <v>8.0</v>
      </c>
      <c r="AA117" s="158">
        <v>8.0</v>
      </c>
      <c r="AB117" s="158" t="s">
        <v>165</v>
      </c>
      <c r="AC117" s="158" t="s">
        <v>165</v>
      </c>
      <c r="AD117" s="158">
        <v>8.0</v>
      </c>
      <c r="AE117" s="158">
        <v>8.0</v>
      </c>
      <c r="AF117" s="158">
        <v>8.0</v>
      </c>
      <c r="AG117" s="158">
        <v>8.0</v>
      </c>
      <c r="AH117" s="158">
        <v>8.0</v>
      </c>
      <c r="AI117" s="158" t="s">
        <v>165</v>
      </c>
      <c r="AJ117" s="158" t="s">
        <v>165</v>
      </c>
      <c r="AK117" s="178">
        <v>8.0</v>
      </c>
      <c r="AL117" s="157">
        <f t="shared" si="23"/>
        <v>168</v>
      </c>
      <c r="AM117" s="179"/>
      <c r="AN117" s="158">
        <v>8.0</v>
      </c>
      <c r="AO117" s="158">
        <v>8.0</v>
      </c>
      <c r="AP117" s="158">
        <v>8.0</v>
      </c>
      <c r="AQ117" s="158">
        <v>8.0</v>
      </c>
      <c r="AR117" s="158" t="s">
        <v>165</v>
      </c>
      <c r="AS117" s="158" t="s">
        <v>165</v>
      </c>
      <c r="AT117" s="158">
        <v>8.0</v>
      </c>
      <c r="AU117" s="158">
        <v>8.0</v>
      </c>
      <c r="AV117" s="158">
        <v>8.0</v>
      </c>
      <c r="AW117" s="158">
        <v>8.0</v>
      </c>
      <c r="AX117" s="158">
        <v>8.0</v>
      </c>
      <c r="AY117" s="158" t="s">
        <v>165</v>
      </c>
      <c r="AZ117" s="158" t="s">
        <v>165</v>
      </c>
      <c r="BA117" s="158">
        <v>8.0</v>
      </c>
      <c r="BB117" s="158">
        <v>8.0</v>
      </c>
      <c r="BC117" s="158">
        <v>8.0</v>
      </c>
      <c r="BD117" s="158">
        <v>8.0</v>
      </c>
      <c r="BE117" s="158"/>
      <c r="BF117" s="158"/>
      <c r="BG117" s="158"/>
      <c r="BH117" s="158"/>
      <c r="BI117" s="158"/>
      <c r="BJ117" s="158"/>
      <c r="BK117" s="158"/>
      <c r="BL117" s="158"/>
      <c r="BM117" s="158"/>
      <c r="BN117" s="158"/>
      <c r="BO117" s="158"/>
      <c r="BP117" s="158"/>
      <c r="BQ117" s="158"/>
      <c r="BR117" s="157">
        <f t="shared" si="24"/>
        <v>104</v>
      </c>
      <c r="BS117" s="179"/>
      <c r="BT117" s="180"/>
      <c r="BU117" s="180"/>
      <c r="BV117" s="180"/>
      <c r="BW117" s="180"/>
      <c r="BX117" s="180"/>
      <c r="BY117" s="180"/>
      <c r="BZ117" s="180"/>
      <c r="CA117" s="180"/>
      <c r="CB117" s="180"/>
      <c r="CC117" s="180"/>
      <c r="CD117" s="180"/>
      <c r="CE117" s="180"/>
      <c r="CF117" s="180"/>
      <c r="CG117" s="180"/>
      <c r="CH117" s="180"/>
      <c r="CI117" s="180"/>
      <c r="CJ117" s="180"/>
      <c r="CK117" s="180"/>
      <c r="CL117" s="180"/>
      <c r="CM117" s="180"/>
      <c r="CN117" s="180"/>
      <c r="CO117" s="180"/>
      <c r="CP117" s="180"/>
      <c r="CQ117" s="180"/>
      <c r="CR117" s="180"/>
      <c r="CS117" s="180"/>
      <c r="CT117" s="180"/>
      <c r="CU117" s="180"/>
      <c r="CV117" s="180"/>
      <c r="CW117" s="180"/>
      <c r="CX117" s="180"/>
      <c r="CY117" s="105">
        <f t="shared" si="25"/>
        <v>0</v>
      </c>
      <c r="CZ117" s="179"/>
      <c r="DA117" s="113" t="s">
        <v>333</v>
      </c>
      <c r="DB117" s="162" t="s">
        <v>333</v>
      </c>
      <c r="DC117" s="162" t="s">
        <v>333</v>
      </c>
      <c r="DD117" s="162" t="s">
        <v>333</v>
      </c>
      <c r="DE117" s="162" t="s">
        <v>333</v>
      </c>
      <c r="DF117" s="162" t="s">
        <v>333</v>
      </c>
      <c r="DG117" s="162" t="s">
        <v>333</v>
      </c>
      <c r="DH117" s="162" t="s">
        <v>333</v>
      </c>
      <c r="DI117" s="162" t="s">
        <v>333</v>
      </c>
      <c r="DJ117" s="162" t="s">
        <v>333</v>
      </c>
      <c r="DK117" s="162" t="s">
        <v>333</v>
      </c>
      <c r="DL117" s="162" t="s">
        <v>333</v>
      </c>
      <c r="DM117" s="162" t="s">
        <v>333</v>
      </c>
      <c r="DN117" s="162" t="s">
        <v>333</v>
      </c>
      <c r="DO117" s="162" t="s">
        <v>333</v>
      </c>
      <c r="DP117" s="162" t="s">
        <v>333</v>
      </c>
      <c r="DQ117" s="162" t="s">
        <v>333</v>
      </c>
      <c r="DR117" s="162" t="s">
        <v>333</v>
      </c>
      <c r="DS117" s="162" t="s">
        <v>333</v>
      </c>
      <c r="DT117" s="162" t="s">
        <v>333</v>
      </c>
      <c r="DU117" s="162" t="s">
        <v>333</v>
      </c>
      <c r="DV117" s="162" t="s">
        <v>333</v>
      </c>
      <c r="DW117" s="162" t="s">
        <v>333</v>
      </c>
      <c r="DX117" s="162" t="s">
        <v>333</v>
      </c>
      <c r="DY117" s="162" t="s">
        <v>333</v>
      </c>
      <c r="DZ117" s="162" t="s">
        <v>333</v>
      </c>
      <c r="EA117" s="162" t="s">
        <v>333</v>
      </c>
      <c r="EB117" s="162" t="s">
        <v>333</v>
      </c>
      <c r="EC117" s="162" t="s">
        <v>333</v>
      </c>
      <c r="ED117" s="162" t="s">
        <v>333</v>
      </c>
      <c r="EE117" s="162" t="s">
        <v>333</v>
      </c>
      <c r="EF117" s="113">
        <f t="shared" si="26"/>
        <v>0</v>
      </c>
      <c r="EG117" s="179"/>
      <c r="EH117" s="180"/>
      <c r="EI117" s="180"/>
      <c r="EJ117" s="180"/>
      <c r="EK117" s="180"/>
      <c r="EL117" s="180"/>
      <c r="EM117" s="180"/>
      <c r="EN117" s="180"/>
      <c r="EO117" s="180"/>
      <c r="EP117" s="180"/>
      <c r="EQ117" s="180"/>
      <c r="ER117" s="180"/>
      <c r="ES117" s="180"/>
      <c r="ET117" s="180"/>
      <c r="EU117" s="180"/>
      <c r="EV117" s="180"/>
      <c r="EW117" s="180"/>
      <c r="EX117" s="180"/>
      <c r="EY117" s="180"/>
      <c r="EZ117" s="180"/>
      <c r="FA117" s="180"/>
      <c r="FB117" s="180"/>
      <c r="FC117" s="180"/>
      <c r="FD117" s="180"/>
      <c r="FE117" s="180"/>
      <c r="FF117" s="180"/>
      <c r="FG117" s="180"/>
      <c r="FH117" s="180"/>
      <c r="FI117" s="180"/>
      <c r="FJ117" s="180"/>
      <c r="FK117" s="180"/>
      <c r="FL117" s="157">
        <f t="shared" si="27"/>
        <v>0</v>
      </c>
      <c r="FM117" s="179"/>
      <c r="FN117" s="180"/>
      <c r="FO117" s="180"/>
      <c r="FP117" s="180"/>
      <c r="FQ117" s="180"/>
      <c r="FR117" s="180"/>
      <c r="FS117" s="180"/>
      <c r="FT117" s="180"/>
      <c r="FU117" s="180"/>
      <c r="FV117" s="180"/>
      <c r="FW117" s="180"/>
      <c r="FX117" s="180"/>
      <c r="FY117" s="180"/>
      <c r="FZ117" s="180"/>
      <c r="GA117" s="180"/>
      <c r="GB117" s="180"/>
      <c r="GC117" s="180"/>
      <c r="GD117" s="180"/>
      <c r="GE117" s="180"/>
      <c r="GF117" s="180"/>
      <c r="GG117" s="180"/>
      <c r="GH117" s="180"/>
      <c r="GI117" s="180"/>
      <c r="GJ117" s="180"/>
      <c r="GK117" s="180"/>
      <c r="GL117" s="180"/>
      <c r="GM117" s="180"/>
      <c r="GN117" s="180"/>
      <c r="GO117" s="180"/>
      <c r="GP117" s="180"/>
      <c r="GQ117" s="180"/>
      <c r="GR117" s="180"/>
      <c r="GS117" s="157">
        <f t="shared" si="28"/>
        <v>0</v>
      </c>
      <c r="GT117" s="179"/>
      <c r="GU117" s="180"/>
      <c r="GV117" s="180"/>
      <c r="GW117" s="180"/>
      <c r="GX117" s="180"/>
      <c r="GY117" s="180"/>
      <c r="GZ117" s="180"/>
      <c r="HA117" s="180"/>
      <c r="HB117" s="180"/>
      <c r="HC117" s="180"/>
      <c r="HD117" s="180"/>
      <c r="HE117" s="180"/>
    </row>
    <row r="118" outlineLevel="1">
      <c r="A118" s="149" t="s">
        <v>335</v>
      </c>
      <c r="B118" s="152" t="s">
        <v>88</v>
      </c>
      <c r="C118" s="107" t="str">
        <f>iferror(vlookup(A118,'SoS - Agents Info'!A:AQ,43,false),"")</f>
        <v>RA+VM</v>
      </c>
      <c r="D118" s="152" t="s">
        <v>98</v>
      </c>
      <c r="E118" s="152" t="s">
        <v>199</v>
      </c>
      <c r="F118" s="153">
        <f>IFERROR(__xludf.DUMMYFUNCTION("sum(COUNTIFS(Filter(FILTER('Shiftplan SoS'!G$3:GU166,'Shiftplan SoS'!$G$1:$GU$1&lt;=today()),'Shiftplan SoS'!$A$3:$A166=A118),""&gt;0"",(Filter(FILTER('Shiftplan SoS'!G$3:GU166,'Shiftplan SoS'!$G$1:$GU$1&lt;=today()),'Shiftplan SoS'!$A$3:$A166=A118)),""&lt;12""))"),2.0)</f>
        <v>2</v>
      </c>
      <c r="G118" s="183"/>
      <c r="H118" s="183"/>
      <c r="I118" s="183"/>
      <c r="J118" s="183"/>
      <c r="K118" s="183"/>
      <c r="L118" s="183"/>
      <c r="M118" s="183"/>
      <c r="N118" s="183"/>
      <c r="O118" s="183"/>
      <c r="P118" s="183"/>
      <c r="Q118" s="183"/>
      <c r="R118" s="183"/>
      <c r="S118" s="183"/>
      <c r="T118" s="183"/>
      <c r="U118" s="183"/>
      <c r="V118" s="183"/>
      <c r="W118" s="183"/>
      <c r="X118" s="183"/>
      <c r="Y118" s="183"/>
      <c r="Z118" s="183"/>
      <c r="AA118" s="183"/>
      <c r="AB118" s="183"/>
      <c r="AC118" s="183"/>
      <c r="AD118" s="183"/>
      <c r="AE118" s="183"/>
      <c r="AF118" s="183"/>
      <c r="AG118" s="183"/>
      <c r="AH118" s="183"/>
      <c r="AI118" s="183"/>
      <c r="AJ118" s="183"/>
      <c r="AK118" s="184"/>
      <c r="AL118" s="157"/>
      <c r="AM118" s="179"/>
      <c r="AN118" s="158"/>
      <c r="AO118" s="158"/>
      <c r="AP118" s="158"/>
      <c r="AQ118" s="158"/>
      <c r="AR118" s="158"/>
      <c r="AS118" s="158"/>
      <c r="AT118" s="183"/>
      <c r="AU118" s="183"/>
      <c r="AV118" s="183"/>
      <c r="AW118" s="183"/>
      <c r="AX118" s="183"/>
      <c r="AY118" s="183"/>
      <c r="AZ118" s="183"/>
      <c r="BA118" s="183"/>
      <c r="BB118" s="183"/>
      <c r="BC118" s="158">
        <v>8.0</v>
      </c>
      <c r="BD118" s="183"/>
      <c r="BE118" s="183"/>
      <c r="BF118" s="183"/>
      <c r="BG118" s="183"/>
      <c r="BH118" s="183"/>
      <c r="BI118" s="183"/>
      <c r="BJ118" s="183"/>
      <c r="BK118" s="183"/>
      <c r="BL118" s="183"/>
      <c r="BM118" s="183"/>
      <c r="BN118" s="183"/>
      <c r="BO118" s="183"/>
      <c r="BP118" s="183"/>
      <c r="BQ118" s="183"/>
      <c r="BR118" s="157">
        <f t="shared" si="24"/>
        <v>8</v>
      </c>
      <c r="BS118" s="179"/>
      <c r="BT118" s="185"/>
      <c r="BU118" s="185"/>
      <c r="BV118" s="185"/>
      <c r="BW118" s="185"/>
      <c r="BX118" s="185"/>
      <c r="BY118" s="185"/>
      <c r="BZ118" s="185"/>
      <c r="CA118" s="185"/>
      <c r="CB118" s="185"/>
      <c r="CC118" s="185"/>
      <c r="CD118" s="185"/>
      <c r="CE118" s="185"/>
      <c r="CF118" s="185"/>
      <c r="CG118" s="185"/>
      <c r="CH118" s="185"/>
      <c r="CI118" s="185"/>
      <c r="CJ118" s="185"/>
      <c r="CK118" s="185"/>
      <c r="CL118" s="185"/>
      <c r="CM118" s="185"/>
      <c r="CN118" s="185"/>
      <c r="CO118" s="185"/>
      <c r="CP118" s="185"/>
      <c r="CQ118" s="185"/>
      <c r="CR118" s="185"/>
      <c r="CS118" s="185"/>
      <c r="CT118" s="185"/>
      <c r="CU118" s="185"/>
      <c r="CV118" s="185"/>
      <c r="CW118" s="185"/>
      <c r="CX118" s="185"/>
      <c r="CY118" s="105">
        <f t="shared" si="25"/>
        <v>0</v>
      </c>
      <c r="CZ118" s="185"/>
      <c r="DA118" s="113" t="s">
        <v>333</v>
      </c>
      <c r="DB118" s="162" t="s">
        <v>333</v>
      </c>
      <c r="DC118" s="162" t="s">
        <v>333</v>
      </c>
      <c r="DD118" s="162" t="s">
        <v>333</v>
      </c>
      <c r="DE118" s="162" t="s">
        <v>333</v>
      </c>
      <c r="DF118" s="162" t="s">
        <v>333</v>
      </c>
      <c r="DG118" s="162" t="s">
        <v>333</v>
      </c>
      <c r="DH118" s="162" t="s">
        <v>333</v>
      </c>
      <c r="DI118" s="162" t="s">
        <v>333</v>
      </c>
      <c r="DJ118" s="162" t="s">
        <v>333</v>
      </c>
      <c r="DK118" s="162" t="s">
        <v>333</v>
      </c>
      <c r="DL118" s="162" t="s">
        <v>333</v>
      </c>
      <c r="DM118" s="162" t="s">
        <v>333</v>
      </c>
      <c r="DN118" s="162" t="s">
        <v>333</v>
      </c>
      <c r="DO118" s="162" t="s">
        <v>333</v>
      </c>
      <c r="DP118" s="162" t="s">
        <v>333</v>
      </c>
      <c r="DQ118" s="162" t="s">
        <v>333</v>
      </c>
      <c r="DR118" s="162" t="s">
        <v>333</v>
      </c>
      <c r="DS118" s="162" t="s">
        <v>333</v>
      </c>
      <c r="DT118" s="162" t="s">
        <v>333</v>
      </c>
      <c r="DU118" s="162" t="s">
        <v>333</v>
      </c>
      <c r="DV118" s="162" t="s">
        <v>333</v>
      </c>
      <c r="DW118" s="162" t="s">
        <v>333</v>
      </c>
      <c r="DX118" s="162" t="s">
        <v>333</v>
      </c>
      <c r="DY118" s="162" t="s">
        <v>333</v>
      </c>
      <c r="DZ118" s="162" t="s">
        <v>333</v>
      </c>
      <c r="EA118" s="162" t="s">
        <v>333</v>
      </c>
      <c r="EB118" s="162" t="s">
        <v>333</v>
      </c>
      <c r="EC118" s="162" t="s">
        <v>333</v>
      </c>
      <c r="ED118" s="162" t="s">
        <v>333</v>
      </c>
      <c r="EE118" s="162" t="s">
        <v>333</v>
      </c>
      <c r="EF118" s="113">
        <f t="shared" si="26"/>
        <v>0</v>
      </c>
      <c r="EG118" s="185"/>
      <c r="EH118" s="185"/>
      <c r="EI118" s="185"/>
      <c r="EJ118" s="185"/>
      <c r="EK118" s="185"/>
      <c r="EL118" s="185"/>
      <c r="EM118" s="185"/>
      <c r="EN118" s="185"/>
      <c r="EO118" s="185"/>
      <c r="EP118" s="185"/>
      <c r="EQ118" s="185"/>
      <c r="ER118" s="185"/>
      <c r="ES118" s="185"/>
      <c r="ET118" s="185"/>
      <c r="EU118" s="185"/>
      <c r="EV118" s="185"/>
      <c r="EW118" s="185"/>
      <c r="EX118" s="185"/>
      <c r="EY118" s="185"/>
      <c r="EZ118" s="185"/>
      <c r="FA118" s="185"/>
      <c r="FB118" s="185"/>
      <c r="FC118" s="185"/>
      <c r="FD118" s="185"/>
      <c r="FE118" s="185"/>
      <c r="FF118" s="185"/>
      <c r="FG118" s="185"/>
      <c r="FH118" s="185"/>
      <c r="FI118" s="185"/>
      <c r="FJ118" s="185"/>
      <c r="FK118" s="185"/>
      <c r="FL118" s="185"/>
      <c r="FM118" s="185"/>
      <c r="FN118" s="185"/>
      <c r="FO118" s="185"/>
      <c r="FP118" s="185"/>
      <c r="FQ118" s="185"/>
      <c r="FR118" s="185"/>
      <c r="FS118" s="185"/>
      <c r="FT118" s="185"/>
      <c r="FU118" s="185"/>
      <c r="FV118" s="185"/>
      <c r="FW118" s="185"/>
      <c r="FX118" s="185"/>
      <c r="FY118" s="185"/>
      <c r="FZ118" s="185"/>
      <c r="GA118" s="185"/>
      <c r="GB118" s="185"/>
      <c r="GC118" s="185"/>
      <c r="GD118" s="185"/>
      <c r="GE118" s="185"/>
      <c r="GF118" s="185"/>
      <c r="GG118" s="185"/>
      <c r="GH118" s="185"/>
      <c r="GI118" s="185"/>
      <c r="GJ118" s="185"/>
      <c r="GK118" s="185"/>
      <c r="GL118" s="185"/>
      <c r="GM118" s="185"/>
      <c r="GN118" s="185"/>
      <c r="GO118" s="185"/>
      <c r="GP118" s="185"/>
      <c r="GQ118" s="185"/>
      <c r="GR118" s="185"/>
      <c r="GS118" s="185"/>
      <c r="GT118" s="185"/>
      <c r="GU118" s="185"/>
      <c r="GV118" s="185"/>
      <c r="GW118" s="185"/>
      <c r="GX118" s="185"/>
      <c r="GY118" s="185"/>
      <c r="GZ118" s="185"/>
      <c r="HA118" s="185"/>
      <c r="HB118" s="185"/>
      <c r="HC118" s="185"/>
      <c r="HD118" s="185"/>
      <c r="HE118" s="185"/>
    </row>
    <row r="119" outlineLevel="1">
      <c r="A119" s="186" t="s">
        <v>336</v>
      </c>
      <c r="B119" s="150" t="str">
        <f>iferror(vlookup(A119,'SoS - Agents Info'!A:H,5,false),"")</f>
        <v>EN</v>
      </c>
      <c r="C119" s="151" t="str">
        <f>iferror(vlookup(A119,'SoS - Agents Info'!A:AQ,43,false),"")</f>
        <v>JM</v>
      </c>
      <c r="D119" s="152" t="str">
        <f>iferror(vlookup(A119,'SoS - Agents Info'!A:H,6,false),"")</f>
        <v>WE</v>
      </c>
      <c r="E119" s="152" t="str">
        <f>iferror(vlookup(A119,'SoS - Agents Info'!A:H,7,false),"")</f>
        <v>08:00-17:00</v>
      </c>
      <c r="F119" s="153">
        <f>IFERROR(__xludf.DUMMYFUNCTION("sum(COUNTIFS(Filter(FILTER('Shiftplan SoS'!G$3:GU166,'Shiftplan SoS'!$G$1:$GU$1&lt;=today()),'Shiftplan SoS'!$A$3:$A166=A119),""&gt;0"",(Filter(FILTER('Shiftplan SoS'!G$3:GU166,'Shiftplan SoS'!$G$1:$GU$1&lt;=today()),'Shiftplan SoS'!$A$3:$A166=A119)),""&lt;12""))"),7.0)</f>
        <v>7</v>
      </c>
      <c r="G119" s="183"/>
      <c r="H119" s="183"/>
      <c r="I119" s="183"/>
      <c r="J119" s="183"/>
      <c r="K119" s="183"/>
      <c r="L119" s="183"/>
      <c r="M119" s="183"/>
      <c r="N119" s="183"/>
      <c r="O119" s="183"/>
      <c r="P119" s="183"/>
      <c r="Q119" s="183"/>
      <c r="R119" s="183"/>
      <c r="S119" s="183"/>
      <c r="T119" s="183"/>
      <c r="U119" s="183"/>
      <c r="V119" s="183"/>
      <c r="W119" s="183"/>
      <c r="X119" s="183"/>
      <c r="Y119" s="183"/>
      <c r="Z119" s="183"/>
      <c r="AA119" s="183"/>
      <c r="AB119" s="183"/>
      <c r="AC119" s="183"/>
      <c r="AD119" s="183"/>
      <c r="AE119" s="183"/>
      <c r="AF119" s="183"/>
      <c r="AG119" s="183"/>
      <c r="AH119" s="183"/>
      <c r="AI119" s="183"/>
      <c r="AJ119" s="183"/>
      <c r="AK119" s="184"/>
      <c r="AL119" s="157"/>
      <c r="AM119" s="179"/>
      <c r="AN119" s="158"/>
      <c r="AO119" s="158"/>
      <c r="AP119" s="158"/>
      <c r="AQ119" s="158"/>
      <c r="AR119" s="158"/>
      <c r="AS119" s="158"/>
      <c r="AT119" s="183"/>
      <c r="AU119" s="183"/>
      <c r="AV119" s="183"/>
      <c r="AW119" s="183"/>
      <c r="AX119" s="183"/>
      <c r="AY119" s="183"/>
      <c r="AZ119" s="183"/>
      <c r="BA119" s="183"/>
      <c r="BB119" s="183"/>
      <c r="BC119" s="183"/>
      <c r="BD119" s="183"/>
      <c r="BE119" s="183"/>
      <c r="BF119" s="183"/>
      <c r="BG119" s="183"/>
      <c r="BH119" s="183"/>
      <c r="BI119" s="183"/>
      <c r="BJ119" s="183"/>
      <c r="BK119" s="183"/>
      <c r="BL119" s="183"/>
      <c r="BM119" s="187"/>
      <c r="BN119" s="187"/>
      <c r="BO119" s="188">
        <v>8.0</v>
      </c>
      <c r="BP119" s="188">
        <v>8.0</v>
      </c>
      <c r="BQ119" s="188">
        <v>8.0</v>
      </c>
      <c r="BR119" s="157">
        <f t="shared" si="24"/>
        <v>24</v>
      </c>
      <c r="BS119" s="179"/>
      <c r="BT119" s="158">
        <v>8.0</v>
      </c>
      <c r="BU119" s="158">
        <v>8.0</v>
      </c>
      <c r="BV119" s="160" t="s">
        <v>165</v>
      </c>
      <c r="BW119" s="160" t="s">
        <v>165</v>
      </c>
      <c r="BX119" s="189" t="s">
        <v>165</v>
      </c>
      <c r="BY119" s="189" t="s">
        <v>165</v>
      </c>
      <c r="BZ119" s="189" t="s">
        <v>165</v>
      </c>
      <c r="CA119" s="189" t="s">
        <v>165</v>
      </c>
      <c r="CB119" s="189" t="s">
        <v>165</v>
      </c>
      <c r="CC119" s="188">
        <v>8.0</v>
      </c>
      <c r="CD119" s="188">
        <v>8.0</v>
      </c>
      <c r="CE119" s="188" t="s">
        <v>165</v>
      </c>
      <c r="CF119" s="188" t="s">
        <v>165</v>
      </c>
      <c r="CG119" s="188" t="s">
        <v>165</v>
      </c>
      <c r="CH119" s="188" t="s">
        <v>165</v>
      </c>
      <c r="CI119" s="188" t="s">
        <v>165</v>
      </c>
      <c r="CJ119" s="188" t="s">
        <v>170</v>
      </c>
      <c r="CK119" s="188" t="s">
        <v>170</v>
      </c>
      <c r="CL119" s="188" t="s">
        <v>165</v>
      </c>
      <c r="CM119" s="188" t="s">
        <v>165</v>
      </c>
      <c r="CN119" s="188" t="s">
        <v>165</v>
      </c>
      <c r="CO119" s="188" t="s">
        <v>165</v>
      </c>
      <c r="CP119" s="188" t="s">
        <v>165</v>
      </c>
      <c r="CQ119" s="188" t="s">
        <v>170</v>
      </c>
      <c r="CR119" s="188" t="s">
        <v>170</v>
      </c>
      <c r="CS119" s="188" t="s">
        <v>165</v>
      </c>
      <c r="CT119" s="188" t="s">
        <v>165</v>
      </c>
      <c r="CU119" s="188" t="s">
        <v>165</v>
      </c>
      <c r="CV119" s="188" t="s">
        <v>165</v>
      </c>
      <c r="CW119" s="188" t="s">
        <v>165</v>
      </c>
      <c r="CX119" s="188" t="s">
        <v>170</v>
      </c>
      <c r="CY119" s="157">
        <f t="shared" si="25"/>
        <v>32</v>
      </c>
      <c r="CZ119" s="185"/>
      <c r="DA119" s="158" t="s">
        <v>170</v>
      </c>
      <c r="DB119" s="162" t="s">
        <v>165</v>
      </c>
      <c r="DC119" s="162" t="s">
        <v>165</v>
      </c>
      <c r="DD119" s="162" t="s">
        <v>165</v>
      </c>
      <c r="DE119" s="162" t="s">
        <v>165</v>
      </c>
      <c r="DF119" s="162" t="s">
        <v>165</v>
      </c>
      <c r="DG119" s="182" t="s">
        <v>170</v>
      </c>
      <c r="DH119" s="182" t="s">
        <v>170</v>
      </c>
      <c r="DI119" s="162" t="s">
        <v>165</v>
      </c>
      <c r="DJ119" s="162" t="s">
        <v>165</v>
      </c>
      <c r="DK119" s="162" t="s">
        <v>165</v>
      </c>
      <c r="DL119" s="162" t="s">
        <v>165</v>
      </c>
      <c r="DM119" s="162" t="s">
        <v>165</v>
      </c>
      <c r="DN119" s="182" t="s">
        <v>170</v>
      </c>
      <c r="DO119" s="182" t="s">
        <v>170</v>
      </c>
      <c r="DP119" s="162" t="s">
        <v>165</v>
      </c>
      <c r="DQ119" s="162" t="s">
        <v>165</v>
      </c>
      <c r="DR119" s="162" t="s">
        <v>165</v>
      </c>
      <c r="DS119" s="162" t="s">
        <v>165</v>
      </c>
      <c r="DT119" s="162" t="s">
        <v>165</v>
      </c>
      <c r="DU119" s="162"/>
      <c r="DV119" s="162"/>
      <c r="DW119" s="162"/>
      <c r="DX119" s="162"/>
      <c r="DY119" s="162"/>
      <c r="DZ119" s="162"/>
      <c r="EA119" s="162"/>
      <c r="EB119" s="162"/>
      <c r="EC119" s="162"/>
      <c r="ED119" s="162"/>
      <c r="EE119" s="162"/>
      <c r="EF119" s="162">
        <f t="shared" si="26"/>
        <v>0</v>
      </c>
      <c r="EG119" s="185"/>
      <c r="EH119" s="185"/>
      <c r="EI119" s="185"/>
      <c r="EJ119" s="185"/>
      <c r="EK119" s="185"/>
      <c r="EL119" s="185"/>
      <c r="EM119" s="185"/>
      <c r="EN119" s="185"/>
      <c r="EO119" s="185"/>
      <c r="EP119" s="185"/>
      <c r="EQ119" s="185"/>
      <c r="ER119" s="185"/>
      <c r="ES119" s="185"/>
      <c r="ET119" s="185"/>
      <c r="EU119" s="185"/>
      <c r="EV119" s="185"/>
      <c r="EW119" s="185"/>
      <c r="EX119" s="185"/>
      <c r="EY119" s="185"/>
      <c r="EZ119" s="185"/>
      <c r="FA119" s="185"/>
      <c r="FB119" s="185"/>
      <c r="FC119" s="185"/>
      <c r="FD119" s="185"/>
      <c r="FE119" s="185"/>
      <c r="FF119" s="185"/>
      <c r="FG119" s="185"/>
      <c r="FH119" s="185"/>
      <c r="FI119" s="185"/>
      <c r="FJ119" s="185"/>
      <c r="FK119" s="185"/>
      <c r="FL119" s="185"/>
      <c r="FM119" s="185"/>
      <c r="FN119" s="185"/>
      <c r="FO119" s="185"/>
      <c r="FP119" s="185"/>
      <c r="FQ119" s="185"/>
      <c r="FR119" s="185"/>
      <c r="FS119" s="185"/>
      <c r="FT119" s="185"/>
      <c r="FU119" s="185"/>
      <c r="FV119" s="185"/>
      <c r="FW119" s="185"/>
      <c r="FX119" s="185"/>
      <c r="FY119" s="185"/>
      <c r="FZ119" s="185"/>
      <c r="GA119" s="185"/>
      <c r="GB119" s="185"/>
      <c r="GC119" s="185"/>
      <c r="GD119" s="185"/>
      <c r="GE119" s="185"/>
      <c r="GF119" s="185"/>
      <c r="GG119" s="185"/>
      <c r="GH119" s="185"/>
      <c r="GI119" s="185"/>
      <c r="GJ119" s="185"/>
      <c r="GK119" s="185"/>
      <c r="GL119" s="185"/>
      <c r="GM119" s="185"/>
      <c r="GN119" s="185"/>
      <c r="GO119" s="185"/>
      <c r="GP119" s="185"/>
      <c r="GQ119" s="185"/>
      <c r="GR119" s="185"/>
      <c r="GS119" s="185"/>
      <c r="GT119" s="185"/>
      <c r="GU119" s="185"/>
      <c r="GV119" s="185"/>
      <c r="GW119" s="185"/>
      <c r="GX119" s="185"/>
      <c r="GY119" s="185"/>
      <c r="GZ119" s="185"/>
      <c r="HA119" s="185"/>
      <c r="HB119" s="185"/>
      <c r="HC119" s="185"/>
      <c r="HD119" s="185"/>
      <c r="HE119" s="185"/>
    </row>
    <row r="120" outlineLevel="1">
      <c r="A120" s="149" t="s">
        <v>337</v>
      </c>
      <c r="B120" s="150" t="str">
        <f>iferror(vlookup(A120,'SoS - Agents Info'!A:H,5,false),"")</f>
        <v>RU</v>
      </c>
      <c r="C120" s="151" t="str">
        <f>iferror(vlookup(A120,'SoS - Agents Info'!A:AQ,43,false),"")</f>
        <v>JM</v>
      </c>
      <c r="D120" s="152" t="str">
        <f>iferror(vlookup(A120,'SoS - Agents Info'!A:H,6,false),"")</f>
        <v>WE</v>
      </c>
      <c r="E120" s="152" t="str">
        <f>iferror(vlookup(A120,'SoS - Agents Info'!A:H,7,false),"")</f>
        <v>08:00-17:00</v>
      </c>
      <c r="F120" s="153">
        <f>IFERROR(__xludf.DUMMYFUNCTION("sum(COUNTIFS(Filter(FILTER('Shiftplan SoS'!G$3:GU166,'Shiftplan SoS'!$G$1:$GU$1&lt;=today()),'Shiftplan SoS'!$A$3:$A166=A120),""&gt;0"",(Filter(FILTER('Shiftplan SoS'!G$3:GU166,'Shiftplan SoS'!$G$1:$GU$1&lt;=today()),'Shiftplan SoS'!$A$3:$A166=A120)),""&lt;12""))"),28.0)</f>
        <v>28</v>
      </c>
      <c r="G120" s="155"/>
      <c r="H120" s="155"/>
      <c r="I120" s="155"/>
      <c r="J120" s="155"/>
      <c r="K120" s="155"/>
      <c r="L120" s="155"/>
      <c r="M120" s="155"/>
      <c r="N120" s="155"/>
      <c r="O120" s="155"/>
      <c r="P120" s="155"/>
      <c r="Q120" s="155"/>
      <c r="R120" s="155"/>
      <c r="S120" s="155"/>
      <c r="T120" s="155"/>
      <c r="U120" s="155"/>
      <c r="V120" s="155"/>
      <c r="W120" s="155"/>
      <c r="X120" s="155"/>
      <c r="Y120" s="155"/>
      <c r="Z120" s="155"/>
      <c r="AA120" s="155"/>
      <c r="AB120" s="155"/>
      <c r="AC120" s="155"/>
      <c r="AD120" s="155"/>
      <c r="AE120" s="155"/>
      <c r="AF120" s="155"/>
      <c r="AG120" s="155"/>
      <c r="AH120" s="155"/>
      <c r="AI120" s="155"/>
      <c r="AJ120" s="155"/>
      <c r="AK120" s="156"/>
      <c r="AL120" s="190"/>
      <c r="AM120" s="155"/>
      <c r="AN120" s="180"/>
      <c r="AO120" s="180"/>
      <c r="AP120" s="180"/>
      <c r="AQ120" s="180"/>
      <c r="AR120" s="180"/>
      <c r="AS120" s="180"/>
      <c r="AT120" s="180"/>
      <c r="AU120" s="180"/>
      <c r="AV120" s="180"/>
      <c r="AW120" s="180"/>
      <c r="AX120" s="180"/>
      <c r="AY120" s="180"/>
      <c r="AZ120" s="180"/>
      <c r="BA120" s="187">
        <v>8.0</v>
      </c>
      <c r="BB120" s="187">
        <v>8.0</v>
      </c>
      <c r="BC120" s="187">
        <v>8.0</v>
      </c>
      <c r="BD120" s="187">
        <v>8.0</v>
      </c>
      <c r="BE120" s="187">
        <v>8.0</v>
      </c>
      <c r="BF120" s="187" t="s">
        <v>165</v>
      </c>
      <c r="BG120" s="187" t="s">
        <v>165</v>
      </c>
      <c r="BH120" s="158">
        <v>8.0</v>
      </c>
      <c r="BI120" s="158">
        <v>8.0</v>
      </c>
      <c r="BJ120" s="158">
        <v>8.0</v>
      </c>
      <c r="BK120" s="158">
        <v>8.0</v>
      </c>
      <c r="BL120" s="158">
        <v>8.0</v>
      </c>
      <c r="BM120" s="187" t="s">
        <v>165</v>
      </c>
      <c r="BN120" s="187" t="s">
        <v>165</v>
      </c>
      <c r="BO120" s="158">
        <v>8.0</v>
      </c>
      <c r="BP120" s="158">
        <v>8.0</v>
      </c>
      <c r="BQ120" s="158">
        <v>8.0</v>
      </c>
      <c r="BR120" s="157">
        <f t="shared" si="24"/>
        <v>104</v>
      </c>
      <c r="BS120" s="155"/>
      <c r="BT120" s="161">
        <v>8.0</v>
      </c>
      <c r="BU120" s="159" t="s">
        <v>245</v>
      </c>
      <c r="BV120" s="160" t="s">
        <v>165</v>
      </c>
      <c r="BW120" s="160" t="s">
        <v>165</v>
      </c>
      <c r="BX120" s="160" t="s">
        <v>165</v>
      </c>
      <c r="BY120" s="160" t="s">
        <v>165</v>
      </c>
      <c r="BZ120" s="160" t="s">
        <v>165</v>
      </c>
      <c r="CA120" s="160" t="s">
        <v>165</v>
      </c>
      <c r="CB120" s="160" t="s">
        <v>165</v>
      </c>
      <c r="CC120" s="191">
        <v>8.0</v>
      </c>
      <c r="CD120" s="191">
        <v>8.0</v>
      </c>
      <c r="CE120" s="160" t="s">
        <v>165</v>
      </c>
      <c r="CF120" s="160" t="s">
        <v>165</v>
      </c>
      <c r="CG120" s="160" t="s">
        <v>165</v>
      </c>
      <c r="CH120" s="160" t="s">
        <v>165</v>
      </c>
      <c r="CI120" s="160" t="s">
        <v>165</v>
      </c>
      <c r="CJ120" s="191">
        <v>8.0</v>
      </c>
      <c r="CK120" s="191">
        <v>8.0</v>
      </c>
      <c r="CL120" s="160" t="s">
        <v>165</v>
      </c>
      <c r="CM120" s="160" t="s">
        <v>165</v>
      </c>
      <c r="CN120" s="160" t="s">
        <v>165</v>
      </c>
      <c r="CO120" s="160" t="s">
        <v>165</v>
      </c>
      <c r="CP120" s="160" t="s">
        <v>165</v>
      </c>
      <c r="CQ120" s="191">
        <v>8.0</v>
      </c>
      <c r="CR120" s="191">
        <v>8.0</v>
      </c>
      <c r="CS120" s="160" t="s">
        <v>165</v>
      </c>
      <c r="CT120" s="160" t="s">
        <v>165</v>
      </c>
      <c r="CU120" s="160" t="s">
        <v>165</v>
      </c>
      <c r="CV120" s="160" t="s">
        <v>165</v>
      </c>
      <c r="CW120" s="160" t="s">
        <v>165</v>
      </c>
      <c r="CX120" s="191">
        <v>8.0</v>
      </c>
      <c r="CY120" s="157">
        <f t="shared" si="25"/>
        <v>64</v>
      </c>
      <c r="CZ120" s="155"/>
      <c r="DA120" s="162">
        <v>8.0</v>
      </c>
      <c r="DB120" s="163" t="s">
        <v>165</v>
      </c>
      <c r="DC120" s="163" t="s">
        <v>165</v>
      </c>
      <c r="DD120" s="163" t="s">
        <v>165</v>
      </c>
      <c r="DE120" s="163" t="s">
        <v>165</v>
      </c>
      <c r="DF120" s="163" t="s">
        <v>165</v>
      </c>
      <c r="DG120" s="163">
        <v>8.0</v>
      </c>
      <c r="DH120" s="163">
        <v>8.0</v>
      </c>
      <c r="DI120" s="163" t="s">
        <v>165</v>
      </c>
      <c r="DJ120" s="163" t="s">
        <v>165</v>
      </c>
      <c r="DK120" s="163" t="s">
        <v>165</v>
      </c>
      <c r="DL120" s="163" t="s">
        <v>165</v>
      </c>
      <c r="DM120" s="163" t="s">
        <v>165</v>
      </c>
      <c r="DN120" s="163">
        <v>8.0</v>
      </c>
      <c r="DO120" s="163">
        <v>8.0</v>
      </c>
      <c r="DP120" s="163" t="s">
        <v>165</v>
      </c>
      <c r="DQ120" s="163" t="s">
        <v>165</v>
      </c>
      <c r="DR120" s="163" t="s">
        <v>165</v>
      </c>
      <c r="DS120" s="163" t="s">
        <v>165</v>
      </c>
      <c r="DT120" s="163" t="s">
        <v>165</v>
      </c>
      <c r="DU120" s="163">
        <v>8.0</v>
      </c>
      <c r="DV120" s="163">
        <v>8.0</v>
      </c>
      <c r="DW120" s="163" t="s">
        <v>165</v>
      </c>
      <c r="DX120" s="163" t="s">
        <v>165</v>
      </c>
      <c r="DY120" s="163" t="s">
        <v>165</v>
      </c>
      <c r="DZ120" s="163"/>
      <c r="EA120" s="163"/>
      <c r="EB120" s="164"/>
      <c r="EC120" s="164"/>
      <c r="ED120" s="163"/>
      <c r="EE120" s="163"/>
      <c r="EF120" s="113">
        <f t="shared" si="26"/>
        <v>56</v>
      </c>
      <c r="EG120" s="145"/>
      <c r="EH120" s="145"/>
      <c r="EI120" s="145"/>
      <c r="EJ120" s="145"/>
      <c r="EK120" s="145"/>
      <c r="EL120" s="145"/>
      <c r="EM120" s="145"/>
      <c r="EN120" s="145"/>
      <c r="EO120" s="145"/>
      <c r="EP120" s="145"/>
      <c r="EQ120" s="145"/>
      <c r="ER120" s="145"/>
      <c r="ES120" s="145"/>
      <c r="ET120" s="145"/>
      <c r="EU120" s="145"/>
      <c r="EV120" s="145"/>
      <c r="EW120" s="145"/>
      <c r="EX120" s="145"/>
      <c r="EY120" s="145"/>
      <c r="EZ120" s="145"/>
      <c r="FA120" s="145"/>
      <c r="FB120" s="145"/>
      <c r="FC120" s="145"/>
      <c r="FD120" s="145"/>
      <c r="FE120" s="145"/>
      <c r="FF120" s="145"/>
      <c r="FG120" s="145"/>
      <c r="FH120" s="145"/>
      <c r="FI120" s="145"/>
      <c r="FJ120" s="145"/>
      <c r="FK120" s="145"/>
      <c r="FL120" s="145"/>
      <c r="FM120" s="145"/>
      <c r="FN120" s="145"/>
      <c r="FO120" s="145"/>
      <c r="FP120" s="145"/>
      <c r="FQ120" s="145"/>
      <c r="FR120" s="145"/>
      <c r="FS120" s="145"/>
      <c r="FT120" s="145"/>
      <c r="FU120" s="145"/>
      <c r="FV120" s="145"/>
      <c r="FW120" s="145"/>
      <c r="FX120" s="145"/>
      <c r="FY120" s="145"/>
      <c r="FZ120" s="145"/>
      <c r="GA120" s="145"/>
      <c r="GB120" s="145"/>
      <c r="GC120" s="145"/>
      <c r="GD120" s="145"/>
      <c r="GE120" s="145"/>
      <c r="GF120" s="145"/>
      <c r="GG120" s="145"/>
      <c r="GH120" s="145"/>
      <c r="GI120" s="145"/>
      <c r="GJ120" s="145"/>
      <c r="GK120" s="145"/>
      <c r="GL120" s="145"/>
      <c r="GM120" s="145"/>
      <c r="GN120" s="145"/>
      <c r="GO120" s="145"/>
      <c r="GP120" s="145"/>
      <c r="GQ120" s="145"/>
      <c r="GR120" s="145"/>
      <c r="GS120" s="145"/>
      <c r="GT120" s="145"/>
      <c r="GU120" s="145"/>
      <c r="GV120" s="145"/>
      <c r="GW120" s="145"/>
      <c r="GX120" s="145"/>
      <c r="GY120" s="145"/>
      <c r="GZ120" s="145"/>
      <c r="HA120" s="145"/>
      <c r="HB120" s="145"/>
      <c r="HC120" s="145"/>
      <c r="HD120" s="145"/>
      <c r="HE120" s="145"/>
    </row>
    <row r="121" outlineLevel="1">
      <c r="A121" s="149" t="s">
        <v>338</v>
      </c>
      <c r="B121" s="152" t="s">
        <v>93</v>
      </c>
      <c r="C121" s="151" t="str">
        <f>iferror(vlookup(A121,'SoS - Agents Info'!A:AQ,43,false),"")</f>
        <v>FL</v>
      </c>
      <c r="D121" s="152" t="s">
        <v>97</v>
      </c>
      <c r="E121" s="152" t="s">
        <v>189</v>
      </c>
      <c r="F121" s="153">
        <f>IFERROR(__xludf.DUMMYFUNCTION("sum(COUNTIFS(Filter(FILTER('Shiftplan SoS'!G$3:GU166,'Shiftplan SoS'!$G$1:$GU$1&lt;=today()),'Shiftplan SoS'!$A$3:$A166=A121),""&gt;0"",(Filter(FILTER('Shiftplan SoS'!G$3:GU166,'Shiftplan SoS'!$G$1:$GU$1&lt;=today()),'Shiftplan SoS'!$A$3:$A166=A121)),""&lt;12""))"),25.0)</f>
        <v>25</v>
      </c>
      <c r="G121" s="155"/>
      <c r="H121" s="155"/>
      <c r="I121" s="155"/>
      <c r="J121" s="155"/>
      <c r="K121" s="155"/>
      <c r="L121" s="155"/>
      <c r="M121" s="155"/>
      <c r="N121" s="155"/>
      <c r="O121" s="155"/>
      <c r="P121" s="155"/>
      <c r="Q121" s="155"/>
      <c r="R121" s="155"/>
      <c r="S121" s="155"/>
      <c r="T121" s="155"/>
      <c r="U121" s="155"/>
      <c r="V121" s="155"/>
      <c r="W121" s="155"/>
      <c r="X121" s="155"/>
      <c r="Y121" s="155"/>
      <c r="Z121" s="155"/>
      <c r="AA121" s="155"/>
      <c r="AB121" s="155"/>
      <c r="AC121" s="155"/>
      <c r="AD121" s="155"/>
      <c r="AE121" s="155"/>
      <c r="AF121" s="155"/>
      <c r="AG121" s="155"/>
      <c r="AH121" s="155"/>
      <c r="AI121" s="155"/>
      <c r="AJ121" s="155"/>
      <c r="AK121" s="156"/>
      <c r="AL121" s="190"/>
      <c r="AM121" s="155"/>
      <c r="AN121" s="180"/>
      <c r="AO121" s="180"/>
      <c r="AP121" s="158">
        <v>8.0</v>
      </c>
      <c r="AQ121" s="158">
        <v>8.0</v>
      </c>
      <c r="AR121" s="158" t="s">
        <v>165</v>
      </c>
      <c r="AS121" s="158" t="s">
        <v>165</v>
      </c>
      <c r="AT121" s="158">
        <v>8.0</v>
      </c>
      <c r="AU121" s="158">
        <v>8.0</v>
      </c>
      <c r="AV121" s="158">
        <v>8.0</v>
      </c>
      <c r="AW121" s="158" t="s">
        <v>165</v>
      </c>
      <c r="AX121" s="158" t="s">
        <v>165</v>
      </c>
      <c r="AY121" s="158">
        <v>8.0</v>
      </c>
      <c r="AZ121" s="158">
        <v>8.0</v>
      </c>
      <c r="BA121" s="158" t="s">
        <v>165</v>
      </c>
      <c r="BB121" s="158" t="s">
        <v>165</v>
      </c>
      <c r="BC121" s="158" t="s">
        <v>165</v>
      </c>
      <c r="BD121" s="158" t="s">
        <v>165</v>
      </c>
      <c r="BE121" s="158" t="s">
        <v>165</v>
      </c>
      <c r="BF121" s="158">
        <v>8.0</v>
      </c>
      <c r="BG121" s="158">
        <v>8.0</v>
      </c>
      <c r="BH121" s="158" t="s">
        <v>165</v>
      </c>
      <c r="BI121" s="158" t="s">
        <v>165</v>
      </c>
      <c r="BJ121" s="158" t="s">
        <v>165</v>
      </c>
      <c r="BK121" s="158" t="s">
        <v>165</v>
      </c>
      <c r="BL121" s="158" t="s">
        <v>165</v>
      </c>
      <c r="BM121" s="158">
        <v>8.0</v>
      </c>
      <c r="BN121" s="158">
        <v>8.0</v>
      </c>
      <c r="BO121" s="158" t="s">
        <v>165</v>
      </c>
      <c r="BP121" s="158" t="s">
        <v>165</v>
      </c>
      <c r="BQ121" s="158" t="s">
        <v>165</v>
      </c>
      <c r="BR121" s="157">
        <f t="shared" si="24"/>
        <v>88</v>
      </c>
      <c r="BS121" s="155"/>
      <c r="BT121" s="158" t="s">
        <v>165</v>
      </c>
      <c r="BU121" s="158" t="s">
        <v>165</v>
      </c>
      <c r="BV121" s="158">
        <v>8.0</v>
      </c>
      <c r="BW121" s="158">
        <v>8.0</v>
      </c>
      <c r="BX121" s="158" t="s">
        <v>165</v>
      </c>
      <c r="BY121" s="158" t="s">
        <v>165</v>
      </c>
      <c r="BZ121" s="158" t="s">
        <v>165</v>
      </c>
      <c r="CA121" s="158" t="s">
        <v>165</v>
      </c>
      <c r="CB121" s="158" t="s">
        <v>165</v>
      </c>
      <c r="CC121" s="158">
        <v>8.0</v>
      </c>
      <c r="CD121" s="158">
        <v>8.0</v>
      </c>
      <c r="CE121" s="158" t="s">
        <v>165</v>
      </c>
      <c r="CF121" s="158" t="s">
        <v>165</v>
      </c>
      <c r="CG121" s="158" t="s">
        <v>165</v>
      </c>
      <c r="CH121" s="158" t="s">
        <v>165</v>
      </c>
      <c r="CI121" s="158" t="s">
        <v>165</v>
      </c>
      <c r="CJ121" s="158">
        <v>8.0</v>
      </c>
      <c r="CK121" s="158">
        <v>8.0</v>
      </c>
      <c r="CL121" s="158" t="s">
        <v>165</v>
      </c>
      <c r="CM121" s="158" t="s">
        <v>165</v>
      </c>
      <c r="CN121" s="158" t="s">
        <v>165</v>
      </c>
      <c r="CO121" s="158" t="s">
        <v>165</v>
      </c>
      <c r="CP121" s="158" t="s">
        <v>165</v>
      </c>
      <c r="CQ121" s="158">
        <v>8.0</v>
      </c>
      <c r="CR121" s="158">
        <v>8.0</v>
      </c>
      <c r="CS121" s="158" t="s">
        <v>165</v>
      </c>
      <c r="CT121" s="158" t="s">
        <v>165</v>
      </c>
      <c r="CU121" s="158" t="s">
        <v>165</v>
      </c>
      <c r="CV121" s="158" t="s">
        <v>165</v>
      </c>
      <c r="CW121" s="158" t="s">
        <v>165</v>
      </c>
      <c r="CX121" s="158">
        <v>8.0</v>
      </c>
      <c r="CY121" s="157">
        <f t="shared" si="25"/>
        <v>72</v>
      </c>
      <c r="CZ121" s="155"/>
      <c r="DA121" s="182" t="s">
        <v>170</v>
      </c>
      <c r="DB121" s="163" t="s">
        <v>165</v>
      </c>
      <c r="DC121" s="163" t="s">
        <v>165</v>
      </c>
      <c r="DD121" s="163" t="s">
        <v>165</v>
      </c>
      <c r="DE121" s="163" t="s">
        <v>165</v>
      </c>
      <c r="DF121" s="163" t="s">
        <v>165</v>
      </c>
      <c r="DG121" s="163">
        <v>8.0</v>
      </c>
      <c r="DH121" s="163">
        <v>8.0</v>
      </c>
      <c r="DI121" s="163" t="s">
        <v>165</v>
      </c>
      <c r="DJ121" s="163" t="s">
        <v>165</v>
      </c>
      <c r="DK121" s="163" t="s">
        <v>165</v>
      </c>
      <c r="DL121" s="163" t="s">
        <v>165</v>
      </c>
      <c r="DM121" s="162" t="s">
        <v>165</v>
      </c>
      <c r="DN121" s="163">
        <v>8.0</v>
      </c>
      <c r="DO121" s="163">
        <v>8.0</v>
      </c>
      <c r="DP121" s="163" t="s">
        <v>165</v>
      </c>
      <c r="DQ121" s="163" t="s">
        <v>165</v>
      </c>
      <c r="DR121" s="163" t="s">
        <v>165</v>
      </c>
      <c r="DS121" s="163" t="s">
        <v>165</v>
      </c>
      <c r="DT121" s="163" t="s">
        <v>165</v>
      </c>
      <c r="DU121" s="163">
        <v>8.0</v>
      </c>
      <c r="DV121" s="164" t="s">
        <v>170</v>
      </c>
      <c r="DW121" s="163" t="s">
        <v>165</v>
      </c>
      <c r="DX121" s="163" t="s">
        <v>165</v>
      </c>
      <c r="DY121" s="163" t="s">
        <v>165</v>
      </c>
      <c r="DZ121" s="163"/>
      <c r="EA121" s="163"/>
      <c r="EB121" s="163"/>
      <c r="EC121" s="163"/>
      <c r="ED121" s="163"/>
      <c r="EE121" s="163"/>
      <c r="EF121" s="113">
        <f t="shared" si="26"/>
        <v>40</v>
      </c>
      <c r="EG121" s="145"/>
      <c r="EH121" s="145"/>
      <c r="EI121" s="145"/>
      <c r="EJ121" s="145"/>
      <c r="EK121" s="145"/>
      <c r="EL121" s="145"/>
      <c r="EM121" s="145"/>
      <c r="EN121" s="145"/>
      <c r="EO121" s="145"/>
      <c r="EP121" s="145"/>
      <c r="EQ121" s="145"/>
      <c r="ER121" s="145"/>
      <c r="ES121" s="145"/>
      <c r="ET121" s="145"/>
      <c r="EU121" s="145"/>
      <c r="EV121" s="145"/>
      <c r="EW121" s="145"/>
      <c r="EX121" s="145"/>
      <c r="EY121" s="145"/>
      <c r="EZ121" s="145"/>
      <c r="FA121" s="145"/>
      <c r="FB121" s="145"/>
      <c r="FC121" s="145"/>
      <c r="FD121" s="145"/>
      <c r="FE121" s="145"/>
      <c r="FF121" s="145"/>
      <c r="FG121" s="145"/>
      <c r="FH121" s="145"/>
      <c r="FI121" s="145"/>
      <c r="FJ121" s="145"/>
      <c r="FK121" s="145"/>
      <c r="FL121" s="145"/>
      <c r="FM121" s="145"/>
      <c r="FN121" s="145"/>
      <c r="FO121" s="145"/>
      <c r="FP121" s="145"/>
      <c r="FQ121" s="145"/>
      <c r="FR121" s="145"/>
      <c r="FS121" s="145"/>
      <c r="FT121" s="145"/>
      <c r="FU121" s="145"/>
      <c r="FV121" s="145"/>
      <c r="FW121" s="145"/>
      <c r="FX121" s="145"/>
      <c r="FY121" s="145"/>
      <c r="FZ121" s="145"/>
      <c r="GA121" s="145"/>
      <c r="GB121" s="145"/>
      <c r="GC121" s="145"/>
      <c r="GD121" s="145"/>
      <c r="GE121" s="145"/>
      <c r="GF121" s="145"/>
      <c r="GG121" s="145"/>
      <c r="GH121" s="145"/>
      <c r="GI121" s="145"/>
      <c r="GJ121" s="145"/>
      <c r="GK121" s="145"/>
      <c r="GL121" s="145"/>
      <c r="GM121" s="145"/>
      <c r="GN121" s="145"/>
      <c r="GO121" s="145"/>
      <c r="GP121" s="145"/>
      <c r="GQ121" s="145"/>
      <c r="GR121" s="145"/>
      <c r="GS121" s="145"/>
      <c r="GT121" s="145"/>
      <c r="GU121" s="145"/>
      <c r="GV121" s="145"/>
      <c r="GW121" s="145"/>
      <c r="GX121" s="145"/>
      <c r="GY121" s="145"/>
      <c r="GZ121" s="145"/>
      <c r="HA121" s="145"/>
      <c r="HB121" s="145"/>
      <c r="HC121" s="145"/>
      <c r="HD121" s="145"/>
      <c r="HE121" s="145"/>
    </row>
    <row r="122" outlineLevel="1">
      <c r="A122" s="186" t="s">
        <v>339</v>
      </c>
      <c r="B122" s="150" t="str">
        <f>iferror(vlookup(A122,'SoS - Agents Info'!A:H,5,false),"")</f>
        <v>AR</v>
      </c>
      <c r="C122" s="151" t="str">
        <f>iferror(vlookup(A122,'SoS - Agents Info'!A:AQ,43,false),"")</f>
        <v>RA+VM</v>
      </c>
      <c r="D122" s="152" t="str">
        <f>iferror(vlookup(A122,'SoS - Agents Info'!A:H,6,false),"")</f>
        <v>WE+WD</v>
      </c>
      <c r="E122" s="152" t="str">
        <f>iferror(vlookup(A122,'SoS - Agents Info'!A:H,7,false),"")</f>
        <v>16:00-01:00</v>
      </c>
      <c r="F122" s="153">
        <f>IFERROR(__xludf.DUMMYFUNCTION("sum(COUNTIFS(Filter(FILTER('Shiftplan SoS'!G$3:GU166,'Shiftplan SoS'!$G$1:$GU$1&lt;=today()),'Shiftplan SoS'!$A$3:$A166=A122),""&gt;0"",(Filter(FILTER('Shiftplan SoS'!G$3:GU166,'Shiftplan SoS'!$G$1:$GU$1&lt;=today()),'Shiftplan SoS'!$A$3:$A166=A122)),""&lt;12""))"),2.0)</f>
        <v>2</v>
      </c>
      <c r="G122" s="155"/>
      <c r="H122" s="155"/>
      <c r="I122" s="155"/>
      <c r="J122" s="155"/>
      <c r="K122" s="155"/>
      <c r="L122" s="155"/>
      <c r="M122" s="155"/>
      <c r="N122" s="155"/>
      <c r="O122" s="155"/>
      <c r="P122" s="155"/>
      <c r="Q122" s="155"/>
      <c r="R122" s="155"/>
      <c r="S122" s="155"/>
      <c r="T122" s="155"/>
      <c r="U122" s="155"/>
      <c r="V122" s="155"/>
      <c r="W122" s="155"/>
      <c r="X122" s="155"/>
      <c r="Y122" s="155"/>
      <c r="Z122" s="155"/>
      <c r="AA122" s="155"/>
      <c r="AB122" s="155"/>
      <c r="AC122" s="155"/>
      <c r="AD122" s="155"/>
      <c r="AE122" s="155"/>
      <c r="AF122" s="155"/>
      <c r="AG122" s="155"/>
      <c r="AH122" s="155"/>
      <c r="AI122" s="155"/>
      <c r="AJ122" s="155"/>
      <c r="AK122" s="156"/>
      <c r="AL122" s="190"/>
      <c r="AM122" s="155"/>
      <c r="AN122" s="180"/>
      <c r="AO122" s="180"/>
      <c r="AP122" s="158">
        <v>8.0</v>
      </c>
      <c r="AQ122" s="158">
        <v>4.0</v>
      </c>
      <c r="AR122" s="158" t="s">
        <v>165</v>
      </c>
      <c r="AS122" s="158" t="s">
        <v>165</v>
      </c>
      <c r="AT122" s="158" t="s">
        <v>170</v>
      </c>
      <c r="AU122" s="158" t="s">
        <v>170</v>
      </c>
      <c r="AV122" s="158" t="s">
        <v>170</v>
      </c>
      <c r="AW122" s="158" t="s">
        <v>170</v>
      </c>
      <c r="AX122" s="158" t="s">
        <v>170</v>
      </c>
      <c r="AY122" s="158" t="s">
        <v>165</v>
      </c>
      <c r="AZ122" s="158" t="s">
        <v>165</v>
      </c>
      <c r="BA122" s="158" t="s">
        <v>165</v>
      </c>
      <c r="BB122" s="158" t="s">
        <v>165</v>
      </c>
      <c r="BC122" s="158" t="s">
        <v>170</v>
      </c>
      <c r="BD122" s="158" t="s">
        <v>165</v>
      </c>
      <c r="BE122" s="158" t="s">
        <v>170</v>
      </c>
      <c r="BF122" s="158" t="s">
        <v>170</v>
      </c>
      <c r="BG122" s="158" t="s">
        <v>170</v>
      </c>
      <c r="BH122" s="158" t="s">
        <v>165</v>
      </c>
      <c r="BI122" s="158" t="s">
        <v>165</v>
      </c>
      <c r="BJ122" s="158" t="s">
        <v>170</v>
      </c>
      <c r="BK122" s="158" t="s">
        <v>170</v>
      </c>
      <c r="BL122" s="158" t="s">
        <v>170</v>
      </c>
      <c r="BM122" s="158" t="s">
        <v>170</v>
      </c>
      <c r="BN122" s="158" t="s">
        <v>170</v>
      </c>
      <c r="BO122" s="158" t="s">
        <v>165</v>
      </c>
      <c r="BP122" s="158" t="s">
        <v>165</v>
      </c>
      <c r="BQ122" s="158">
        <v>0.0</v>
      </c>
      <c r="BR122" s="157">
        <f t="shared" si="24"/>
        <v>12</v>
      </c>
      <c r="BS122" s="155"/>
      <c r="BT122" s="158" t="s">
        <v>170</v>
      </c>
      <c r="BU122" s="158"/>
      <c r="BV122" s="158"/>
      <c r="BW122" s="158"/>
      <c r="BX122" s="158"/>
      <c r="BY122" s="158"/>
      <c r="BZ122" s="158"/>
      <c r="CA122" s="158"/>
      <c r="CB122" s="158"/>
      <c r="CC122" s="158"/>
      <c r="CD122" s="158"/>
      <c r="CE122" s="158"/>
      <c r="CF122" s="158"/>
      <c r="CG122" s="158"/>
      <c r="CH122" s="158"/>
      <c r="CI122" s="158"/>
      <c r="CJ122" s="158"/>
      <c r="CK122" s="158"/>
      <c r="CL122" s="158"/>
      <c r="CM122" s="158"/>
      <c r="CN122" s="158"/>
      <c r="CO122" s="158"/>
      <c r="CP122" s="158"/>
      <c r="CQ122" s="158"/>
      <c r="CR122" s="158"/>
      <c r="CS122" s="158"/>
      <c r="CT122" s="158"/>
      <c r="CU122" s="158"/>
      <c r="CV122" s="192"/>
      <c r="CW122" s="192"/>
      <c r="CX122" s="192"/>
      <c r="CY122" s="157"/>
      <c r="CZ122" s="155"/>
      <c r="DA122" s="162"/>
      <c r="DB122" s="163"/>
      <c r="DC122" s="163"/>
      <c r="DD122" s="163"/>
      <c r="DE122" s="163"/>
      <c r="DF122" s="163"/>
      <c r="DG122" s="163"/>
      <c r="DH122" s="163"/>
      <c r="DI122" s="163"/>
      <c r="DJ122" s="163"/>
      <c r="DK122" s="163"/>
      <c r="DL122" s="163"/>
      <c r="DM122" s="163"/>
      <c r="DN122" s="163"/>
      <c r="DO122" s="163"/>
      <c r="DP122" s="163"/>
      <c r="DQ122" s="163"/>
      <c r="DR122" s="163"/>
      <c r="DS122" s="163"/>
      <c r="DT122" s="163"/>
      <c r="DU122" s="163"/>
      <c r="DV122" s="163"/>
      <c r="DW122" s="163"/>
      <c r="DX122" s="163"/>
      <c r="DY122" s="163"/>
      <c r="DZ122" s="163"/>
      <c r="EA122" s="163"/>
      <c r="EB122" s="163"/>
      <c r="EC122" s="163"/>
      <c r="ED122" s="163"/>
      <c r="EE122" s="163"/>
      <c r="EF122" s="162"/>
      <c r="EG122" s="155"/>
      <c r="EH122" s="155"/>
      <c r="EI122" s="155"/>
      <c r="EJ122" s="155"/>
      <c r="EK122" s="155"/>
      <c r="EL122" s="155"/>
      <c r="EM122" s="155"/>
      <c r="EN122" s="155"/>
      <c r="EO122" s="155"/>
      <c r="EP122" s="155"/>
      <c r="EQ122" s="155"/>
      <c r="ER122" s="155"/>
      <c r="ES122" s="155"/>
      <c r="ET122" s="155"/>
      <c r="EU122" s="155"/>
      <c r="EV122" s="155"/>
      <c r="EW122" s="155"/>
      <c r="EX122" s="155"/>
      <c r="EY122" s="155"/>
      <c r="EZ122" s="155"/>
      <c r="FA122" s="155"/>
      <c r="FB122" s="155"/>
      <c r="FC122" s="155"/>
      <c r="FD122" s="155"/>
      <c r="FE122" s="155"/>
      <c r="FF122" s="155"/>
      <c r="FG122" s="155"/>
      <c r="FH122" s="155"/>
      <c r="FI122" s="155"/>
      <c r="FJ122" s="155"/>
      <c r="FK122" s="155"/>
      <c r="FL122" s="155"/>
      <c r="FM122" s="155"/>
      <c r="FN122" s="155"/>
      <c r="FO122" s="155"/>
      <c r="FP122" s="155"/>
      <c r="FQ122" s="155"/>
      <c r="FR122" s="155"/>
      <c r="FS122" s="155"/>
      <c r="FT122" s="155"/>
      <c r="FU122" s="155"/>
      <c r="FV122" s="155"/>
      <c r="FW122" s="155"/>
      <c r="FX122" s="155"/>
      <c r="FY122" s="155"/>
      <c r="FZ122" s="155"/>
      <c r="GA122" s="155"/>
      <c r="GB122" s="155"/>
      <c r="GC122" s="155"/>
      <c r="GD122" s="155"/>
      <c r="GE122" s="155"/>
      <c r="GF122" s="155"/>
      <c r="GG122" s="155"/>
      <c r="GH122" s="155"/>
      <c r="GI122" s="155"/>
      <c r="GJ122" s="155"/>
      <c r="GK122" s="155"/>
      <c r="GL122" s="155"/>
      <c r="GM122" s="155"/>
      <c r="GN122" s="155"/>
      <c r="GO122" s="155"/>
      <c r="GP122" s="155"/>
      <c r="GQ122" s="155"/>
      <c r="GR122" s="155"/>
      <c r="GS122" s="155"/>
      <c r="GT122" s="155"/>
      <c r="GU122" s="155"/>
      <c r="GV122" s="155"/>
      <c r="GW122" s="155"/>
      <c r="GX122" s="155"/>
      <c r="GY122" s="155"/>
      <c r="GZ122" s="155"/>
      <c r="HA122" s="155"/>
      <c r="HB122" s="155"/>
      <c r="HC122" s="155"/>
      <c r="HD122" s="155"/>
      <c r="HE122" s="155"/>
    </row>
    <row r="123" outlineLevel="1">
      <c r="A123" s="186" t="s">
        <v>340</v>
      </c>
      <c r="B123" s="150" t="str">
        <f>iferror(vlookup(A123,'SoS - Agents Info'!A:H,5,false),"")</f>
        <v>EN</v>
      </c>
      <c r="C123" s="151" t="str">
        <f>iferror(vlookup(A123,'SoS - Agents Info'!A:AQ,43,false),"")</f>
        <v>FL</v>
      </c>
      <c r="D123" s="152" t="str">
        <f>iferror(vlookup(A123,'SoS - Agents Info'!A:H,6,false),"")</f>
        <v>WE+WD</v>
      </c>
      <c r="E123" s="152" t="str">
        <f>iferror(vlookup(A123,'SoS - Agents Info'!A:H,7,false),"")</f>
        <v>00:00-09:00</v>
      </c>
      <c r="F123" s="153">
        <f>IFERROR(__xludf.DUMMYFUNCTION("sum(COUNTIFS(Filter(FILTER('Shiftplan SoS'!G$3:GU166,'Shiftplan SoS'!$G$1:$GU$1&lt;=today()),'Shiftplan SoS'!$A$3:$A166=A123),""&gt;0"",(Filter(FILTER('Shiftplan SoS'!G$3:GU166,'Shiftplan SoS'!$G$1:$GU$1&lt;=today()),'Shiftplan SoS'!$A$3:$A166=A123)),""&lt;12""))"),66.0)</f>
        <v>66</v>
      </c>
      <c r="G123" s="155"/>
      <c r="H123" s="155"/>
      <c r="I123" s="155"/>
      <c r="J123" s="155"/>
      <c r="K123" s="155"/>
      <c r="L123" s="155"/>
      <c r="M123" s="155"/>
      <c r="N123" s="155"/>
      <c r="O123" s="155"/>
      <c r="P123" s="155"/>
      <c r="Q123" s="155"/>
      <c r="R123" s="155"/>
      <c r="S123" s="155"/>
      <c r="T123" s="155"/>
      <c r="U123" s="155"/>
      <c r="V123" s="155"/>
      <c r="W123" s="155"/>
      <c r="X123" s="155"/>
      <c r="Y123" s="155"/>
      <c r="Z123" s="155"/>
      <c r="AA123" s="155"/>
      <c r="AB123" s="155"/>
      <c r="AC123" s="155"/>
      <c r="AD123" s="155"/>
      <c r="AE123" s="155"/>
      <c r="AF123" s="155"/>
      <c r="AG123" s="155"/>
      <c r="AH123" s="155"/>
      <c r="AI123" s="155"/>
      <c r="AJ123" s="155"/>
      <c r="AK123" s="156"/>
      <c r="AL123" s="157">
        <f t="shared" ref="AL123:AL142" si="29">sum(G123:AK123)</f>
        <v>0</v>
      </c>
      <c r="AM123" s="155"/>
      <c r="AN123" s="158">
        <v>8.0</v>
      </c>
      <c r="AO123" s="158">
        <v>8.0</v>
      </c>
      <c r="AP123" s="158">
        <v>8.0</v>
      </c>
      <c r="AQ123" s="158">
        <v>8.0</v>
      </c>
      <c r="AR123" s="158" t="s">
        <v>165</v>
      </c>
      <c r="AS123" s="158" t="s">
        <v>165</v>
      </c>
      <c r="AT123" s="158">
        <v>8.0</v>
      </c>
      <c r="AU123" s="158" t="s">
        <v>165</v>
      </c>
      <c r="AV123" s="158">
        <v>8.0</v>
      </c>
      <c r="AW123" s="158">
        <v>8.0</v>
      </c>
      <c r="AX123" s="158">
        <v>8.0</v>
      </c>
      <c r="AY123" s="158">
        <v>8.0</v>
      </c>
      <c r="AZ123" s="158">
        <v>8.0</v>
      </c>
      <c r="BA123" s="158">
        <v>8.0</v>
      </c>
      <c r="BB123" s="158" t="s">
        <v>165</v>
      </c>
      <c r="BC123" s="158">
        <v>8.0</v>
      </c>
      <c r="BD123" s="158">
        <v>8.0</v>
      </c>
      <c r="BE123" s="158">
        <v>8.0</v>
      </c>
      <c r="BF123" s="158">
        <v>8.0</v>
      </c>
      <c r="BG123" s="158">
        <v>8.0</v>
      </c>
      <c r="BH123" s="158">
        <v>8.0</v>
      </c>
      <c r="BI123" s="158" t="s">
        <v>165</v>
      </c>
      <c r="BJ123" s="158">
        <v>8.0</v>
      </c>
      <c r="BK123" s="158">
        <v>8.0</v>
      </c>
      <c r="BL123" s="158">
        <v>8.0</v>
      </c>
      <c r="BM123" s="158">
        <v>8.0</v>
      </c>
      <c r="BN123" s="158">
        <v>8.0</v>
      </c>
      <c r="BO123" s="158">
        <v>8.0</v>
      </c>
      <c r="BP123" s="158" t="s">
        <v>165</v>
      </c>
      <c r="BQ123" s="158">
        <v>8.0</v>
      </c>
      <c r="BR123" s="157">
        <f t="shared" si="24"/>
        <v>192</v>
      </c>
      <c r="BS123" s="155"/>
      <c r="BT123" s="158">
        <v>8.0</v>
      </c>
      <c r="BU123" s="158">
        <v>8.0</v>
      </c>
      <c r="BV123" s="158">
        <v>8.0</v>
      </c>
      <c r="BW123" s="158">
        <v>8.0</v>
      </c>
      <c r="BX123" s="193" t="s">
        <v>165</v>
      </c>
      <c r="BY123" s="194" t="s">
        <v>165</v>
      </c>
      <c r="BZ123" s="194">
        <v>8.0</v>
      </c>
      <c r="CA123" s="194">
        <v>8.0</v>
      </c>
      <c r="CB123" s="194">
        <v>8.0</v>
      </c>
      <c r="CC123" s="194">
        <v>8.0</v>
      </c>
      <c r="CD123" s="194">
        <v>8.0</v>
      </c>
      <c r="CE123" s="193" t="s">
        <v>165</v>
      </c>
      <c r="CF123" s="194" t="s">
        <v>165</v>
      </c>
      <c r="CG123" s="194">
        <v>8.0</v>
      </c>
      <c r="CH123" s="194">
        <v>8.0</v>
      </c>
      <c r="CI123" s="194">
        <v>8.0</v>
      </c>
      <c r="CJ123" s="194">
        <v>8.0</v>
      </c>
      <c r="CK123" s="194">
        <v>8.0</v>
      </c>
      <c r="CL123" s="193" t="s">
        <v>165</v>
      </c>
      <c r="CM123" s="194" t="s">
        <v>165</v>
      </c>
      <c r="CN123" s="194">
        <v>8.0</v>
      </c>
      <c r="CO123" s="194">
        <v>8.0</v>
      </c>
      <c r="CP123" s="194">
        <v>8.0</v>
      </c>
      <c r="CQ123" s="194">
        <v>8.0</v>
      </c>
      <c r="CR123" s="194">
        <v>8.0</v>
      </c>
      <c r="CS123" s="193" t="s">
        <v>165</v>
      </c>
      <c r="CT123" s="194" t="s">
        <v>165</v>
      </c>
      <c r="CU123" s="194">
        <v>8.0</v>
      </c>
      <c r="CV123" s="194">
        <v>8.0</v>
      </c>
      <c r="CW123" s="194">
        <v>8.0</v>
      </c>
      <c r="CX123" s="194">
        <v>8.0</v>
      </c>
      <c r="CY123" s="157">
        <f t="shared" ref="CY123:CY139" si="30">sum(BT123:CX123)</f>
        <v>184</v>
      </c>
      <c r="CZ123" s="155"/>
      <c r="DA123" s="162">
        <v>8.0</v>
      </c>
      <c r="DB123" s="163" t="s">
        <v>165</v>
      </c>
      <c r="DC123" s="163" t="s">
        <v>165</v>
      </c>
      <c r="DD123" s="163">
        <v>8.0</v>
      </c>
      <c r="DE123" s="163">
        <v>8.0</v>
      </c>
      <c r="DF123" s="163">
        <v>8.0</v>
      </c>
      <c r="DG123" s="163">
        <v>8.0</v>
      </c>
      <c r="DH123" s="163">
        <v>8.0</v>
      </c>
      <c r="DI123" s="163" t="s">
        <v>165</v>
      </c>
      <c r="DJ123" s="163" t="s">
        <v>165</v>
      </c>
      <c r="DK123" s="163">
        <v>8.0</v>
      </c>
      <c r="DL123" s="163">
        <v>8.0</v>
      </c>
      <c r="DM123" s="162">
        <v>8.0</v>
      </c>
      <c r="DN123" s="163">
        <v>8.0</v>
      </c>
      <c r="DO123" s="163">
        <v>8.0</v>
      </c>
      <c r="DP123" s="163" t="s">
        <v>165</v>
      </c>
      <c r="DQ123" s="163" t="s">
        <v>165</v>
      </c>
      <c r="DR123" s="163">
        <v>8.0</v>
      </c>
      <c r="DS123" s="163">
        <v>8.0</v>
      </c>
      <c r="DT123" s="163">
        <v>8.0</v>
      </c>
      <c r="DU123" s="163">
        <v>8.0</v>
      </c>
      <c r="DV123" s="163">
        <v>8.0</v>
      </c>
      <c r="DW123" s="163" t="s">
        <v>165</v>
      </c>
      <c r="DX123" s="163" t="s">
        <v>165</v>
      </c>
      <c r="DY123" s="162">
        <v>8.0</v>
      </c>
      <c r="DZ123" s="163">
        <v>8.0</v>
      </c>
      <c r="EA123" s="163">
        <v>8.0</v>
      </c>
      <c r="EB123" s="163"/>
      <c r="EC123" s="163"/>
      <c r="ED123" s="163"/>
      <c r="EE123" s="163"/>
      <c r="EF123" s="162">
        <f t="shared" ref="EF123:EF124" si="31">sum(DA123:EE123)</f>
        <v>152</v>
      </c>
      <c r="EG123" s="155"/>
      <c r="EH123" s="155"/>
      <c r="EI123" s="155"/>
      <c r="EJ123" s="155"/>
      <c r="EK123" s="155"/>
      <c r="EL123" s="155"/>
      <c r="EM123" s="155"/>
      <c r="EN123" s="155"/>
      <c r="EO123" s="155"/>
      <c r="EP123" s="155"/>
      <c r="EQ123" s="155"/>
      <c r="ER123" s="155"/>
      <c r="ES123" s="155"/>
      <c r="ET123" s="155"/>
      <c r="EU123" s="155"/>
      <c r="EV123" s="155"/>
      <c r="EW123" s="155"/>
      <c r="EX123" s="155"/>
      <c r="EY123" s="155"/>
      <c r="EZ123" s="155"/>
      <c r="FA123" s="155"/>
      <c r="FB123" s="155"/>
      <c r="FC123" s="155"/>
      <c r="FD123" s="155"/>
      <c r="FE123" s="155"/>
      <c r="FF123" s="155"/>
      <c r="FG123" s="155"/>
      <c r="FH123" s="155"/>
      <c r="FI123" s="155"/>
      <c r="FJ123" s="155"/>
      <c r="FK123" s="155"/>
      <c r="FL123" s="155"/>
      <c r="FM123" s="155"/>
      <c r="FN123" s="155"/>
      <c r="FO123" s="155"/>
      <c r="FP123" s="155"/>
      <c r="FQ123" s="155"/>
      <c r="FR123" s="155"/>
      <c r="FS123" s="155"/>
      <c r="FT123" s="155"/>
      <c r="FU123" s="155"/>
      <c r="FV123" s="155"/>
      <c r="FW123" s="155"/>
      <c r="FX123" s="155"/>
      <c r="FY123" s="155"/>
      <c r="FZ123" s="155"/>
      <c r="GA123" s="155"/>
      <c r="GB123" s="155"/>
      <c r="GC123" s="155"/>
      <c r="GD123" s="155"/>
      <c r="GE123" s="155"/>
      <c r="GF123" s="155"/>
      <c r="GG123" s="155"/>
      <c r="GH123" s="155"/>
      <c r="GI123" s="155"/>
      <c r="GJ123" s="155"/>
      <c r="GK123" s="155"/>
      <c r="GL123" s="155"/>
      <c r="GM123" s="155"/>
      <c r="GN123" s="155"/>
      <c r="GO123" s="155"/>
      <c r="GP123" s="155"/>
      <c r="GQ123" s="155"/>
      <c r="GR123" s="155"/>
      <c r="GS123" s="155"/>
      <c r="GT123" s="155"/>
      <c r="GU123" s="155"/>
      <c r="GV123" s="155"/>
      <c r="GW123" s="155"/>
      <c r="GX123" s="155"/>
      <c r="GY123" s="155"/>
      <c r="GZ123" s="155"/>
      <c r="HA123" s="155"/>
      <c r="HB123" s="155"/>
      <c r="HC123" s="155"/>
      <c r="HD123" s="155"/>
      <c r="HE123" s="155"/>
    </row>
    <row r="124" outlineLevel="1">
      <c r="A124" s="149" t="s">
        <v>341</v>
      </c>
      <c r="B124" s="150" t="str">
        <f>iferror(vlookup(A124,'SoS - Agents Info'!A:H,5,false),"")</f>
        <v>EN</v>
      </c>
      <c r="C124" s="107" t="str">
        <f>iferror(vlookup(A124,'SoS - Agents Info'!A:AQ,43,false),"")</f>
        <v>GM+FL
</v>
      </c>
      <c r="D124" s="152" t="str">
        <f>iferror(vlookup(A124,'SoS - Agents Info'!A:H,6,false),"")</f>
        <v>WE</v>
      </c>
      <c r="E124" s="152" t="str">
        <f>iferror(vlookup(A124,'SoS - Agents Info'!A:H,7,false),"")</f>
        <v>12:00-21:00</v>
      </c>
      <c r="F124" s="153">
        <f>IFERROR(__xludf.DUMMYFUNCTION("sum(COUNTIFS(Filter(FILTER('Shiftplan SoS'!G$3:GU166,'Shiftplan SoS'!$G$1:$GU$1&lt;=today()),'Shiftplan SoS'!$A$3:$A166=A124),""&gt;0"",(Filter(FILTER('Shiftplan SoS'!G$3:GU166,'Shiftplan SoS'!$G$1:$GU$1&lt;=today()),'Shiftplan SoS'!$A$3:$A166=A124)),""&lt;12""))"),6.0)</f>
        <v>6</v>
      </c>
      <c r="G124" s="155"/>
      <c r="H124" s="155"/>
      <c r="I124" s="155"/>
      <c r="J124" s="155"/>
      <c r="K124" s="155"/>
      <c r="L124" s="155"/>
      <c r="M124" s="155"/>
      <c r="N124" s="155"/>
      <c r="O124" s="155"/>
      <c r="P124" s="155"/>
      <c r="Q124" s="155"/>
      <c r="R124" s="155"/>
      <c r="S124" s="155"/>
      <c r="T124" s="155"/>
      <c r="U124" s="155"/>
      <c r="V124" s="155"/>
      <c r="W124" s="155"/>
      <c r="X124" s="155"/>
      <c r="Y124" s="155"/>
      <c r="Z124" s="155"/>
      <c r="AA124" s="155"/>
      <c r="AB124" s="155"/>
      <c r="AC124" s="155"/>
      <c r="AD124" s="155"/>
      <c r="AE124" s="155"/>
      <c r="AF124" s="155"/>
      <c r="AG124" s="155"/>
      <c r="AH124" s="155"/>
      <c r="AI124" s="155"/>
      <c r="AJ124" s="155"/>
      <c r="AK124" s="178">
        <v>8.0</v>
      </c>
      <c r="AL124" s="157">
        <f t="shared" si="29"/>
        <v>8</v>
      </c>
      <c r="AM124" s="155"/>
      <c r="AN124" s="28">
        <v>8.0</v>
      </c>
      <c r="AO124" s="28">
        <v>8.0</v>
      </c>
      <c r="AP124" s="28">
        <v>8.0</v>
      </c>
      <c r="AQ124" s="28">
        <v>8.0</v>
      </c>
      <c r="AR124" s="132" t="s">
        <v>165</v>
      </c>
      <c r="AS124" s="132" t="s">
        <v>165</v>
      </c>
      <c r="AT124" s="158"/>
      <c r="AU124" s="158"/>
      <c r="AV124" s="158"/>
      <c r="AW124" s="158"/>
      <c r="AX124" s="158"/>
      <c r="AY124" s="158"/>
      <c r="AZ124" s="158"/>
      <c r="BA124" s="158"/>
      <c r="BB124" s="158"/>
      <c r="BC124" s="158"/>
      <c r="BD124" s="158"/>
      <c r="BE124" s="158"/>
      <c r="BF124" s="158"/>
      <c r="BG124" s="158"/>
      <c r="BH124" s="158"/>
      <c r="BI124" s="158"/>
      <c r="BJ124" s="158"/>
      <c r="BK124" s="158"/>
      <c r="BL124" s="158"/>
      <c r="BM124" s="158"/>
      <c r="BN124" s="158"/>
      <c r="BO124" s="158"/>
      <c r="BP124" s="158"/>
      <c r="BQ124" s="158"/>
      <c r="BR124" s="157"/>
      <c r="BS124" s="155"/>
      <c r="BT124" s="155"/>
      <c r="BU124" s="155"/>
      <c r="BV124" s="155"/>
      <c r="BW124" s="155"/>
      <c r="BX124" s="155"/>
      <c r="BY124" s="155"/>
      <c r="BZ124" s="155"/>
      <c r="CA124" s="155"/>
      <c r="CB124" s="155"/>
      <c r="CC124" s="155"/>
      <c r="CD124" s="155"/>
      <c r="CE124" s="155"/>
      <c r="CF124" s="155"/>
      <c r="CG124" s="155"/>
      <c r="CH124" s="155"/>
      <c r="CI124" s="155"/>
      <c r="CJ124" s="155"/>
      <c r="CK124" s="155"/>
      <c r="CL124" s="155"/>
      <c r="CM124" s="155"/>
      <c r="CN124" s="155"/>
      <c r="CO124" s="155"/>
      <c r="CP124" s="155"/>
      <c r="CQ124" s="155"/>
      <c r="CR124" s="155"/>
      <c r="CS124" s="155"/>
      <c r="CT124" s="155"/>
      <c r="CU124" s="155"/>
      <c r="CV124" s="155"/>
      <c r="CW124" s="155"/>
      <c r="CX124" s="155"/>
      <c r="CY124" s="105">
        <f t="shared" si="30"/>
        <v>0</v>
      </c>
      <c r="CZ124" s="155"/>
      <c r="DA124" s="113" t="s">
        <v>333</v>
      </c>
      <c r="DB124" s="163" t="s">
        <v>333</v>
      </c>
      <c r="DC124" s="163" t="s">
        <v>333</v>
      </c>
      <c r="DD124" s="163" t="s">
        <v>333</v>
      </c>
      <c r="DE124" s="163" t="s">
        <v>333</v>
      </c>
      <c r="DF124" s="163" t="s">
        <v>333</v>
      </c>
      <c r="DG124" s="163" t="s">
        <v>333</v>
      </c>
      <c r="DH124" s="163" t="s">
        <v>333</v>
      </c>
      <c r="DI124" s="163" t="s">
        <v>333</v>
      </c>
      <c r="DJ124" s="163" t="s">
        <v>333</v>
      </c>
      <c r="DK124" s="163" t="s">
        <v>333</v>
      </c>
      <c r="DL124" s="163" t="s">
        <v>333</v>
      </c>
      <c r="DM124" s="163" t="s">
        <v>333</v>
      </c>
      <c r="DN124" s="163" t="s">
        <v>333</v>
      </c>
      <c r="DO124" s="163" t="s">
        <v>333</v>
      </c>
      <c r="DP124" s="163" t="s">
        <v>333</v>
      </c>
      <c r="DQ124" s="163" t="s">
        <v>333</v>
      </c>
      <c r="DR124" s="163" t="s">
        <v>333</v>
      </c>
      <c r="DS124" s="163" t="s">
        <v>333</v>
      </c>
      <c r="DT124" s="163" t="s">
        <v>333</v>
      </c>
      <c r="DU124" s="163" t="s">
        <v>333</v>
      </c>
      <c r="DV124" s="163" t="s">
        <v>333</v>
      </c>
      <c r="DW124" s="163" t="s">
        <v>333</v>
      </c>
      <c r="DX124" s="163" t="s">
        <v>333</v>
      </c>
      <c r="DY124" s="163" t="s">
        <v>333</v>
      </c>
      <c r="DZ124" s="163" t="s">
        <v>333</v>
      </c>
      <c r="EA124" s="163" t="s">
        <v>333</v>
      </c>
      <c r="EB124" s="163" t="s">
        <v>333</v>
      </c>
      <c r="EC124" s="163" t="s">
        <v>333</v>
      </c>
      <c r="ED124" s="163" t="s">
        <v>333</v>
      </c>
      <c r="EE124" s="163" t="s">
        <v>333</v>
      </c>
      <c r="EF124" s="113">
        <f t="shared" si="31"/>
        <v>0</v>
      </c>
      <c r="EG124" s="155"/>
      <c r="EH124" s="155"/>
      <c r="EI124" s="155"/>
      <c r="EJ124" s="155"/>
      <c r="EK124" s="155"/>
      <c r="EL124" s="155"/>
      <c r="EM124" s="155"/>
      <c r="EN124" s="155"/>
      <c r="EO124" s="155"/>
      <c r="EP124" s="155"/>
      <c r="EQ124" s="155"/>
      <c r="ER124" s="155"/>
      <c r="ES124" s="155"/>
      <c r="ET124" s="155"/>
      <c r="EU124" s="155"/>
      <c r="EV124" s="155"/>
      <c r="EW124" s="155"/>
      <c r="EX124" s="155"/>
      <c r="EY124" s="155"/>
      <c r="EZ124" s="155"/>
      <c r="FA124" s="155"/>
      <c r="FB124" s="155"/>
      <c r="FC124" s="155"/>
      <c r="FD124" s="155"/>
      <c r="FE124" s="155"/>
      <c r="FF124" s="155"/>
      <c r="FG124" s="155"/>
      <c r="FH124" s="155"/>
      <c r="FI124" s="155"/>
      <c r="FJ124" s="155"/>
      <c r="FK124" s="155"/>
      <c r="FL124" s="155"/>
      <c r="FM124" s="155"/>
      <c r="FN124" s="155"/>
      <c r="FO124" s="155"/>
      <c r="FP124" s="155"/>
      <c r="FQ124" s="155"/>
      <c r="FR124" s="155"/>
      <c r="FS124" s="155"/>
      <c r="FT124" s="155"/>
      <c r="FU124" s="155"/>
      <c r="FV124" s="155"/>
      <c r="FW124" s="155"/>
      <c r="FX124" s="155"/>
      <c r="FY124" s="155"/>
      <c r="FZ124" s="155"/>
      <c r="GA124" s="155"/>
      <c r="GB124" s="155"/>
      <c r="GC124" s="155"/>
      <c r="GD124" s="155"/>
      <c r="GE124" s="155"/>
      <c r="GF124" s="155"/>
      <c r="GG124" s="155"/>
      <c r="GH124" s="155"/>
      <c r="GI124" s="155"/>
      <c r="GJ124" s="155"/>
      <c r="GK124" s="155"/>
      <c r="GL124" s="155"/>
      <c r="GM124" s="155"/>
      <c r="GN124" s="155"/>
      <c r="GO124" s="155"/>
      <c r="GP124" s="155"/>
      <c r="GQ124" s="155"/>
      <c r="GR124" s="155"/>
      <c r="GS124" s="155"/>
      <c r="GT124" s="155"/>
      <c r="GU124" s="155"/>
      <c r="GV124" s="155"/>
      <c r="GW124" s="155"/>
      <c r="GX124" s="155"/>
      <c r="GY124" s="155"/>
      <c r="GZ124" s="155"/>
      <c r="HA124" s="155"/>
      <c r="HB124" s="155"/>
      <c r="HC124" s="155"/>
      <c r="HD124" s="155"/>
      <c r="HE124" s="155"/>
    </row>
    <row r="125" outlineLevel="1">
      <c r="A125" s="186" t="s">
        <v>342</v>
      </c>
      <c r="B125" s="150" t="str">
        <f>iferror(vlookup(A125,'SoS - Agents Info'!A:H,5,false),"")</f>
        <v>EN</v>
      </c>
      <c r="C125" s="151" t="str">
        <f>iferror(vlookup(A125,'SoS - Agents Info'!A:AQ,43,false),"")</f>
        <v>GM+FL</v>
      </c>
      <c r="D125" s="152" t="str">
        <f>iferror(vlookup(A125,'SoS - Agents Info'!A:H,6,false),"")</f>
        <v>WE+WD</v>
      </c>
      <c r="E125" s="152" t="str">
        <f>iferror(vlookup(A125,'SoS - Agents Info'!A:H,7,false),"")</f>
        <v>00:00-09:00</v>
      </c>
      <c r="F125" s="153">
        <f>IFERROR(__xludf.DUMMYFUNCTION("sum(COUNTIFS(Filter(FILTER('Shiftplan SoS'!G$3:GU166,'Shiftplan SoS'!$G$1:$GU$1&lt;=today()),'Shiftplan SoS'!$A$3:$A166=A125),""&gt;0"",(Filter(FILTER('Shiftplan SoS'!G$3:GU166,'Shiftplan SoS'!$G$1:$GU$1&lt;=today()),'Shiftplan SoS'!$A$3:$A166=A125)),""&lt;12""))"),27.0)</f>
        <v>27</v>
      </c>
      <c r="G125" s="155"/>
      <c r="H125" s="155"/>
      <c r="I125" s="155"/>
      <c r="J125" s="155"/>
      <c r="K125" s="155"/>
      <c r="L125" s="155"/>
      <c r="M125" s="155"/>
      <c r="N125" s="155"/>
      <c r="O125" s="155"/>
      <c r="P125" s="155"/>
      <c r="Q125" s="155"/>
      <c r="R125" s="155"/>
      <c r="S125" s="155"/>
      <c r="T125" s="155"/>
      <c r="U125" s="155"/>
      <c r="V125" s="155"/>
      <c r="W125" s="155"/>
      <c r="X125" s="155"/>
      <c r="Y125" s="155"/>
      <c r="Z125" s="155"/>
      <c r="AA125" s="155"/>
      <c r="AB125" s="155"/>
      <c r="AC125" s="155"/>
      <c r="AD125" s="155"/>
      <c r="AE125" s="155"/>
      <c r="AF125" s="155"/>
      <c r="AG125" s="155"/>
      <c r="AH125" s="155"/>
      <c r="AI125" s="155"/>
      <c r="AJ125" s="155"/>
      <c r="AK125" s="178">
        <v>8.0</v>
      </c>
      <c r="AL125" s="157">
        <f t="shared" si="29"/>
        <v>8</v>
      </c>
      <c r="AM125" s="155"/>
      <c r="AN125" s="158">
        <v>8.0</v>
      </c>
      <c r="AO125" s="158">
        <v>8.0</v>
      </c>
      <c r="AP125" s="158">
        <v>8.0</v>
      </c>
      <c r="AQ125" s="158">
        <v>8.0</v>
      </c>
      <c r="AR125" s="158" t="s">
        <v>165</v>
      </c>
      <c r="AS125" s="158" t="s">
        <v>165</v>
      </c>
      <c r="AT125" s="158" t="s">
        <v>165</v>
      </c>
      <c r="AU125" s="158" t="s">
        <v>165</v>
      </c>
      <c r="AV125" s="158" t="s">
        <v>165</v>
      </c>
      <c r="AW125" s="158">
        <v>8.0</v>
      </c>
      <c r="AX125" s="158">
        <v>8.0</v>
      </c>
      <c r="AY125" s="158">
        <v>8.0</v>
      </c>
      <c r="AZ125" s="158">
        <v>8.0</v>
      </c>
      <c r="BA125" s="158" t="s">
        <v>165</v>
      </c>
      <c r="BB125" s="158" t="s">
        <v>165</v>
      </c>
      <c r="BC125" s="158" t="s">
        <v>165</v>
      </c>
      <c r="BD125" s="158">
        <v>8.0</v>
      </c>
      <c r="BE125" s="158">
        <v>8.0</v>
      </c>
      <c r="BF125" s="158">
        <v>8.0</v>
      </c>
      <c r="BG125" s="158">
        <v>8.0</v>
      </c>
      <c r="BH125" s="158" t="s">
        <v>165</v>
      </c>
      <c r="BI125" s="158" t="s">
        <v>165</v>
      </c>
      <c r="BJ125" s="158" t="s">
        <v>165</v>
      </c>
      <c r="BK125" s="158">
        <v>8.0</v>
      </c>
      <c r="BL125" s="158">
        <v>8.0</v>
      </c>
      <c r="BM125" s="158">
        <v>8.0</v>
      </c>
      <c r="BN125" s="158">
        <v>8.0</v>
      </c>
      <c r="BO125" s="158" t="s">
        <v>165</v>
      </c>
      <c r="BP125" s="158" t="s">
        <v>165</v>
      </c>
      <c r="BQ125" s="158" t="s">
        <v>165</v>
      </c>
      <c r="BR125" s="157">
        <f>sum(AN125:BQ125)</f>
        <v>128</v>
      </c>
      <c r="BS125" s="155"/>
      <c r="BT125" s="158">
        <v>8.0</v>
      </c>
      <c r="BU125" s="158">
        <v>8.0</v>
      </c>
      <c r="BV125" s="158">
        <v>8.0</v>
      </c>
      <c r="BW125" s="158">
        <v>8.0</v>
      </c>
      <c r="BX125" s="158" t="s">
        <v>165</v>
      </c>
      <c r="BY125" s="158" t="s">
        <v>165</v>
      </c>
      <c r="BZ125" s="158" t="s">
        <v>165</v>
      </c>
      <c r="CA125" s="158">
        <v>8.0</v>
      </c>
      <c r="CB125" s="158">
        <v>8.0</v>
      </c>
      <c r="CC125" s="158">
        <v>8.0</v>
      </c>
      <c r="CD125" s="158">
        <v>8.0</v>
      </c>
      <c r="CE125" s="158" t="s">
        <v>165</v>
      </c>
      <c r="CF125" s="158" t="s">
        <v>165</v>
      </c>
      <c r="CG125" s="158" t="s">
        <v>165</v>
      </c>
      <c r="CH125" s="158" t="s">
        <v>170</v>
      </c>
      <c r="CI125" s="158" t="s">
        <v>170</v>
      </c>
      <c r="CJ125" s="158" t="s">
        <v>170</v>
      </c>
      <c r="CK125" s="158" t="s">
        <v>170</v>
      </c>
      <c r="CL125" s="158" t="s">
        <v>165</v>
      </c>
      <c r="CM125" s="158" t="s">
        <v>165</v>
      </c>
      <c r="CN125" s="158" t="s">
        <v>165</v>
      </c>
      <c r="CO125" s="158" t="s">
        <v>170</v>
      </c>
      <c r="CP125" s="158" t="s">
        <v>170</v>
      </c>
      <c r="CQ125" s="158" t="s">
        <v>170</v>
      </c>
      <c r="CR125" s="158" t="s">
        <v>170</v>
      </c>
      <c r="CS125" s="158" t="s">
        <v>165</v>
      </c>
      <c r="CT125" s="158" t="s">
        <v>165</v>
      </c>
      <c r="CU125" s="158" t="s">
        <v>165</v>
      </c>
      <c r="CV125" s="195" t="s">
        <v>170</v>
      </c>
      <c r="CW125" s="192">
        <v>8.0</v>
      </c>
      <c r="CX125" s="195" t="s">
        <v>170</v>
      </c>
      <c r="CY125" s="157">
        <f t="shared" si="30"/>
        <v>72</v>
      </c>
      <c r="CZ125" s="155"/>
      <c r="DA125" s="195" t="s">
        <v>170</v>
      </c>
      <c r="DB125" s="163" t="s">
        <v>165</v>
      </c>
      <c r="DC125" s="163" t="s">
        <v>165</v>
      </c>
      <c r="DD125" s="163" t="s">
        <v>165</v>
      </c>
      <c r="DE125" s="163" t="s">
        <v>165</v>
      </c>
      <c r="DF125" s="163" t="s">
        <v>165</v>
      </c>
      <c r="DG125" s="163"/>
      <c r="DH125" s="163"/>
      <c r="DI125" s="163"/>
      <c r="DJ125" s="163"/>
      <c r="DK125" s="163"/>
      <c r="DL125" s="163"/>
      <c r="DM125" s="163"/>
      <c r="DN125" s="163"/>
      <c r="DO125" s="163"/>
      <c r="DP125" s="163"/>
      <c r="DQ125" s="163"/>
      <c r="DR125" s="163"/>
      <c r="DS125" s="163"/>
      <c r="DT125" s="163"/>
      <c r="DU125" s="163"/>
      <c r="DV125" s="163"/>
      <c r="DW125" s="163"/>
      <c r="DX125" s="163"/>
      <c r="DY125" s="163"/>
      <c r="DZ125" s="163"/>
      <c r="EA125" s="163"/>
      <c r="EB125" s="163"/>
      <c r="EC125" s="163"/>
      <c r="ED125" s="163"/>
      <c r="EE125" s="163"/>
      <c r="EF125" s="162"/>
      <c r="EG125" s="155"/>
      <c r="EH125" s="155"/>
      <c r="EI125" s="155"/>
      <c r="EJ125" s="155"/>
      <c r="EK125" s="155"/>
      <c r="EL125" s="155"/>
      <c r="EM125" s="155"/>
      <c r="EN125" s="155"/>
      <c r="EO125" s="155"/>
      <c r="EP125" s="155"/>
      <c r="EQ125" s="155"/>
      <c r="ER125" s="155"/>
      <c r="ES125" s="155"/>
      <c r="ET125" s="155"/>
      <c r="EU125" s="155"/>
      <c r="EV125" s="155"/>
      <c r="EW125" s="155"/>
      <c r="EX125" s="155"/>
      <c r="EY125" s="155"/>
      <c r="EZ125" s="155"/>
      <c r="FA125" s="155"/>
      <c r="FB125" s="155"/>
      <c r="FC125" s="155"/>
      <c r="FD125" s="155"/>
      <c r="FE125" s="155"/>
      <c r="FF125" s="155"/>
      <c r="FG125" s="155"/>
      <c r="FH125" s="155"/>
      <c r="FI125" s="155"/>
      <c r="FJ125" s="155"/>
      <c r="FK125" s="155"/>
      <c r="FL125" s="155"/>
      <c r="FM125" s="155"/>
      <c r="FN125" s="155"/>
      <c r="FO125" s="155"/>
      <c r="FP125" s="155"/>
      <c r="FQ125" s="155"/>
      <c r="FR125" s="155"/>
      <c r="FS125" s="155"/>
      <c r="FT125" s="155"/>
      <c r="FU125" s="155"/>
      <c r="FV125" s="155"/>
      <c r="FW125" s="155"/>
      <c r="FX125" s="155"/>
      <c r="FY125" s="155"/>
      <c r="FZ125" s="155"/>
      <c r="GA125" s="155"/>
      <c r="GB125" s="155"/>
      <c r="GC125" s="155"/>
      <c r="GD125" s="155"/>
      <c r="GE125" s="155"/>
      <c r="GF125" s="155"/>
      <c r="GG125" s="155"/>
      <c r="GH125" s="155"/>
      <c r="GI125" s="155"/>
      <c r="GJ125" s="155"/>
      <c r="GK125" s="155"/>
      <c r="GL125" s="155"/>
      <c r="GM125" s="155"/>
      <c r="GN125" s="155"/>
      <c r="GO125" s="155"/>
      <c r="GP125" s="155"/>
      <c r="GQ125" s="155"/>
      <c r="GR125" s="155"/>
      <c r="GS125" s="155"/>
      <c r="GT125" s="155"/>
      <c r="GU125" s="155"/>
      <c r="GV125" s="155"/>
      <c r="GW125" s="155"/>
      <c r="GX125" s="155"/>
      <c r="GY125" s="155"/>
      <c r="GZ125" s="155"/>
      <c r="HA125" s="155"/>
      <c r="HB125" s="155"/>
      <c r="HC125" s="155"/>
      <c r="HD125" s="155"/>
      <c r="HE125" s="155"/>
    </row>
    <row r="126" outlineLevel="1">
      <c r="A126" s="149" t="s">
        <v>343</v>
      </c>
      <c r="B126" s="150" t="str">
        <f>iferror(vlookup(A126,'SoS - Agents Info'!A:H,5,false),"")</f>
        <v>EN</v>
      </c>
      <c r="C126" s="107" t="str">
        <f>iferror(vlookup(A126,'SoS - Agents Info'!A:AQ,43,false),"")</f>
        <v>JM</v>
      </c>
      <c r="D126" s="152" t="str">
        <f>iferror(vlookup(A126,'SoS - Agents Info'!A:H,6,false),"")</f>
        <v>WE+WD</v>
      </c>
      <c r="E126" s="152" t="str">
        <f>iferror(vlookup(A126,'SoS - Agents Info'!A:H,7,false),"")</f>
        <v>08:00-17:00</v>
      </c>
      <c r="F126" s="153">
        <f>IFERROR(__xludf.DUMMYFUNCTION("sum(COUNTIFS(Filter(FILTER('Shiftplan SoS'!G$3:GU166,'Shiftplan SoS'!$G$1:$GU$1&lt;=today()),'Shiftplan SoS'!$A$3:$A166=A126),""&gt;0"",(Filter(FILTER('Shiftplan SoS'!G$3:GU166,'Shiftplan SoS'!$G$1:$GU$1&lt;=today()),'Shiftplan SoS'!$A$3:$A166=A126)),""&lt;12""))"),1.0)</f>
        <v>1</v>
      </c>
      <c r="G126" s="155"/>
      <c r="H126" s="155"/>
      <c r="I126" s="155"/>
      <c r="J126" s="155"/>
      <c r="K126" s="155"/>
      <c r="L126" s="155"/>
      <c r="M126" s="155"/>
      <c r="N126" s="155"/>
      <c r="O126" s="155"/>
      <c r="P126" s="155"/>
      <c r="Q126" s="155"/>
      <c r="R126" s="155"/>
      <c r="S126" s="155"/>
      <c r="T126" s="155"/>
      <c r="U126" s="155"/>
      <c r="V126" s="155"/>
      <c r="W126" s="155"/>
      <c r="X126" s="155"/>
      <c r="Y126" s="155"/>
      <c r="Z126" s="155"/>
      <c r="AA126" s="155"/>
      <c r="AB126" s="155"/>
      <c r="AC126" s="155"/>
      <c r="AD126" s="155"/>
      <c r="AE126" s="155"/>
      <c r="AF126" s="155"/>
      <c r="AG126" s="155"/>
      <c r="AH126" s="155"/>
      <c r="AI126" s="155"/>
      <c r="AJ126" s="155"/>
      <c r="AK126" s="155"/>
      <c r="AL126" s="157">
        <f t="shared" si="29"/>
        <v>0</v>
      </c>
      <c r="AM126" s="155"/>
      <c r="AN126" s="158">
        <v>4.0</v>
      </c>
      <c r="AO126" s="188" t="s">
        <v>170</v>
      </c>
      <c r="AP126" s="188" t="s">
        <v>170</v>
      </c>
      <c r="AQ126" s="188" t="s">
        <v>170</v>
      </c>
      <c r="AR126" s="158" t="s">
        <v>165</v>
      </c>
      <c r="AS126" s="158" t="s">
        <v>165</v>
      </c>
      <c r="AT126" s="188" t="s">
        <v>170</v>
      </c>
      <c r="AU126" s="158" t="s">
        <v>165</v>
      </c>
      <c r="AV126" s="188" t="s">
        <v>170</v>
      </c>
      <c r="AW126" s="158" t="s">
        <v>165</v>
      </c>
      <c r="AX126" s="158" t="s">
        <v>165</v>
      </c>
      <c r="AY126" s="158"/>
      <c r="AZ126" s="158"/>
      <c r="BA126" s="158"/>
      <c r="BB126" s="158"/>
      <c r="BC126" s="158"/>
      <c r="BD126" s="158"/>
      <c r="BE126" s="158"/>
      <c r="BF126" s="158"/>
      <c r="BG126" s="158"/>
      <c r="BH126" s="158"/>
      <c r="BI126" s="158"/>
      <c r="BJ126" s="158"/>
      <c r="BK126" s="158"/>
      <c r="BL126" s="158"/>
      <c r="BM126" s="158"/>
      <c r="BN126" s="158"/>
      <c r="BO126" s="158"/>
      <c r="BP126" s="158"/>
      <c r="BQ126" s="158"/>
      <c r="BR126" s="157"/>
      <c r="BS126" s="155"/>
      <c r="BT126" s="158"/>
      <c r="BU126" s="158"/>
      <c r="BV126" s="158"/>
      <c r="BW126" s="158"/>
      <c r="BX126" s="158"/>
      <c r="BY126" s="158"/>
      <c r="BZ126" s="158"/>
      <c r="CA126" s="158"/>
      <c r="CB126" s="158"/>
      <c r="CC126" s="158"/>
      <c r="CD126" s="158"/>
      <c r="CE126" s="158"/>
      <c r="CF126" s="158"/>
      <c r="CG126" s="158"/>
      <c r="CH126" s="158"/>
      <c r="CI126" s="158"/>
      <c r="CJ126" s="158"/>
      <c r="CK126" s="158"/>
      <c r="CL126" s="158"/>
      <c r="CM126" s="158"/>
      <c r="CN126" s="158"/>
      <c r="CO126" s="158"/>
      <c r="CP126" s="158"/>
      <c r="CQ126" s="158"/>
      <c r="CR126" s="158"/>
      <c r="CS126" s="158"/>
      <c r="CT126" s="158"/>
      <c r="CU126" s="158"/>
      <c r="CV126" s="196"/>
      <c r="CW126" s="196"/>
      <c r="CX126" s="196"/>
      <c r="CY126" s="105">
        <f t="shared" si="30"/>
        <v>0</v>
      </c>
      <c r="CZ126" s="155"/>
      <c r="DA126" s="113" t="s">
        <v>333</v>
      </c>
      <c r="DB126" s="163" t="s">
        <v>333</v>
      </c>
      <c r="DC126" s="163" t="s">
        <v>333</v>
      </c>
      <c r="DD126" s="163" t="s">
        <v>333</v>
      </c>
      <c r="DE126" s="163" t="s">
        <v>333</v>
      </c>
      <c r="DF126" s="163" t="s">
        <v>333</v>
      </c>
      <c r="DG126" s="163" t="s">
        <v>333</v>
      </c>
      <c r="DH126" s="163" t="s">
        <v>333</v>
      </c>
      <c r="DI126" s="163" t="s">
        <v>333</v>
      </c>
      <c r="DJ126" s="163" t="s">
        <v>333</v>
      </c>
      <c r="DK126" s="163" t="s">
        <v>333</v>
      </c>
      <c r="DL126" s="163" t="s">
        <v>333</v>
      </c>
      <c r="DM126" s="163" t="s">
        <v>333</v>
      </c>
      <c r="DN126" s="163" t="s">
        <v>333</v>
      </c>
      <c r="DO126" s="163" t="s">
        <v>333</v>
      </c>
      <c r="DP126" s="163" t="s">
        <v>333</v>
      </c>
      <c r="DQ126" s="163" t="s">
        <v>333</v>
      </c>
      <c r="DR126" s="163" t="s">
        <v>333</v>
      </c>
      <c r="DS126" s="163" t="s">
        <v>333</v>
      </c>
      <c r="DT126" s="163" t="s">
        <v>333</v>
      </c>
      <c r="DU126" s="163" t="s">
        <v>333</v>
      </c>
      <c r="DV126" s="163" t="s">
        <v>333</v>
      </c>
      <c r="DW126" s="163" t="s">
        <v>333</v>
      </c>
      <c r="DX126" s="163" t="s">
        <v>333</v>
      </c>
      <c r="DY126" s="163" t="s">
        <v>333</v>
      </c>
      <c r="DZ126" s="163" t="s">
        <v>333</v>
      </c>
      <c r="EA126" s="163" t="s">
        <v>333</v>
      </c>
      <c r="EB126" s="163" t="s">
        <v>333</v>
      </c>
      <c r="EC126" s="163" t="s">
        <v>333</v>
      </c>
      <c r="ED126" s="163" t="s">
        <v>333</v>
      </c>
      <c r="EE126" s="163" t="s">
        <v>333</v>
      </c>
      <c r="EF126" s="113">
        <f t="shared" ref="EF126:EF144" si="32">sum(DA126:EE126)</f>
        <v>0</v>
      </c>
      <c r="EG126" s="155"/>
      <c r="EH126" s="155"/>
      <c r="EI126" s="155"/>
      <c r="EJ126" s="155"/>
      <c r="EK126" s="155"/>
      <c r="EL126" s="155"/>
      <c r="EM126" s="155"/>
      <c r="EN126" s="155"/>
      <c r="EO126" s="155"/>
      <c r="EP126" s="155"/>
      <c r="EQ126" s="155"/>
      <c r="ER126" s="155"/>
      <c r="ES126" s="155"/>
      <c r="ET126" s="155"/>
      <c r="EU126" s="155"/>
      <c r="EV126" s="155"/>
      <c r="EW126" s="155"/>
      <c r="EX126" s="155"/>
      <c r="EY126" s="155"/>
      <c r="EZ126" s="155"/>
      <c r="FA126" s="155"/>
      <c r="FB126" s="155"/>
      <c r="FC126" s="155"/>
      <c r="FD126" s="155"/>
      <c r="FE126" s="155"/>
      <c r="FF126" s="155"/>
      <c r="FG126" s="155"/>
      <c r="FH126" s="155"/>
      <c r="FI126" s="155"/>
      <c r="FJ126" s="155"/>
      <c r="FK126" s="155"/>
      <c r="FL126" s="155"/>
      <c r="FM126" s="155"/>
      <c r="FN126" s="155"/>
      <c r="FO126" s="155"/>
      <c r="FP126" s="155"/>
      <c r="FQ126" s="155"/>
      <c r="FR126" s="155"/>
      <c r="FS126" s="155"/>
      <c r="FT126" s="155"/>
      <c r="FU126" s="155"/>
      <c r="FV126" s="155"/>
      <c r="FW126" s="155"/>
      <c r="FX126" s="155"/>
      <c r="FY126" s="155"/>
      <c r="FZ126" s="155"/>
      <c r="GA126" s="155"/>
      <c r="GB126" s="155"/>
      <c r="GC126" s="155"/>
      <c r="GD126" s="155"/>
      <c r="GE126" s="155"/>
      <c r="GF126" s="155"/>
      <c r="GG126" s="155"/>
      <c r="GH126" s="155"/>
      <c r="GI126" s="155"/>
      <c r="GJ126" s="155"/>
      <c r="GK126" s="155"/>
      <c r="GL126" s="155"/>
      <c r="GM126" s="155"/>
      <c r="GN126" s="155"/>
      <c r="GO126" s="155"/>
      <c r="GP126" s="155"/>
      <c r="GQ126" s="155"/>
      <c r="GR126" s="155"/>
      <c r="GS126" s="155"/>
      <c r="GT126" s="155"/>
      <c r="GU126" s="155"/>
      <c r="GV126" s="155"/>
      <c r="GW126" s="155"/>
      <c r="GX126" s="155"/>
      <c r="GY126" s="155"/>
      <c r="GZ126" s="155"/>
      <c r="HA126" s="155"/>
      <c r="HB126" s="155"/>
      <c r="HC126" s="155"/>
      <c r="HD126" s="155"/>
      <c r="HE126" s="155"/>
    </row>
    <row r="127" outlineLevel="1">
      <c r="A127" s="149" t="s">
        <v>344</v>
      </c>
      <c r="B127" s="150" t="str">
        <f>iferror(vlookup(A127,'SoS - Agents Info'!A:H,5,false),"")</f>
        <v>EN</v>
      </c>
      <c r="C127" s="107" t="str">
        <f>iferror(vlookup(A127,'SoS - Agents Info'!A:AQ,43,false),"")</f>
        <v>GM+FL
</v>
      </c>
      <c r="D127" s="152" t="str">
        <f>iferror(vlookup(A127,'SoS - Agents Info'!A:H,6,false),"")</f>
        <v>WD</v>
      </c>
      <c r="E127" s="152" t="str">
        <f>iferror(vlookup(A127,'SoS - Agents Info'!A:H,7,false),"")</f>
        <v>09:00-18:00</v>
      </c>
      <c r="F127" s="153">
        <f>IFERROR(__xludf.DUMMYFUNCTION("sum(COUNTIFS(Filter(FILTER('Shiftplan SoS'!G$3:GU166,'Shiftplan SoS'!$G$1:$GU$1&lt;=today()),'Shiftplan SoS'!$A$3:$A166=A127),""&gt;0"",(Filter(FILTER('Shiftplan SoS'!G$3:GU166,'Shiftplan SoS'!$G$1:$GU$1&lt;=today()),'Shiftplan SoS'!$A$3:$A166=A127)),""&lt;12""))"),2.0)</f>
        <v>2</v>
      </c>
      <c r="G127" s="155"/>
      <c r="H127" s="155"/>
      <c r="I127" s="155"/>
      <c r="J127" s="155"/>
      <c r="K127" s="155"/>
      <c r="L127" s="155"/>
      <c r="M127" s="155"/>
      <c r="N127" s="155"/>
      <c r="O127" s="155"/>
      <c r="P127" s="155"/>
      <c r="Q127" s="155"/>
      <c r="R127" s="155"/>
      <c r="S127" s="155"/>
      <c r="T127" s="155"/>
      <c r="U127" s="155"/>
      <c r="V127" s="155"/>
      <c r="W127" s="155"/>
      <c r="X127" s="155"/>
      <c r="Y127" s="155"/>
      <c r="Z127" s="155"/>
      <c r="AA127" s="155"/>
      <c r="AB127" s="155"/>
      <c r="AC127" s="155"/>
      <c r="AD127" s="155"/>
      <c r="AE127" s="155"/>
      <c r="AF127" s="155"/>
      <c r="AG127" s="155"/>
      <c r="AH127" s="155"/>
      <c r="AI127" s="155"/>
      <c r="AJ127" s="155"/>
      <c r="AK127" s="178">
        <v>8.0</v>
      </c>
      <c r="AL127" s="157">
        <f t="shared" si="29"/>
        <v>8</v>
      </c>
      <c r="AM127" s="155"/>
      <c r="AN127" s="158" t="s">
        <v>170</v>
      </c>
      <c r="AO127" s="158" t="s">
        <v>170</v>
      </c>
      <c r="AP127" s="158" t="s">
        <v>170</v>
      </c>
      <c r="AQ127" s="158" t="s">
        <v>170</v>
      </c>
      <c r="AR127" s="158" t="s">
        <v>165</v>
      </c>
      <c r="AS127" s="158" t="s">
        <v>165</v>
      </c>
      <c r="AT127" s="158" t="s">
        <v>170</v>
      </c>
      <c r="AU127" s="158" t="s">
        <v>170</v>
      </c>
      <c r="AV127" s="158"/>
      <c r="AW127" s="158"/>
      <c r="AX127" s="158"/>
      <c r="AY127" s="158"/>
      <c r="AZ127" s="158"/>
      <c r="BA127" s="158"/>
      <c r="BB127" s="158"/>
      <c r="BC127" s="158"/>
      <c r="BD127" s="158"/>
      <c r="BE127" s="158"/>
      <c r="BF127" s="158"/>
      <c r="BG127" s="158"/>
      <c r="BH127" s="158"/>
      <c r="BI127" s="158"/>
      <c r="BJ127" s="158"/>
      <c r="BK127" s="158"/>
      <c r="BL127" s="158"/>
      <c r="BM127" s="158"/>
      <c r="BN127" s="158"/>
      <c r="BO127" s="158"/>
      <c r="BP127" s="158"/>
      <c r="BQ127" s="158"/>
      <c r="BR127" s="157">
        <f t="shared" ref="BR127:BR131" si="33">sum(AN127:BQ127)</f>
        <v>0</v>
      </c>
      <c r="BS127" s="155"/>
      <c r="BT127" s="158" t="s">
        <v>165</v>
      </c>
      <c r="BU127" s="158" t="s">
        <v>165</v>
      </c>
      <c r="BV127" s="158" t="s">
        <v>165</v>
      </c>
      <c r="BW127" s="155"/>
      <c r="BX127" s="155"/>
      <c r="BY127" s="155"/>
      <c r="BZ127" s="155"/>
      <c r="CA127" s="155"/>
      <c r="CB127" s="155"/>
      <c r="CC127" s="155"/>
      <c r="CD127" s="155"/>
      <c r="CE127" s="155"/>
      <c r="CF127" s="155"/>
      <c r="CG127" s="155"/>
      <c r="CH127" s="155"/>
      <c r="CI127" s="155"/>
      <c r="CJ127" s="155"/>
      <c r="CK127" s="155"/>
      <c r="CL127" s="155"/>
      <c r="CM127" s="155"/>
      <c r="CN127" s="155"/>
      <c r="CO127" s="155"/>
      <c r="CP127" s="155"/>
      <c r="CQ127" s="155"/>
      <c r="CR127" s="155"/>
      <c r="CS127" s="155"/>
      <c r="CT127" s="155"/>
      <c r="CU127" s="155"/>
      <c r="CV127" s="155"/>
      <c r="CW127" s="155"/>
      <c r="CX127" s="155"/>
      <c r="CY127" s="105">
        <f t="shared" si="30"/>
        <v>0</v>
      </c>
      <c r="CZ127" s="155"/>
      <c r="DA127" s="113" t="s">
        <v>333</v>
      </c>
      <c r="DB127" s="163" t="s">
        <v>333</v>
      </c>
      <c r="DC127" s="163" t="s">
        <v>333</v>
      </c>
      <c r="DD127" s="163" t="s">
        <v>333</v>
      </c>
      <c r="DE127" s="163" t="s">
        <v>333</v>
      </c>
      <c r="DF127" s="163" t="s">
        <v>333</v>
      </c>
      <c r="DG127" s="163" t="s">
        <v>333</v>
      </c>
      <c r="DH127" s="163" t="s">
        <v>333</v>
      </c>
      <c r="DI127" s="163" t="s">
        <v>333</v>
      </c>
      <c r="DJ127" s="163" t="s">
        <v>333</v>
      </c>
      <c r="DK127" s="163" t="s">
        <v>333</v>
      </c>
      <c r="DL127" s="163" t="s">
        <v>333</v>
      </c>
      <c r="DM127" s="163" t="s">
        <v>333</v>
      </c>
      <c r="DN127" s="163" t="s">
        <v>333</v>
      </c>
      <c r="DO127" s="163" t="s">
        <v>333</v>
      </c>
      <c r="DP127" s="163" t="s">
        <v>333</v>
      </c>
      <c r="DQ127" s="163" t="s">
        <v>333</v>
      </c>
      <c r="DR127" s="163" t="s">
        <v>333</v>
      </c>
      <c r="DS127" s="163" t="s">
        <v>333</v>
      </c>
      <c r="DT127" s="163" t="s">
        <v>333</v>
      </c>
      <c r="DU127" s="163" t="s">
        <v>333</v>
      </c>
      <c r="DV127" s="163" t="s">
        <v>333</v>
      </c>
      <c r="DW127" s="163" t="s">
        <v>333</v>
      </c>
      <c r="DX127" s="163" t="s">
        <v>333</v>
      </c>
      <c r="DY127" s="163" t="s">
        <v>333</v>
      </c>
      <c r="DZ127" s="163" t="s">
        <v>333</v>
      </c>
      <c r="EA127" s="163" t="s">
        <v>333</v>
      </c>
      <c r="EB127" s="163" t="s">
        <v>333</v>
      </c>
      <c r="EC127" s="163" t="s">
        <v>333</v>
      </c>
      <c r="ED127" s="163" t="s">
        <v>333</v>
      </c>
      <c r="EE127" s="163" t="s">
        <v>333</v>
      </c>
      <c r="EF127" s="113">
        <f t="shared" si="32"/>
        <v>0</v>
      </c>
      <c r="EG127" s="155"/>
      <c r="EH127" s="155"/>
      <c r="EI127" s="155"/>
      <c r="EJ127" s="155"/>
      <c r="EK127" s="155"/>
      <c r="EL127" s="155"/>
      <c r="EM127" s="155"/>
      <c r="EN127" s="155"/>
      <c r="EO127" s="155"/>
      <c r="EP127" s="155"/>
      <c r="EQ127" s="155"/>
      <c r="ER127" s="155"/>
      <c r="ES127" s="155"/>
      <c r="ET127" s="155"/>
      <c r="EU127" s="155"/>
      <c r="EV127" s="155"/>
      <c r="EW127" s="155"/>
      <c r="EX127" s="155"/>
      <c r="EY127" s="155"/>
      <c r="EZ127" s="155"/>
      <c r="FA127" s="155"/>
      <c r="FB127" s="155"/>
      <c r="FC127" s="155"/>
      <c r="FD127" s="155"/>
      <c r="FE127" s="155"/>
      <c r="FF127" s="155"/>
      <c r="FG127" s="155"/>
      <c r="FH127" s="155"/>
      <c r="FI127" s="155"/>
      <c r="FJ127" s="155"/>
      <c r="FK127" s="155"/>
      <c r="FL127" s="155"/>
      <c r="FM127" s="155"/>
      <c r="FN127" s="155"/>
      <c r="FO127" s="155"/>
      <c r="FP127" s="155"/>
      <c r="FQ127" s="155"/>
      <c r="FR127" s="155"/>
      <c r="FS127" s="155"/>
      <c r="FT127" s="155"/>
      <c r="FU127" s="155"/>
      <c r="FV127" s="155"/>
      <c r="FW127" s="155"/>
      <c r="FX127" s="155"/>
      <c r="FY127" s="155"/>
      <c r="FZ127" s="155"/>
      <c r="GA127" s="155"/>
      <c r="GB127" s="155"/>
      <c r="GC127" s="155"/>
      <c r="GD127" s="155"/>
      <c r="GE127" s="155"/>
      <c r="GF127" s="155"/>
      <c r="GG127" s="155"/>
      <c r="GH127" s="155"/>
      <c r="GI127" s="155"/>
      <c r="GJ127" s="155"/>
      <c r="GK127" s="155"/>
      <c r="GL127" s="155"/>
      <c r="GM127" s="155"/>
      <c r="GN127" s="155"/>
      <c r="GO127" s="155"/>
      <c r="GP127" s="155"/>
      <c r="GQ127" s="155"/>
      <c r="GR127" s="155"/>
      <c r="GS127" s="155"/>
      <c r="GT127" s="155"/>
      <c r="GU127" s="155"/>
      <c r="GV127" s="155"/>
      <c r="GW127" s="155"/>
      <c r="GX127" s="155"/>
      <c r="GY127" s="155"/>
      <c r="GZ127" s="155"/>
      <c r="HA127" s="155"/>
      <c r="HB127" s="155"/>
      <c r="HC127" s="155"/>
      <c r="HD127" s="155"/>
      <c r="HE127" s="155"/>
    </row>
    <row r="128" outlineLevel="1">
      <c r="A128" s="149" t="s">
        <v>345</v>
      </c>
      <c r="B128" s="150" t="str">
        <f>iferror(vlookup(A128,'SoS - Agents Info'!A:H,5,false),"")</f>
        <v>EN</v>
      </c>
      <c r="C128" s="151" t="str">
        <f>iferror(vlookup(A128,'SoS - Agents Info'!A:AQ,43,false),"")</f>
        <v>FL</v>
      </c>
      <c r="D128" s="152" t="str">
        <f>iferror(vlookup(A128,'SoS - Agents Info'!A:H,6,false),"")</f>
        <v>WE</v>
      </c>
      <c r="E128" s="152" t="str">
        <f>iferror(vlookup(A128,'SoS - Agents Info'!A:H,7,false),"")</f>
        <v>00:00-09:00</v>
      </c>
      <c r="F128" s="153">
        <f>IFERROR(__xludf.DUMMYFUNCTION("sum(COUNTIFS(Filter(FILTER('Shiftplan SoS'!G$3:GU166,'Shiftplan SoS'!$G$1:$GU$1&lt;=today()),'Shiftplan SoS'!$A$3:$A166=A128),""&gt;0"",(Filter(FILTER('Shiftplan SoS'!G$3:GU166,'Shiftplan SoS'!$G$1:$GU$1&lt;=today()),'Shiftplan SoS'!$A$3:$A166=A128)),""&lt;12""))"),27.0)</f>
        <v>27</v>
      </c>
      <c r="G128" s="155"/>
      <c r="H128" s="155"/>
      <c r="I128" s="155"/>
      <c r="J128" s="155"/>
      <c r="K128" s="155"/>
      <c r="L128" s="155"/>
      <c r="M128" s="155"/>
      <c r="N128" s="155"/>
      <c r="O128" s="155"/>
      <c r="P128" s="155"/>
      <c r="Q128" s="155"/>
      <c r="R128" s="155"/>
      <c r="S128" s="155"/>
      <c r="T128" s="155"/>
      <c r="U128" s="155"/>
      <c r="V128" s="155"/>
      <c r="W128" s="155"/>
      <c r="X128" s="155"/>
      <c r="Y128" s="155"/>
      <c r="Z128" s="155"/>
      <c r="AA128" s="155"/>
      <c r="AB128" s="155"/>
      <c r="AC128" s="155"/>
      <c r="AD128" s="155"/>
      <c r="AE128" s="155"/>
      <c r="AF128" s="155"/>
      <c r="AG128" s="155"/>
      <c r="AH128" s="155"/>
      <c r="AI128" s="155"/>
      <c r="AJ128" s="155"/>
      <c r="AK128" s="156"/>
      <c r="AL128" s="157">
        <f t="shared" si="29"/>
        <v>0</v>
      </c>
      <c r="AM128" s="155"/>
      <c r="AN128" s="158">
        <v>8.0</v>
      </c>
      <c r="AO128" s="158">
        <v>8.0</v>
      </c>
      <c r="AP128" s="158">
        <v>8.0</v>
      </c>
      <c r="AQ128" s="158">
        <v>8.0</v>
      </c>
      <c r="AR128" s="158" t="s">
        <v>165</v>
      </c>
      <c r="AS128" s="158" t="s">
        <v>165</v>
      </c>
      <c r="AT128" s="158">
        <v>8.0</v>
      </c>
      <c r="AU128" s="158" t="s">
        <v>165</v>
      </c>
      <c r="AV128" s="158" t="s">
        <v>165</v>
      </c>
      <c r="AW128" s="158" t="s">
        <v>165</v>
      </c>
      <c r="AX128" s="158" t="s">
        <v>165</v>
      </c>
      <c r="AY128" s="158">
        <v>8.0</v>
      </c>
      <c r="AZ128" s="158">
        <v>8.0</v>
      </c>
      <c r="BA128" s="158" t="s">
        <v>165</v>
      </c>
      <c r="BB128" s="158" t="s">
        <v>165</v>
      </c>
      <c r="BC128" s="158" t="s">
        <v>165</v>
      </c>
      <c r="BD128" s="158" t="s">
        <v>165</v>
      </c>
      <c r="BE128" s="158" t="s">
        <v>165</v>
      </c>
      <c r="BF128" s="158">
        <v>8.0</v>
      </c>
      <c r="BG128" s="158">
        <v>8.0</v>
      </c>
      <c r="BH128" s="158" t="s">
        <v>165</v>
      </c>
      <c r="BI128" s="158" t="s">
        <v>165</v>
      </c>
      <c r="BJ128" s="158" t="s">
        <v>165</v>
      </c>
      <c r="BK128" s="158" t="s">
        <v>165</v>
      </c>
      <c r="BL128" s="158" t="s">
        <v>165</v>
      </c>
      <c r="BM128" s="158">
        <v>8.0</v>
      </c>
      <c r="BN128" s="158">
        <v>8.0</v>
      </c>
      <c r="BO128" s="158" t="s">
        <v>165</v>
      </c>
      <c r="BP128" s="158" t="s">
        <v>165</v>
      </c>
      <c r="BQ128" s="158" t="s">
        <v>165</v>
      </c>
      <c r="BR128" s="157">
        <f t="shared" si="33"/>
        <v>88</v>
      </c>
      <c r="BS128" s="155"/>
      <c r="BT128" s="158" t="s">
        <v>165</v>
      </c>
      <c r="BU128" s="158" t="s">
        <v>165</v>
      </c>
      <c r="BV128" s="158">
        <v>8.0</v>
      </c>
      <c r="BW128" s="158">
        <v>8.0</v>
      </c>
      <c r="BX128" s="158" t="s">
        <v>165</v>
      </c>
      <c r="BY128" s="158" t="s">
        <v>165</v>
      </c>
      <c r="BZ128" s="158" t="s">
        <v>165</v>
      </c>
      <c r="CA128" s="158" t="s">
        <v>165</v>
      </c>
      <c r="CB128" s="158" t="s">
        <v>165</v>
      </c>
      <c r="CC128" s="158">
        <v>8.0</v>
      </c>
      <c r="CD128" s="158">
        <v>8.0</v>
      </c>
      <c r="CE128" s="158" t="s">
        <v>165</v>
      </c>
      <c r="CF128" s="158" t="s">
        <v>165</v>
      </c>
      <c r="CG128" s="158" t="s">
        <v>165</v>
      </c>
      <c r="CH128" s="158" t="s">
        <v>165</v>
      </c>
      <c r="CI128" s="158" t="s">
        <v>165</v>
      </c>
      <c r="CJ128" s="158">
        <v>8.0</v>
      </c>
      <c r="CK128" s="158">
        <v>8.0</v>
      </c>
      <c r="CL128" s="158" t="s">
        <v>165</v>
      </c>
      <c r="CM128" s="158" t="s">
        <v>165</v>
      </c>
      <c r="CN128" s="158" t="s">
        <v>165</v>
      </c>
      <c r="CO128" s="158" t="s">
        <v>165</v>
      </c>
      <c r="CP128" s="158" t="s">
        <v>165</v>
      </c>
      <c r="CQ128" s="158">
        <v>8.0</v>
      </c>
      <c r="CR128" s="158">
        <v>8.0</v>
      </c>
      <c r="CS128" s="158" t="s">
        <v>165</v>
      </c>
      <c r="CT128" s="158" t="s">
        <v>165</v>
      </c>
      <c r="CU128" s="158" t="s">
        <v>165</v>
      </c>
      <c r="CV128" s="158" t="s">
        <v>165</v>
      </c>
      <c r="CW128" s="158" t="s">
        <v>165</v>
      </c>
      <c r="CX128" s="158">
        <v>8.0</v>
      </c>
      <c r="CY128" s="157">
        <f t="shared" si="30"/>
        <v>72</v>
      </c>
      <c r="CZ128" s="155"/>
      <c r="DA128" s="162">
        <v>8.0</v>
      </c>
      <c r="DB128" s="163" t="s">
        <v>165</v>
      </c>
      <c r="DC128" s="163" t="s">
        <v>165</v>
      </c>
      <c r="DD128" s="163" t="s">
        <v>165</v>
      </c>
      <c r="DE128" s="163" t="s">
        <v>165</v>
      </c>
      <c r="DF128" s="163" t="s">
        <v>165</v>
      </c>
      <c r="DG128" s="163">
        <v>8.0</v>
      </c>
      <c r="DH128" s="163">
        <v>8.0</v>
      </c>
      <c r="DI128" s="163" t="s">
        <v>165</v>
      </c>
      <c r="DJ128" s="163" t="s">
        <v>165</v>
      </c>
      <c r="DK128" s="163" t="s">
        <v>165</v>
      </c>
      <c r="DL128" s="163" t="s">
        <v>165</v>
      </c>
      <c r="DM128" s="162" t="s">
        <v>165</v>
      </c>
      <c r="DN128" s="163">
        <v>8.0</v>
      </c>
      <c r="DO128" s="163">
        <v>8.0</v>
      </c>
      <c r="DP128" s="163" t="s">
        <v>165</v>
      </c>
      <c r="DQ128" s="163" t="s">
        <v>165</v>
      </c>
      <c r="DR128" s="163" t="s">
        <v>165</v>
      </c>
      <c r="DS128" s="163" t="s">
        <v>165</v>
      </c>
      <c r="DT128" s="163" t="s">
        <v>165</v>
      </c>
      <c r="DU128" s="163">
        <v>8.0</v>
      </c>
      <c r="DV128" s="163">
        <v>8.0</v>
      </c>
      <c r="DW128" s="163" t="s">
        <v>165</v>
      </c>
      <c r="DX128" s="163" t="s">
        <v>165</v>
      </c>
      <c r="DY128" s="163" t="s">
        <v>165</v>
      </c>
      <c r="DZ128" s="163"/>
      <c r="EA128" s="163"/>
      <c r="EB128" s="163"/>
      <c r="EC128" s="163"/>
      <c r="ED128" s="163"/>
      <c r="EE128" s="163"/>
      <c r="EF128" s="162">
        <f t="shared" si="32"/>
        <v>56</v>
      </c>
      <c r="EG128" s="145"/>
      <c r="EH128" s="145"/>
      <c r="EI128" s="145"/>
      <c r="EJ128" s="145"/>
      <c r="EK128" s="145"/>
      <c r="EL128" s="145"/>
      <c r="EM128" s="145"/>
      <c r="EN128" s="145"/>
      <c r="EO128" s="145"/>
      <c r="EP128" s="145"/>
      <c r="EQ128" s="145"/>
      <c r="ER128" s="145"/>
      <c r="ES128" s="145"/>
      <c r="ET128" s="145"/>
      <c r="EU128" s="145"/>
      <c r="EV128" s="145"/>
      <c r="EW128" s="145"/>
      <c r="EX128" s="145"/>
      <c r="EY128" s="145"/>
      <c r="EZ128" s="145"/>
      <c r="FA128" s="145"/>
      <c r="FB128" s="145"/>
      <c r="FC128" s="145"/>
      <c r="FD128" s="145"/>
      <c r="FE128" s="145"/>
      <c r="FF128" s="145"/>
      <c r="FG128" s="145"/>
      <c r="FH128" s="145"/>
      <c r="FI128" s="145"/>
      <c r="FJ128" s="145"/>
      <c r="FK128" s="145"/>
      <c r="FL128" s="145"/>
      <c r="FM128" s="145"/>
      <c r="FN128" s="145"/>
      <c r="FO128" s="145"/>
      <c r="FP128" s="145"/>
      <c r="FQ128" s="145"/>
      <c r="FR128" s="145"/>
      <c r="FS128" s="145"/>
      <c r="FT128" s="145"/>
      <c r="FU128" s="145"/>
      <c r="FV128" s="145"/>
      <c r="FW128" s="145"/>
      <c r="FX128" s="145"/>
      <c r="FY128" s="145"/>
      <c r="FZ128" s="145"/>
      <c r="GA128" s="145"/>
      <c r="GB128" s="145"/>
      <c r="GC128" s="145"/>
      <c r="GD128" s="145"/>
      <c r="GE128" s="145"/>
      <c r="GF128" s="145"/>
      <c r="GG128" s="145"/>
      <c r="GH128" s="145"/>
      <c r="GI128" s="145"/>
      <c r="GJ128" s="145"/>
      <c r="GK128" s="145"/>
      <c r="GL128" s="145"/>
      <c r="GM128" s="145"/>
      <c r="GN128" s="145"/>
      <c r="GO128" s="145"/>
      <c r="GP128" s="145"/>
      <c r="GQ128" s="145"/>
      <c r="GR128" s="145"/>
      <c r="GS128" s="145"/>
      <c r="GT128" s="145"/>
      <c r="GU128" s="145"/>
      <c r="GV128" s="145"/>
      <c r="GW128" s="145"/>
      <c r="GX128" s="145"/>
      <c r="GY128" s="145"/>
      <c r="GZ128" s="145"/>
      <c r="HA128" s="145"/>
      <c r="HB128" s="145"/>
      <c r="HC128" s="145"/>
      <c r="HD128" s="145"/>
      <c r="HE128" s="145"/>
    </row>
    <row r="129" outlineLevel="1">
      <c r="A129" s="197" t="s">
        <v>132</v>
      </c>
      <c r="B129" s="106" t="str">
        <f>iferror(vlookup(A129,'SoS - Agents Info'!A:H,5,false),"")</f>
        <v>RU</v>
      </c>
      <c r="C129" s="107" t="str">
        <f>iferror(vlookup(A129,'SoS - Agents Info'!A:AQ,43,false),"")</f>
        <v/>
      </c>
      <c r="D129" s="108" t="str">
        <f>iferror(vlookup(A129,'SoS - Agents Info'!A:H,6,false),"")</f>
        <v>WE</v>
      </c>
      <c r="E129" s="108" t="str">
        <f>iferror(vlookup(A129,'SoS - Agents Info'!A:H,7,false),"")</f>
        <v>09:00-18:00</v>
      </c>
      <c r="F129" s="109">
        <f>IFERROR(__xludf.DUMMYFUNCTION("sum(COUNTIFS(Filter(FILTER('Shiftplan SoS'!G$3:GU166,'Shiftplan SoS'!$G$1:$GU$1&lt;=today()),'Shiftplan SoS'!$A$3:$A166=A129),""&gt;0"",(Filter(FILTER('Shiftplan SoS'!G$3:GU166,'Shiftplan SoS'!$G$1:$GU$1&lt;=today()),'Shiftplan SoS'!$A$3:$A166=A129)),""&lt;12""))"),0.0)</f>
        <v>0</v>
      </c>
      <c r="G129" s="198" t="s">
        <v>165</v>
      </c>
      <c r="H129" s="198" t="s">
        <v>165</v>
      </c>
      <c r="I129" s="198" t="s">
        <v>165</v>
      </c>
      <c r="J129" s="198" t="s">
        <v>165</v>
      </c>
      <c r="K129" s="198" t="s">
        <v>165</v>
      </c>
      <c r="L129" s="198" t="s">
        <v>165</v>
      </c>
      <c r="M129" s="198" t="s">
        <v>165</v>
      </c>
      <c r="N129" s="198" t="s">
        <v>170</v>
      </c>
      <c r="O129" s="198" t="s">
        <v>170</v>
      </c>
      <c r="P129" s="198" t="s">
        <v>165</v>
      </c>
      <c r="Q129" s="198" t="s">
        <v>165</v>
      </c>
      <c r="R129" s="198" t="s">
        <v>165</v>
      </c>
      <c r="S129" s="198" t="s">
        <v>165</v>
      </c>
      <c r="T129" s="198"/>
      <c r="U129" s="198"/>
      <c r="V129" s="198"/>
      <c r="W129" s="198"/>
      <c r="X129" s="198"/>
      <c r="Y129" s="198"/>
      <c r="Z129" s="198"/>
      <c r="AA129" s="198"/>
      <c r="AB129" s="198"/>
      <c r="AC129" s="198"/>
      <c r="AD129" s="198"/>
      <c r="AE129" s="198"/>
      <c r="AF129" s="198"/>
      <c r="AG129" s="198"/>
      <c r="AH129" s="198"/>
      <c r="AI129" s="198"/>
      <c r="AJ129" s="198"/>
      <c r="AK129" s="199"/>
      <c r="AL129" s="157">
        <f t="shared" si="29"/>
        <v>0</v>
      </c>
      <c r="AM129" s="200"/>
      <c r="AN129" s="200"/>
      <c r="AO129" s="200"/>
      <c r="AP129" s="200"/>
      <c r="AQ129" s="200"/>
      <c r="AR129" s="200"/>
      <c r="AS129" s="200"/>
      <c r="AT129" s="200"/>
      <c r="AU129" s="200"/>
      <c r="AV129" s="200"/>
      <c r="AW129" s="200"/>
      <c r="AX129" s="200"/>
      <c r="AY129" s="198"/>
      <c r="AZ129" s="200"/>
      <c r="BA129" s="200"/>
      <c r="BB129" s="200"/>
      <c r="BC129" s="200"/>
      <c r="BD129" s="200"/>
      <c r="BE129" s="200"/>
      <c r="BF129" s="200"/>
      <c r="BG129" s="200"/>
      <c r="BH129" s="200"/>
      <c r="BI129" s="200"/>
      <c r="BJ129" s="200"/>
      <c r="BK129" s="200"/>
      <c r="BL129" s="200"/>
      <c r="BM129" s="200"/>
      <c r="BN129" s="200"/>
      <c r="BO129" s="200"/>
      <c r="BP129" s="200"/>
      <c r="BQ129" s="200"/>
      <c r="BR129" s="200">
        <f t="shared" si="33"/>
        <v>0</v>
      </c>
      <c r="BS129" s="48"/>
      <c r="BT129" s="200"/>
      <c r="BU129" s="200"/>
      <c r="BV129" s="200"/>
      <c r="BW129" s="200"/>
      <c r="BX129" s="200"/>
      <c r="BY129" s="200"/>
      <c r="BZ129" s="200"/>
      <c r="CA129" s="200"/>
      <c r="CB129" s="200"/>
      <c r="CC129" s="200"/>
      <c r="CD129" s="200"/>
      <c r="CE129" s="200"/>
      <c r="CF129" s="200"/>
      <c r="CG129" s="200"/>
      <c r="CH129" s="200"/>
      <c r="CI129" s="200"/>
      <c r="CJ129" s="200"/>
      <c r="CK129" s="200"/>
      <c r="CL129" s="200"/>
      <c r="CM129" s="200"/>
      <c r="CN129" s="200"/>
      <c r="CO129" s="200"/>
      <c r="CP129" s="200"/>
      <c r="CQ129" s="200"/>
      <c r="CR129" s="200"/>
      <c r="CS129" s="200"/>
      <c r="CT129" s="200"/>
      <c r="CU129" s="200"/>
      <c r="CV129" s="200"/>
      <c r="CW129" s="200"/>
      <c r="CX129" s="200"/>
      <c r="CY129" s="105">
        <f t="shared" si="30"/>
        <v>0</v>
      </c>
      <c r="CZ129" s="200"/>
      <c r="DA129" s="113" t="s">
        <v>333</v>
      </c>
      <c r="DB129" s="162" t="s">
        <v>333</v>
      </c>
      <c r="DC129" s="162" t="s">
        <v>333</v>
      </c>
      <c r="DD129" s="162" t="s">
        <v>333</v>
      </c>
      <c r="DE129" s="162" t="s">
        <v>333</v>
      </c>
      <c r="DF129" s="162" t="s">
        <v>333</v>
      </c>
      <c r="DG129" s="162" t="s">
        <v>333</v>
      </c>
      <c r="DH129" s="162" t="s">
        <v>333</v>
      </c>
      <c r="DI129" s="162" t="s">
        <v>333</v>
      </c>
      <c r="DJ129" s="162" t="s">
        <v>333</v>
      </c>
      <c r="DK129" s="162" t="s">
        <v>333</v>
      </c>
      <c r="DL129" s="162" t="s">
        <v>333</v>
      </c>
      <c r="DM129" s="162" t="s">
        <v>333</v>
      </c>
      <c r="DN129" s="162" t="s">
        <v>333</v>
      </c>
      <c r="DO129" s="162" t="s">
        <v>333</v>
      </c>
      <c r="DP129" s="162" t="s">
        <v>333</v>
      </c>
      <c r="DQ129" s="162" t="s">
        <v>333</v>
      </c>
      <c r="DR129" s="162" t="s">
        <v>333</v>
      </c>
      <c r="DS129" s="162" t="s">
        <v>333</v>
      </c>
      <c r="DT129" s="162" t="s">
        <v>333</v>
      </c>
      <c r="DU129" s="162" t="s">
        <v>333</v>
      </c>
      <c r="DV129" s="162" t="s">
        <v>333</v>
      </c>
      <c r="DW129" s="162" t="s">
        <v>333</v>
      </c>
      <c r="DX129" s="162" t="s">
        <v>333</v>
      </c>
      <c r="DY129" s="162" t="s">
        <v>333</v>
      </c>
      <c r="DZ129" s="162" t="s">
        <v>333</v>
      </c>
      <c r="EA129" s="162" t="s">
        <v>333</v>
      </c>
      <c r="EB129" s="162" t="s">
        <v>333</v>
      </c>
      <c r="EC129" s="162" t="s">
        <v>333</v>
      </c>
      <c r="ED129" s="162" t="s">
        <v>333</v>
      </c>
      <c r="EE129" s="162" t="s">
        <v>333</v>
      </c>
      <c r="EF129" s="113">
        <f t="shared" si="32"/>
        <v>0</v>
      </c>
      <c r="EG129" s="200"/>
      <c r="EH129" s="200"/>
      <c r="EI129" s="200"/>
      <c r="EJ129" s="200"/>
      <c r="EK129" s="200"/>
      <c r="EL129" s="200"/>
      <c r="EM129" s="200"/>
      <c r="EN129" s="200"/>
      <c r="EO129" s="200"/>
      <c r="EP129" s="200"/>
      <c r="EQ129" s="200"/>
      <c r="ER129" s="200"/>
      <c r="ES129" s="200"/>
      <c r="ET129" s="200"/>
      <c r="EU129" s="200"/>
      <c r="EV129" s="200"/>
      <c r="EW129" s="200"/>
      <c r="EX129" s="200"/>
      <c r="EY129" s="200"/>
      <c r="EZ129" s="200"/>
      <c r="FA129" s="200"/>
      <c r="FB129" s="200"/>
      <c r="FC129" s="200"/>
      <c r="FD129" s="200"/>
      <c r="FE129" s="200"/>
      <c r="FF129" s="200"/>
      <c r="FG129" s="200"/>
      <c r="FH129" s="200"/>
      <c r="FI129" s="200"/>
      <c r="FJ129" s="200"/>
      <c r="FK129" s="200"/>
      <c r="FL129" s="200">
        <f t="shared" ref="FL129:FL132" si="34">sum(EH129:FK129)</f>
        <v>0</v>
      </c>
      <c r="FM129" s="200"/>
      <c r="FN129" s="200"/>
      <c r="FO129" s="200"/>
      <c r="FP129" s="200"/>
      <c r="FQ129" s="200"/>
      <c r="FR129" s="200"/>
      <c r="FS129" s="200"/>
      <c r="FT129" s="200"/>
      <c r="FU129" s="200"/>
      <c r="FV129" s="200"/>
      <c r="FW129" s="200"/>
      <c r="FX129" s="200"/>
      <c r="FY129" s="200"/>
      <c r="FZ129" s="200"/>
      <c r="GA129" s="200"/>
      <c r="GB129" s="200"/>
      <c r="GC129" s="200"/>
      <c r="GD129" s="200"/>
      <c r="GE129" s="200"/>
      <c r="GF129" s="200"/>
      <c r="GG129" s="200"/>
      <c r="GH129" s="200"/>
      <c r="GI129" s="200"/>
      <c r="GJ129" s="200"/>
      <c r="GK129" s="200"/>
      <c r="GL129" s="200"/>
      <c r="GM129" s="200"/>
      <c r="GN129" s="200"/>
      <c r="GO129" s="200"/>
      <c r="GP129" s="200"/>
      <c r="GQ129" s="200"/>
      <c r="GR129" s="200"/>
      <c r="GS129" s="200">
        <f t="shared" ref="GS129:GS132" si="35">sum(FN129:GR129)</f>
        <v>0</v>
      </c>
      <c r="GT129" s="200"/>
      <c r="GU129" s="200"/>
      <c r="GV129" s="200"/>
      <c r="GW129" s="200"/>
      <c r="GX129" s="200"/>
      <c r="GY129" s="200"/>
      <c r="GZ129" s="200"/>
      <c r="HA129" s="200"/>
      <c r="HB129" s="200"/>
      <c r="HC129" s="200"/>
      <c r="HD129" s="200"/>
      <c r="HE129" s="200"/>
    </row>
    <row r="130" outlineLevel="1">
      <c r="A130" s="197" t="s">
        <v>134</v>
      </c>
      <c r="B130" s="106" t="str">
        <f>iferror(vlookup(A130,'SoS - Agents Info'!A:H,5,false),"")</f>
        <v>ES</v>
      </c>
      <c r="C130" s="107" t="str">
        <f>iferror(vlookup(A130,'SoS - Agents Info'!A:AQ,43,false),"")</f>
        <v/>
      </c>
      <c r="D130" s="108" t="str">
        <f>iferror(vlookup(A130,'SoS - Agents Info'!A:H,6,false),"")</f>
        <v>WE</v>
      </c>
      <c r="E130" s="108" t="str">
        <f>iferror(vlookup(A130,'SoS - Agents Info'!A:H,7,false),"")</f>
        <v>00:00-09:00</v>
      </c>
      <c r="F130" s="109">
        <f>IFERROR(__xludf.DUMMYFUNCTION("sum(COUNTIFS(Filter(FILTER('Shiftplan SoS'!G$3:GU166,'Shiftplan SoS'!$G$1:$GU$1&lt;=today()),'Shiftplan SoS'!$A$3:$A166=A130),""&gt;0"",(Filter(FILTER('Shiftplan SoS'!G$3:GU166,'Shiftplan SoS'!$G$1:$GU$1&lt;=today()),'Shiftplan SoS'!$A$3:$A166=A130)),""&lt;12""))"),0.0)</f>
        <v>0</v>
      </c>
      <c r="G130" s="198"/>
      <c r="H130" s="198"/>
      <c r="I130" s="198"/>
      <c r="J130" s="198"/>
      <c r="K130" s="198"/>
      <c r="L130" s="198"/>
      <c r="M130" s="198"/>
      <c r="N130" s="198"/>
      <c r="O130" s="198"/>
      <c r="P130" s="198"/>
      <c r="Q130" s="198"/>
      <c r="R130" s="198"/>
      <c r="S130" s="198"/>
      <c r="T130" s="198"/>
      <c r="U130" s="198"/>
      <c r="V130" s="198"/>
      <c r="W130" s="198"/>
      <c r="X130" s="198"/>
      <c r="Y130" s="198"/>
      <c r="Z130" s="198"/>
      <c r="AA130" s="198"/>
      <c r="AB130" s="198"/>
      <c r="AC130" s="198"/>
      <c r="AD130" s="198"/>
      <c r="AE130" s="198"/>
      <c r="AF130" s="198"/>
      <c r="AG130" s="198"/>
      <c r="AH130" s="198"/>
      <c r="AI130" s="198"/>
      <c r="AJ130" s="198"/>
      <c r="AK130" s="199"/>
      <c r="AL130" s="157">
        <f t="shared" si="29"/>
        <v>0</v>
      </c>
      <c r="AM130" s="200"/>
      <c r="AN130" s="200"/>
      <c r="AO130" s="200"/>
      <c r="AP130" s="200"/>
      <c r="AQ130" s="200"/>
      <c r="AR130" s="200"/>
      <c r="AS130" s="200"/>
      <c r="AT130" s="200"/>
      <c r="AU130" s="200"/>
      <c r="AV130" s="200"/>
      <c r="AW130" s="200"/>
      <c r="AX130" s="200"/>
      <c r="AY130" s="198"/>
      <c r="AZ130" s="200"/>
      <c r="BA130" s="200"/>
      <c r="BB130" s="200"/>
      <c r="BC130" s="200"/>
      <c r="BD130" s="200"/>
      <c r="BE130" s="200"/>
      <c r="BF130" s="200"/>
      <c r="BG130" s="200"/>
      <c r="BH130" s="200"/>
      <c r="BI130" s="200"/>
      <c r="BJ130" s="200"/>
      <c r="BK130" s="200"/>
      <c r="BL130" s="200"/>
      <c r="BM130" s="200"/>
      <c r="BN130" s="200"/>
      <c r="BO130" s="200"/>
      <c r="BP130" s="200"/>
      <c r="BQ130" s="200"/>
      <c r="BR130" s="200">
        <f t="shared" si="33"/>
        <v>0</v>
      </c>
      <c r="BS130" s="48"/>
      <c r="BT130" s="200"/>
      <c r="BU130" s="200"/>
      <c r="BV130" s="200"/>
      <c r="BW130" s="200"/>
      <c r="BX130" s="200"/>
      <c r="BY130" s="200"/>
      <c r="BZ130" s="200"/>
      <c r="CA130" s="200"/>
      <c r="CB130" s="200"/>
      <c r="CC130" s="200"/>
      <c r="CD130" s="200"/>
      <c r="CE130" s="200"/>
      <c r="CF130" s="200"/>
      <c r="CG130" s="200"/>
      <c r="CH130" s="200"/>
      <c r="CI130" s="200"/>
      <c r="CJ130" s="200"/>
      <c r="CK130" s="200"/>
      <c r="CL130" s="200"/>
      <c r="CM130" s="200"/>
      <c r="CN130" s="200"/>
      <c r="CO130" s="200"/>
      <c r="CP130" s="200"/>
      <c r="CQ130" s="200"/>
      <c r="CR130" s="200"/>
      <c r="CS130" s="200"/>
      <c r="CT130" s="200"/>
      <c r="CU130" s="200"/>
      <c r="CV130" s="200"/>
      <c r="CW130" s="200"/>
      <c r="CX130" s="200"/>
      <c r="CY130" s="105">
        <f t="shared" si="30"/>
        <v>0</v>
      </c>
      <c r="CZ130" s="200"/>
      <c r="DA130" s="113" t="s">
        <v>333</v>
      </c>
      <c r="DB130" s="162" t="s">
        <v>333</v>
      </c>
      <c r="DC130" s="162" t="s">
        <v>333</v>
      </c>
      <c r="DD130" s="162" t="s">
        <v>333</v>
      </c>
      <c r="DE130" s="162" t="s">
        <v>333</v>
      </c>
      <c r="DF130" s="162" t="s">
        <v>333</v>
      </c>
      <c r="DG130" s="162" t="s">
        <v>333</v>
      </c>
      <c r="DH130" s="162" t="s">
        <v>333</v>
      </c>
      <c r="DI130" s="162" t="s">
        <v>333</v>
      </c>
      <c r="DJ130" s="162" t="s">
        <v>333</v>
      </c>
      <c r="DK130" s="162" t="s">
        <v>333</v>
      </c>
      <c r="DL130" s="162" t="s">
        <v>333</v>
      </c>
      <c r="DM130" s="162" t="s">
        <v>333</v>
      </c>
      <c r="DN130" s="162" t="s">
        <v>333</v>
      </c>
      <c r="DO130" s="162" t="s">
        <v>333</v>
      </c>
      <c r="DP130" s="162" t="s">
        <v>333</v>
      </c>
      <c r="DQ130" s="162" t="s">
        <v>333</v>
      </c>
      <c r="DR130" s="162" t="s">
        <v>333</v>
      </c>
      <c r="DS130" s="162" t="s">
        <v>333</v>
      </c>
      <c r="DT130" s="162" t="s">
        <v>333</v>
      </c>
      <c r="DU130" s="162" t="s">
        <v>333</v>
      </c>
      <c r="DV130" s="162" t="s">
        <v>333</v>
      </c>
      <c r="DW130" s="162" t="s">
        <v>333</v>
      </c>
      <c r="DX130" s="162" t="s">
        <v>333</v>
      </c>
      <c r="DY130" s="162" t="s">
        <v>333</v>
      </c>
      <c r="DZ130" s="162" t="s">
        <v>333</v>
      </c>
      <c r="EA130" s="162" t="s">
        <v>333</v>
      </c>
      <c r="EB130" s="162" t="s">
        <v>333</v>
      </c>
      <c r="EC130" s="162" t="s">
        <v>333</v>
      </c>
      <c r="ED130" s="162" t="s">
        <v>333</v>
      </c>
      <c r="EE130" s="162" t="s">
        <v>333</v>
      </c>
      <c r="EF130" s="113">
        <f t="shared" si="32"/>
        <v>0</v>
      </c>
      <c r="EG130" s="200"/>
      <c r="EH130" s="200"/>
      <c r="EI130" s="200"/>
      <c r="EJ130" s="200"/>
      <c r="EK130" s="200"/>
      <c r="EL130" s="200"/>
      <c r="EM130" s="200"/>
      <c r="EN130" s="200"/>
      <c r="EO130" s="200"/>
      <c r="EP130" s="200"/>
      <c r="EQ130" s="200"/>
      <c r="ER130" s="200"/>
      <c r="ES130" s="200"/>
      <c r="ET130" s="200"/>
      <c r="EU130" s="200"/>
      <c r="EV130" s="200"/>
      <c r="EW130" s="200"/>
      <c r="EX130" s="200"/>
      <c r="EY130" s="200"/>
      <c r="EZ130" s="200"/>
      <c r="FA130" s="200"/>
      <c r="FB130" s="200"/>
      <c r="FC130" s="200"/>
      <c r="FD130" s="200"/>
      <c r="FE130" s="200"/>
      <c r="FF130" s="200"/>
      <c r="FG130" s="200"/>
      <c r="FH130" s="200"/>
      <c r="FI130" s="200"/>
      <c r="FJ130" s="200"/>
      <c r="FK130" s="200"/>
      <c r="FL130" s="200">
        <f t="shared" si="34"/>
        <v>0</v>
      </c>
      <c r="FM130" s="200"/>
      <c r="FN130" s="200"/>
      <c r="FO130" s="200"/>
      <c r="FP130" s="200"/>
      <c r="FQ130" s="200"/>
      <c r="FR130" s="200"/>
      <c r="FS130" s="200"/>
      <c r="FT130" s="200"/>
      <c r="FU130" s="200"/>
      <c r="FV130" s="200"/>
      <c r="FW130" s="200"/>
      <c r="FX130" s="200"/>
      <c r="FY130" s="200"/>
      <c r="FZ130" s="200"/>
      <c r="GA130" s="200"/>
      <c r="GB130" s="200"/>
      <c r="GC130" s="200"/>
      <c r="GD130" s="200"/>
      <c r="GE130" s="200"/>
      <c r="GF130" s="200"/>
      <c r="GG130" s="200"/>
      <c r="GH130" s="200"/>
      <c r="GI130" s="200"/>
      <c r="GJ130" s="200"/>
      <c r="GK130" s="200"/>
      <c r="GL130" s="200"/>
      <c r="GM130" s="200"/>
      <c r="GN130" s="200"/>
      <c r="GO130" s="200"/>
      <c r="GP130" s="200"/>
      <c r="GQ130" s="200"/>
      <c r="GR130" s="200"/>
      <c r="GS130" s="200">
        <f t="shared" si="35"/>
        <v>0</v>
      </c>
      <c r="GT130" s="200"/>
      <c r="GU130" s="200"/>
      <c r="GV130" s="200"/>
      <c r="GW130" s="200"/>
      <c r="GX130" s="200"/>
      <c r="GY130" s="200"/>
      <c r="GZ130" s="200"/>
      <c r="HA130" s="200"/>
      <c r="HB130" s="200"/>
      <c r="HC130" s="200"/>
      <c r="HD130" s="200"/>
      <c r="HE130" s="200"/>
    </row>
    <row r="131" outlineLevel="1">
      <c r="A131" s="197" t="s">
        <v>133</v>
      </c>
      <c r="B131" s="106" t="str">
        <f>iferror(vlookup(A131,'SoS - Agents Info'!A:H,5,false),"")</f>
        <v>DE</v>
      </c>
      <c r="C131" s="107" t="str">
        <f>iferror(vlookup(A131,'SoS - Agents Info'!A:AQ,43,false),"")</f>
        <v>RA+VM</v>
      </c>
      <c r="D131" s="108" t="str">
        <f>iferror(vlookup(A131,'SoS - Agents Info'!A:H,6,false),"")</f>
        <v>WE</v>
      </c>
      <c r="E131" s="108" t="str">
        <f>iferror(vlookup(A131,'SoS - Agents Info'!A:H,7,false),"")</f>
        <v>23:00-8:00</v>
      </c>
      <c r="F131" s="109">
        <f>IFERROR(__xludf.DUMMYFUNCTION("sum(COUNTIFS(Filter(FILTER('Shiftplan SoS'!G$3:GU166,'Shiftplan SoS'!$G$1:$GU$1&lt;=today()),'Shiftplan SoS'!$A$3:$A166=A131),""&gt;0"",(Filter(FILTER('Shiftplan SoS'!G$3:GU166,'Shiftplan SoS'!$G$1:$GU$1&lt;=today()),'Shiftplan SoS'!$A$3:$A166=A131)),""&lt;12""))"),3.0)</f>
        <v>3</v>
      </c>
      <c r="G131" s="198">
        <v>8.0</v>
      </c>
      <c r="H131" s="198">
        <v>8.0</v>
      </c>
      <c r="I131" s="198" t="s">
        <v>165</v>
      </c>
      <c r="J131" s="198" t="s">
        <v>165</v>
      </c>
      <c r="K131" s="198" t="s">
        <v>165</v>
      </c>
      <c r="L131" s="198" t="s">
        <v>165</v>
      </c>
      <c r="M131" s="198" t="s">
        <v>165</v>
      </c>
      <c r="N131" s="198">
        <v>8.0</v>
      </c>
      <c r="O131" s="198" t="s">
        <v>170</v>
      </c>
      <c r="P131" s="198" t="s">
        <v>165</v>
      </c>
      <c r="Q131" s="198" t="s">
        <v>165</v>
      </c>
      <c r="R131" s="198"/>
      <c r="S131" s="198"/>
      <c r="T131" s="198"/>
      <c r="U131" s="198"/>
      <c r="V131" s="198"/>
      <c r="W131" s="198"/>
      <c r="X131" s="198"/>
      <c r="Y131" s="198"/>
      <c r="Z131" s="198"/>
      <c r="AA131" s="198"/>
      <c r="AB131" s="198"/>
      <c r="AC131" s="198"/>
      <c r="AD131" s="198"/>
      <c r="AE131" s="198"/>
      <c r="AF131" s="198"/>
      <c r="AG131" s="198"/>
      <c r="AH131" s="198"/>
      <c r="AI131" s="198"/>
      <c r="AJ131" s="198"/>
      <c r="AK131" s="199"/>
      <c r="AL131" s="157">
        <f t="shared" si="29"/>
        <v>24</v>
      </c>
      <c r="AM131" s="200"/>
      <c r="AN131" s="200"/>
      <c r="AO131" s="200"/>
      <c r="AP131" s="200"/>
      <c r="AQ131" s="200"/>
      <c r="AR131" s="200"/>
      <c r="AS131" s="200"/>
      <c r="AT131" s="200"/>
      <c r="AU131" s="200"/>
      <c r="AV131" s="200"/>
      <c r="AW131" s="200"/>
      <c r="AX131" s="200"/>
      <c r="AY131" s="198"/>
      <c r="AZ131" s="200"/>
      <c r="BA131" s="200"/>
      <c r="BB131" s="200"/>
      <c r="BC131" s="200"/>
      <c r="BD131" s="200"/>
      <c r="BE131" s="200"/>
      <c r="BF131" s="200"/>
      <c r="BG131" s="200"/>
      <c r="BH131" s="200"/>
      <c r="BI131" s="200"/>
      <c r="BJ131" s="200"/>
      <c r="BK131" s="200"/>
      <c r="BL131" s="200"/>
      <c r="BM131" s="200"/>
      <c r="BN131" s="200"/>
      <c r="BO131" s="200"/>
      <c r="BP131" s="200"/>
      <c r="BQ131" s="200"/>
      <c r="BR131" s="200">
        <f t="shared" si="33"/>
        <v>0</v>
      </c>
      <c r="BS131" s="48"/>
      <c r="BT131" s="200"/>
      <c r="BU131" s="200"/>
      <c r="BV131" s="200"/>
      <c r="BW131" s="200"/>
      <c r="BX131" s="200"/>
      <c r="BY131" s="200"/>
      <c r="BZ131" s="200"/>
      <c r="CA131" s="200"/>
      <c r="CB131" s="200"/>
      <c r="CC131" s="200"/>
      <c r="CD131" s="200"/>
      <c r="CE131" s="200"/>
      <c r="CF131" s="200"/>
      <c r="CG131" s="200"/>
      <c r="CH131" s="200"/>
      <c r="CI131" s="200"/>
      <c r="CJ131" s="200"/>
      <c r="CK131" s="200"/>
      <c r="CL131" s="200"/>
      <c r="CM131" s="200"/>
      <c r="CN131" s="200"/>
      <c r="CO131" s="200"/>
      <c r="CP131" s="200"/>
      <c r="CQ131" s="200"/>
      <c r="CR131" s="200"/>
      <c r="CS131" s="200"/>
      <c r="CT131" s="200"/>
      <c r="CU131" s="200"/>
      <c r="CV131" s="200"/>
      <c r="CW131" s="200"/>
      <c r="CX131" s="200"/>
      <c r="CY131" s="105">
        <f t="shared" si="30"/>
        <v>0</v>
      </c>
      <c r="CZ131" s="200"/>
      <c r="DA131" s="113" t="s">
        <v>333</v>
      </c>
      <c r="DB131" s="162" t="s">
        <v>333</v>
      </c>
      <c r="DC131" s="162" t="s">
        <v>333</v>
      </c>
      <c r="DD131" s="162" t="s">
        <v>333</v>
      </c>
      <c r="DE131" s="162" t="s">
        <v>333</v>
      </c>
      <c r="DF131" s="162" t="s">
        <v>333</v>
      </c>
      <c r="DG131" s="162" t="s">
        <v>333</v>
      </c>
      <c r="DH131" s="162" t="s">
        <v>333</v>
      </c>
      <c r="DI131" s="162" t="s">
        <v>333</v>
      </c>
      <c r="DJ131" s="162" t="s">
        <v>333</v>
      </c>
      <c r="DK131" s="162" t="s">
        <v>333</v>
      </c>
      <c r="DL131" s="162" t="s">
        <v>333</v>
      </c>
      <c r="DM131" s="162" t="s">
        <v>333</v>
      </c>
      <c r="DN131" s="162" t="s">
        <v>333</v>
      </c>
      <c r="DO131" s="162" t="s">
        <v>333</v>
      </c>
      <c r="DP131" s="162" t="s">
        <v>333</v>
      </c>
      <c r="DQ131" s="162" t="s">
        <v>333</v>
      </c>
      <c r="DR131" s="162" t="s">
        <v>333</v>
      </c>
      <c r="DS131" s="162" t="s">
        <v>333</v>
      </c>
      <c r="DT131" s="162" t="s">
        <v>333</v>
      </c>
      <c r="DU131" s="162" t="s">
        <v>333</v>
      </c>
      <c r="DV131" s="162" t="s">
        <v>333</v>
      </c>
      <c r="DW131" s="162" t="s">
        <v>333</v>
      </c>
      <c r="DX131" s="162" t="s">
        <v>333</v>
      </c>
      <c r="DY131" s="162" t="s">
        <v>333</v>
      </c>
      <c r="DZ131" s="162" t="s">
        <v>333</v>
      </c>
      <c r="EA131" s="162" t="s">
        <v>333</v>
      </c>
      <c r="EB131" s="162" t="s">
        <v>333</v>
      </c>
      <c r="EC131" s="162" t="s">
        <v>333</v>
      </c>
      <c r="ED131" s="162" t="s">
        <v>333</v>
      </c>
      <c r="EE131" s="162" t="s">
        <v>333</v>
      </c>
      <c r="EF131" s="113">
        <f t="shared" si="32"/>
        <v>0</v>
      </c>
      <c r="EG131" s="200"/>
      <c r="EH131" s="200"/>
      <c r="EI131" s="200"/>
      <c r="EJ131" s="200"/>
      <c r="EK131" s="200"/>
      <c r="EL131" s="200"/>
      <c r="EM131" s="200"/>
      <c r="EN131" s="200"/>
      <c r="EO131" s="200"/>
      <c r="EP131" s="200"/>
      <c r="EQ131" s="200"/>
      <c r="ER131" s="200"/>
      <c r="ES131" s="200"/>
      <c r="ET131" s="200"/>
      <c r="EU131" s="200"/>
      <c r="EV131" s="200"/>
      <c r="EW131" s="200"/>
      <c r="EX131" s="200"/>
      <c r="EY131" s="200"/>
      <c r="EZ131" s="200"/>
      <c r="FA131" s="200"/>
      <c r="FB131" s="200"/>
      <c r="FC131" s="200"/>
      <c r="FD131" s="200"/>
      <c r="FE131" s="200"/>
      <c r="FF131" s="200"/>
      <c r="FG131" s="200"/>
      <c r="FH131" s="200"/>
      <c r="FI131" s="200"/>
      <c r="FJ131" s="200"/>
      <c r="FK131" s="200"/>
      <c r="FL131" s="200">
        <f t="shared" si="34"/>
        <v>0</v>
      </c>
      <c r="FM131" s="200"/>
      <c r="FN131" s="200"/>
      <c r="FO131" s="200"/>
      <c r="FP131" s="200"/>
      <c r="FQ131" s="200"/>
      <c r="FR131" s="200"/>
      <c r="FS131" s="200"/>
      <c r="FT131" s="200"/>
      <c r="FU131" s="200"/>
      <c r="FV131" s="200"/>
      <c r="FW131" s="200"/>
      <c r="FX131" s="200"/>
      <c r="FY131" s="200"/>
      <c r="FZ131" s="200"/>
      <c r="GA131" s="200"/>
      <c r="GB131" s="200"/>
      <c r="GC131" s="200"/>
      <c r="GD131" s="200"/>
      <c r="GE131" s="200"/>
      <c r="GF131" s="200"/>
      <c r="GG131" s="200"/>
      <c r="GH131" s="200"/>
      <c r="GI131" s="200"/>
      <c r="GJ131" s="200"/>
      <c r="GK131" s="200"/>
      <c r="GL131" s="200"/>
      <c r="GM131" s="200"/>
      <c r="GN131" s="200"/>
      <c r="GO131" s="200"/>
      <c r="GP131" s="200"/>
      <c r="GQ131" s="200"/>
      <c r="GR131" s="200"/>
      <c r="GS131" s="200">
        <f t="shared" si="35"/>
        <v>0</v>
      </c>
      <c r="GT131" s="200"/>
      <c r="GU131" s="200"/>
      <c r="GV131" s="200"/>
      <c r="GW131" s="200"/>
      <c r="GX131" s="200"/>
      <c r="GY131" s="200"/>
      <c r="GZ131" s="200"/>
      <c r="HA131" s="200"/>
      <c r="HB131" s="200"/>
      <c r="HC131" s="200"/>
      <c r="HD131" s="200"/>
      <c r="HE131" s="200"/>
    </row>
    <row r="132" outlineLevel="1">
      <c r="A132" s="149" t="s">
        <v>346</v>
      </c>
      <c r="B132" s="150" t="str">
        <f>iferror(vlookup(A132,'SoS - Agents Info'!A:H,5,false),"")</f>
        <v>RU</v>
      </c>
      <c r="C132" s="107" t="str">
        <f>iferror(vlookup(A132,'SoS - Agents Info'!A:AQ,43,false),"")</f>
        <v>GM+FL
</v>
      </c>
      <c r="D132" s="152" t="str">
        <f>iferror(vlookup(A132,'SoS - Agents Info'!A:H,6,false),"")</f>
        <v>WE</v>
      </c>
      <c r="E132" s="152" t="str">
        <f>iferror(vlookup(A132,'SoS - Agents Info'!A:H,7,false),"")</f>
        <v>08:00-17:00</v>
      </c>
      <c r="F132" s="153">
        <f>IFERROR(__xludf.DUMMYFUNCTION("sum(COUNTIFS(Filter(FILTER('Shiftplan SoS'!G$3:GU166,'Shiftplan SoS'!$G$1:$GU$1&lt;=today()),'Shiftplan SoS'!$A$3:$A166=A132),""&gt;0"",(Filter(FILTER('Shiftplan SoS'!G$3:GU166,'Shiftplan SoS'!$G$1:$GU$1&lt;=today()),'Shiftplan SoS'!$A$3:$A166=A132)),""&lt;12""))"),3.0)</f>
        <v>3</v>
      </c>
      <c r="G132" s="200"/>
      <c r="H132" s="200"/>
      <c r="I132" s="200"/>
      <c r="J132" s="200"/>
      <c r="K132" s="200"/>
      <c r="L132" s="200"/>
      <c r="M132" s="200"/>
      <c r="N132" s="200"/>
      <c r="O132" s="200"/>
      <c r="P132" s="200"/>
      <c r="Q132" s="200"/>
      <c r="R132" s="198"/>
      <c r="S132" s="200"/>
      <c r="T132" s="200"/>
      <c r="U132" s="200"/>
      <c r="V132" s="200"/>
      <c r="W132" s="200"/>
      <c r="X132" s="200"/>
      <c r="Y132" s="200"/>
      <c r="Z132" s="200"/>
      <c r="AA132" s="200"/>
      <c r="AB132" s="200"/>
      <c r="AC132" s="200"/>
      <c r="AD132" s="200"/>
      <c r="AE132" s="200"/>
      <c r="AF132" s="200"/>
      <c r="AG132" s="158">
        <v>8.0</v>
      </c>
      <c r="AH132" s="158" t="s">
        <v>165</v>
      </c>
      <c r="AI132" s="158">
        <v>8.0</v>
      </c>
      <c r="AJ132" s="158" t="s">
        <v>165</v>
      </c>
      <c r="AK132" s="178">
        <v>8.0</v>
      </c>
      <c r="AL132" s="157">
        <f t="shared" si="29"/>
        <v>24</v>
      </c>
      <c r="AM132" s="179"/>
      <c r="AN132" s="158"/>
      <c r="AO132" s="158"/>
      <c r="AP132" s="158"/>
      <c r="AQ132" s="158"/>
      <c r="AR132" s="158"/>
      <c r="AS132" s="158"/>
      <c r="AT132" s="158"/>
      <c r="AU132" s="158"/>
      <c r="AV132" s="158"/>
      <c r="AW132" s="158"/>
      <c r="AX132" s="158"/>
      <c r="AY132" s="158"/>
      <c r="AZ132" s="158"/>
      <c r="BA132" s="158"/>
      <c r="BB132" s="158"/>
      <c r="BC132" s="158"/>
      <c r="BD132" s="158"/>
      <c r="BE132" s="158"/>
      <c r="BF132" s="158"/>
      <c r="BG132" s="158"/>
      <c r="BH132" s="158"/>
      <c r="BI132" s="158"/>
      <c r="BJ132" s="158"/>
      <c r="BK132" s="158"/>
      <c r="BL132" s="158"/>
      <c r="BM132" s="158"/>
      <c r="BN132" s="158"/>
      <c r="BO132" s="158"/>
      <c r="BP132" s="158"/>
      <c r="BQ132" s="158"/>
      <c r="BR132" s="157"/>
      <c r="BS132" s="179"/>
      <c r="BT132" s="180"/>
      <c r="BU132" s="180"/>
      <c r="BV132" s="180"/>
      <c r="BW132" s="180"/>
      <c r="BX132" s="180"/>
      <c r="BY132" s="180"/>
      <c r="BZ132" s="180"/>
      <c r="CA132" s="180"/>
      <c r="CB132" s="180"/>
      <c r="CC132" s="180"/>
      <c r="CD132" s="180"/>
      <c r="CE132" s="180"/>
      <c r="CF132" s="180"/>
      <c r="CG132" s="180"/>
      <c r="CH132" s="180"/>
      <c r="CI132" s="180"/>
      <c r="CJ132" s="180"/>
      <c r="CK132" s="180"/>
      <c r="CL132" s="180"/>
      <c r="CM132" s="180"/>
      <c r="CN132" s="180"/>
      <c r="CO132" s="180"/>
      <c r="CP132" s="180"/>
      <c r="CQ132" s="180"/>
      <c r="CR132" s="180"/>
      <c r="CS132" s="180"/>
      <c r="CT132" s="180"/>
      <c r="CU132" s="180"/>
      <c r="CV132" s="180"/>
      <c r="CW132" s="180"/>
      <c r="CX132" s="180"/>
      <c r="CY132" s="105">
        <f t="shared" si="30"/>
        <v>0</v>
      </c>
      <c r="CZ132" s="179"/>
      <c r="DA132" s="113" t="s">
        <v>333</v>
      </c>
      <c r="DB132" s="162" t="s">
        <v>333</v>
      </c>
      <c r="DC132" s="162" t="s">
        <v>333</v>
      </c>
      <c r="DD132" s="162" t="s">
        <v>333</v>
      </c>
      <c r="DE132" s="162" t="s">
        <v>333</v>
      </c>
      <c r="DF132" s="162" t="s">
        <v>333</v>
      </c>
      <c r="DG132" s="162" t="s">
        <v>333</v>
      </c>
      <c r="DH132" s="162" t="s">
        <v>333</v>
      </c>
      <c r="DI132" s="162" t="s">
        <v>333</v>
      </c>
      <c r="DJ132" s="162" t="s">
        <v>333</v>
      </c>
      <c r="DK132" s="162" t="s">
        <v>333</v>
      </c>
      <c r="DL132" s="162" t="s">
        <v>333</v>
      </c>
      <c r="DM132" s="162" t="s">
        <v>333</v>
      </c>
      <c r="DN132" s="162" t="s">
        <v>333</v>
      </c>
      <c r="DO132" s="162" t="s">
        <v>333</v>
      </c>
      <c r="DP132" s="162" t="s">
        <v>333</v>
      </c>
      <c r="DQ132" s="162" t="s">
        <v>333</v>
      </c>
      <c r="DR132" s="162" t="s">
        <v>333</v>
      </c>
      <c r="DS132" s="162" t="s">
        <v>333</v>
      </c>
      <c r="DT132" s="162" t="s">
        <v>333</v>
      </c>
      <c r="DU132" s="162" t="s">
        <v>333</v>
      </c>
      <c r="DV132" s="162" t="s">
        <v>333</v>
      </c>
      <c r="DW132" s="162" t="s">
        <v>333</v>
      </c>
      <c r="DX132" s="162" t="s">
        <v>333</v>
      </c>
      <c r="DY132" s="162" t="s">
        <v>333</v>
      </c>
      <c r="DZ132" s="162" t="s">
        <v>333</v>
      </c>
      <c r="EA132" s="162" t="s">
        <v>333</v>
      </c>
      <c r="EB132" s="162" t="s">
        <v>333</v>
      </c>
      <c r="EC132" s="162" t="s">
        <v>333</v>
      </c>
      <c r="ED132" s="162" t="s">
        <v>333</v>
      </c>
      <c r="EE132" s="162" t="s">
        <v>333</v>
      </c>
      <c r="EF132" s="113">
        <f t="shared" si="32"/>
        <v>0</v>
      </c>
      <c r="EG132" s="179"/>
      <c r="EH132" s="180"/>
      <c r="EI132" s="180"/>
      <c r="EJ132" s="180"/>
      <c r="EK132" s="180"/>
      <c r="EL132" s="180"/>
      <c r="EM132" s="180"/>
      <c r="EN132" s="180"/>
      <c r="EO132" s="180"/>
      <c r="EP132" s="180"/>
      <c r="EQ132" s="180"/>
      <c r="ER132" s="180"/>
      <c r="ES132" s="180"/>
      <c r="ET132" s="180"/>
      <c r="EU132" s="180"/>
      <c r="EV132" s="180"/>
      <c r="EW132" s="180"/>
      <c r="EX132" s="180"/>
      <c r="EY132" s="180"/>
      <c r="EZ132" s="180"/>
      <c r="FA132" s="180"/>
      <c r="FB132" s="180"/>
      <c r="FC132" s="180"/>
      <c r="FD132" s="180"/>
      <c r="FE132" s="180"/>
      <c r="FF132" s="180"/>
      <c r="FG132" s="180"/>
      <c r="FH132" s="180"/>
      <c r="FI132" s="180"/>
      <c r="FJ132" s="180"/>
      <c r="FK132" s="180"/>
      <c r="FL132" s="157">
        <f t="shared" si="34"/>
        <v>0</v>
      </c>
      <c r="FM132" s="179"/>
      <c r="FN132" s="180"/>
      <c r="FO132" s="180"/>
      <c r="FP132" s="180"/>
      <c r="FQ132" s="180"/>
      <c r="FR132" s="180"/>
      <c r="FS132" s="180"/>
      <c r="FT132" s="180"/>
      <c r="FU132" s="180"/>
      <c r="FV132" s="180"/>
      <c r="FW132" s="180"/>
      <c r="FX132" s="180"/>
      <c r="FY132" s="180"/>
      <c r="FZ132" s="180"/>
      <c r="GA132" s="180"/>
      <c r="GB132" s="180"/>
      <c r="GC132" s="180"/>
      <c r="GD132" s="180"/>
      <c r="GE132" s="180"/>
      <c r="GF132" s="180"/>
      <c r="GG132" s="180"/>
      <c r="GH132" s="180"/>
      <c r="GI132" s="180"/>
      <c r="GJ132" s="180"/>
      <c r="GK132" s="180"/>
      <c r="GL132" s="180"/>
      <c r="GM132" s="180"/>
      <c r="GN132" s="180"/>
      <c r="GO132" s="180"/>
      <c r="GP132" s="180"/>
      <c r="GQ132" s="180"/>
      <c r="GR132" s="180"/>
      <c r="GS132" s="157">
        <f t="shared" si="35"/>
        <v>0</v>
      </c>
      <c r="GT132" s="179"/>
      <c r="GU132" s="180"/>
      <c r="GV132" s="180"/>
      <c r="GW132" s="180"/>
      <c r="GX132" s="180"/>
      <c r="GY132" s="180"/>
      <c r="GZ132" s="180"/>
      <c r="HA132" s="180"/>
      <c r="HB132" s="180"/>
      <c r="HC132" s="180"/>
      <c r="HD132" s="180"/>
      <c r="HE132" s="180"/>
    </row>
    <row r="133" outlineLevel="1">
      <c r="A133" s="201" t="s">
        <v>347</v>
      </c>
      <c r="B133" s="106" t="str">
        <f>iferror(vlookup(A133,'SoS - Agents Info'!A:H,5,false),"")</f>
        <v>EN/IT</v>
      </c>
      <c r="C133" s="107" t="str">
        <f>iferror(vlookup(A133,'SoS - Agents Info'!A:AQ,43,false),"")</f>
        <v>JM</v>
      </c>
      <c r="D133" s="108" t="str">
        <f>iferror(vlookup(A133,'SoS - Agents Info'!A:H,6,false),"")</f>
        <v>WE</v>
      </c>
      <c r="E133" s="108" t="str">
        <f>iferror(vlookup(A133,'SoS - Agents Info'!A:H,7,false),"")</f>
        <v>16:00-1:00</v>
      </c>
      <c r="F133" s="109">
        <f>IFERROR(__xludf.DUMMYFUNCTION("sum(COUNTIFS(Filter(FILTER('Shiftplan SoS'!G$3:GU166,'Shiftplan SoS'!$G$1:$GU$1&lt;=today()),'Shiftplan SoS'!$A$3:$A166=A133),""&gt;0"",(Filter(FILTER('Shiftplan SoS'!G$3:GU166,'Shiftplan SoS'!$G$1:$GU$1&lt;=today()),'Shiftplan SoS'!$A$3:$A166=A133)),""&lt;12""))"),0.0)</f>
        <v>0</v>
      </c>
      <c r="G133" s="200"/>
      <c r="H133" s="200"/>
      <c r="I133" s="200"/>
      <c r="J133" s="200"/>
      <c r="K133" s="200"/>
      <c r="L133" s="200"/>
      <c r="M133" s="200"/>
      <c r="N133" s="200"/>
      <c r="O133" s="200"/>
      <c r="P133" s="200"/>
      <c r="Q133" s="200"/>
      <c r="R133" s="198"/>
      <c r="S133" s="200"/>
      <c r="T133" s="200"/>
      <c r="U133" s="200"/>
      <c r="V133" s="200"/>
      <c r="W133" s="200"/>
      <c r="X133" s="200"/>
      <c r="Y133" s="200"/>
      <c r="Z133" s="198"/>
      <c r="AA133" s="198"/>
      <c r="AB133" s="198"/>
      <c r="AC133" s="198"/>
      <c r="AD133" s="135"/>
      <c r="AE133" s="198"/>
      <c r="AF133" s="198"/>
      <c r="AG133" s="198"/>
      <c r="AH133" s="198"/>
      <c r="AI133" s="198"/>
      <c r="AJ133" s="198"/>
      <c r="AK133" s="199"/>
      <c r="AL133" s="157">
        <f t="shared" si="29"/>
        <v>0</v>
      </c>
      <c r="AM133" s="200"/>
      <c r="AN133" s="200"/>
      <c r="AO133" s="200"/>
      <c r="AP133" s="200"/>
      <c r="AQ133" s="200"/>
      <c r="AR133" s="200"/>
      <c r="AS133" s="200"/>
      <c r="AT133" s="200"/>
      <c r="AU133" s="200"/>
      <c r="AV133" s="200"/>
      <c r="AW133" s="200"/>
      <c r="AX133" s="200"/>
      <c r="AY133" s="198"/>
      <c r="AZ133" s="200"/>
      <c r="BA133" s="200"/>
      <c r="BB133" s="200"/>
      <c r="BC133" s="200"/>
      <c r="BD133" s="200"/>
      <c r="BE133" s="200"/>
      <c r="BF133" s="200"/>
      <c r="BG133" s="200"/>
      <c r="BH133" s="200"/>
      <c r="BI133" s="200"/>
      <c r="BJ133" s="200"/>
      <c r="BK133" s="200"/>
      <c r="BL133" s="200"/>
      <c r="BM133" s="200"/>
      <c r="BN133" s="200"/>
      <c r="BO133" s="200"/>
      <c r="BP133" s="200"/>
      <c r="BQ133" s="200"/>
      <c r="BR133" s="200"/>
      <c r="BS133" s="48"/>
      <c r="BT133" s="200"/>
      <c r="BU133" s="200"/>
      <c r="BV133" s="200"/>
      <c r="BW133" s="200"/>
      <c r="BX133" s="200"/>
      <c r="BY133" s="200"/>
      <c r="BZ133" s="200"/>
      <c r="CA133" s="200"/>
      <c r="CB133" s="200"/>
      <c r="CC133" s="200"/>
      <c r="CD133" s="200"/>
      <c r="CE133" s="200"/>
      <c r="CF133" s="200"/>
      <c r="CG133" s="200"/>
      <c r="CH133" s="200"/>
      <c r="CI133" s="200"/>
      <c r="CJ133" s="200"/>
      <c r="CK133" s="200"/>
      <c r="CL133" s="200"/>
      <c r="CM133" s="200"/>
      <c r="CN133" s="200"/>
      <c r="CO133" s="200"/>
      <c r="CP133" s="200"/>
      <c r="CQ133" s="200"/>
      <c r="CR133" s="200"/>
      <c r="CS133" s="200"/>
      <c r="CT133" s="200"/>
      <c r="CU133" s="200"/>
      <c r="CV133" s="200"/>
      <c r="CW133" s="200"/>
      <c r="CX133" s="200"/>
      <c r="CY133" s="105">
        <f t="shared" si="30"/>
        <v>0</v>
      </c>
      <c r="CZ133" s="200"/>
      <c r="DA133" s="113" t="s">
        <v>333</v>
      </c>
      <c r="DB133" s="162" t="s">
        <v>333</v>
      </c>
      <c r="DC133" s="162" t="s">
        <v>333</v>
      </c>
      <c r="DD133" s="162" t="s">
        <v>333</v>
      </c>
      <c r="DE133" s="162" t="s">
        <v>333</v>
      </c>
      <c r="DF133" s="162" t="s">
        <v>333</v>
      </c>
      <c r="DG133" s="162" t="s">
        <v>333</v>
      </c>
      <c r="DH133" s="162" t="s">
        <v>333</v>
      </c>
      <c r="DI133" s="162" t="s">
        <v>333</v>
      </c>
      <c r="DJ133" s="162" t="s">
        <v>333</v>
      </c>
      <c r="DK133" s="162" t="s">
        <v>333</v>
      </c>
      <c r="DL133" s="162" t="s">
        <v>333</v>
      </c>
      <c r="DM133" s="162" t="s">
        <v>333</v>
      </c>
      <c r="DN133" s="162" t="s">
        <v>333</v>
      </c>
      <c r="DO133" s="162" t="s">
        <v>333</v>
      </c>
      <c r="DP133" s="162" t="s">
        <v>333</v>
      </c>
      <c r="DQ133" s="162" t="s">
        <v>333</v>
      </c>
      <c r="DR133" s="162" t="s">
        <v>333</v>
      </c>
      <c r="DS133" s="162" t="s">
        <v>333</v>
      </c>
      <c r="DT133" s="162" t="s">
        <v>333</v>
      </c>
      <c r="DU133" s="162" t="s">
        <v>333</v>
      </c>
      <c r="DV133" s="162" t="s">
        <v>333</v>
      </c>
      <c r="DW133" s="162" t="s">
        <v>333</v>
      </c>
      <c r="DX133" s="162" t="s">
        <v>333</v>
      </c>
      <c r="DY133" s="162" t="s">
        <v>333</v>
      </c>
      <c r="DZ133" s="162" t="s">
        <v>333</v>
      </c>
      <c r="EA133" s="162" t="s">
        <v>333</v>
      </c>
      <c r="EB133" s="162" t="s">
        <v>333</v>
      </c>
      <c r="EC133" s="162" t="s">
        <v>333</v>
      </c>
      <c r="ED133" s="162" t="s">
        <v>333</v>
      </c>
      <c r="EE133" s="162" t="s">
        <v>333</v>
      </c>
      <c r="EF133" s="113">
        <f t="shared" si="32"/>
        <v>0</v>
      </c>
      <c r="EG133" s="200"/>
      <c r="EH133" s="200"/>
      <c r="EI133" s="200"/>
      <c r="EJ133" s="200"/>
      <c r="EK133" s="200"/>
      <c r="EL133" s="200"/>
      <c r="EM133" s="200"/>
      <c r="EN133" s="200"/>
      <c r="EO133" s="200"/>
      <c r="EP133" s="200"/>
      <c r="EQ133" s="200"/>
      <c r="ER133" s="200"/>
      <c r="ES133" s="200"/>
      <c r="ET133" s="200"/>
      <c r="EU133" s="200"/>
      <c r="EV133" s="200"/>
      <c r="EW133" s="200"/>
      <c r="EX133" s="200"/>
      <c r="EY133" s="200"/>
      <c r="EZ133" s="200"/>
      <c r="FA133" s="200"/>
      <c r="FB133" s="200"/>
      <c r="FC133" s="200"/>
      <c r="FD133" s="200"/>
      <c r="FE133" s="200"/>
      <c r="FF133" s="200"/>
      <c r="FG133" s="200"/>
      <c r="FH133" s="200"/>
      <c r="FI133" s="200"/>
      <c r="FJ133" s="200"/>
      <c r="FK133" s="200"/>
      <c r="FL133" s="200"/>
      <c r="FM133" s="200"/>
      <c r="FN133" s="200"/>
      <c r="FO133" s="200"/>
      <c r="FP133" s="200"/>
      <c r="FQ133" s="200"/>
      <c r="FR133" s="200"/>
      <c r="FS133" s="200"/>
      <c r="FT133" s="200"/>
      <c r="FU133" s="200"/>
      <c r="FV133" s="200"/>
      <c r="FW133" s="200"/>
      <c r="FX133" s="200"/>
      <c r="FY133" s="200"/>
      <c r="FZ133" s="200"/>
      <c r="GA133" s="200"/>
      <c r="GB133" s="200"/>
      <c r="GC133" s="200"/>
      <c r="GD133" s="200"/>
      <c r="GE133" s="200"/>
      <c r="GF133" s="200"/>
      <c r="GG133" s="200"/>
      <c r="GH133" s="200"/>
      <c r="GI133" s="200"/>
      <c r="GJ133" s="200"/>
      <c r="GK133" s="200"/>
      <c r="GL133" s="200"/>
      <c r="GM133" s="200"/>
      <c r="GN133" s="200"/>
      <c r="GO133" s="200"/>
      <c r="GP133" s="200"/>
      <c r="GQ133" s="200"/>
      <c r="GR133" s="200"/>
      <c r="GS133" s="200"/>
      <c r="GT133" s="200"/>
      <c r="GU133" s="200"/>
      <c r="GV133" s="200"/>
      <c r="GW133" s="200"/>
      <c r="GX133" s="200"/>
      <c r="GY133" s="200"/>
      <c r="GZ133" s="200"/>
      <c r="HA133" s="200"/>
      <c r="HB133" s="200"/>
      <c r="HC133" s="200"/>
      <c r="HD133" s="200"/>
      <c r="HE133" s="200"/>
    </row>
    <row r="134" outlineLevel="1">
      <c r="A134" s="186" t="s">
        <v>348</v>
      </c>
      <c r="B134" s="150" t="str">
        <f>iferror(vlookup(A134,'SoS - Agents Info'!A:H,5,false),"")</f>
        <v>EN</v>
      </c>
      <c r="C134" s="151" t="str">
        <f>iferror(vlookup(A134,'SoS - Agents Info'!A:AQ,43,false),"")</f>
        <v>FL</v>
      </c>
      <c r="D134" s="152" t="str">
        <f>iferror(vlookup(A134,'SoS - Agents Info'!A:H,6,false),"")</f>
        <v>WE+WD</v>
      </c>
      <c r="E134" s="152" t="str">
        <f>iferror(vlookup(A134,'SoS - Agents Info'!A:H,7,false),"")</f>
        <v>00:00-09:00</v>
      </c>
      <c r="F134" s="153">
        <f>IFERROR(__xludf.DUMMYFUNCTION("sum(COUNTIFS(Filter(FILTER('Shiftplan SoS'!G$3:GU166,'Shiftplan SoS'!$G$1:$GU$1&lt;=today()),'Shiftplan SoS'!$A$3:$A166=A134),""&gt;0"",(Filter(FILTER('Shiftplan SoS'!G$3:GU166,'Shiftplan SoS'!$G$1:$GU$1&lt;=today()),'Shiftplan SoS'!$A$3:$A166=A134)),""&lt;12""))"),41.0)</f>
        <v>41</v>
      </c>
      <c r="G134" s="200"/>
      <c r="H134" s="200"/>
      <c r="I134" s="200"/>
      <c r="J134" s="200"/>
      <c r="K134" s="200"/>
      <c r="L134" s="200"/>
      <c r="M134" s="200"/>
      <c r="N134" s="200"/>
      <c r="O134" s="200"/>
      <c r="P134" s="200"/>
      <c r="Q134" s="200"/>
      <c r="R134" s="198"/>
      <c r="S134" s="200"/>
      <c r="T134" s="200"/>
      <c r="U134" s="200"/>
      <c r="V134" s="200"/>
      <c r="W134" s="200"/>
      <c r="X134" s="200"/>
      <c r="Y134" s="200"/>
      <c r="Z134" s="200"/>
      <c r="AA134" s="200"/>
      <c r="AB134" s="200"/>
      <c r="AC134" s="200"/>
      <c r="AD134" s="200"/>
      <c r="AE134" s="200"/>
      <c r="AF134" s="158">
        <v>8.0</v>
      </c>
      <c r="AG134" s="158">
        <v>8.0</v>
      </c>
      <c r="AH134" s="158">
        <v>8.0</v>
      </c>
      <c r="AI134" s="202">
        <v>8.0</v>
      </c>
      <c r="AJ134" s="158" t="s">
        <v>165</v>
      </c>
      <c r="AK134" s="178">
        <v>8.0</v>
      </c>
      <c r="AL134" s="157">
        <f t="shared" si="29"/>
        <v>40</v>
      </c>
      <c r="AM134" s="179"/>
      <c r="AN134" s="158" t="s">
        <v>165</v>
      </c>
      <c r="AO134" s="158" t="s">
        <v>165</v>
      </c>
      <c r="AP134" s="158" t="s">
        <v>165</v>
      </c>
      <c r="AQ134" s="158">
        <v>8.0</v>
      </c>
      <c r="AR134" s="202">
        <v>8.0</v>
      </c>
      <c r="AS134" s="158">
        <v>8.0</v>
      </c>
      <c r="AT134" s="158">
        <v>8.0</v>
      </c>
      <c r="AU134" s="158" t="s">
        <v>165</v>
      </c>
      <c r="AV134" s="158" t="s">
        <v>165</v>
      </c>
      <c r="AW134" s="158" t="s">
        <v>165</v>
      </c>
      <c r="AX134" s="158">
        <v>8.0</v>
      </c>
      <c r="AY134" s="158">
        <v>8.0</v>
      </c>
      <c r="AZ134" s="158">
        <v>8.0</v>
      </c>
      <c r="BA134" s="158">
        <v>8.0</v>
      </c>
      <c r="BB134" s="158" t="s">
        <v>165</v>
      </c>
      <c r="BC134" s="158" t="s">
        <v>165</v>
      </c>
      <c r="BD134" s="158" t="s">
        <v>165</v>
      </c>
      <c r="BE134" s="158">
        <v>8.0</v>
      </c>
      <c r="BF134" s="158">
        <v>8.0</v>
      </c>
      <c r="BG134" s="158">
        <v>8.0</v>
      </c>
      <c r="BH134" s="158">
        <v>8.0</v>
      </c>
      <c r="BI134" s="158" t="s">
        <v>165</v>
      </c>
      <c r="BJ134" s="158" t="s">
        <v>165</v>
      </c>
      <c r="BK134" s="158" t="s">
        <v>165</v>
      </c>
      <c r="BL134" s="158">
        <v>8.0</v>
      </c>
      <c r="BM134" s="158" t="s">
        <v>170</v>
      </c>
      <c r="BN134" s="158">
        <v>8.0</v>
      </c>
      <c r="BO134" s="158">
        <v>8.0</v>
      </c>
      <c r="BP134" s="158" t="s">
        <v>165</v>
      </c>
      <c r="BQ134" s="158" t="s">
        <v>165</v>
      </c>
      <c r="BR134" s="157">
        <f t="shared" ref="BR134:BR143" si="36">sum(AN134:BQ134)</f>
        <v>120</v>
      </c>
      <c r="BS134" s="179"/>
      <c r="BT134" s="158" t="s">
        <v>165</v>
      </c>
      <c r="BU134" s="158">
        <v>8.0</v>
      </c>
      <c r="BV134" s="158">
        <v>8.0</v>
      </c>
      <c r="BW134" s="158">
        <v>8.0</v>
      </c>
      <c r="BX134" s="158">
        <v>8.0</v>
      </c>
      <c r="BY134" s="158" t="s">
        <v>165</v>
      </c>
      <c r="BZ134" s="158" t="s">
        <v>165</v>
      </c>
      <c r="CA134" s="158" t="s">
        <v>165</v>
      </c>
      <c r="CB134" s="158">
        <v>8.0</v>
      </c>
      <c r="CC134" s="158">
        <v>8.0</v>
      </c>
      <c r="CD134" s="158">
        <v>8.0</v>
      </c>
      <c r="CE134" s="158">
        <v>8.0</v>
      </c>
      <c r="CF134" s="158" t="s">
        <v>165</v>
      </c>
      <c r="CG134" s="158" t="s">
        <v>165</v>
      </c>
      <c r="CH134" s="158" t="s">
        <v>165</v>
      </c>
      <c r="CI134" s="158">
        <v>8.0</v>
      </c>
      <c r="CJ134" s="158">
        <v>8.0</v>
      </c>
      <c r="CK134" s="158" t="s">
        <v>245</v>
      </c>
      <c r="CL134" s="158">
        <v>8.0</v>
      </c>
      <c r="CM134" s="158" t="s">
        <v>165</v>
      </c>
      <c r="CN134" s="158" t="s">
        <v>165</v>
      </c>
      <c r="CO134" s="158" t="s">
        <v>165</v>
      </c>
      <c r="CP134" s="158">
        <v>8.0</v>
      </c>
      <c r="CQ134" s="158">
        <v>8.0</v>
      </c>
      <c r="CR134" s="158">
        <v>8.0</v>
      </c>
      <c r="CS134" s="158">
        <v>8.0</v>
      </c>
      <c r="CT134" s="158" t="s">
        <v>165</v>
      </c>
      <c r="CU134" s="158" t="s">
        <v>165</v>
      </c>
      <c r="CV134" s="158" t="s">
        <v>165</v>
      </c>
      <c r="CW134" s="158">
        <v>8.0</v>
      </c>
      <c r="CX134" s="158" t="s">
        <v>245</v>
      </c>
      <c r="CY134" s="157">
        <f t="shared" si="30"/>
        <v>128</v>
      </c>
      <c r="CZ134" s="179"/>
      <c r="DA134" s="162">
        <v>8.0</v>
      </c>
      <c r="DB134" s="162">
        <v>8.0</v>
      </c>
      <c r="DC134" s="162" t="s">
        <v>165</v>
      </c>
      <c r="DD134" s="162" t="s">
        <v>165</v>
      </c>
      <c r="DE134" s="162" t="s">
        <v>165</v>
      </c>
      <c r="DF134" s="162">
        <v>8.0</v>
      </c>
      <c r="DG134" s="162">
        <v>8.0</v>
      </c>
      <c r="DH134" s="182" t="s">
        <v>245</v>
      </c>
      <c r="DI134" s="162">
        <v>8.0</v>
      </c>
      <c r="DJ134" s="162" t="s">
        <v>165</v>
      </c>
      <c r="DK134" s="182" t="s">
        <v>170</v>
      </c>
      <c r="DL134" s="162" t="s">
        <v>165</v>
      </c>
      <c r="DM134" s="182" t="s">
        <v>245</v>
      </c>
      <c r="DN134" s="182" t="s">
        <v>245</v>
      </c>
      <c r="DO134" s="182" t="s">
        <v>245</v>
      </c>
      <c r="DP134" s="182" t="s">
        <v>245</v>
      </c>
      <c r="DQ134" s="162" t="s">
        <v>165</v>
      </c>
      <c r="DR134" s="162" t="s">
        <v>165</v>
      </c>
      <c r="DS134" s="162" t="s">
        <v>165</v>
      </c>
      <c r="DT134" s="182" t="s">
        <v>170</v>
      </c>
      <c r="DU134" s="182" t="s">
        <v>165</v>
      </c>
      <c r="DV134" s="182" t="s">
        <v>170</v>
      </c>
      <c r="DW134" s="182" t="s">
        <v>170</v>
      </c>
      <c r="DX134" s="162" t="s">
        <v>165</v>
      </c>
      <c r="DY134" s="162" t="s">
        <v>165</v>
      </c>
      <c r="DZ134" s="162" t="s">
        <v>165</v>
      </c>
      <c r="EA134" s="182" t="s">
        <v>170</v>
      </c>
      <c r="EB134" s="182" t="s">
        <v>170</v>
      </c>
      <c r="EC134" s="182" t="s">
        <v>170</v>
      </c>
      <c r="ED134" s="182" t="s">
        <v>170</v>
      </c>
      <c r="EE134" s="162" t="s">
        <v>165</v>
      </c>
      <c r="EF134" s="162">
        <f t="shared" si="32"/>
        <v>40</v>
      </c>
      <c r="EG134" s="179"/>
      <c r="EH134" s="180"/>
      <c r="EI134" s="180"/>
      <c r="EJ134" s="180"/>
      <c r="EK134" s="180"/>
      <c r="EL134" s="180"/>
      <c r="EM134" s="180"/>
      <c r="EN134" s="180"/>
      <c r="EO134" s="180"/>
      <c r="EP134" s="180"/>
      <c r="EQ134" s="180"/>
      <c r="ER134" s="180"/>
      <c r="ES134" s="180"/>
      <c r="ET134" s="180"/>
      <c r="EU134" s="180"/>
      <c r="EV134" s="180"/>
      <c r="EW134" s="180"/>
      <c r="EX134" s="180"/>
      <c r="EY134" s="180"/>
      <c r="EZ134" s="180"/>
      <c r="FA134" s="180"/>
      <c r="FB134" s="180"/>
      <c r="FC134" s="180"/>
      <c r="FD134" s="180"/>
      <c r="FE134" s="180"/>
      <c r="FF134" s="180"/>
      <c r="FG134" s="180"/>
      <c r="FH134" s="180"/>
      <c r="FI134" s="180"/>
      <c r="FJ134" s="180"/>
      <c r="FK134" s="180"/>
      <c r="FL134" s="157">
        <f t="shared" ref="FL134:FL142" si="37">sum(EH134:FK134)</f>
        <v>0</v>
      </c>
      <c r="FM134" s="179"/>
      <c r="FN134" s="180"/>
      <c r="FO134" s="180"/>
      <c r="FP134" s="180"/>
      <c r="FQ134" s="180"/>
      <c r="FR134" s="180"/>
      <c r="FS134" s="180"/>
      <c r="FT134" s="180"/>
      <c r="FU134" s="180"/>
      <c r="FV134" s="180"/>
      <c r="FW134" s="180"/>
      <c r="FX134" s="180"/>
      <c r="FY134" s="180"/>
      <c r="FZ134" s="180"/>
      <c r="GA134" s="180"/>
      <c r="GB134" s="180"/>
      <c r="GC134" s="180"/>
      <c r="GD134" s="180"/>
      <c r="GE134" s="180"/>
      <c r="GF134" s="180"/>
      <c r="GG134" s="180"/>
      <c r="GH134" s="180"/>
      <c r="GI134" s="180"/>
      <c r="GJ134" s="180"/>
      <c r="GK134" s="180"/>
      <c r="GL134" s="180"/>
      <c r="GM134" s="180"/>
      <c r="GN134" s="180"/>
      <c r="GO134" s="180"/>
      <c r="GP134" s="180"/>
      <c r="GQ134" s="180"/>
      <c r="GR134" s="180"/>
      <c r="GS134" s="157">
        <f t="shared" ref="GS134:GS142" si="38">sum(FN134:GR134)</f>
        <v>0</v>
      </c>
      <c r="GT134" s="179"/>
      <c r="GU134" s="180"/>
      <c r="GV134" s="180"/>
      <c r="GW134" s="180"/>
      <c r="GX134" s="180"/>
      <c r="GY134" s="180"/>
      <c r="GZ134" s="180"/>
      <c r="HA134" s="180"/>
      <c r="HB134" s="180"/>
      <c r="HC134" s="180"/>
      <c r="HD134" s="180"/>
      <c r="HE134" s="180"/>
    </row>
    <row r="135" outlineLevel="1">
      <c r="A135" s="149" t="s">
        <v>349</v>
      </c>
      <c r="B135" s="150" t="str">
        <f>iferror(vlookup(A135,'SoS - Agents Info'!A:H,5,false),"")</f>
        <v>EN</v>
      </c>
      <c r="C135" s="151" t="str">
        <f>iferror(vlookup(A135,'SoS - Agents Info'!A:AQ,43,false),"")</f>
        <v>JM</v>
      </c>
      <c r="D135" s="152" t="str">
        <f>iferror(vlookup(A135,'SoS - Agents Info'!A:H,6,false),"")</f>
        <v>WE+WD</v>
      </c>
      <c r="E135" s="152" t="str">
        <f>iferror(vlookup(A135,'SoS - Agents Info'!A:H,7,false),"")</f>
        <v>08:00-17:00</v>
      </c>
      <c r="F135" s="153">
        <f>IFERROR(__xludf.DUMMYFUNCTION("sum(COUNTIFS(Filter(FILTER('Shiftplan SoS'!G$3:GU166,'Shiftplan SoS'!$G$1:$GU$1&lt;=today()),'Shiftplan SoS'!$A$3:$A166=A135),""&gt;0"",(Filter(FILTER('Shiftplan SoS'!G$3:GU166,'Shiftplan SoS'!$G$1:$GU$1&lt;=today()),'Shiftplan SoS'!$A$3:$A166=A135)),""&lt;12""))"),52.0)</f>
        <v>52</v>
      </c>
      <c r="G135" s="200"/>
      <c r="H135" s="200"/>
      <c r="I135" s="200"/>
      <c r="J135" s="200"/>
      <c r="K135" s="200"/>
      <c r="L135" s="200"/>
      <c r="M135" s="200"/>
      <c r="N135" s="200"/>
      <c r="O135" s="200"/>
      <c r="P135" s="200"/>
      <c r="Q135" s="200"/>
      <c r="R135" s="198"/>
      <c r="S135" s="200"/>
      <c r="T135" s="200"/>
      <c r="U135" s="200"/>
      <c r="V135" s="200"/>
      <c r="W135" s="200"/>
      <c r="X135" s="200"/>
      <c r="Y135" s="158">
        <v>8.0</v>
      </c>
      <c r="Z135" s="158">
        <v>8.0</v>
      </c>
      <c r="AA135" s="158" t="s">
        <v>165</v>
      </c>
      <c r="AB135" s="158" t="s">
        <v>165</v>
      </c>
      <c r="AC135" s="158" t="s">
        <v>165</v>
      </c>
      <c r="AD135" s="158">
        <v>8.0</v>
      </c>
      <c r="AE135" s="158">
        <v>8.0</v>
      </c>
      <c r="AF135" s="158">
        <v>8.0</v>
      </c>
      <c r="AG135" s="158">
        <v>8.0</v>
      </c>
      <c r="AH135" s="158" t="s">
        <v>165</v>
      </c>
      <c r="AI135" s="202">
        <v>8.0</v>
      </c>
      <c r="AJ135" s="158" t="s">
        <v>165</v>
      </c>
      <c r="AK135" s="178">
        <v>8.0</v>
      </c>
      <c r="AL135" s="157">
        <f t="shared" si="29"/>
        <v>64</v>
      </c>
      <c r="AM135" s="179"/>
      <c r="AN135" s="158">
        <v>8.0</v>
      </c>
      <c r="AO135" s="158">
        <v>8.0</v>
      </c>
      <c r="AP135" s="158" t="s">
        <v>171</v>
      </c>
      <c r="AQ135" s="158" t="s">
        <v>165</v>
      </c>
      <c r="AR135" s="158">
        <v>8.0</v>
      </c>
      <c r="AS135" s="158" t="s">
        <v>165</v>
      </c>
      <c r="AT135" s="158">
        <v>8.0</v>
      </c>
      <c r="AU135" s="158">
        <v>8.0</v>
      </c>
      <c r="AV135" s="158">
        <v>8.0</v>
      </c>
      <c r="AW135" s="158">
        <v>8.0</v>
      </c>
      <c r="AX135" s="158" t="s">
        <v>165</v>
      </c>
      <c r="AY135" s="158">
        <v>8.0</v>
      </c>
      <c r="AZ135" s="158" t="s">
        <v>165</v>
      </c>
      <c r="BA135" s="158">
        <v>8.0</v>
      </c>
      <c r="BB135" s="161">
        <v>8.0</v>
      </c>
      <c r="BC135" s="161">
        <v>8.0</v>
      </c>
      <c r="BD135" s="161">
        <v>8.0</v>
      </c>
      <c r="BE135" s="161" t="s">
        <v>165</v>
      </c>
      <c r="BF135" s="161">
        <v>8.0</v>
      </c>
      <c r="BG135" s="161" t="s">
        <v>165</v>
      </c>
      <c r="BH135" s="161">
        <v>8.0</v>
      </c>
      <c r="BI135" s="161">
        <v>8.0</v>
      </c>
      <c r="BJ135" s="161">
        <v>8.0</v>
      </c>
      <c r="BK135" s="161">
        <v>8.0</v>
      </c>
      <c r="BL135" s="161" t="s">
        <v>165</v>
      </c>
      <c r="BM135" s="161">
        <v>8.0</v>
      </c>
      <c r="BN135" s="161" t="s">
        <v>165</v>
      </c>
      <c r="BO135" s="161">
        <v>8.0</v>
      </c>
      <c r="BP135" s="161">
        <v>8.0</v>
      </c>
      <c r="BQ135" s="161">
        <v>8.0</v>
      </c>
      <c r="BR135" s="157">
        <f t="shared" si="36"/>
        <v>168</v>
      </c>
      <c r="BS135" s="179"/>
      <c r="BT135" s="161">
        <v>8.0</v>
      </c>
      <c r="BU135" s="161" t="s">
        <v>165</v>
      </c>
      <c r="BV135" s="161">
        <v>8.0</v>
      </c>
      <c r="BW135" s="161" t="s">
        <v>165</v>
      </c>
      <c r="BX135" s="161">
        <v>8.0</v>
      </c>
      <c r="BY135" s="161">
        <v>8.0</v>
      </c>
      <c r="BZ135" s="161">
        <v>8.0</v>
      </c>
      <c r="CA135" s="161">
        <v>8.0</v>
      </c>
      <c r="CB135" s="161" t="s">
        <v>165</v>
      </c>
      <c r="CC135" s="161">
        <v>8.0</v>
      </c>
      <c r="CD135" s="161" t="s">
        <v>165</v>
      </c>
      <c r="CE135" s="159" t="s">
        <v>167</v>
      </c>
      <c r="CF135" s="161">
        <v>8.0</v>
      </c>
      <c r="CG135" s="161">
        <v>8.0</v>
      </c>
      <c r="CH135" s="161">
        <v>8.0</v>
      </c>
      <c r="CI135" s="161" t="s">
        <v>165</v>
      </c>
      <c r="CJ135" s="161">
        <v>8.0</v>
      </c>
      <c r="CK135" s="161" t="s">
        <v>165</v>
      </c>
      <c r="CL135" s="161">
        <v>8.0</v>
      </c>
      <c r="CM135" s="161">
        <v>8.0</v>
      </c>
      <c r="CN135" s="161">
        <v>8.0</v>
      </c>
      <c r="CO135" s="161">
        <v>8.0</v>
      </c>
      <c r="CP135" s="161" t="s">
        <v>165</v>
      </c>
      <c r="CQ135" s="161">
        <v>8.0</v>
      </c>
      <c r="CR135" s="161" t="s">
        <v>165</v>
      </c>
      <c r="CS135" s="161">
        <v>8.0</v>
      </c>
      <c r="CT135" s="161">
        <v>8.0</v>
      </c>
      <c r="CU135" s="161">
        <v>8.0</v>
      </c>
      <c r="CV135" s="192">
        <v>8.0</v>
      </c>
      <c r="CW135" s="192" t="s">
        <v>165</v>
      </c>
      <c r="CX135" s="192">
        <v>8.0</v>
      </c>
      <c r="CY135" s="157">
        <f t="shared" si="30"/>
        <v>168</v>
      </c>
      <c r="CZ135" s="179"/>
      <c r="DA135" s="162" t="s">
        <v>165</v>
      </c>
      <c r="DB135" s="162">
        <v>8.0</v>
      </c>
      <c r="DC135" s="182" t="s">
        <v>245</v>
      </c>
      <c r="DD135" s="182" t="s">
        <v>245</v>
      </c>
      <c r="DE135" s="182" t="s">
        <v>245</v>
      </c>
      <c r="DF135" s="162" t="s">
        <v>165</v>
      </c>
      <c r="DG135" s="182" t="s">
        <v>170</v>
      </c>
      <c r="DH135" s="162" t="s">
        <v>165</v>
      </c>
      <c r="DI135" s="182" t="s">
        <v>170</v>
      </c>
      <c r="DJ135" s="182" t="s">
        <v>170</v>
      </c>
      <c r="DK135" s="182" t="s">
        <v>170</v>
      </c>
      <c r="DL135" s="182" t="s">
        <v>170</v>
      </c>
      <c r="DM135" s="162" t="s">
        <v>165</v>
      </c>
      <c r="DN135" s="182" t="s">
        <v>170</v>
      </c>
      <c r="DO135" s="162" t="s">
        <v>165</v>
      </c>
      <c r="DP135" s="182" t="s">
        <v>170</v>
      </c>
      <c r="DQ135" s="162"/>
      <c r="DR135" s="162"/>
      <c r="DS135" s="162"/>
      <c r="DT135" s="162"/>
      <c r="DU135" s="162"/>
      <c r="DV135" s="162"/>
      <c r="DW135" s="162"/>
      <c r="DX135" s="162"/>
      <c r="DY135" s="162"/>
      <c r="DZ135" s="162"/>
      <c r="EA135" s="162"/>
      <c r="EB135" s="162"/>
      <c r="EC135" s="162"/>
      <c r="ED135" s="162"/>
      <c r="EE135" s="162"/>
      <c r="EF135" s="162">
        <f t="shared" si="32"/>
        <v>8</v>
      </c>
      <c r="EG135" s="179"/>
      <c r="EH135" s="180"/>
      <c r="EI135" s="180"/>
      <c r="EJ135" s="180"/>
      <c r="EK135" s="180"/>
      <c r="EL135" s="180"/>
      <c r="EM135" s="180"/>
      <c r="EN135" s="180"/>
      <c r="EO135" s="180"/>
      <c r="EP135" s="180"/>
      <c r="EQ135" s="180"/>
      <c r="ER135" s="180"/>
      <c r="ES135" s="180"/>
      <c r="ET135" s="180"/>
      <c r="EU135" s="180"/>
      <c r="EV135" s="180"/>
      <c r="EW135" s="180"/>
      <c r="EX135" s="180"/>
      <c r="EY135" s="180"/>
      <c r="EZ135" s="180"/>
      <c r="FA135" s="180"/>
      <c r="FB135" s="180"/>
      <c r="FC135" s="180"/>
      <c r="FD135" s="180"/>
      <c r="FE135" s="180"/>
      <c r="FF135" s="180"/>
      <c r="FG135" s="180"/>
      <c r="FH135" s="180"/>
      <c r="FI135" s="180"/>
      <c r="FJ135" s="180"/>
      <c r="FK135" s="180"/>
      <c r="FL135" s="157">
        <f t="shared" si="37"/>
        <v>0</v>
      </c>
      <c r="FM135" s="179"/>
      <c r="FN135" s="180"/>
      <c r="FO135" s="180"/>
      <c r="FP135" s="180"/>
      <c r="FQ135" s="180"/>
      <c r="FR135" s="180"/>
      <c r="FS135" s="180"/>
      <c r="FT135" s="180"/>
      <c r="FU135" s="180"/>
      <c r="FV135" s="180"/>
      <c r="FW135" s="180"/>
      <c r="FX135" s="180"/>
      <c r="FY135" s="180"/>
      <c r="FZ135" s="180"/>
      <c r="GA135" s="180"/>
      <c r="GB135" s="180"/>
      <c r="GC135" s="180"/>
      <c r="GD135" s="180"/>
      <c r="GE135" s="180"/>
      <c r="GF135" s="180"/>
      <c r="GG135" s="180"/>
      <c r="GH135" s="180"/>
      <c r="GI135" s="180"/>
      <c r="GJ135" s="180"/>
      <c r="GK135" s="180"/>
      <c r="GL135" s="180"/>
      <c r="GM135" s="180"/>
      <c r="GN135" s="180"/>
      <c r="GO135" s="180"/>
      <c r="GP135" s="180"/>
      <c r="GQ135" s="180"/>
      <c r="GR135" s="180"/>
      <c r="GS135" s="157">
        <f t="shared" si="38"/>
        <v>0</v>
      </c>
      <c r="GT135" s="179"/>
      <c r="GU135" s="180"/>
      <c r="GV135" s="180"/>
      <c r="GW135" s="180"/>
      <c r="GX135" s="180"/>
      <c r="GY135" s="180"/>
      <c r="GZ135" s="180"/>
      <c r="HA135" s="180"/>
      <c r="HB135" s="180"/>
      <c r="HC135" s="180"/>
      <c r="HD135" s="180"/>
      <c r="HE135" s="180"/>
    </row>
    <row r="136" outlineLevel="1">
      <c r="A136" s="149" t="s">
        <v>350</v>
      </c>
      <c r="B136" s="106" t="str">
        <f>iferror(vlookup(A136,'SoS - Agents Info'!A:H,5,false),"")</f>
        <v>EN</v>
      </c>
      <c r="C136" s="107" t="str">
        <f>iferror(vlookup(A136,'SoS - Agents Info'!A:AQ,43,false),"")</f>
        <v>RA+VM</v>
      </c>
      <c r="D136" s="108" t="str">
        <f>iferror(vlookup(A136,'SoS - Agents Info'!A:H,6,false),"")</f>
        <v>WD+WE</v>
      </c>
      <c r="E136" s="108" t="str">
        <f>iferror(vlookup(A136,'SoS - Agents Info'!A:H,7,false),"")</f>
        <v>08:00-17:00</v>
      </c>
      <c r="F136" s="109">
        <f>IFERROR(__xludf.DUMMYFUNCTION("sum(COUNTIFS(Filter(FILTER('Shiftplan SoS'!G$3:GU166,'Shiftplan SoS'!$G$1:$GU$1&lt;=today()),'Shiftplan SoS'!$A$3:$A166=A136),""&gt;0"",(Filter(FILTER('Shiftplan SoS'!G$3:GU166,'Shiftplan SoS'!$G$1:$GU$1&lt;=today()),'Shiftplan SoS'!$A$3:$A166=A136)),""&lt;12""))"),7.0)</f>
        <v>7</v>
      </c>
      <c r="G136" s="200"/>
      <c r="H136" s="200"/>
      <c r="I136" s="200"/>
      <c r="J136" s="200"/>
      <c r="K136" s="200"/>
      <c r="L136" s="200"/>
      <c r="M136" s="200"/>
      <c r="N136" s="200"/>
      <c r="O136" s="200"/>
      <c r="P136" s="200"/>
      <c r="Q136" s="200"/>
      <c r="R136" s="198"/>
      <c r="S136" s="200"/>
      <c r="T136" s="200"/>
      <c r="U136" s="200"/>
      <c r="V136" s="200"/>
      <c r="W136" s="200"/>
      <c r="X136" s="200"/>
      <c r="Y136" s="158">
        <v>8.0</v>
      </c>
      <c r="Z136" s="158">
        <v>8.0</v>
      </c>
      <c r="AA136" s="158">
        <v>8.0</v>
      </c>
      <c r="AB136" s="158" t="s">
        <v>165</v>
      </c>
      <c r="AC136" s="158" t="s">
        <v>165</v>
      </c>
      <c r="AD136" s="158">
        <v>8.0</v>
      </c>
      <c r="AE136" s="158">
        <v>8.0</v>
      </c>
      <c r="AF136" s="158" t="s">
        <v>165</v>
      </c>
      <c r="AG136" s="158">
        <v>8.0</v>
      </c>
      <c r="AH136" s="158">
        <v>8.0</v>
      </c>
      <c r="AI136" s="203"/>
      <c r="AJ136" s="203"/>
      <c r="AK136" s="204"/>
      <c r="AL136" s="157">
        <f t="shared" si="29"/>
        <v>56</v>
      </c>
      <c r="AM136" s="179"/>
      <c r="AN136" s="180"/>
      <c r="AO136" s="180"/>
      <c r="AP136" s="180"/>
      <c r="AQ136" s="180"/>
      <c r="AR136" s="180"/>
      <c r="AS136" s="180"/>
      <c r="AT136" s="180"/>
      <c r="AU136" s="180"/>
      <c r="AV136" s="180"/>
      <c r="AW136" s="180"/>
      <c r="AX136" s="180"/>
      <c r="AY136" s="158"/>
      <c r="AZ136" s="180"/>
      <c r="BA136" s="180"/>
      <c r="BB136" s="180"/>
      <c r="BC136" s="180"/>
      <c r="BD136" s="180"/>
      <c r="BE136" s="180"/>
      <c r="BF136" s="180"/>
      <c r="BG136" s="180"/>
      <c r="BH136" s="180"/>
      <c r="BI136" s="180"/>
      <c r="BJ136" s="180"/>
      <c r="BK136" s="180"/>
      <c r="BL136" s="180"/>
      <c r="BM136" s="180"/>
      <c r="BN136" s="180"/>
      <c r="BO136" s="180"/>
      <c r="BP136" s="180"/>
      <c r="BQ136" s="180"/>
      <c r="BR136" s="157">
        <f t="shared" si="36"/>
        <v>0</v>
      </c>
      <c r="BS136" s="179"/>
      <c r="BT136" s="180"/>
      <c r="BU136" s="180"/>
      <c r="BV136" s="180"/>
      <c r="BW136" s="180"/>
      <c r="BX136" s="180"/>
      <c r="BY136" s="180"/>
      <c r="BZ136" s="180"/>
      <c r="CA136" s="180"/>
      <c r="CB136" s="180"/>
      <c r="CC136" s="180"/>
      <c r="CD136" s="180"/>
      <c r="CE136" s="180"/>
      <c r="CF136" s="180"/>
      <c r="CG136" s="180"/>
      <c r="CH136" s="180"/>
      <c r="CI136" s="180"/>
      <c r="CJ136" s="180"/>
      <c r="CK136" s="180"/>
      <c r="CL136" s="180"/>
      <c r="CM136" s="180"/>
      <c r="CN136" s="180"/>
      <c r="CO136" s="180"/>
      <c r="CP136" s="180"/>
      <c r="CQ136" s="180"/>
      <c r="CR136" s="180"/>
      <c r="CS136" s="180"/>
      <c r="CT136" s="180"/>
      <c r="CU136" s="180"/>
      <c r="CV136" s="196"/>
      <c r="CW136" s="196"/>
      <c r="CX136" s="196"/>
      <c r="CY136" s="105">
        <f t="shared" si="30"/>
        <v>0</v>
      </c>
      <c r="CZ136" s="179"/>
      <c r="DA136" s="113" t="s">
        <v>333</v>
      </c>
      <c r="DB136" s="162" t="s">
        <v>333</v>
      </c>
      <c r="DC136" s="162" t="s">
        <v>333</v>
      </c>
      <c r="DD136" s="162" t="s">
        <v>333</v>
      </c>
      <c r="DE136" s="162" t="s">
        <v>333</v>
      </c>
      <c r="DF136" s="162" t="s">
        <v>333</v>
      </c>
      <c r="DG136" s="162" t="s">
        <v>333</v>
      </c>
      <c r="DH136" s="162" t="s">
        <v>333</v>
      </c>
      <c r="DI136" s="162" t="s">
        <v>333</v>
      </c>
      <c r="DJ136" s="162" t="s">
        <v>333</v>
      </c>
      <c r="DK136" s="162" t="s">
        <v>333</v>
      </c>
      <c r="DL136" s="162" t="s">
        <v>333</v>
      </c>
      <c r="DM136" s="162" t="s">
        <v>333</v>
      </c>
      <c r="DN136" s="162" t="s">
        <v>333</v>
      </c>
      <c r="DO136" s="162" t="s">
        <v>333</v>
      </c>
      <c r="DP136" s="162" t="s">
        <v>333</v>
      </c>
      <c r="DQ136" s="162" t="s">
        <v>333</v>
      </c>
      <c r="DR136" s="162" t="s">
        <v>333</v>
      </c>
      <c r="DS136" s="162" t="s">
        <v>333</v>
      </c>
      <c r="DT136" s="162" t="s">
        <v>333</v>
      </c>
      <c r="DU136" s="162" t="s">
        <v>333</v>
      </c>
      <c r="DV136" s="162" t="s">
        <v>333</v>
      </c>
      <c r="DW136" s="162" t="s">
        <v>333</v>
      </c>
      <c r="DX136" s="162" t="s">
        <v>333</v>
      </c>
      <c r="DY136" s="162" t="s">
        <v>333</v>
      </c>
      <c r="DZ136" s="162" t="s">
        <v>333</v>
      </c>
      <c r="EA136" s="162" t="s">
        <v>333</v>
      </c>
      <c r="EB136" s="162" t="s">
        <v>333</v>
      </c>
      <c r="EC136" s="162" t="s">
        <v>333</v>
      </c>
      <c r="ED136" s="162" t="s">
        <v>333</v>
      </c>
      <c r="EE136" s="162" t="s">
        <v>333</v>
      </c>
      <c r="EF136" s="113">
        <f t="shared" si="32"/>
        <v>0</v>
      </c>
      <c r="EG136" s="179"/>
      <c r="EH136" s="180"/>
      <c r="EI136" s="180"/>
      <c r="EJ136" s="180"/>
      <c r="EK136" s="180"/>
      <c r="EL136" s="180"/>
      <c r="EM136" s="180"/>
      <c r="EN136" s="180"/>
      <c r="EO136" s="180"/>
      <c r="EP136" s="180"/>
      <c r="EQ136" s="180"/>
      <c r="ER136" s="180"/>
      <c r="ES136" s="180"/>
      <c r="ET136" s="180"/>
      <c r="EU136" s="180"/>
      <c r="EV136" s="180"/>
      <c r="EW136" s="180"/>
      <c r="EX136" s="180"/>
      <c r="EY136" s="180"/>
      <c r="EZ136" s="180"/>
      <c r="FA136" s="180"/>
      <c r="FB136" s="180"/>
      <c r="FC136" s="180"/>
      <c r="FD136" s="180"/>
      <c r="FE136" s="180"/>
      <c r="FF136" s="180"/>
      <c r="FG136" s="180"/>
      <c r="FH136" s="180"/>
      <c r="FI136" s="180"/>
      <c r="FJ136" s="180"/>
      <c r="FK136" s="180"/>
      <c r="FL136" s="157">
        <f t="shared" si="37"/>
        <v>0</v>
      </c>
      <c r="FM136" s="179"/>
      <c r="FN136" s="180"/>
      <c r="FO136" s="180"/>
      <c r="FP136" s="180"/>
      <c r="FQ136" s="180"/>
      <c r="FR136" s="180"/>
      <c r="FS136" s="180"/>
      <c r="FT136" s="180"/>
      <c r="FU136" s="180"/>
      <c r="FV136" s="180"/>
      <c r="FW136" s="180"/>
      <c r="FX136" s="180"/>
      <c r="FY136" s="180"/>
      <c r="FZ136" s="180"/>
      <c r="GA136" s="180"/>
      <c r="GB136" s="180"/>
      <c r="GC136" s="180"/>
      <c r="GD136" s="180"/>
      <c r="GE136" s="180"/>
      <c r="GF136" s="180"/>
      <c r="GG136" s="180"/>
      <c r="GH136" s="180"/>
      <c r="GI136" s="180"/>
      <c r="GJ136" s="180"/>
      <c r="GK136" s="180"/>
      <c r="GL136" s="180"/>
      <c r="GM136" s="180"/>
      <c r="GN136" s="180"/>
      <c r="GO136" s="180"/>
      <c r="GP136" s="180"/>
      <c r="GQ136" s="180"/>
      <c r="GR136" s="180"/>
      <c r="GS136" s="157">
        <f t="shared" si="38"/>
        <v>0</v>
      </c>
      <c r="GT136" s="179"/>
      <c r="GU136" s="180"/>
      <c r="GV136" s="180"/>
      <c r="GW136" s="180"/>
      <c r="GX136" s="180"/>
      <c r="GY136" s="180"/>
      <c r="GZ136" s="180"/>
      <c r="HA136" s="180"/>
      <c r="HB136" s="180"/>
      <c r="HC136" s="180"/>
      <c r="HD136" s="180"/>
      <c r="HE136" s="180"/>
    </row>
    <row r="137" outlineLevel="1">
      <c r="A137" s="149" t="s">
        <v>351</v>
      </c>
      <c r="B137" s="150" t="str">
        <f>iferror(vlookup(A137,'SoS - Agents Info'!A:H,5,false),"")</f>
        <v>EN</v>
      </c>
      <c r="C137" s="151" t="str">
        <f>iferror(vlookup(A137,'SoS - Agents Info'!A:AQ,43,false),"")</f>
        <v>JM</v>
      </c>
      <c r="D137" s="152" t="str">
        <f>iferror(vlookup(A137,'SoS - Agents Info'!A:H,6,false),"")</f>
        <v>WE+WD</v>
      </c>
      <c r="E137" s="152" t="str">
        <f>iferror(vlookup(A137,'SoS - Agents Info'!A:H,7,false),"")</f>
        <v>08:00-17:00</v>
      </c>
      <c r="F137" s="153">
        <f>IFERROR(__xludf.DUMMYFUNCTION("sum(COUNTIFS(Filter(FILTER('Shiftplan SoS'!G$3:GU166,'Shiftplan SoS'!$G$1:$GU$1&lt;=today()),'Shiftplan SoS'!$A$3:$A166=A137),""&gt;0"",(Filter(FILTER('Shiftplan SoS'!G$3:GU166,'Shiftplan SoS'!$G$1:$GU$1&lt;=today()),'Shiftplan SoS'!$A$3:$A166=A137)),""&lt;12""))"),60.0)</f>
        <v>60</v>
      </c>
      <c r="G137" s="200"/>
      <c r="H137" s="200"/>
      <c r="I137" s="200"/>
      <c r="J137" s="200"/>
      <c r="K137" s="200"/>
      <c r="L137" s="200"/>
      <c r="M137" s="200"/>
      <c r="N137" s="200"/>
      <c r="O137" s="200"/>
      <c r="P137" s="200"/>
      <c r="Q137" s="200"/>
      <c r="R137" s="198"/>
      <c r="S137" s="200"/>
      <c r="T137" s="200"/>
      <c r="U137" s="200"/>
      <c r="V137" s="200"/>
      <c r="W137" s="158">
        <v>8.0</v>
      </c>
      <c r="X137" s="158">
        <v>8.0</v>
      </c>
      <c r="Y137" s="158">
        <v>8.0</v>
      </c>
      <c r="Z137" s="158">
        <v>8.0</v>
      </c>
      <c r="AA137" s="158">
        <v>8.0</v>
      </c>
      <c r="AB137" s="158" t="s">
        <v>165</v>
      </c>
      <c r="AC137" s="158" t="s">
        <v>165</v>
      </c>
      <c r="AD137" s="158" t="s">
        <v>165</v>
      </c>
      <c r="AE137" s="158">
        <v>8.0</v>
      </c>
      <c r="AF137" s="158" t="s">
        <v>165</v>
      </c>
      <c r="AG137" s="158">
        <v>8.0</v>
      </c>
      <c r="AH137" s="158">
        <v>8.0</v>
      </c>
      <c r="AI137" s="202">
        <v>8.0</v>
      </c>
      <c r="AJ137" s="202">
        <v>8.0</v>
      </c>
      <c r="AK137" s="178" t="s">
        <v>165</v>
      </c>
      <c r="AL137" s="157">
        <f t="shared" si="29"/>
        <v>80</v>
      </c>
      <c r="AM137" s="179"/>
      <c r="AN137" s="158">
        <v>8.0</v>
      </c>
      <c r="AO137" s="158" t="s">
        <v>165</v>
      </c>
      <c r="AP137" s="158">
        <v>8.0</v>
      </c>
      <c r="AQ137" s="158">
        <v>8.0</v>
      </c>
      <c r="AR137" s="158">
        <v>8.0</v>
      </c>
      <c r="AS137" s="158">
        <v>8.0</v>
      </c>
      <c r="AT137" s="158" t="s">
        <v>165</v>
      </c>
      <c r="AU137" s="158">
        <v>8.0</v>
      </c>
      <c r="AV137" s="158" t="s">
        <v>165</v>
      </c>
      <c r="AW137" s="158">
        <v>8.0</v>
      </c>
      <c r="AX137" s="158">
        <v>8.0</v>
      </c>
      <c r="AY137" s="158">
        <v>8.0</v>
      </c>
      <c r="AZ137" s="158">
        <v>8.0</v>
      </c>
      <c r="BA137" s="158" t="s">
        <v>165</v>
      </c>
      <c r="BB137" s="158">
        <v>8.0</v>
      </c>
      <c r="BC137" s="158" t="s">
        <v>165</v>
      </c>
      <c r="BD137" s="158">
        <v>8.0</v>
      </c>
      <c r="BE137" s="158">
        <v>8.0</v>
      </c>
      <c r="BF137" s="158">
        <v>8.0</v>
      </c>
      <c r="BG137" s="158">
        <v>8.0</v>
      </c>
      <c r="BH137" s="158" t="s">
        <v>165</v>
      </c>
      <c r="BI137" s="158">
        <v>8.0</v>
      </c>
      <c r="BJ137" s="158" t="s">
        <v>165</v>
      </c>
      <c r="BK137" s="158">
        <v>8.0</v>
      </c>
      <c r="BL137" s="158">
        <v>8.0</v>
      </c>
      <c r="BM137" s="158">
        <v>8.0</v>
      </c>
      <c r="BN137" s="158">
        <v>8.0</v>
      </c>
      <c r="BO137" s="158" t="s">
        <v>165</v>
      </c>
      <c r="BP137" s="158" t="s">
        <v>245</v>
      </c>
      <c r="BQ137" s="158" t="s">
        <v>165</v>
      </c>
      <c r="BR137" s="157">
        <f t="shared" si="36"/>
        <v>160</v>
      </c>
      <c r="BS137" s="179"/>
      <c r="BT137" s="158">
        <v>8.0</v>
      </c>
      <c r="BU137" s="158">
        <v>8.0</v>
      </c>
      <c r="BV137" s="158">
        <v>8.0</v>
      </c>
      <c r="BW137" s="158">
        <v>8.0</v>
      </c>
      <c r="BX137" s="158" t="s">
        <v>165</v>
      </c>
      <c r="BY137" s="158">
        <v>8.0</v>
      </c>
      <c r="BZ137" s="158" t="s">
        <v>165</v>
      </c>
      <c r="CA137" s="158">
        <v>8.0</v>
      </c>
      <c r="CB137" s="158">
        <v>8.0</v>
      </c>
      <c r="CC137" s="158">
        <v>8.0</v>
      </c>
      <c r="CD137" s="158">
        <v>8.0</v>
      </c>
      <c r="CE137" s="158" t="s">
        <v>165</v>
      </c>
      <c r="CF137" s="158">
        <v>8.0</v>
      </c>
      <c r="CG137" s="158" t="s">
        <v>165</v>
      </c>
      <c r="CH137" s="158">
        <v>8.0</v>
      </c>
      <c r="CI137" s="158">
        <v>8.0</v>
      </c>
      <c r="CJ137" s="158">
        <v>8.0</v>
      </c>
      <c r="CK137" s="158">
        <v>8.0</v>
      </c>
      <c r="CL137" s="158" t="s">
        <v>165</v>
      </c>
      <c r="CM137" s="158">
        <v>8.0</v>
      </c>
      <c r="CN137" s="158">
        <v>8.0</v>
      </c>
      <c r="CO137" s="158">
        <v>8.0</v>
      </c>
      <c r="CP137" s="158">
        <v>8.0</v>
      </c>
      <c r="CQ137" s="158">
        <v>8.0</v>
      </c>
      <c r="CR137" s="158">
        <v>8.0</v>
      </c>
      <c r="CS137" s="158" t="s">
        <v>165</v>
      </c>
      <c r="CT137" s="158">
        <v>8.0</v>
      </c>
      <c r="CU137" s="158" t="s">
        <v>165</v>
      </c>
      <c r="CV137" s="192">
        <v>8.0</v>
      </c>
      <c r="CW137" s="192">
        <v>8.0</v>
      </c>
      <c r="CX137" s="192">
        <v>8.0</v>
      </c>
      <c r="CY137" s="157">
        <f t="shared" si="30"/>
        <v>192</v>
      </c>
      <c r="CZ137" s="179"/>
      <c r="DA137" s="162">
        <v>8.0</v>
      </c>
      <c r="DB137" s="158" t="s">
        <v>165</v>
      </c>
      <c r="DC137" s="158">
        <v>8.0</v>
      </c>
      <c r="DD137" s="158" t="s">
        <v>165</v>
      </c>
      <c r="DE137" s="158">
        <v>8.0</v>
      </c>
      <c r="DF137" s="158">
        <v>8.0</v>
      </c>
      <c r="DG137" s="158">
        <v>8.0</v>
      </c>
      <c r="DH137" s="158" t="s">
        <v>245</v>
      </c>
      <c r="DI137" s="158" t="s">
        <v>165</v>
      </c>
      <c r="DJ137" s="158" t="s">
        <v>245</v>
      </c>
      <c r="DK137" s="158" t="s">
        <v>165</v>
      </c>
      <c r="DL137" s="158">
        <v>8.0</v>
      </c>
      <c r="DM137" s="158" t="s">
        <v>245</v>
      </c>
      <c r="DN137" s="158" t="s">
        <v>170</v>
      </c>
      <c r="DO137" s="158" t="s">
        <v>170</v>
      </c>
      <c r="DP137" s="158"/>
      <c r="DQ137" s="158"/>
      <c r="DR137" s="158"/>
      <c r="DS137" s="158"/>
      <c r="DT137" s="158"/>
      <c r="DU137" s="158"/>
      <c r="DV137" s="158"/>
      <c r="DW137" s="158"/>
      <c r="DX137" s="158"/>
      <c r="DY137" s="158"/>
      <c r="DZ137" s="158"/>
      <c r="EA137" s="158"/>
      <c r="EB137" s="158"/>
      <c r="EC137" s="158"/>
      <c r="ED137" s="158"/>
      <c r="EE137" s="158"/>
      <c r="EF137" s="162">
        <f t="shared" si="32"/>
        <v>48</v>
      </c>
      <c r="EG137" s="179"/>
      <c r="EH137" s="180"/>
      <c r="EI137" s="180"/>
      <c r="EJ137" s="180"/>
      <c r="EK137" s="180"/>
      <c r="EL137" s="180"/>
      <c r="EM137" s="180"/>
      <c r="EN137" s="180"/>
      <c r="EO137" s="180"/>
      <c r="EP137" s="180"/>
      <c r="EQ137" s="180"/>
      <c r="ER137" s="180"/>
      <c r="ES137" s="180"/>
      <c r="ET137" s="180"/>
      <c r="EU137" s="180"/>
      <c r="EV137" s="180"/>
      <c r="EW137" s="180"/>
      <c r="EX137" s="180"/>
      <c r="EY137" s="180"/>
      <c r="EZ137" s="180"/>
      <c r="FA137" s="180"/>
      <c r="FB137" s="180"/>
      <c r="FC137" s="180"/>
      <c r="FD137" s="180"/>
      <c r="FE137" s="180"/>
      <c r="FF137" s="180"/>
      <c r="FG137" s="180"/>
      <c r="FH137" s="180"/>
      <c r="FI137" s="180"/>
      <c r="FJ137" s="180"/>
      <c r="FK137" s="180"/>
      <c r="FL137" s="157">
        <f t="shared" si="37"/>
        <v>0</v>
      </c>
      <c r="FM137" s="179"/>
      <c r="FN137" s="180"/>
      <c r="FO137" s="180"/>
      <c r="FP137" s="180"/>
      <c r="FQ137" s="180"/>
      <c r="FR137" s="180"/>
      <c r="FS137" s="180"/>
      <c r="FT137" s="180"/>
      <c r="FU137" s="180"/>
      <c r="FV137" s="180"/>
      <c r="FW137" s="180"/>
      <c r="FX137" s="180"/>
      <c r="FY137" s="180"/>
      <c r="FZ137" s="180"/>
      <c r="GA137" s="180"/>
      <c r="GB137" s="180"/>
      <c r="GC137" s="180"/>
      <c r="GD137" s="180"/>
      <c r="GE137" s="180"/>
      <c r="GF137" s="180"/>
      <c r="GG137" s="180"/>
      <c r="GH137" s="180"/>
      <c r="GI137" s="180"/>
      <c r="GJ137" s="180"/>
      <c r="GK137" s="180"/>
      <c r="GL137" s="180"/>
      <c r="GM137" s="180"/>
      <c r="GN137" s="180"/>
      <c r="GO137" s="180"/>
      <c r="GP137" s="180"/>
      <c r="GQ137" s="180"/>
      <c r="GR137" s="180"/>
      <c r="GS137" s="157">
        <f t="shared" si="38"/>
        <v>0</v>
      </c>
      <c r="GT137" s="179"/>
      <c r="GU137" s="180"/>
      <c r="GV137" s="180"/>
      <c r="GW137" s="180"/>
      <c r="GX137" s="180"/>
      <c r="GY137" s="180"/>
      <c r="GZ137" s="180"/>
      <c r="HA137" s="180"/>
      <c r="HB137" s="180"/>
      <c r="HC137" s="180"/>
      <c r="HD137" s="180"/>
      <c r="HE137" s="180"/>
    </row>
    <row r="138" outlineLevel="1">
      <c r="A138" s="149" t="s">
        <v>352</v>
      </c>
      <c r="B138" s="150" t="str">
        <f>iferror(vlookup(A138,'SoS - Agents Info'!A:H,5,false),"")</f>
        <v>EN</v>
      </c>
      <c r="C138" s="151" t="str">
        <f>iferror(vlookup(A138,'SoS - Agents Info'!A:AQ,43,false),"")</f>
        <v>JM</v>
      </c>
      <c r="D138" s="152" t="str">
        <f>iferror(vlookup(A138,'SoS - Agents Info'!A:H,6,false),"")</f>
        <v>WE+WD</v>
      </c>
      <c r="E138" s="152" t="str">
        <f>iferror(vlookup(A138,'SoS - Agents Info'!A:H,7,false),"")</f>
        <v>08:00-17:00</v>
      </c>
      <c r="F138" s="109">
        <f>IFERROR(__xludf.DUMMYFUNCTION("sum(COUNTIFS(Filter(FILTER('Shiftplan SoS'!G$3:GU166,'Shiftplan SoS'!$G$1:$GU$1&lt;=today()),'Shiftplan SoS'!$A$3:$A166=A138),""&gt;0"",(Filter(FILTER('Shiftplan SoS'!G$3:GU166,'Shiftplan SoS'!$G$1:$GU$1&lt;=today()),'Shiftplan SoS'!$A$3:$A166=A138)),""&lt;12""))"),36.0)</f>
        <v>36</v>
      </c>
      <c r="G138" s="135"/>
      <c r="H138" s="135"/>
      <c r="I138" s="135"/>
      <c r="J138" s="135"/>
      <c r="K138" s="135"/>
      <c r="L138" s="135"/>
      <c r="M138" s="135"/>
      <c r="N138" s="135"/>
      <c r="O138" s="135"/>
      <c r="P138" s="135"/>
      <c r="Q138" s="135"/>
      <c r="R138" s="137"/>
      <c r="S138" s="135"/>
      <c r="T138" s="135"/>
      <c r="U138" s="135"/>
      <c r="V138" s="135"/>
      <c r="W138" s="16">
        <v>8.0</v>
      </c>
      <c r="X138" s="16">
        <v>8.0</v>
      </c>
      <c r="Y138" s="16">
        <v>8.0</v>
      </c>
      <c r="Z138" s="16">
        <v>8.0</v>
      </c>
      <c r="AA138" s="16">
        <v>8.0</v>
      </c>
      <c r="AB138" s="16" t="s">
        <v>165</v>
      </c>
      <c r="AC138" s="16" t="s">
        <v>165</v>
      </c>
      <c r="AD138" s="16">
        <v>8.0</v>
      </c>
      <c r="AE138" s="16">
        <v>8.0</v>
      </c>
      <c r="AF138" s="16">
        <v>8.0</v>
      </c>
      <c r="AG138" s="16" t="s">
        <v>165</v>
      </c>
      <c r="AH138" s="16" t="s">
        <v>165</v>
      </c>
      <c r="AI138" s="110">
        <v>8.0</v>
      </c>
      <c r="AJ138" s="110">
        <v>8.0</v>
      </c>
      <c r="AK138" s="70">
        <v>8.0</v>
      </c>
      <c r="AL138" s="105">
        <f t="shared" si="29"/>
        <v>88</v>
      </c>
      <c r="AM138" s="48"/>
      <c r="AN138" s="122">
        <v>8.0</v>
      </c>
      <c r="AO138" s="122">
        <v>8.0</v>
      </c>
      <c r="AP138" s="122" t="s">
        <v>165</v>
      </c>
      <c r="AQ138" s="122" t="s">
        <v>165</v>
      </c>
      <c r="AR138" s="122">
        <v>8.0</v>
      </c>
      <c r="AS138" s="122">
        <v>8.0</v>
      </c>
      <c r="AT138" s="122">
        <v>8.0</v>
      </c>
      <c r="AU138" s="122">
        <v>8.0</v>
      </c>
      <c r="AV138" s="122">
        <v>8.0</v>
      </c>
      <c r="AW138" s="122" t="s">
        <v>165</v>
      </c>
      <c r="AX138" s="122" t="s">
        <v>165</v>
      </c>
      <c r="AY138" s="122">
        <v>8.0</v>
      </c>
      <c r="AZ138" s="122">
        <v>8.0</v>
      </c>
      <c r="BA138" s="122">
        <v>8.0</v>
      </c>
      <c r="BB138" s="122">
        <v>8.0</v>
      </c>
      <c r="BC138" s="122">
        <v>8.0</v>
      </c>
      <c r="BD138" s="122" t="s">
        <v>165</v>
      </c>
      <c r="BE138" s="122" t="s">
        <v>165</v>
      </c>
      <c r="BF138" s="122">
        <v>8.0</v>
      </c>
      <c r="BG138" s="122">
        <v>8.0</v>
      </c>
      <c r="BH138" s="122">
        <v>8.0</v>
      </c>
      <c r="BI138" s="122">
        <v>8.0</v>
      </c>
      <c r="BJ138" s="122">
        <v>8.0</v>
      </c>
      <c r="BK138" s="122" t="s">
        <v>165</v>
      </c>
      <c r="BL138" s="122" t="s">
        <v>165</v>
      </c>
      <c r="BM138" s="122">
        <v>8.0</v>
      </c>
      <c r="BN138" s="122">
        <v>8.0</v>
      </c>
      <c r="BO138" s="122">
        <v>8.0</v>
      </c>
      <c r="BP138" s="122">
        <v>8.0</v>
      </c>
      <c r="BQ138" s="122">
        <v>8.0</v>
      </c>
      <c r="BR138" s="105">
        <f t="shared" si="36"/>
        <v>176</v>
      </c>
      <c r="BS138" s="48"/>
      <c r="BT138" s="122" t="s">
        <v>165</v>
      </c>
      <c r="BU138" s="122" t="s">
        <v>165</v>
      </c>
      <c r="BV138" s="122">
        <v>8.0</v>
      </c>
      <c r="BW138" s="122">
        <v>8.0</v>
      </c>
      <c r="BX138" s="16" t="s">
        <v>245</v>
      </c>
      <c r="BY138" s="122">
        <v>8.0</v>
      </c>
      <c r="BZ138" s="180"/>
      <c r="CA138" s="180"/>
      <c r="CB138" s="180"/>
      <c r="CC138" s="180"/>
      <c r="CD138" s="180"/>
      <c r="CE138" s="180"/>
      <c r="CF138" s="180"/>
      <c r="CG138" s="180"/>
      <c r="CH138" s="180"/>
      <c r="CI138" s="180"/>
      <c r="CJ138" s="180"/>
      <c r="CK138" s="180"/>
      <c r="CL138" s="180"/>
      <c r="CM138" s="180"/>
      <c r="CN138" s="180"/>
      <c r="CO138" s="180"/>
      <c r="CP138" s="180"/>
      <c r="CQ138" s="180"/>
      <c r="CR138" s="180"/>
      <c r="CS138" s="180"/>
      <c r="CT138" s="180"/>
      <c r="CU138" s="180"/>
      <c r="CV138" s="180"/>
      <c r="CW138" s="180"/>
      <c r="CX138" s="180"/>
      <c r="CY138" s="105">
        <f t="shared" si="30"/>
        <v>24</v>
      </c>
      <c r="CZ138" s="48"/>
      <c r="DA138" s="113" t="s">
        <v>333</v>
      </c>
      <c r="DB138" s="113" t="s">
        <v>333</v>
      </c>
      <c r="DC138" s="113" t="s">
        <v>333</v>
      </c>
      <c r="DD138" s="113" t="s">
        <v>333</v>
      </c>
      <c r="DE138" s="113" t="s">
        <v>333</v>
      </c>
      <c r="DF138" s="113" t="s">
        <v>333</v>
      </c>
      <c r="DG138" s="113" t="s">
        <v>333</v>
      </c>
      <c r="DH138" s="113" t="s">
        <v>333</v>
      </c>
      <c r="DI138" s="113" t="s">
        <v>333</v>
      </c>
      <c r="DJ138" s="113" t="s">
        <v>333</v>
      </c>
      <c r="DK138" s="113" t="s">
        <v>333</v>
      </c>
      <c r="DL138" s="113" t="s">
        <v>333</v>
      </c>
      <c r="DM138" s="113" t="s">
        <v>333</v>
      </c>
      <c r="DN138" s="113" t="s">
        <v>333</v>
      </c>
      <c r="DO138" s="113" t="s">
        <v>333</v>
      </c>
      <c r="DP138" s="113" t="s">
        <v>333</v>
      </c>
      <c r="DQ138" s="113" t="s">
        <v>333</v>
      </c>
      <c r="DR138" s="113" t="s">
        <v>333</v>
      </c>
      <c r="DS138" s="113" t="s">
        <v>333</v>
      </c>
      <c r="DT138" s="113" t="s">
        <v>333</v>
      </c>
      <c r="DU138" s="113" t="s">
        <v>333</v>
      </c>
      <c r="DV138" s="113" t="s">
        <v>333</v>
      </c>
      <c r="DW138" s="113" t="s">
        <v>333</v>
      </c>
      <c r="DX138" s="113" t="s">
        <v>333</v>
      </c>
      <c r="DY138" s="113" t="s">
        <v>333</v>
      </c>
      <c r="DZ138" s="113" t="s">
        <v>333</v>
      </c>
      <c r="EA138" s="113" t="s">
        <v>333</v>
      </c>
      <c r="EB138" s="113" t="s">
        <v>333</v>
      </c>
      <c r="EC138" s="113" t="s">
        <v>333</v>
      </c>
      <c r="ED138" s="113" t="s">
        <v>333</v>
      </c>
      <c r="EE138" s="113" t="s">
        <v>333</v>
      </c>
      <c r="EF138" s="113">
        <f t="shared" si="32"/>
        <v>0</v>
      </c>
      <c r="EG138" s="48"/>
      <c r="EH138" s="15"/>
      <c r="EI138" s="15"/>
      <c r="EJ138" s="15"/>
      <c r="EK138" s="15"/>
      <c r="EL138" s="15"/>
      <c r="EM138" s="15"/>
      <c r="EN138" s="15"/>
      <c r="EO138" s="15"/>
      <c r="EP138" s="15"/>
      <c r="EQ138" s="15"/>
      <c r="ER138" s="15"/>
      <c r="ES138" s="15"/>
      <c r="ET138" s="15"/>
      <c r="EU138" s="15"/>
      <c r="EV138" s="15"/>
      <c r="EW138" s="15"/>
      <c r="EX138" s="15"/>
      <c r="EY138" s="15"/>
      <c r="EZ138" s="15"/>
      <c r="FA138" s="15"/>
      <c r="FB138" s="15"/>
      <c r="FC138" s="15"/>
      <c r="FD138" s="15"/>
      <c r="FE138" s="15"/>
      <c r="FF138" s="15"/>
      <c r="FG138" s="15"/>
      <c r="FH138" s="15"/>
      <c r="FI138" s="15"/>
      <c r="FJ138" s="15"/>
      <c r="FK138" s="15"/>
      <c r="FL138" s="105">
        <f t="shared" si="37"/>
        <v>0</v>
      </c>
      <c r="FM138" s="48"/>
      <c r="FN138" s="15"/>
      <c r="FO138" s="15"/>
      <c r="FP138" s="15"/>
      <c r="FQ138" s="15"/>
      <c r="FR138" s="15"/>
      <c r="FS138" s="15"/>
      <c r="FT138" s="15"/>
      <c r="FU138" s="15"/>
      <c r="FV138" s="15"/>
      <c r="FW138" s="15"/>
      <c r="FX138" s="15"/>
      <c r="FY138" s="15"/>
      <c r="FZ138" s="15"/>
      <c r="GA138" s="15"/>
      <c r="GB138" s="15"/>
      <c r="GC138" s="15"/>
      <c r="GD138" s="15"/>
      <c r="GE138" s="15"/>
      <c r="GF138" s="15"/>
      <c r="GG138" s="15"/>
      <c r="GH138" s="15"/>
      <c r="GI138" s="15"/>
      <c r="GJ138" s="15"/>
      <c r="GK138" s="15"/>
      <c r="GL138" s="15"/>
      <c r="GM138" s="15"/>
      <c r="GN138" s="15"/>
      <c r="GO138" s="15"/>
      <c r="GP138" s="15"/>
      <c r="GQ138" s="15"/>
      <c r="GR138" s="15"/>
      <c r="GS138" s="105">
        <f t="shared" si="38"/>
        <v>0</v>
      </c>
      <c r="GT138" s="48"/>
      <c r="GU138" s="15"/>
      <c r="GV138" s="15"/>
      <c r="GW138" s="15"/>
      <c r="GX138" s="15"/>
      <c r="GY138" s="15"/>
      <c r="GZ138" s="15"/>
      <c r="HA138" s="15"/>
      <c r="HB138" s="15"/>
      <c r="HC138" s="15"/>
      <c r="HD138" s="15"/>
      <c r="HE138" s="15"/>
    </row>
    <row r="139" outlineLevel="1">
      <c r="A139" s="156" t="s">
        <v>151</v>
      </c>
      <c r="B139" s="150" t="str">
        <f>iferror(vlookup(A139,'SoS - Agents Info'!A:H,5,false),"")</f>
        <v>EN</v>
      </c>
      <c r="C139" s="151" t="str">
        <f>iferror(vlookup(A139,'SoS - Agents Info'!A:AQ,43,false),"")</f>
        <v>JM</v>
      </c>
      <c r="D139" s="152" t="str">
        <f>iferror(vlookup(A139,'SoS - Agents Info'!A:H,6,false),"")</f>
        <v>WE</v>
      </c>
      <c r="E139" s="152" t="str">
        <f>iferror(vlookup(A139,'SoS - Agents Info'!A:H,7,false),"")</f>
        <v>08:00-17:00</v>
      </c>
      <c r="F139" s="153">
        <f>IFERROR(__xludf.DUMMYFUNCTION("sum(COUNTIFS(Filter(FILTER('Shiftplan SoS'!G$3:GU166,'Shiftplan SoS'!$G$1:$GU$1&lt;=today()),'Shiftplan SoS'!$A$3:$A166=A139),""&gt;0"",(Filter(FILTER('Shiftplan SoS'!G$3:GU166,'Shiftplan SoS'!$G$1:$GU$1&lt;=today()),'Shiftplan SoS'!$A$3:$A166=A139)),""&lt;12""))"),28.0)</f>
        <v>28</v>
      </c>
      <c r="G139" s="158" t="s">
        <v>165</v>
      </c>
      <c r="H139" s="158" t="s">
        <v>165</v>
      </c>
      <c r="I139" s="158" t="s">
        <v>165</v>
      </c>
      <c r="J139" s="158" t="s">
        <v>165</v>
      </c>
      <c r="K139" s="158" t="s">
        <v>165</v>
      </c>
      <c r="L139" s="158" t="s">
        <v>165</v>
      </c>
      <c r="M139" s="158" t="s">
        <v>165</v>
      </c>
      <c r="N139" s="158">
        <v>8.0</v>
      </c>
      <c r="O139" s="158">
        <v>8.0</v>
      </c>
      <c r="P139" s="158" t="s">
        <v>165</v>
      </c>
      <c r="Q139" s="158" t="s">
        <v>165</v>
      </c>
      <c r="R139" s="158" t="s">
        <v>165</v>
      </c>
      <c r="S139" s="158" t="s">
        <v>165</v>
      </c>
      <c r="T139" s="158" t="s">
        <v>165</v>
      </c>
      <c r="U139" s="158">
        <v>8.0</v>
      </c>
      <c r="V139" s="158">
        <v>8.0</v>
      </c>
      <c r="W139" s="158" t="s">
        <v>165</v>
      </c>
      <c r="X139" s="158" t="s">
        <v>165</v>
      </c>
      <c r="Y139" s="158" t="s">
        <v>165</v>
      </c>
      <c r="Z139" s="158" t="s">
        <v>165</v>
      </c>
      <c r="AA139" s="158" t="s">
        <v>165</v>
      </c>
      <c r="AB139" s="158">
        <v>8.0</v>
      </c>
      <c r="AC139" s="158">
        <v>8.0</v>
      </c>
      <c r="AD139" s="158" t="s">
        <v>165</v>
      </c>
      <c r="AE139" s="158" t="s">
        <v>165</v>
      </c>
      <c r="AF139" s="158" t="s">
        <v>165</v>
      </c>
      <c r="AG139" s="158" t="s">
        <v>165</v>
      </c>
      <c r="AH139" s="158" t="s">
        <v>165</v>
      </c>
      <c r="AI139" s="202">
        <v>8.0</v>
      </c>
      <c r="AJ139" s="202">
        <v>8.0</v>
      </c>
      <c r="AK139" s="178" t="s">
        <v>165</v>
      </c>
      <c r="AL139" s="157">
        <f t="shared" si="29"/>
        <v>64</v>
      </c>
      <c r="AM139" s="179"/>
      <c r="AN139" s="158" t="s">
        <v>165</v>
      </c>
      <c r="AO139" s="158" t="s">
        <v>165</v>
      </c>
      <c r="AP139" s="158" t="s">
        <v>165</v>
      </c>
      <c r="AQ139" s="158" t="s">
        <v>165</v>
      </c>
      <c r="AR139" s="158">
        <v>8.0</v>
      </c>
      <c r="AS139" s="158">
        <v>8.0</v>
      </c>
      <c r="AT139" s="158" t="s">
        <v>165</v>
      </c>
      <c r="AU139" s="158" t="s">
        <v>165</v>
      </c>
      <c r="AV139" s="158" t="s">
        <v>165</v>
      </c>
      <c r="AW139" s="158" t="s">
        <v>165</v>
      </c>
      <c r="AX139" s="158" t="s">
        <v>165</v>
      </c>
      <c r="AY139" s="158">
        <v>8.0</v>
      </c>
      <c r="AZ139" s="158">
        <v>8.0</v>
      </c>
      <c r="BA139" s="158" t="s">
        <v>165</v>
      </c>
      <c r="BB139" s="158" t="s">
        <v>165</v>
      </c>
      <c r="BC139" s="158" t="s">
        <v>165</v>
      </c>
      <c r="BD139" s="158" t="s">
        <v>165</v>
      </c>
      <c r="BE139" s="158" t="s">
        <v>165</v>
      </c>
      <c r="BF139" s="158">
        <v>8.0</v>
      </c>
      <c r="BG139" s="158">
        <v>8.0</v>
      </c>
      <c r="BH139" s="158" t="s">
        <v>165</v>
      </c>
      <c r="BI139" s="158" t="s">
        <v>165</v>
      </c>
      <c r="BJ139" s="158" t="s">
        <v>165</v>
      </c>
      <c r="BK139" s="158" t="s">
        <v>165</v>
      </c>
      <c r="BL139" s="158" t="s">
        <v>165</v>
      </c>
      <c r="BM139" s="158">
        <v>8.0</v>
      </c>
      <c r="BN139" s="158">
        <v>8.0</v>
      </c>
      <c r="BO139" s="158" t="s">
        <v>165</v>
      </c>
      <c r="BP139" s="158" t="s">
        <v>165</v>
      </c>
      <c r="BQ139" s="158" t="s">
        <v>165</v>
      </c>
      <c r="BR139" s="157">
        <f t="shared" si="36"/>
        <v>64</v>
      </c>
      <c r="BS139" s="179"/>
      <c r="BT139" s="158" t="s">
        <v>165</v>
      </c>
      <c r="BU139" s="158" t="s">
        <v>165</v>
      </c>
      <c r="BV139" s="158">
        <v>8.0</v>
      </c>
      <c r="BW139" s="158">
        <v>8.0</v>
      </c>
      <c r="BX139" s="158" t="s">
        <v>165</v>
      </c>
      <c r="BY139" s="158" t="s">
        <v>165</v>
      </c>
      <c r="BZ139" s="158" t="s">
        <v>165</v>
      </c>
      <c r="CA139" s="158" t="s">
        <v>165</v>
      </c>
      <c r="CB139" s="158" t="s">
        <v>165</v>
      </c>
      <c r="CC139" s="158">
        <v>8.0</v>
      </c>
      <c r="CD139" s="158" t="s">
        <v>245</v>
      </c>
      <c r="CE139" s="158" t="s">
        <v>165</v>
      </c>
      <c r="CF139" s="158">
        <v>8.0</v>
      </c>
      <c r="CG139" s="158" t="s">
        <v>165</v>
      </c>
      <c r="CH139" s="158" t="s">
        <v>165</v>
      </c>
      <c r="CI139" s="158" t="s">
        <v>165</v>
      </c>
      <c r="CJ139" s="158" t="s">
        <v>245</v>
      </c>
      <c r="CK139" s="158" t="s">
        <v>245</v>
      </c>
      <c r="CL139" s="158" t="s">
        <v>165</v>
      </c>
      <c r="CM139" s="158">
        <v>8.0</v>
      </c>
      <c r="CN139" s="158">
        <v>8.0</v>
      </c>
      <c r="CO139" s="158" t="s">
        <v>165</v>
      </c>
      <c r="CP139" s="158" t="s">
        <v>165</v>
      </c>
      <c r="CQ139" s="158">
        <v>8.0</v>
      </c>
      <c r="CR139" s="158">
        <v>8.0</v>
      </c>
      <c r="CS139" s="158" t="s">
        <v>165</v>
      </c>
      <c r="CT139" s="158" t="s">
        <v>165</v>
      </c>
      <c r="CU139" s="158" t="s">
        <v>165</v>
      </c>
      <c r="CV139" s="158" t="s">
        <v>165</v>
      </c>
      <c r="CW139" s="158" t="s">
        <v>165</v>
      </c>
      <c r="CX139" s="158">
        <v>8.0</v>
      </c>
      <c r="CY139" s="157">
        <f t="shared" si="30"/>
        <v>72</v>
      </c>
      <c r="CZ139" s="179"/>
      <c r="DA139" s="162">
        <v>8.0</v>
      </c>
      <c r="DB139" s="162" t="s">
        <v>165</v>
      </c>
      <c r="DC139" s="162" t="s">
        <v>165</v>
      </c>
      <c r="DD139" s="162" t="s">
        <v>165</v>
      </c>
      <c r="DE139" s="162" t="s">
        <v>165</v>
      </c>
      <c r="DF139" s="162" t="s">
        <v>165</v>
      </c>
      <c r="DG139" s="162">
        <v>8.0</v>
      </c>
      <c r="DH139" s="162">
        <v>8.0</v>
      </c>
      <c r="DI139" s="162"/>
      <c r="DJ139" s="162"/>
      <c r="DK139" s="162"/>
      <c r="DL139" s="162"/>
      <c r="DM139" s="162"/>
      <c r="DN139" s="162"/>
      <c r="DO139" s="162"/>
      <c r="DP139" s="162"/>
      <c r="DQ139" s="162"/>
      <c r="DR139" s="162"/>
      <c r="DS139" s="162"/>
      <c r="DT139" s="162"/>
      <c r="DU139" s="162"/>
      <c r="DV139" s="162"/>
      <c r="DW139" s="162"/>
      <c r="DX139" s="162"/>
      <c r="DY139" s="162"/>
      <c r="DZ139" s="162"/>
      <c r="EA139" s="162"/>
      <c r="EB139" s="162"/>
      <c r="EC139" s="162"/>
      <c r="ED139" s="162"/>
      <c r="EE139" s="162"/>
      <c r="EF139" s="162">
        <f t="shared" si="32"/>
        <v>24</v>
      </c>
      <c r="EG139" s="179"/>
      <c r="EH139" s="180"/>
      <c r="EI139" s="180"/>
      <c r="EJ139" s="180"/>
      <c r="EK139" s="180"/>
      <c r="EL139" s="180"/>
      <c r="EM139" s="180"/>
      <c r="EN139" s="180"/>
      <c r="EO139" s="180"/>
      <c r="EP139" s="180"/>
      <c r="EQ139" s="180"/>
      <c r="ER139" s="180"/>
      <c r="ES139" s="180"/>
      <c r="ET139" s="180"/>
      <c r="EU139" s="180"/>
      <c r="EV139" s="180"/>
      <c r="EW139" s="180"/>
      <c r="EX139" s="180"/>
      <c r="EY139" s="180"/>
      <c r="EZ139" s="180"/>
      <c r="FA139" s="180"/>
      <c r="FB139" s="180"/>
      <c r="FC139" s="180"/>
      <c r="FD139" s="180"/>
      <c r="FE139" s="180"/>
      <c r="FF139" s="180"/>
      <c r="FG139" s="180"/>
      <c r="FH139" s="180"/>
      <c r="FI139" s="180"/>
      <c r="FJ139" s="180"/>
      <c r="FK139" s="180"/>
      <c r="FL139" s="157">
        <f t="shared" si="37"/>
        <v>0</v>
      </c>
      <c r="FM139" s="179"/>
      <c r="FN139" s="180"/>
      <c r="FO139" s="180"/>
      <c r="FP139" s="180"/>
      <c r="FQ139" s="180"/>
      <c r="FR139" s="180"/>
      <c r="FS139" s="180"/>
      <c r="FT139" s="180"/>
      <c r="FU139" s="180"/>
      <c r="FV139" s="180"/>
      <c r="FW139" s="180"/>
      <c r="FX139" s="180"/>
      <c r="FY139" s="180"/>
      <c r="FZ139" s="180"/>
      <c r="GA139" s="180"/>
      <c r="GB139" s="180"/>
      <c r="GC139" s="180"/>
      <c r="GD139" s="180"/>
      <c r="GE139" s="180"/>
      <c r="GF139" s="180"/>
      <c r="GG139" s="180"/>
      <c r="GH139" s="180"/>
      <c r="GI139" s="180"/>
      <c r="GJ139" s="180"/>
      <c r="GK139" s="180"/>
      <c r="GL139" s="180"/>
      <c r="GM139" s="180"/>
      <c r="GN139" s="180"/>
      <c r="GO139" s="180"/>
      <c r="GP139" s="180"/>
      <c r="GQ139" s="180"/>
      <c r="GR139" s="180"/>
      <c r="GS139" s="157">
        <f t="shared" si="38"/>
        <v>0</v>
      </c>
      <c r="GT139" s="179"/>
      <c r="GU139" s="180"/>
      <c r="GV139" s="180"/>
      <c r="GW139" s="180"/>
      <c r="GX139" s="180"/>
      <c r="GY139" s="180"/>
      <c r="GZ139" s="180"/>
      <c r="HA139" s="180"/>
      <c r="HB139" s="180"/>
      <c r="HC139" s="180"/>
      <c r="HD139" s="180"/>
      <c r="HE139" s="180"/>
    </row>
    <row r="140" ht="16.5" customHeight="1" outlineLevel="1">
      <c r="A140" s="149" t="s">
        <v>353</v>
      </c>
      <c r="B140" s="150" t="str">
        <f>iferror(vlookup(A140,'SoS - Agents Info'!A:H,5,false),"")</f>
        <v>PT</v>
      </c>
      <c r="C140" s="151" t="str">
        <f>iferror(vlookup(A140,'SoS - Agents Info'!A:AQ,43,false),"")</f>
        <v>RA+VM</v>
      </c>
      <c r="D140" s="152" t="str">
        <f>iferror(vlookup(A140,'SoS - Agents Info'!A:H,6,false),"")</f>
        <v>WE+WD</v>
      </c>
      <c r="E140" s="152" t="str">
        <f>iferror(vlookup(A140,'SoS - Agents Info'!A:H,7,false),"")</f>
        <v>16:00-01:00</v>
      </c>
      <c r="F140" s="153">
        <f>IFERROR(__xludf.DUMMYFUNCTION("sum(COUNTIFS(Filter(FILTER('Shiftplan SoS'!G$3:GU166,'Shiftplan SoS'!$G$1:$GU$1&lt;=today()),'Shiftplan SoS'!$A$3:$A166=A140),""&gt;0"",(Filter(FILTER('Shiftplan SoS'!G$3:GU166,'Shiftplan SoS'!$G$1:$GU$1&lt;=today()),'Shiftplan SoS'!$A$3:$A166=A140)),""&lt;12""))"),35.0)</f>
        <v>35</v>
      </c>
      <c r="G140" s="198"/>
      <c r="H140" s="198"/>
      <c r="I140" s="200"/>
      <c r="J140" s="200"/>
      <c r="K140" s="200"/>
      <c r="L140" s="200"/>
      <c r="M140" s="200"/>
      <c r="N140" s="200"/>
      <c r="O140" s="200"/>
      <c r="P140" s="200"/>
      <c r="Q140" s="200"/>
      <c r="R140" s="158">
        <v>8.0</v>
      </c>
      <c r="S140" s="158">
        <v>8.0</v>
      </c>
      <c r="T140" s="158">
        <v>8.0</v>
      </c>
      <c r="U140" s="158" t="s">
        <v>165</v>
      </c>
      <c r="V140" s="158" t="s">
        <v>165</v>
      </c>
      <c r="W140" s="158">
        <v>8.0</v>
      </c>
      <c r="X140" s="158">
        <v>8.0</v>
      </c>
      <c r="Y140" s="158">
        <v>8.0</v>
      </c>
      <c r="Z140" s="158">
        <v>8.0</v>
      </c>
      <c r="AA140" s="158">
        <v>8.0</v>
      </c>
      <c r="AB140" s="158" t="s">
        <v>245</v>
      </c>
      <c r="AC140" s="158">
        <v>8.0</v>
      </c>
      <c r="AD140" s="158" t="s">
        <v>165</v>
      </c>
      <c r="AE140" s="158" t="s">
        <v>245</v>
      </c>
      <c r="AF140" s="158">
        <v>8.0</v>
      </c>
      <c r="AG140" s="158">
        <v>8.0</v>
      </c>
      <c r="AH140" s="158">
        <v>8.0</v>
      </c>
      <c r="AI140" s="202">
        <v>8.0</v>
      </c>
      <c r="AJ140" s="202">
        <v>8.0</v>
      </c>
      <c r="AK140" s="178" t="s">
        <v>165</v>
      </c>
      <c r="AL140" s="157">
        <f t="shared" si="29"/>
        <v>112</v>
      </c>
      <c r="AM140" s="179"/>
      <c r="AN140" s="202">
        <v>8.0</v>
      </c>
      <c r="AO140" s="202">
        <v>8.0</v>
      </c>
      <c r="AP140" s="158">
        <v>8.0</v>
      </c>
      <c r="AQ140" s="202">
        <v>8.0</v>
      </c>
      <c r="AR140" s="158" t="s">
        <v>245</v>
      </c>
      <c r="AS140" s="158" t="s">
        <v>245</v>
      </c>
      <c r="AT140" s="158" t="s">
        <v>165</v>
      </c>
      <c r="AU140" s="202">
        <v>8.0</v>
      </c>
      <c r="AV140" s="202">
        <v>8.0</v>
      </c>
      <c r="AW140" s="202">
        <v>8.0</v>
      </c>
      <c r="AX140" s="202">
        <v>8.0</v>
      </c>
      <c r="AY140" s="158">
        <v>8.0</v>
      </c>
      <c r="AZ140" s="158">
        <v>8.0</v>
      </c>
      <c r="BA140" s="158" t="s">
        <v>165</v>
      </c>
      <c r="BB140" s="202">
        <v>8.0</v>
      </c>
      <c r="BC140" s="202">
        <v>8.0</v>
      </c>
      <c r="BD140" s="202">
        <v>8.0</v>
      </c>
      <c r="BE140" s="202">
        <v>8.0</v>
      </c>
      <c r="BF140" s="158">
        <v>8.0</v>
      </c>
      <c r="BG140" s="158">
        <v>8.0</v>
      </c>
      <c r="BH140" s="158" t="s">
        <v>165</v>
      </c>
      <c r="BI140" s="158" t="s">
        <v>165</v>
      </c>
      <c r="BJ140" s="202">
        <v>8.0</v>
      </c>
      <c r="BK140" s="202">
        <v>8.0</v>
      </c>
      <c r="BL140" s="202">
        <v>8.0</v>
      </c>
      <c r="BM140" s="158">
        <v>8.0</v>
      </c>
      <c r="BN140" s="158">
        <v>8.0</v>
      </c>
      <c r="BO140" s="158" t="s">
        <v>165</v>
      </c>
      <c r="BP140" s="158" t="s">
        <v>165</v>
      </c>
      <c r="BQ140" s="158" t="s">
        <v>170</v>
      </c>
      <c r="BR140" s="157">
        <f t="shared" si="36"/>
        <v>168</v>
      </c>
      <c r="BS140" s="179"/>
      <c r="BT140" s="188"/>
      <c r="BU140" s="188"/>
      <c r="BV140" s="158"/>
      <c r="BW140" s="158"/>
      <c r="BX140" s="158"/>
      <c r="BY140" s="158"/>
      <c r="BZ140" s="158"/>
      <c r="CA140" s="188"/>
      <c r="CB140" s="188"/>
      <c r="CC140" s="158"/>
      <c r="CD140" s="158"/>
      <c r="CE140" s="158"/>
      <c r="CF140" s="158"/>
      <c r="CG140" s="158"/>
      <c r="CH140" s="188"/>
      <c r="CI140" s="188"/>
      <c r="CJ140" s="158"/>
      <c r="CK140" s="158"/>
      <c r="CL140" s="158"/>
      <c r="CM140" s="158"/>
      <c r="CN140" s="158"/>
      <c r="CO140" s="188"/>
      <c r="CP140" s="188"/>
      <c r="CQ140" s="158"/>
      <c r="CR140" s="158"/>
      <c r="CS140" s="158"/>
      <c r="CT140" s="158"/>
      <c r="CU140" s="158"/>
      <c r="CV140" s="192"/>
      <c r="CW140" s="192"/>
      <c r="CX140" s="192"/>
      <c r="CY140" s="157"/>
      <c r="CZ140" s="179"/>
      <c r="DA140" s="113" t="s">
        <v>333</v>
      </c>
      <c r="DB140" s="162" t="s">
        <v>333</v>
      </c>
      <c r="DC140" s="162" t="s">
        <v>333</v>
      </c>
      <c r="DD140" s="162" t="s">
        <v>333</v>
      </c>
      <c r="DE140" s="162" t="s">
        <v>333</v>
      </c>
      <c r="DF140" s="162" t="s">
        <v>333</v>
      </c>
      <c r="DG140" s="162" t="s">
        <v>333</v>
      </c>
      <c r="DH140" s="162" t="s">
        <v>333</v>
      </c>
      <c r="DI140" s="162" t="s">
        <v>333</v>
      </c>
      <c r="DJ140" s="162" t="s">
        <v>333</v>
      </c>
      <c r="DK140" s="162" t="s">
        <v>333</v>
      </c>
      <c r="DL140" s="162" t="s">
        <v>333</v>
      </c>
      <c r="DM140" s="162" t="s">
        <v>333</v>
      </c>
      <c r="DN140" s="162" t="s">
        <v>333</v>
      </c>
      <c r="DO140" s="162" t="s">
        <v>333</v>
      </c>
      <c r="DP140" s="162" t="s">
        <v>333</v>
      </c>
      <c r="DQ140" s="162" t="s">
        <v>333</v>
      </c>
      <c r="DR140" s="162" t="s">
        <v>333</v>
      </c>
      <c r="DS140" s="162" t="s">
        <v>333</v>
      </c>
      <c r="DT140" s="162" t="s">
        <v>333</v>
      </c>
      <c r="DU140" s="162" t="s">
        <v>333</v>
      </c>
      <c r="DV140" s="162" t="s">
        <v>333</v>
      </c>
      <c r="DW140" s="162" t="s">
        <v>333</v>
      </c>
      <c r="DX140" s="162" t="s">
        <v>333</v>
      </c>
      <c r="DY140" s="162" t="s">
        <v>333</v>
      </c>
      <c r="DZ140" s="162" t="s">
        <v>333</v>
      </c>
      <c r="EA140" s="162" t="s">
        <v>333</v>
      </c>
      <c r="EB140" s="162" t="s">
        <v>333</v>
      </c>
      <c r="EC140" s="162" t="s">
        <v>333</v>
      </c>
      <c r="ED140" s="162" t="s">
        <v>333</v>
      </c>
      <c r="EE140" s="162" t="s">
        <v>333</v>
      </c>
      <c r="EF140" s="113">
        <f t="shared" si="32"/>
        <v>0</v>
      </c>
      <c r="EG140" s="179"/>
      <c r="EH140" s="180"/>
      <c r="EI140" s="180"/>
      <c r="EJ140" s="180"/>
      <c r="EK140" s="180"/>
      <c r="EL140" s="180"/>
      <c r="EM140" s="180"/>
      <c r="EN140" s="180"/>
      <c r="EO140" s="180"/>
      <c r="EP140" s="180"/>
      <c r="EQ140" s="180"/>
      <c r="ER140" s="180"/>
      <c r="ES140" s="180"/>
      <c r="ET140" s="180"/>
      <c r="EU140" s="180"/>
      <c r="EV140" s="180"/>
      <c r="EW140" s="180"/>
      <c r="EX140" s="180"/>
      <c r="EY140" s="180"/>
      <c r="EZ140" s="180"/>
      <c r="FA140" s="180"/>
      <c r="FB140" s="180"/>
      <c r="FC140" s="180"/>
      <c r="FD140" s="180"/>
      <c r="FE140" s="180"/>
      <c r="FF140" s="180"/>
      <c r="FG140" s="180"/>
      <c r="FH140" s="180"/>
      <c r="FI140" s="180"/>
      <c r="FJ140" s="180"/>
      <c r="FK140" s="180"/>
      <c r="FL140" s="157">
        <f t="shared" si="37"/>
        <v>0</v>
      </c>
      <c r="FM140" s="179"/>
      <c r="FN140" s="180"/>
      <c r="FO140" s="180"/>
      <c r="FP140" s="180"/>
      <c r="FQ140" s="180"/>
      <c r="FR140" s="180"/>
      <c r="FS140" s="180"/>
      <c r="FT140" s="180"/>
      <c r="FU140" s="180"/>
      <c r="FV140" s="180"/>
      <c r="FW140" s="180"/>
      <c r="FX140" s="180"/>
      <c r="FY140" s="180"/>
      <c r="FZ140" s="180"/>
      <c r="GA140" s="180"/>
      <c r="GB140" s="180"/>
      <c r="GC140" s="180"/>
      <c r="GD140" s="180"/>
      <c r="GE140" s="180"/>
      <c r="GF140" s="180"/>
      <c r="GG140" s="180"/>
      <c r="GH140" s="180"/>
      <c r="GI140" s="180"/>
      <c r="GJ140" s="180"/>
      <c r="GK140" s="180"/>
      <c r="GL140" s="180"/>
      <c r="GM140" s="180"/>
      <c r="GN140" s="180"/>
      <c r="GO140" s="180"/>
      <c r="GP140" s="180"/>
      <c r="GQ140" s="180"/>
      <c r="GR140" s="180"/>
      <c r="GS140" s="157">
        <f t="shared" si="38"/>
        <v>0</v>
      </c>
      <c r="GT140" s="179"/>
      <c r="GU140" s="180"/>
      <c r="GV140" s="180"/>
      <c r="GW140" s="180"/>
      <c r="GX140" s="180"/>
      <c r="GY140" s="180"/>
      <c r="GZ140" s="180"/>
      <c r="HA140" s="180"/>
      <c r="HB140" s="180"/>
      <c r="HC140" s="180"/>
      <c r="HD140" s="180"/>
      <c r="HE140" s="180"/>
    </row>
    <row r="141" outlineLevel="1">
      <c r="A141" s="205" t="s">
        <v>154</v>
      </c>
      <c r="B141" s="150" t="str">
        <f>iferror(vlookup(A141,'SoS - Agents Info'!A:H,5,false),"")</f>
        <v>EN</v>
      </c>
      <c r="C141" s="151" t="str">
        <f>iferror(vlookup(A141,'SoS - Agents Info'!A:AQ,43,false),"")</f>
        <v>JM</v>
      </c>
      <c r="D141" s="152" t="str">
        <f>iferror(vlookup(A141,'SoS - Agents Info'!A:H,6,false),"")</f>
        <v>WE</v>
      </c>
      <c r="E141" s="152" t="str">
        <f>iferror(vlookup(A141,'SoS - Agents Info'!A:H,7,false),"")</f>
        <v>08:00-17:00</v>
      </c>
      <c r="F141" s="153">
        <f>IFERROR(__xludf.DUMMYFUNCTION("sum(COUNTIFS(Filter(FILTER('Shiftplan SoS'!G$3:GU166,'Shiftplan SoS'!$G$1:$GU$1&lt;=today()),'Shiftplan SoS'!$A$3:$A166=A141),""&gt;0"",(Filter(FILTER('Shiftplan SoS'!G$3:GU166,'Shiftplan SoS'!$G$1:$GU$1&lt;=today()),'Shiftplan SoS'!$A$3:$A166=A141)),""&lt;12""))"),31.0)</f>
        <v>31</v>
      </c>
      <c r="G141" s="158" t="s">
        <v>165</v>
      </c>
      <c r="H141" s="158" t="s">
        <v>165</v>
      </c>
      <c r="I141" s="158" t="s">
        <v>165</v>
      </c>
      <c r="J141" s="158" t="s">
        <v>165</v>
      </c>
      <c r="K141" s="158" t="s">
        <v>165</v>
      </c>
      <c r="L141" s="158" t="s">
        <v>165</v>
      </c>
      <c r="M141" s="158" t="s">
        <v>165</v>
      </c>
      <c r="N141" s="158">
        <v>8.0</v>
      </c>
      <c r="O141" s="158">
        <v>8.0</v>
      </c>
      <c r="P141" s="158" t="s">
        <v>165</v>
      </c>
      <c r="Q141" s="158" t="s">
        <v>165</v>
      </c>
      <c r="R141" s="158" t="s">
        <v>165</v>
      </c>
      <c r="S141" s="158" t="s">
        <v>165</v>
      </c>
      <c r="T141" s="158" t="s">
        <v>165</v>
      </c>
      <c r="U141" s="158">
        <v>8.0</v>
      </c>
      <c r="V141" s="158">
        <v>8.0</v>
      </c>
      <c r="W141" s="158" t="s">
        <v>165</v>
      </c>
      <c r="X141" s="158" t="s">
        <v>165</v>
      </c>
      <c r="Y141" s="158" t="s">
        <v>165</v>
      </c>
      <c r="Z141" s="158" t="s">
        <v>165</v>
      </c>
      <c r="AA141" s="158" t="s">
        <v>165</v>
      </c>
      <c r="AB141" s="158">
        <v>8.0</v>
      </c>
      <c r="AC141" s="158">
        <v>8.0</v>
      </c>
      <c r="AD141" s="158" t="s">
        <v>165</v>
      </c>
      <c r="AE141" s="158" t="s">
        <v>165</v>
      </c>
      <c r="AF141" s="158" t="s">
        <v>165</v>
      </c>
      <c r="AG141" s="188">
        <v>8.0</v>
      </c>
      <c r="AH141" s="158">
        <v>8.0</v>
      </c>
      <c r="AI141" s="154" t="s">
        <v>165</v>
      </c>
      <c r="AJ141" s="154" t="s">
        <v>165</v>
      </c>
      <c r="AK141" s="178" t="s">
        <v>165</v>
      </c>
      <c r="AL141" s="157">
        <f t="shared" si="29"/>
        <v>64</v>
      </c>
      <c r="AM141" s="179"/>
      <c r="AN141" s="158" t="s">
        <v>165</v>
      </c>
      <c r="AO141" s="158" t="s">
        <v>165</v>
      </c>
      <c r="AP141" s="158" t="s">
        <v>165</v>
      </c>
      <c r="AQ141" s="158" t="s">
        <v>165</v>
      </c>
      <c r="AR141" s="158">
        <v>8.0</v>
      </c>
      <c r="AS141" s="158" t="s">
        <v>170</v>
      </c>
      <c r="AT141" s="158" t="s">
        <v>165</v>
      </c>
      <c r="AU141" s="158" t="s">
        <v>165</v>
      </c>
      <c r="AV141" s="158" t="s">
        <v>165</v>
      </c>
      <c r="AW141" s="158" t="s">
        <v>165</v>
      </c>
      <c r="AX141" s="158" t="s">
        <v>165</v>
      </c>
      <c r="AY141" s="158">
        <v>8.0</v>
      </c>
      <c r="AZ141" s="158">
        <v>8.0</v>
      </c>
      <c r="BA141" s="158" t="s">
        <v>165</v>
      </c>
      <c r="BB141" s="158" t="s">
        <v>165</v>
      </c>
      <c r="BC141" s="158" t="s">
        <v>165</v>
      </c>
      <c r="BD141" s="158" t="s">
        <v>165</v>
      </c>
      <c r="BE141" s="158" t="s">
        <v>165</v>
      </c>
      <c r="BF141" s="158">
        <v>8.0</v>
      </c>
      <c r="BG141" s="158">
        <v>8.0</v>
      </c>
      <c r="BH141" s="158" t="s">
        <v>165</v>
      </c>
      <c r="BI141" s="158" t="s">
        <v>165</v>
      </c>
      <c r="BJ141" s="158" t="s">
        <v>165</v>
      </c>
      <c r="BK141" s="158" t="s">
        <v>165</v>
      </c>
      <c r="BL141" s="158" t="s">
        <v>165</v>
      </c>
      <c r="BM141" s="158">
        <v>8.0</v>
      </c>
      <c r="BN141" s="158">
        <v>8.0</v>
      </c>
      <c r="BO141" s="158" t="s">
        <v>165</v>
      </c>
      <c r="BP141" s="158" t="s">
        <v>165</v>
      </c>
      <c r="BQ141" s="158" t="s">
        <v>165</v>
      </c>
      <c r="BR141" s="157">
        <f t="shared" si="36"/>
        <v>56</v>
      </c>
      <c r="BS141" s="179"/>
      <c r="BT141" s="158" t="s">
        <v>165</v>
      </c>
      <c r="BU141" s="158" t="s">
        <v>165</v>
      </c>
      <c r="BV141" s="158">
        <v>8.0</v>
      </c>
      <c r="BW141" s="158">
        <v>8.0</v>
      </c>
      <c r="BX141" s="158" t="s">
        <v>165</v>
      </c>
      <c r="BY141" s="158" t="s">
        <v>165</v>
      </c>
      <c r="BZ141" s="158" t="s">
        <v>165</v>
      </c>
      <c r="CA141" s="158" t="s">
        <v>165</v>
      </c>
      <c r="CB141" s="158" t="s">
        <v>165</v>
      </c>
      <c r="CC141" s="158">
        <v>8.0</v>
      </c>
      <c r="CD141" s="158">
        <v>8.0</v>
      </c>
      <c r="CE141" s="158" t="s">
        <v>165</v>
      </c>
      <c r="CF141" s="158" t="s">
        <v>165</v>
      </c>
      <c r="CG141" s="158" t="s">
        <v>165</v>
      </c>
      <c r="CH141" s="158" t="s">
        <v>165</v>
      </c>
      <c r="CI141" s="158" t="s">
        <v>165</v>
      </c>
      <c r="CJ141" s="158">
        <v>8.0</v>
      </c>
      <c r="CK141" s="158">
        <v>8.0</v>
      </c>
      <c r="CL141" s="158" t="s">
        <v>165</v>
      </c>
      <c r="CM141" s="158" t="s">
        <v>165</v>
      </c>
      <c r="CN141" s="158" t="s">
        <v>165</v>
      </c>
      <c r="CO141" s="158" t="s">
        <v>165</v>
      </c>
      <c r="CP141" s="158" t="s">
        <v>165</v>
      </c>
      <c r="CQ141" s="158">
        <v>8.0</v>
      </c>
      <c r="CR141" s="158">
        <v>8.0</v>
      </c>
      <c r="CS141" s="158" t="s">
        <v>165</v>
      </c>
      <c r="CT141" s="158" t="s">
        <v>165</v>
      </c>
      <c r="CU141" s="158" t="s">
        <v>165</v>
      </c>
      <c r="CV141" s="158" t="s">
        <v>165</v>
      </c>
      <c r="CW141" s="158" t="s">
        <v>165</v>
      </c>
      <c r="CX141" s="158">
        <v>8.0</v>
      </c>
      <c r="CY141" s="157">
        <f t="shared" ref="CY141:CY150" si="39">sum(BT141:CX141)</f>
        <v>72</v>
      </c>
      <c r="CZ141" s="179"/>
      <c r="DA141" s="162">
        <v>8.0</v>
      </c>
      <c r="DB141" s="162" t="s">
        <v>165</v>
      </c>
      <c r="DC141" s="162" t="s">
        <v>165</v>
      </c>
      <c r="DD141" s="162" t="s">
        <v>165</v>
      </c>
      <c r="DE141" s="162" t="s">
        <v>165</v>
      </c>
      <c r="DF141" s="162" t="s">
        <v>165</v>
      </c>
      <c r="DG141" s="162">
        <v>8.0</v>
      </c>
      <c r="DH141" s="162">
        <v>8.0</v>
      </c>
      <c r="DI141" s="162" t="s">
        <v>165</v>
      </c>
      <c r="DJ141" s="162" t="s">
        <v>165</v>
      </c>
      <c r="DK141" s="162" t="s">
        <v>165</v>
      </c>
      <c r="DL141" s="162" t="s">
        <v>165</v>
      </c>
      <c r="DM141" s="162" t="s">
        <v>165</v>
      </c>
      <c r="DN141" s="162">
        <v>8.0</v>
      </c>
      <c r="DO141" s="162">
        <v>8.0</v>
      </c>
      <c r="DP141" s="162" t="s">
        <v>165</v>
      </c>
      <c r="DQ141" s="162" t="s">
        <v>165</v>
      </c>
      <c r="DR141" s="162" t="s">
        <v>165</v>
      </c>
      <c r="DS141" s="162" t="s">
        <v>165</v>
      </c>
      <c r="DT141" s="162" t="s">
        <v>165</v>
      </c>
      <c r="DU141" s="162">
        <v>8.0</v>
      </c>
      <c r="DV141" s="162">
        <v>8.0</v>
      </c>
      <c r="DW141" s="162" t="s">
        <v>165</v>
      </c>
      <c r="DX141" s="162" t="s">
        <v>165</v>
      </c>
      <c r="DY141" s="162" t="s">
        <v>165</v>
      </c>
      <c r="DZ141" s="162"/>
      <c r="EA141" s="162"/>
      <c r="EB141" s="162"/>
      <c r="EC141" s="162"/>
      <c r="ED141" s="162"/>
      <c r="EE141" s="162"/>
      <c r="EF141" s="113">
        <f t="shared" si="32"/>
        <v>56</v>
      </c>
      <c r="EG141" s="48"/>
      <c r="EH141" s="15"/>
      <c r="EI141" s="15"/>
      <c r="EJ141" s="15"/>
      <c r="EK141" s="15"/>
      <c r="EL141" s="15"/>
      <c r="EM141" s="15"/>
      <c r="EN141" s="15"/>
      <c r="EO141" s="15"/>
      <c r="EP141" s="15"/>
      <c r="EQ141" s="15"/>
      <c r="ER141" s="15"/>
      <c r="ES141" s="15"/>
      <c r="ET141" s="15"/>
      <c r="EU141" s="15"/>
      <c r="EV141" s="15"/>
      <c r="EW141" s="15"/>
      <c r="EX141" s="15"/>
      <c r="EY141" s="15"/>
      <c r="EZ141" s="15"/>
      <c r="FA141" s="15"/>
      <c r="FB141" s="15"/>
      <c r="FC141" s="15"/>
      <c r="FD141" s="15"/>
      <c r="FE141" s="15"/>
      <c r="FF141" s="15"/>
      <c r="FG141" s="15"/>
      <c r="FH141" s="15"/>
      <c r="FI141" s="15"/>
      <c r="FJ141" s="15"/>
      <c r="FK141" s="15"/>
      <c r="FL141" s="105">
        <f t="shared" si="37"/>
        <v>0</v>
      </c>
      <c r="FM141" s="48"/>
      <c r="FN141" s="15"/>
      <c r="FO141" s="15"/>
      <c r="FP141" s="15"/>
      <c r="FQ141" s="15"/>
      <c r="FR141" s="15"/>
      <c r="FS141" s="15"/>
      <c r="FT141" s="15"/>
      <c r="FU141" s="15"/>
      <c r="FV141" s="15"/>
      <c r="FW141" s="15"/>
      <c r="FX141" s="15"/>
      <c r="FY141" s="15"/>
      <c r="FZ141" s="15"/>
      <c r="GA141" s="15"/>
      <c r="GB141" s="15"/>
      <c r="GC141" s="15"/>
      <c r="GD141" s="15"/>
      <c r="GE141" s="15"/>
      <c r="GF141" s="15"/>
      <c r="GG141" s="15"/>
      <c r="GH141" s="15"/>
      <c r="GI141" s="15"/>
      <c r="GJ141" s="15"/>
      <c r="GK141" s="15"/>
      <c r="GL141" s="15"/>
      <c r="GM141" s="15"/>
      <c r="GN141" s="15"/>
      <c r="GO141" s="15"/>
      <c r="GP141" s="15"/>
      <c r="GQ141" s="15"/>
      <c r="GR141" s="15"/>
      <c r="GS141" s="105">
        <f t="shared" si="38"/>
        <v>0</v>
      </c>
      <c r="GT141" s="48"/>
      <c r="GU141" s="15"/>
      <c r="GV141" s="15"/>
      <c r="GW141" s="15"/>
      <c r="GX141" s="15"/>
      <c r="GY141" s="15"/>
      <c r="GZ141" s="15"/>
      <c r="HA141" s="15"/>
      <c r="HB141" s="15"/>
      <c r="HC141" s="15"/>
      <c r="HD141" s="15"/>
      <c r="HE141" s="15"/>
    </row>
    <row r="142" outlineLevel="1">
      <c r="A142" s="149" t="s">
        <v>354</v>
      </c>
      <c r="B142" s="152" t="s">
        <v>89</v>
      </c>
      <c r="C142" s="151" t="str">
        <f>iferror(vlookup(A142,'SoS - Agents Info'!A:AQ,43,false),"")</f>
        <v/>
      </c>
      <c r="D142" s="152" t="s">
        <v>97</v>
      </c>
      <c r="E142" s="152" t="s">
        <v>199</v>
      </c>
      <c r="F142" s="153">
        <f>IFERROR(__xludf.DUMMYFUNCTION("sum(COUNTIFS(Filter(FILTER('Shiftplan SoS'!G$3:GU166,'Shiftplan SoS'!$G$1:$GU$1&lt;=today()),'Shiftplan SoS'!$A$3:$A166=A142),""&gt;0"",(Filter(FILTER('Shiftplan SoS'!G$3:GU166,'Shiftplan SoS'!$G$1:$GU$1&lt;=today()),'Shiftplan SoS'!$A$3:$A166=A142)),""&lt;12""))"),12.0)</f>
        <v>12</v>
      </c>
      <c r="G142" s="200"/>
      <c r="H142" s="200"/>
      <c r="I142" s="200"/>
      <c r="J142" s="200"/>
      <c r="K142" s="200"/>
      <c r="L142" s="200"/>
      <c r="M142" s="200"/>
      <c r="N142" s="200"/>
      <c r="O142" s="200"/>
      <c r="P142" s="200"/>
      <c r="Q142" s="200"/>
      <c r="R142" s="198"/>
      <c r="S142" s="200"/>
      <c r="T142" s="200"/>
      <c r="U142" s="200"/>
      <c r="V142" s="200"/>
      <c r="W142" s="158">
        <v>8.0</v>
      </c>
      <c r="X142" s="158">
        <v>8.0</v>
      </c>
      <c r="Y142" s="158">
        <v>8.0</v>
      </c>
      <c r="Z142" s="158">
        <v>8.0</v>
      </c>
      <c r="AA142" s="158">
        <v>8.0</v>
      </c>
      <c r="AB142" s="158" t="s">
        <v>165</v>
      </c>
      <c r="AC142" s="158" t="s">
        <v>165</v>
      </c>
      <c r="AD142" s="158" t="s">
        <v>165</v>
      </c>
      <c r="AE142" s="158" t="s">
        <v>165</v>
      </c>
      <c r="AF142" s="158" t="s">
        <v>165</v>
      </c>
      <c r="AG142" s="158" t="s">
        <v>165</v>
      </c>
      <c r="AH142" s="158" t="s">
        <v>165</v>
      </c>
      <c r="AI142" s="202">
        <v>8.0</v>
      </c>
      <c r="AJ142" s="202">
        <v>8.0</v>
      </c>
      <c r="AK142" s="178" t="s">
        <v>165</v>
      </c>
      <c r="AL142" s="157">
        <f t="shared" si="29"/>
        <v>56</v>
      </c>
      <c r="AM142" s="179"/>
      <c r="AN142" s="206" t="s">
        <v>165</v>
      </c>
      <c r="AO142" s="206" t="s">
        <v>165</v>
      </c>
      <c r="AP142" s="206" t="s">
        <v>165</v>
      </c>
      <c r="AQ142" s="206" t="s">
        <v>165</v>
      </c>
      <c r="AR142" s="206">
        <v>8.0</v>
      </c>
      <c r="AS142" s="206">
        <v>8.0</v>
      </c>
      <c r="AT142" s="206" t="s">
        <v>165</v>
      </c>
      <c r="AU142" s="206" t="s">
        <v>165</v>
      </c>
      <c r="AV142" s="206" t="s">
        <v>165</v>
      </c>
      <c r="AW142" s="206" t="s">
        <v>165</v>
      </c>
      <c r="AX142" s="206" t="s">
        <v>165</v>
      </c>
      <c r="AY142" s="158" t="s">
        <v>245</v>
      </c>
      <c r="AZ142" s="158" t="s">
        <v>245</v>
      </c>
      <c r="BA142" s="206" t="s">
        <v>165</v>
      </c>
      <c r="BB142" s="206" t="s">
        <v>165</v>
      </c>
      <c r="BC142" s="206" t="s">
        <v>165</v>
      </c>
      <c r="BD142" s="206" t="s">
        <v>165</v>
      </c>
      <c r="BE142" s="206" t="s">
        <v>165</v>
      </c>
      <c r="BF142" s="158">
        <v>5.0</v>
      </c>
      <c r="BG142" s="158" t="s">
        <v>245</v>
      </c>
      <c r="BH142" s="206" t="s">
        <v>165</v>
      </c>
      <c r="BI142" s="206" t="s">
        <v>165</v>
      </c>
      <c r="BJ142" s="206" t="s">
        <v>165</v>
      </c>
      <c r="BK142" s="206" t="s">
        <v>165</v>
      </c>
      <c r="BL142" s="206" t="s">
        <v>165</v>
      </c>
      <c r="BM142" s="158" t="s">
        <v>245</v>
      </c>
      <c r="BN142" s="158" t="s">
        <v>245</v>
      </c>
      <c r="BO142" s="206" t="s">
        <v>165</v>
      </c>
      <c r="BP142" s="206" t="s">
        <v>165</v>
      </c>
      <c r="BQ142" s="206" t="s">
        <v>165</v>
      </c>
      <c r="BR142" s="157">
        <f t="shared" si="36"/>
        <v>21</v>
      </c>
      <c r="BS142" s="179"/>
      <c r="BT142" s="206" t="s">
        <v>165</v>
      </c>
      <c r="BU142" s="206" t="s">
        <v>165</v>
      </c>
      <c r="BV142" s="158" t="s">
        <v>245</v>
      </c>
      <c r="BW142" s="158">
        <v>8.0</v>
      </c>
      <c r="BX142" s="206" t="s">
        <v>165</v>
      </c>
      <c r="BY142" s="206" t="s">
        <v>165</v>
      </c>
      <c r="BZ142" s="206" t="s">
        <v>165</v>
      </c>
      <c r="CA142" s="206" t="s">
        <v>165</v>
      </c>
      <c r="CB142" s="158" t="s">
        <v>165</v>
      </c>
      <c r="CC142" s="158" t="s">
        <v>245</v>
      </c>
      <c r="CD142" s="158">
        <v>8.0</v>
      </c>
      <c r="CE142" s="206" t="s">
        <v>165</v>
      </c>
      <c r="CF142" s="206" t="s">
        <v>165</v>
      </c>
      <c r="CG142" s="206" t="s">
        <v>165</v>
      </c>
      <c r="CH142" s="206" t="s">
        <v>165</v>
      </c>
      <c r="CI142" s="158" t="s">
        <v>165</v>
      </c>
      <c r="CJ142" s="158" t="s">
        <v>245</v>
      </c>
      <c r="CK142" s="158" t="s">
        <v>170</v>
      </c>
      <c r="CL142" s="206" t="s">
        <v>165</v>
      </c>
      <c r="CM142" s="206" t="s">
        <v>165</v>
      </c>
      <c r="CN142" s="206" t="s">
        <v>165</v>
      </c>
      <c r="CO142" s="206" t="s">
        <v>165</v>
      </c>
      <c r="CP142" s="158" t="s">
        <v>165</v>
      </c>
      <c r="CQ142" s="158" t="s">
        <v>245</v>
      </c>
      <c r="CR142" s="158" t="s">
        <v>245</v>
      </c>
      <c r="CS142" s="206" t="s">
        <v>165</v>
      </c>
      <c r="CT142" s="206" t="s">
        <v>165</v>
      </c>
      <c r="CU142" s="206" t="s">
        <v>165</v>
      </c>
      <c r="CV142" s="206" t="s">
        <v>165</v>
      </c>
      <c r="CW142" s="158" t="s">
        <v>165</v>
      </c>
      <c r="CX142" s="158" t="s">
        <v>245</v>
      </c>
      <c r="CY142" s="157">
        <f t="shared" si="39"/>
        <v>16</v>
      </c>
      <c r="CZ142" s="179"/>
      <c r="DA142" s="186" t="s">
        <v>170</v>
      </c>
      <c r="DB142" s="162" t="s">
        <v>165</v>
      </c>
      <c r="DC142" s="162" t="s">
        <v>165</v>
      </c>
      <c r="DD142" s="162" t="s">
        <v>165</v>
      </c>
      <c r="DE142" s="162" t="s">
        <v>165</v>
      </c>
      <c r="DF142" s="162" t="s">
        <v>165</v>
      </c>
      <c r="DG142" s="162" t="s">
        <v>165</v>
      </c>
      <c r="DH142" s="162" t="s">
        <v>165</v>
      </c>
      <c r="DI142" s="162" t="s">
        <v>165</v>
      </c>
      <c r="DJ142" s="162" t="s">
        <v>165</v>
      </c>
      <c r="DK142" s="162" t="s">
        <v>165</v>
      </c>
      <c r="DL142" s="162" t="s">
        <v>165</v>
      </c>
      <c r="DM142" s="162" t="s">
        <v>165</v>
      </c>
      <c r="DN142" s="162" t="s">
        <v>165</v>
      </c>
      <c r="DO142" s="162" t="s">
        <v>165</v>
      </c>
      <c r="DP142" s="162" t="s">
        <v>165</v>
      </c>
      <c r="DQ142" s="162" t="s">
        <v>165</v>
      </c>
      <c r="DR142" s="162" t="s">
        <v>165</v>
      </c>
      <c r="DS142" s="162" t="s">
        <v>165</v>
      </c>
      <c r="DT142" s="162" t="s">
        <v>165</v>
      </c>
      <c r="DU142" s="162" t="s">
        <v>165</v>
      </c>
      <c r="DV142" s="162" t="s">
        <v>165</v>
      </c>
      <c r="DW142" s="162" t="s">
        <v>165</v>
      </c>
      <c r="DX142" s="162" t="s">
        <v>165</v>
      </c>
      <c r="DY142" s="162" t="s">
        <v>165</v>
      </c>
      <c r="DZ142" s="162" t="s">
        <v>165</v>
      </c>
      <c r="EA142" s="162" t="s">
        <v>165</v>
      </c>
      <c r="EB142" s="162" t="s">
        <v>165</v>
      </c>
      <c r="EC142" s="162" t="s">
        <v>165</v>
      </c>
      <c r="ED142" s="162" t="s">
        <v>165</v>
      </c>
      <c r="EE142" s="162" t="s">
        <v>165</v>
      </c>
      <c r="EF142" s="113">
        <f t="shared" si="32"/>
        <v>0</v>
      </c>
      <c r="EG142" s="48"/>
      <c r="EH142" s="15"/>
      <c r="EI142" s="15"/>
      <c r="EJ142" s="15"/>
      <c r="EK142" s="15"/>
      <c r="EL142" s="15"/>
      <c r="EM142" s="15"/>
      <c r="EN142" s="15"/>
      <c r="EO142" s="15"/>
      <c r="EP142" s="15"/>
      <c r="EQ142" s="15"/>
      <c r="ER142" s="15"/>
      <c r="ES142" s="15"/>
      <c r="ET142" s="15"/>
      <c r="EU142" s="15"/>
      <c r="EV142" s="15"/>
      <c r="EW142" s="15"/>
      <c r="EX142" s="15"/>
      <c r="EY142" s="15"/>
      <c r="EZ142" s="15"/>
      <c r="FA142" s="15"/>
      <c r="FB142" s="15"/>
      <c r="FC142" s="15"/>
      <c r="FD142" s="15"/>
      <c r="FE142" s="15"/>
      <c r="FF142" s="15"/>
      <c r="FG142" s="15"/>
      <c r="FH142" s="15"/>
      <c r="FI142" s="15"/>
      <c r="FJ142" s="15"/>
      <c r="FK142" s="15"/>
      <c r="FL142" s="105">
        <f t="shared" si="37"/>
        <v>0</v>
      </c>
      <c r="FM142" s="48"/>
      <c r="FN142" s="15"/>
      <c r="FO142" s="15"/>
      <c r="FP142" s="15"/>
      <c r="FQ142" s="15"/>
      <c r="FR142" s="15"/>
      <c r="FS142" s="15"/>
      <c r="FT142" s="15"/>
      <c r="FU142" s="15"/>
      <c r="FV142" s="15"/>
      <c r="FW142" s="15"/>
      <c r="FX142" s="15"/>
      <c r="FY142" s="15"/>
      <c r="FZ142" s="15"/>
      <c r="GA142" s="15"/>
      <c r="GB142" s="15"/>
      <c r="GC142" s="15"/>
      <c r="GD142" s="15"/>
      <c r="GE142" s="15"/>
      <c r="GF142" s="15"/>
      <c r="GG142" s="15"/>
      <c r="GH142" s="15"/>
      <c r="GI142" s="15"/>
      <c r="GJ142" s="15"/>
      <c r="GK142" s="15"/>
      <c r="GL142" s="15"/>
      <c r="GM142" s="15"/>
      <c r="GN142" s="15"/>
      <c r="GO142" s="15"/>
      <c r="GP142" s="15"/>
      <c r="GQ142" s="15"/>
      <c r="GR142" s="15"/>
      <c r="GS142" s="105">
        <f t="shared" si="38"/>
        <v>0</v>
      </c>
      <c r="GT142" s="48"/>
      <c r="GU142" s="15"/>
      <c r="GV142" s="15"/>
      <c r="GW142" s="15"/>
      <c r="GX142" s="15"/>
      <c r="GY142" s="15"/>
      <c r="GZ142" s="15"/>
      <c r="HA142" s="15"/>
      <c r="HB142" s="15"/>
      <c r="HC142" s="15"/>
      <c r="HD142" s="15"/>
      <c r="HE142" s="15"/>
    </row>
    <row r="143" outlineLevel="1">
      <c r="A143" s="149" t="s">
        <v>355</v>
      </c>
      <c r="B143" s="152" t="s">
        <v>89</v>
      </c>
      <c r="C143" s="151" t="str">
        <f>iferror(vlookup(A143,'SoS - Agents Info'!A:AQ,43,false),"")</f>
        <v/>
      </c>
      <c r="D143" s="152" t="s">
        <v>97</v>
      </c>
      <c r="E143" s="152" t="s">
        <v>199</v>
      </c>
      <c r="F143" s="153">
        <f>IFERROR(__xludf.DUMMYFUNCTION("sum(COUNTIFS(Filter(FILTER('Shiftplan SoS'!G$3:GU166,'Shiftplan SoS'!$G$1:$GU$1&lt;=today()),'Shiftplan SoS'!$A$3:$A166=A143),""&gt;0"",(Filter(FILTER('Shiftplan SoS'!G$3:GU166,'Shiftplan SoS'!$G$1:$GU$1&lt;=today()),'Shiftplan SoS'!$A$3:$A166=A143)),""&lt;12""))"),19.0)</f>
        <v>19</v>
      </c>
      <c r="G143" s="200"/>
      <c r="H143" s="200"/>
      <c r="I143" s="200"/>
      <c r="J143" s="200"/>
      <c r="K143" s="200"/>
      <c r="L143" s="200"/>
      <c r="M143" s="200"/>
      <c r="N143" s="200"/>
      <c r="O143" s="200"/>
      <c r="P143" s="200"/>
      <c r="Q143" s="200"/>
      <c r="R143" s="198"/>
      <c r="S143" s="200"/>
      <c r="T143" s="200"/>
      <c r="U143" s="200"/>
      <c r="V143" s="200"/>
      <c r="W143" s="158"/>
      <c r="X143" s="158"/>
      <c r="Y143" s="158"/>
      <c r="Z143" s="158"/>
      <c r="AA143" s="158"/>
      <c r="AB143" s="158"/>
      <c r="AC143" s="158"/>
      <c r="AD143" s="158"/>
      <c r="AE143" s="158"/>
      <c r="AF143" s="158"/>
      <c r="AG143" s="158"/>
      <c r="AH143" s="158"/>
      <c r="AI143" s="158"/>
      <c r="AJ143" s="158"/>
      <c r="AK143" s="178">
        <v>8.0</v>
      </c>
      <c r="AL143" s="157"/>
      <c r="AM143" s="179"/>
      <c r="AN143" s="158">
        <v>8.0</v>
      </c>
      <c r="AO143" s="178">
        <v>8.0</v>
      </c>
      <c r="AP143" s="206" t="s">
        <v>165</v>
      </c>
      <c r="AQ143" s="206" t="s">
        <v>165</v>
      </c>
      <c r="AR143" s="206" t="s">
        <v>165</v>
      </c>
      <c r="AS143" s="206" t="s">
        <v>165</v>
      </c>
      <c r="AT143" s="207">
        <v>8.0</v>
      </c>
      <c r="AU143" s="207">
        <v>8.0</v>
      </c>
      <c r="AV143" s="207">
        <v>8.0</v>
      </c>
      <c r="AW143" s="202">
        <v>8.0</v>
      </c>
      <c r="AX143" s="206" t="s">
        <v>165</v>
      </c>
      <c r="AY143" s="206" t="s">
        <v>165</v>
      </c>
      <c r="AZ143" s="206" t="s">
        <v>165</v>
      </c>
      <c r="BA143" s="208">
        <v>8.0</v>
      </c>
      <c r="BB143" s="208">
        <v>8.0</v>
      </c>
      <c r="BC143" s="208">
        <v>8.0</v>
      </c>
      <c r="BD143" s="202" t="s">
        <v>170</v>
      </c>
      <c r="BE143" s="206" t="s">
        <v>165</v>
      </c>
      <c r="BF143" s="206" t="s">
        <v>165</v>
      </c>
      <c r="BG143" s="206" t="s">
        <v>165</v>
      </c>
      <c r="BH143" s="208">
        <v>8.0</v>
      </c>
      <c r="BI143" s="208">
        <v>8.0</v>
      </c>
      <c r="BJ143" s="208">
        <v>8.0</v>
      </c>
      <c r="BK143" s="206" t="s">
        <v>165</v>
      </c>
      <c r="BL143" s="206" t="s">
        <v>165</v>
      </c>
      <c r="BM143" s="206" t="s">
        <v>165</v>
      </c>
      <c r="BN143" s="206" t="s">
        <v>165</v>
      </c>
      <c r="BO143" s="158" t="s">
        <v>245</v>
      </c>
      <c r="BP143" s="158" t="s">
        <v>245</v>
      </c>
      <c r="BQ143" s="206">
        <v>8.0</v>
      </c>
      <c r="BR143" s="157">
        <f t="shared" si="36"/>
        <v>104</v>
      </c>
      <c r="BS143" s="179"/>
      <c r="BT143" s="206" t="s">
        <v>165</v>
      </c>
      <c r="BU143" s="206" t="s">
        <v>165</v>
      </c>
      <c r="BV143" s="206" t="s">
        <v>165</v>
      </c>
      <c r="BW143" s="206" t="s">
        <v>165</v>
      </c>
      <c r="BX143" s="186" t="s">
        <v>170</v>
      </c>
      <c r="BY143" s="186">
        <v>8.0</v>
      </c>
      <c r="BZ143" s="186">
        <v>8.0</v>
      </c>
      <c r="CA143" s="206" t="s">
        <v>165</v>
      </c>
      <c r="CB143" s="206" t="s">
        <v>165</v>
      </c>
      <c r="CC143" s="206" t="s">
        <v>165</v>
      </c>
      <c r="CD143" s="206" t="s">
        <v>165</v>
      </c>
      <c r="CE143" s="186">
        <v>8.0</v>
      </c>
      <c r="CF143" s="186">
        <v>8.0</v>
      </c>
      <c r="CG143" s="186">
        <v>8.0</v>
      </c>
      <c r="CH143" s="206" t="s">
        <v>165</v>
      </c>
      <c r="CI143" s="206" t="s">
        <v>165</v>
      </c>
      <c r="CJ143" s="206" t="s">
        <v>165</v>
      </c>
      <c r="CK143" s="206" t="s">
        <v>165</v>
      </c>
      <c r="CL143" s="186" t="s">
        <v>170</v>
      </c>
      <c r="CM143" s="186" t="s">
        <v>170</v>
      </c>
      <c r="CN143" s="186" t="s">
        <v>170</v>
      </c>
      <c r="CO143" s="206" t="s">
        <v>165</v>
      </c>
      <c r="CP143" s="206" t="s">
        <v>165</v>
      </c>
      <c r="CQ143" s="206" t="s">
        <v>165</v>
      </c>
      <c r="CR143" s="206" t="s">
        <v>165</v>
      </c>
      <c r="CS143" s="186" t="s">
        <v>170</v>
      </c>
      <c r="CT143" s="186" t="s">
        <v>170</v>
      </c>
      <c r="CU143" s="186" t="s">
        <v>170</v>
      </c>
      <c r="CV143" s="206" t="s">
        <v>165</v>
      </c>
      <c r="CW143" s="206" t="s">
        <v>165</v>
      </c>
      <c r="CX143" s="206" t="s">
        <v>165</v>
      </c>
      <c r="CY143" s="157">
        <f t="shared" si="39"/>
        <v>40</v>
      </c>
      <c r="CZ143" s="179"/>
      <c r="DA143" s="182" t="s">
        <v>165</v>
      </c>
      <c r="DB143" s="182" t="s">
        <v>245</v>
      </c>
      <c r="DC143" s="182" t="s">
        <v>245</v>
      </c>
      <c r="DD143" s="182" t="s">
        <v>245</v>
      </c>
      <c r="DE143" s="162" t="s">
        <v>165</v>
      </c>
      <c r="DF143" s="162" t="s">
        <v>165</v>
      </c>
      <c r="DG143" s="162" t="s">
        <v>165</v>
      </c>
      <c r="DH143" s="162" t="s">
        <v>165</v>
      </c>
      <c r="DI143" s="162" t="s">
        <v>165</v>
      </c>
      <c r="DJ143" s="162" t="s">
        <v>165</v>
      </c>
      <c r="DK143" s="162" t="s">
        <v>165</v>
      </c>
      <c r="DL143" s="162" t="s">
        <v>165</v>
      </c>
      <c r="DM143" s="162" t="s">
        <v>165</v>
      </c>
      <c r="DN143" s="162" t="s">
        <v>165</v>
      </c>
      <c r="DO143" s="162" t="s">
        <v>165</v>
      </c>
      <c r="DP143" s="162" t="s">
        <v>165</v>
      </c>
      <c r="DQ143" s="162" t="s">
        <v>165</v>
      </c>
      <c r="DR143" s="162" t="s">
        <v>165</v>
      </c>
      <c r="DS143" s="162" t="s">
        <v>165</v>
      </c>
      <c r="DT143" s="162" t="s">
        <v>165</v>
      </c>
      <c r="DU143" s="162" t="s">
        <v>165</v>
      </c>
      <c r="DV143" s="162" t="s">
        <v>165</v>
      </c>
      <c r="DW143" s="162" t="s">
        <v>165</v>
      </c>
      <c r="DX143" s="162" t="s">
        <v>165</v>
      </c>
      <c r="DY143" s="162" t="s">
        <v>165</v>
      </c>
      <c r="DZ143" s="162" t="s">
        <v>165</v>
      </c>
      <c r="EA143" s="162" t="s">
        <v>165</v>
      </c>
      <c r="EB143" s="162" t="s">
        <v>165</v>
      </c>
      <c r="EC143" s="162" t="s">
        <v>165</v>
      </c>
      <c r="ED143" s="162" t="s">
        <v>165</v>
      </c>
      <c r="EE143" s="162" t="s">
        <v>165</v>
      </c>
      <c r="EF143" s="113">
        <f t="shared" si="32"/>
        <v>0</v>
      </c>
      <c r="EG143" s="179"/>
      <c r="EH143" s="180"/>
      <c r="EI143" s="180"/>
      <c r="EJ143" s="180"/>
      <c r="EK143" s="180"/>
      <c r="EL143" s="180"/>
      <c r="EM143" s="180"/>
      <c r="EN143" s="180"/>
      <c r="EO143" s="180"/>
      <c r="EP143" s="180"/>
      <c r="EQ143" s="180"/>
      <c r="ER143" s="180"/>
      <c r="ES143" s="180"/>
      <c r="ET143" s="180"/>
      <c r="EU143" s="180"/>
      <c r="EV143" s="180"/>
      <c r="EW143" s="180"/>
      <c r="EX143" s="180"/>
      <c r="EY143" s="180"/>
      <c r="EZ143" s="180"/>
      <c r="FA143" s="180"/>
      <c r="FB143" s="180"/>
      <c r="FC143" s="180"/>
      <c r="FD143" s="180"/>
      <c r="FE143" s="180"/>
      <c r="FF143" s="180"/>
      <c r="FG143" s="180"/>
      <c r="FH143" s="180"/>
      <c r="FI143" s="180"/>
      <c r="FJ143" s="180"/>
      <c r="FK143" s="180"/>
      <c r="FL143" s="157"/>
      <c r="FM143" s="179"/>
      <c r="FN143" s="180"/>
      <c r="FO143" s="180"/>
      <c r="FP143" s="180"/>
      <c r="FQ143" s="180"/>
      <c r="FR143" s="180"/>
      <c r="FS143" s="180"/>
      <c r="FT143" s="180"/>
      <c r="FU143" s="180"/>
      <c r="FV143" s="180"/>
      <c r="FW143" s="180"/>
      <c r="FX143" s="180"/>
      <c r="FY143" s="180"/>
      <c r="FZ143" s="180"/>
      <c r="GA143" s="180"/>
      <c r="GB143" s="180"/>
      <c r="GC143" s="180"/>
      <c r="GD143" s="180"/>
      <c r="GE143" s="180"/>
      <c r="GF143" s="180"/>
      <c r="GG143" s="180"/>
      <c r="GH143" s="180"/>
      <c r="GI143" s="180"/>
      <c r="GJ143" s="180"/>
      <c r="GK143" s="180"/>
      <c r="GL143" s="180"/>
      <c r="GM143" s="180"/>
      <c r="GN143" s="180"/>
      <c r="GO143" s="180"/>
      <c r="GP143" s="180"/>
      <c r="GQ143" s="180"/>
      <c r="GR143" s="180"/>
      <c r="GS143" s="157"/>
      <c r="GT143" s="179"/>
      <c r="GU143" s="180"/>
      <c r="GV143" s="180"/>
      <c r="GW143" s="180"/>
      <c r="GX143" s="180"/>
      <c r="GY143" s="180"/>
      <c r="GZ143" s="180"/>
      <c r="HA143" s="180"/>
      <c r="HB143" s="180"/>
      <c r="HC143" s="180"/>
      <c r="HD143" s="180"/>
      <c r="HE143" s="180"/>
    </row>
    <row r="144" outlineLevel="1">
      <c r="A144" s="149" t="s">
        <v>356</v>
      </c>
      <c r="B144" s="106" t="str">
        <f>iferror(vlookup(A144,'SoS - Agents Info'!A:H,5,false),"")</f>
        <v/>
      </c>
      <c r="C144" s="107" t="str">
        <f>iferror(vlookup(A144,'SoS - Agents Info'!A:AQ,43,false),"")</f>
        <v/>
      </c>
      <c r="D144" s="108" t="str">
        <f>iferror(vlookup(A144,'SoS - Agents Info'!A:H,6,false),"")</f>
        <v/>
      </c>
      <c r="E144" s="108" t="str">
        <f>iferror(vlookup(A144,'SoS - Agents Info'!A:H,7,false),"")</f>
        <v/>
      </c>
      <c r="F144" s="109">
        <f>IFERROR(__xludf.DUMMYFUNCTION("sum(COUNTIFS(Filter(FILTER('Shiftplan SoS'!G$3:GU166,'Shiftplan SoS'!$G$1:$GU$1&lt;=today()),'Shiftplan SoS'!$A$3:$A166=A144),""&gt;0"",(Filter(FILTER('Shiftplan SoS'!G$3:GU166,'Shiftplan SoS'!$G$1:$GU$1&lt;=today()),'Shiftplan SoS'!$A$3:$A166=A144)),""&lt;12""))"),11.0)</f>
        <v>11</v>
      </c>
      <c r="G144" s="200"/>
      <c r="H144" s="200"/>
      <c r="I144" s="200"/>
      <c r="J144" s="200"/>
      <c r="K144" s="200"/>
      <c r="L144" s="200"/>
      <c r="M144" s="200"/>
      <c r="N144" s="200"/>
      <c r="O144" s="200"/>
      <c r="P144" s="200"/>
      <c r="Q144" s="200"/>
      <c r="R144" s="198"/>
      <c r="S144" s="200"/>
      <c r="T144" s="200"/>
      <c r="U144" s="200"/>
      <c r="V144" s="200"/>
      <c r="W144" s="158">
        <v>8.0</v>
      </c>
      <c r="X144" s="158">
        <v>8.0</v>
      </c>
      <c r="Y144" s="158">
        <v>8.0</v>
      </c>
      <c r="Z144" s="158">
        <v>8.0</v>
      </c>
      <c r="AA144" s="158">
        <v>8.0</v>
      </c>
      <c r="AB144" s="158" t="s">
        <v>165</v>
      </c>
      <c r="AC144" s="158" t="s">
        <v>165</v>
      </c>
      <c r="AD144" s="158">
        <v>8.0</v>
      </c>
      <c r="AE144" s="158">
        <v>8.0</v>
      </c>
      <c r="AF144" s="158">
        <v>8.0</v>
      </c>
      <c r="AG144" s="158">
        <v>8.0</v>
      </c>
      <c r="AH144" s="158">
        <v>8.0</v>
      </c>
      <c r="AI144" s="158" t="s">
        <v>165</v>
      </c>
      <c r="AJ144" s="158" t="s">
        <v>165</v>
      </c>
      <c r="AK144" s="178">
        <v>8.0</v>
      </c>
      <c r="AL144" s="157">
        <f t="shared" ref="AL144:AL148" si="40">sum(G144:AK144)</f>
        <v>88</v>
      </c>
      <c r="AM144" s="179"/>
      <c r="AN144" s="180"/>
      <c r="AO144" s="180"/>
      <c r="AP144" s="180"/>
      <c r="AQ144" s="180"/>
      <c r="AR144" s="180"/>
      <c r="AS144" s="180"/>
      <c r="AT144" s="180"/>
      <c r="AU144" s="180"/>
      <c r="AV144" s="180"/>
      <c r="AW144" s="180"/>
      <c r="AX144" s="180"/>
      <c r="AY144" s="158"/>
      <c r="AZ144" s="180"/>
      <c r="BA144" s="180"/>
      <c r="BB144" s="180"/>
      <c r="BC144" s="180"/>
      <c r="BD144" s="180"/>
      <c r="BE144" s="180"/>
      <c r="BF144" s="180"/>
      <c r="BG144" s="180"/>
      <c r="BH144" s="180"/>
      <c r="BI144" s="180"/>
      <c r="BJ144" s="180"/>
      <c r="BK144" s="180"/>
      <c r="BL144" s="180"/>
      <c r="BM144" s="180"/>
      <c r="BN144" s="180"/>
      <c r="BO144" s="180"/>
      <c r="BP144" s="180"/>
      <c r="BQ144" s="180"/>
      <c r="BR144" s="180"/>
      <c r="BS144" s="179"/>
      <c r="BT144" s="180"/>
      <c r="BU144" s="180"/>
      <c r="BV144" s="180"/>
      <c r="BW144" s="180"/>
      <c r="BX144" s="180"/>
      <c r="BY144" s="180"/>
      <c r="BZ144" s="180"/>
      <c r="CA144" s="180"/>
      <c r="CB144" s="180"/>
      <c r="CC144" s="180"/>
      <c r="CD144" s="180"/>
      <c r="CE144" s="180"/>
      <c r="CF144" s="180"/>
      <c r="CG144" s="180"/>
      <c r="CH144" s="180"/>
      <c r="CI144" s="180"/>
      <c r="CJ144" s="180"/>
      <c r="CK144" s="180"/>
      <c r="CL144" s="180"/>
      <c r="CM144" s="180"/>
      <c r="CN144" s="180"/>
      <c r="CO144" s="180"/>
      <c r="CP144" s="180"/>
      <c r="CQ144" s="180"/>
      <c r="CR144" s="180"/>
      <c r="CS144" s="180"/>
      <c r="CT144" s="180"/>
      <c r="CU144" s="180"/>
      <c r="CV144" s="180"/>
      <c r="CW144" s="180"/>
      <c r="CX144" s="180"/>
      <c r="CY144" s="105">
        <f t="shared" si="39"/>
        <v>0</v>
      </c>
      <c r="CZ144" s="179"/>
      <c r="DA144" s="113"/>
      <c r="DB144" s="162"/>
      <c r="DC144" s="162"/>
      <c r="DD144" s="162"/>
      <c r="DE144" s="162"/>
      <c r="DF144" s="162"/>
      <c r="DG144" s="162"/>
      <c r="DH144" s="162"/>
      <c r="DI144" s="162"/>
      <c r="DJ144" s="162"/>
      <c r="DK144" s="162"/>
      <c r="DL144" s="162"/>
      <c r="DM144" s="162"/>
      <c r="DN144" s="162"/>
      <c r="DO144" s="162"/>
      <c r="DP144" s="162"/>
      <c r="DQ144" s="162"/>
      <c r="DR144" s="162"/>
      <c r="DS144" s="162"/>
      <c r="DT144" s="162"/>
      <c r="DU144" s="162"/>
      <c r="DV144" s="162"/>
      <c r="DW144" s="162"/>
      <c r="DX144" s="162"/>
      <c r="DY144" s="162"/>
      <c r="DZ144" s="162"/>
      <c r="EA144" s="162"/>
      <c r="EB144" s="162"/>
      <c r="EC144" s="162"/>
      <c r="ED144" s="162"/>
      <c r="EE144" s="162"/>
      <c r="EF144" s="113">
        <f t="shared" si="32"/>
        <v>0</v>
      </c>
      <c r="EG144" s="179"/>
      <c r="EH144" s="180"/>
      <c r="EI144" s="180"/>
      <c r="EJ144" s="180"/>
      <c r="EK144" s="180"/>
      <c r="EL144" s="180"/>
      <c r="EM144" s="180"/>
      <c r="EN144" s="180"/>
      <c r="EO144" s="180"/>
      <c r="EP144" s="180"/>
      <c r="EQ144" s="180"/>
      <c r="ER144" s="180"/>
      <c r="ES144" s="180"/>
      <c r="ET144" s="180"/>
      <c r="EU144" s="180"/>
      <c r="EV144" s="180"/>
      <c r="EW144" s="180"/>
      <c r="EX144" s="180"/>
      <c r="EY144" s="180"/>
      <c r="EZ144" s="180"/>
      <c r="FA144" s="180"/>
      <c r="FB144" s="180"/>
      <c r="FC144" s="180"/>
      <c r="FD144" s="180"/>
      <c r="FE144" s="180"/>
      <c r="FF144" s="180"/>
      <c r="FG144" s="180"/>
      <c r="FH144" s="180"/>
      <c r="FI144" s="180"/>
      <c r="FJ144" s="180"/>
      <c r="FK144" s="180"/>
      <c r="FL144" s="157">
        <f t="shared" ref="FL144:FL160" si="41">sum(EH144:FK144)</f>
        <v>0</v>
      </c>
      <c r="FM144" s="179"/>
      <c r="FN144" s="180"/>
      <c r="FO144" s="180"/>
      <c r="FP144" s="180"/>
      <c r="FQ144" s="180"/>
      <c r="FR144" s="180"/>
      <c r="FS144" s="180"/>
      <c r="FT144" s="180"/>
      <c r="FU144" s="180"/>
      <c r="FV144" s="180"/>
      <c r="FW144" s="180"/>
      <c r="FX144" s="180"/>
      <c r="FY144" s="180"/>
      <c r="FZ144" s="180"/>
      <c r="GA144" s="180"/>
      <c r="GB144" s="180"/>
      <c r="GC144" s="180"/>
      <c r="GD144" s="180"/>
      <c r="GE144" s="180"/>
      <c r="GF144" s="180"/>
      <c r="GG144" s="180"/>
      <c r="GH144" s="180"/>
      <c r="GI144" s="180"/>
      <c r="GJ144" s="180"/>
      <c r="GK144" s="180"/>
      <c r="GL144" s="180"/>
      <c r="GM144" s="180"/>
      <c r="GN144" s="180"/>
      <c r="GO144" s="180"/>
      <c r="GP144" s="180"/>
      <c r="GQ144" s="180"/>
      <c r="GR144" s="180"/>
      <c r="GS144" s="157">
        <f t="shared" ref="GS144:GS160" si="42">sum(FN144:GR144)</f>
        <v>0</v>
      </c>
      <c r="GT144" s="179"/>
      <c r="GU144" s="180"/>
      <c r="GV144" s="180"/>
      <c r="GW144" s="180"/>
      <c r="GX144" s="180"/>
      <c r="GY144" s="180"/>
      <c r="GZ144" s="180"/>
      <c r="HA144" s="180"/>
      <c r="HB144" s="180"/>
      <c r="HC144" s="180"/>
      <c r="HD144" s="180"/>
      <c r="HE144" s="180"/>
    </row>
    <row r="145" ht="16.5" customHeight="1" outlineLevel="1">
      <c r="A145" s="186" t="s">
        <v>357</v>
      </c>
      <c r="B145" s="150" t="str">
        <f>iferror(vlookup(A145,'SoS - Agents Info'!A:H,5,false),"")</f>
        <v>EN</v>
      </c>
      <c r="C145" s="151" t="str">
        <f>iferror(vlookup(A145,'SoS - Agents Info'!A:AQ,43,false),"")</f>
        <v>RA+VM</v>
      </c>
      <c r="D145" s="152" t="str">
        <f>iferror(vlookup(A145,'SoS - Agents Info'!A:H,6,false),"")</f>
        <v>WE+WD</v>
      </c>
      <c r="E145" s="152" t="str">
        <f>iferror(vlookup(A145,'SoS - Agents Info'!A:H,7,false),"")</f>
        <v>16:00-01:00</v>
      </c>
      <c r="F145" s="153">
        <f>IFERROR(__xludf.DUMMYFUNCTION("sum(COUNTIFS(Filter(FILTER('Shiftplan SoS'!G$3:GU166,'Shiftplan SoS'!$G$1:$GU$1&lt;=today()),'Shiftplan SoS'!$A$3:$A166=A145),""&gt;0"",(Filter(FILTER('Shiftplan SoS'!G$3:GU166,'Shiftplan SoS'!$G$1:$GU$1&lt;=today()),'Shiftplan SoS'!$A$3:$A166=A145)),""&lt;12""))"),36.0)</f>
        <v>36</v>
      </c>
      <c r="G145" s="200"/>
      <c r="H145" s="200"/>
      <c r="I145" s="200"/>
      <c r="J145" s="200"/>
      <c r="K145" s="200"/>
      <c r="L145" s="200"/>
      <c r="M145" s="200"/>
      <c r="N145" s="200"/>
      <c r="O145" s="200"/>
      <c r="P145" s="200"/>
      <c r="Q145" s="200"/>
      <c r="R145" s="198"/>
      <c r="S145" s="200"/>
      <c r="T145" s="200"/>
      <c r="U145" s="200"/>
      <c r="V145" s="200"/>
      <c r="W145" s="158">
        <v>8.0</v>
      </c>
      <c r="X145" s="158">
        <v>8.0</v>
      </c>
      <c r="Y145" s="158">
        <v>8.0</v>
      </c>
      <c r="Z145" s="158">
        <v>8.0</v>
      </c>
      <c r="AA145" s="158">
        <v>8.0</v>
      </c>
      <c r="AB145" s="158" t="s">
        <v>165</v>
      </c>
      <c r="AC145" s="158">
        <v>8.0</v>
      </c>
      <c r="AD145" s="158" t="s">
        <v>165</v>
      </c>
      <c r="AE145" s="158" t="s">
        <v>165</v>
      </c>
      <c r="AF145" s="158">
        <v>8.0</v>
      </c>
      <c r="AG145" s="158">
        <v>8.0</v>
      </c>
      <c r="AH145" s="158">
        <v>8.0</v>
      </c>
      <c r="AI145" s="202">
        <v>8.0</v>
      </c>
      <c r="AJ145" s="202">
        <v>8.0</v>
      </c>
      <c r="AK145" s="178" t="s">
        <v>165</v>
      </c>
      <c r="AL145" s="157">
        <f t="shared" si="40"/>
        <v>88</v>
      </c>
      <c r="AM145" s="179"/>
      <c r="AN145" s="206" t="s">
        <v>165</v>
      </c>
      <c r="AO145" s="202" t="s">
        <v>170</v>
      </c>
      <c r="AP145" s="206">
        <v>8.0</v>
      </c>
      <c r="AQ145" s="208">
        <v>8.0</v>
      </c>
      <c r="AR145" s="206">
        <v>8.0</v>
      </c>
      <c r="AS145" s="206">
        <v>8.0</v>
      </c>
      <c r="AT145" s="206" t="s">
        <v>165</v>
      </c>
      <c r="AU145" s="206" t="s">
        <v>165</v>
      </c>
      <c r="AV145" s="208">
        <v>8.0</v>
      </c>
      <c r="AW145" s="208">
        <v>8.0</v>
      </c>
      <c r="AX145" s="208">
        <v>8.0</v>
      </c>
      <c r="AY145" s="158">
        <v>8.0</v>
      </c>
      <c r="AZ145" s="206">
        <v>8.0</v>
      </c>
      <c r="BA145" s="206" t="s">
        <v>165</v>
      </c>
      <c r="BB145" s="206" t="s">
        <v>165</v>
      </c>
      <c r="BC145" s="208">
        <v>8.0</v>
      </c>
      <c r="BD145" s="208">
        <v>8.0</v>
      </c>
      <c r="BE145" s="208">
        <v>8.0</v>
      </c>
      <c r="BF145" s="158" t="s">
        <v>245</v>
      </c>
      <c r="BG145" s="206">
        <v>8.0</v>
      </c>
      <c r="BH145" s="206" t="s">
        <v>165</v>
      </c>
      <c r="BI145" s="206" t="s">
        <v>165</v>
      </c>
      <c r="BJ145" s="208">
        <v>8.0</v>
      </c>
      <c r="BK145" s="208">
        <v>8.0</v>
      </c>
      <c r="BL145" s="208">
        <v>8.0</v>
      </c>
      <c r="BM145" s="206">
        <v>8.0</v>
      </c>
      <c r="BN145" s="206">
        <v>8.0</v>
      </c>
      <c r="BO145" s="206" t="s">
        <v>165</v>
      </c>
      <c r="BP145" s="206" t="s">
        <v>165</v>
      </c>
      <c r="BQ145" s="208">
        <v>8.0</v>
      </c>
      <c r="BR145" s="157">
        <f>sum(AN145:BQ145)</f>
        <v>152</v>
      </c>
      <c r="BS145" s="179"/>
      <c r="BT145" s="188" t="s">
        <v>245</v>
      </c>
      <c r="BU145" s="208">
        <v>8.0</v>
      </c>
      <c r="BV145" s="206">
        <v>8.0</v>
      </c>
      <c r="BW145" s="158" t="s">
        <v>245</v>
      </c>
      <c r="BX145" s="206" t="s">
        <v>165</v>
      </c>
      <c r="BY145" s="206" t="s">
        <v>165</v>
      </c>
      <c r="BZ145" s="208">
        <v>8.0</v>
      </c>
      <c r="CA145" s="208">
        <v>8.0</v>
      </c>
      <c r="CB145" s="188" t="s">
        <v>245</v>
      </c>
      <c r="CC145" s="206">
        <v>8.0</v>
      </c>
      <c r="CD145" s="206">
        <v>8.0</v>
      </c>
      <c r="CE145" s="206" t="s">
        <v>165</v>
      </c>
      <c r="CF145" s="206" t="s">
        <v>165</v>
      </c>
      <c r="CG145" s="158" t="s">
        <v>170</v>
      </c>
      <c r="CH145" s="188" t="s">
        <v>170</v>
      </c>
      <c r="CI145" s="188" t="s">
        <v>170</v>
      </c>
      <c r="CJ145" s="158" t="s">
        <v>170</v>
      </c>
      <c r="CK145" s="158" t="s">
        <v>170</v>
      </c>
      <c r="CL145" s="206" t="s">
        <v>165</v>
      </c>
      <c r="CM145" s="206" t="s">
        <v>165</v>
      </c>
      <c r="CN145" s="202" t="s">
        <v>170</v>
      </c>
      <c r="CO145" s="188" t="s">
        <v>170</v>
      </c>
      <c r="CP145" s="188" t="s">
        <v>170</v>
      </c>
      <c r="CQ145" s="158" t="s">
        <v>170</v>
      </c>
      <c r="CR145" s="158" t="s">
        <v>170</v>
      </c>
      <c r="CS145" s="206" t="s">
        <v>165</v>
      </c>
      <c r="CT145" s="206" t="s">
        <v>165</v>
      </c>
      <c r="CU145" s="158" t="s">
        <v>170</v>
      </c>
      <c r="CV145" s="192"/>
      <c r="CW145" s="192"/>
      <c r="CX145" s="192"/>
      <c r="CY145" s="157">
        <f t="shared" si="39"/>
        <v>48</v>
      </c>
      <c r="CZ145" s="179"/>
      <c r="DA145" s="162"/>
      <c r="DB145" s="162"/>
      <c r="DC145" s="162"/>
      <c r="DD145" s="162"/>
      <c r="DE145" s="162"/>
      <c r="DF145" s="162"/>
      <c r="DG145" s="162"/>
      <c r="DH145" s="162"/>
      <c r="DI145" s="162"/>
      <c r="DJ145" s="162"/>
      <c r="DK145" s="162"/>
      <c r="DL145" s="162"/>
      <c r="DM145" s="162"/>
      <c r="DN145" s="162"/>
      <c r="DO145" s="162"/>
      <c r="DP145" s="162"/>
      <c r="DQ145" s="162"/>
      <c r="DR145" s="162"/>
      <c r="DS145" s="162"/>
      <c r="DT145" s="162"/>
      <c r="DU145" s="162"/>
      <c r="DV145" s="162"/>
      <c r="DW145" s="162"/>
      <c r="DX145" s="162"/>
      <c r="DY145" s="162"/>
      <c r="DZ145" s="162"/>
      <c r="EA145" s="162"/>
      <c r="EB145" s="162"/>
      <c r="EC145" s="162"/>
      <c r="ED145" s="162"/>
      <c r="EE145" s="162"/>
      <c r="EF145" s="162"/>
      <c r="EG145" s="179"/>
      <c r="EH145" s="180"/>
      <c r="EI145" s="180"/>
      <c r="EJ145" s="180"/>
      <c r="EK145" s="180"/>
      <c r="EL145" s="180"/>
      <c r="EM145" s="180"/>
      <c r="EN145" s="180"/>
      <c r="EO145" s="180"/>
      <c r="EP145" s="180"/>
      <c r="EQ145" s="180"/>
      <c r="ER145" s="180"/>
      <c r="ES145" s="180"/>
      <c r="ET145" s="180"/>
      <c r="EU145" s="180"/>
      <c r="EV145" s="180"/>
      <c r="EW145" s="180"/>
      <c r="EX145" s="180"/>
      <c r="EY145" s="180"/>
      <c r="EZ145" s="180"/>
      <c r="FA145" s="180"/>
      <c r="FB145" s="180"/>
      <c r="FC145" s="180"/>
      <c r="FD145" s="180"/>
      <c r="FE145" s="180"/>
      <c r="FF145" s="180"/>
      <c r="FG145" s="180"/>
      <c r="FH145" s="180"/>
      <c r="FI145" s="180"/>
      <c r="FJ145" s="180"/>
      <c r="FK145" s="180"/>
      <c r="FL145" s="157">
        <f t="shared" si="41"/>
        <v>0</v>
      </c>
      <c r="FM145" s="179"/>
      <c r="FN145" s="180"/>
      <c r="FO145" s="180"/>
      <c r="FP145" s="180"/>
      <c r="FQ145" s="180"/>
      <c r="FR145" s="180"/>
      <c r="FS145" s="180"/>
      <c r="FT145" s="180"/>
      <c r="FU145" s="180"/>
      <c r="FV145" s="180"/>
      <c r="FW145" s="180"/>
      <c r="FX145" s="180"/>
      <c r="FY145" s="180"/>
      <c r="FZ145" s="180"/>
      <c r="GA145" s="180"/>
      <c r="GB145" s="180"/>
      <c r="GC145" s="180"/>
      <c r="GD145" s="180"/>
      <c r="GE145" s="180"/>
      <c r="GF145" s="180"/>
      <c r="GG145" s="180"/>
      <c r="GH145" s="180"/>
      <c r="GI145" s="180"/>
      <c r="GJ145" s="180"/>
      <c r="GK145" s="180"/>
      <c r="GL145" s="180"/>
      <c r="GM145" s="180"/>
      <c r="GN145" s="180"/>
      <c r="GO145" s="180"/>
      <c r="GP145" s="180"/>
      <c r="GQ145" s="180"/>
      <c r="GR145" s="180"/>
      <c r="GS145" s="157">
        <f t="shared" si="42"/>
        <v>0</v>
      </c>
      <c r="GT145" s="179"/>
      <c r="GU145" s="180"/>
      <c r="GV145" s="180"/>
      <c r="GW145" s="180"/>
      <c r="GX145" s="180"/>
      <c r="GY145" s="180"/>
      <c r="GZ145" s="180"/>
      <c r="HA145" s="180"/>
      <c r="HB145" s="180"/>
      <c r="HC145" s="180"/>
      <c r="HD145" s="180"/>
      <c r="HE145" s="180"/>
    </row>
    <row r="146" ht="16.5" customHeight="1" outlineLevel="1">
      <c r="A146" s="149" t="s">
        <v>358</v>
      </c>
      <c r="B146" s="150" t="str">
        <f>iferror(vlookup(A146,'SoS - Agents Info'!A:H,5,false),"")</f>
        <v>EN</v>
      </c>
      <c r="C146" s="107" t="str">
        <f>iferror(vlookup(A146,'SoS - Agents Info'!A:AQ,43,false),"")</f>
        <v>RA+VM</v>
      </c>
      <c r="D146" s="152" t="str">
        <f>iferror(vlookup(A146,'SoS - Agents Info'!A:H,6,false),"")</f>
        <v>WD</v>
      </c>
      <c r="E146" s="152" t="str">
        <f>iferror(vlookup(A146,'SoS - Agents Info'!A:H,7,false),"")</f>
        <v>00:00-09:00</v>
      </c>
      <c r="F146" s="153">
        <f>IFERROR(__xludf.DUMMYFUNCTION("sum(COUNTIFS(Filter(FILTER('Shiftplan SoS'!G$3:GU166,'Shiftplan SoS'!$G$1:$GU$1&lt;=today()),'Shiftplan SoS'!$A$3:$A166=A146),""&gt;0"",(Filter(FILTER('Shiftplan SoS'!G$3:GU166,'Shiftplan SoS'!$G$1:$GU$1&lt;=today()),'Shiftplan SoS'!$A$3:$A166=A146)),""&lt;12""))"),11.0)</f>
        <v>11</v>
      </c>
      <c r="G146" s="198"/>
      <c r="H146" s="198"/>
      <c r="I146" s="200"/>
      <c r="J146" s="200"/>
      <c r="K146" s="200"/>
      <c r="L146" s="200"/>
      <c r="M146" s="200"/>
      <c r="N146" s="200"/>
      <c r="O146" s="200"/>
      <c r="P146" s="200"/>
      <c r="Q146" s="200"/>
      <c r="R146" s="198"/>
      <c r="S146" s="200"/>
      <c r="T146" s="200"/>
      <c r="U146" s="200"/>
      <c r="V146" s="200"/>
      <c r="W146" s="158">
        <v>8.0</v>
      </c>
      <c r="X146" s="158">
        <v>8.0</v>
      </c>
      <c r="Y146" s="158">
        <v>8.0</v>
      </c>
      <c r="Z146" s="158">
        <v>8.0</v>
      </c>
      <c r="AA146" s="158">
        <v>8.0</v>
      </c>
      <c r="AB146" s="158" t="s">
        <v>165</v>
      </c>
      <c r="AC146" s="158" t="s">
        <v>165</v>
      </c>
      <c r="AD146" s="158">
        <v>8.0</v>
      </c>
      <c r="AE146" s="158">
        <v>8.0</v>
      </c>
      <c r="AF146" s="158">
        <v>8.0</v>
      </c>
      <c r="AG146" s="158">
        <v>8.0</v>
      </c>
      <c r="AH146" s="158">
        <v>8.0</v>
      </c>
      <c r="AI146" s="158" t="s">
        <v>165</v>
      </c>
      <c r="AJ146" s="158" t="s">
        <v>165</v>
      </c>
      <c r="AK146" s="178">
        <v>8.0</v>
      </c>
      <c r="AL146" s="157">
        <f t="shared" si="40"/>
        <v>88</v>
      </c>
      <c r="AM146" s="179"/>
      <c r="AN146" s="158"/>
      <c r="AO146" s="158"/>
      <c r="AP146" s="158"/>
      <c r="AQ146" s="158"/>
      <c r="AR146" s="158"/>
      <c r="AS146" s="158"/>
      <c r="AT146" s="158"/>
      <c r="AU146" s="158"/>
      <c r="AV146" s="158"/>
      <c r="AW146" s="158"/>
      <c r="AX146" s="158"/>
      <c r="AY146" s="158"/>
      <c r="AZ146" s="158"/>
      <c r="BA146" s="158"/>
      <c r="BB146" s="158"/>
      <c r="BC146" s="158"/>
      <c r="BD146" s="158"/>
      <c r="BE146" s="158"/>
      <c r="BF146" s="158"/>
      <c r="BG146" s="158"/>
      <c r="BH146" s="158"/>
      <c r="BI146" s="158"/>
      <c r="BJ146" s="158"/>
      <c r="BK146" s="158"/>
      <c r="BL146" s="158"/>
      <c r="BM146" s="158"/>
      <c r="BN146" s="158"/>
      <c r="BO146" s="158"/>
      <c r="BP146" s="158"/>
      <c r="BQ146" s="158"/>
      <c r="BR146" s="157"/>
      <c r="BS146" s="179"/>
      <c r="BT146" s="180"/>
      <c r="BU146" s="180"/>
      <c r="BV146" s="180"/>
      <c r="BW146" s="180"/>
      <c r="BX146" s="180"/>
      <c r="BY146" s="180"/>
      <c r="BZ146" s="180"/>
      <c r="CA146" s="180"/>
      <c r="CB146" s="180"/>
      <c r="CC146" s="180"/>
      <c r="CD146" s="180"/>
      <c r="CE146" s="180"/>
      <c r="CF146" s="180"/>
      <c r="CG146" s="180"/>
      <c r="CH146" s="180"/>
      <c r="CI146" s="180"/>
      <c r="CJ146" s="180"/>
      <c r="CK146" s="180"/>
      <c r="CL146" s="180"/>
      <c r="CM146" s="180"/>
      <c r="CN146" s="180"/>
      <c r="CO146" s="180"/>
      <c r="CP146" s="180"/>
      <c r="CQ146" s="180"/>
      <c r="CR146" s="180"/>
      <c r="CS146" s="180"/>
      <c r="CT146" s="180"/>
      <c r="CU146" s="180"/>
      <c r="CV146" s="180"/>
      <c r="CW146" s="180"/>
      <c r="CX146" s="180"/>
      <c r="CY146" s="105">
        <f t="shared" si="39"/>
        <v>0</v>
      </c>
      <c r="CZ146" s="179"/>
      <c r="DA146" s="113" t="s">
        <v>333</v>
      </c>
      <c r="DB146" s="162" t="s">
        <v>333</v>
      </c>
      <c r="DC146" s="162" t="s">
        <v>333</v>
      </c>
      <c r="DD146" s="162" t="s">
        <v>333</v>
      </c>
      <c r="DE146" s="162" t="s">
        <v>333</v>
      </c>
      <c r="DF146" s="162" t="s">
        <v>333</v>
      </c>
      <c r="DG146" s="162" t="s">
        <v>333</v>
      </c>
      <c r="DH146" s="162" t="s">
        <v>333</v>
      </c>
      <c r="DI146" s="162" t="s">
        <v>333</v>
      </c>
      <c r="DJ146" s="162" t="s">
        <v>333</v>
      </c>
      <c r="DK146" s="162" t="s">
        <v>333</v>
      </c>
      <c r="DL146" s="162" t="s">
        <v>333</v>
      </c>
      <c r="DM146" s="162" t="s">
        <v>333</v>
      </c>
      <c r="DN146" s="162" t="s">
        <v>333</v>
      </c>
      <c r="DO146" s="162" t="s">
        <v>333</v>
      </c>
      <c r="DP146" s="162" t="s">
        <v>333</v>
      </c>
      <c r="DQ146" s="162" t="s">
        <v>333</v>
      </c>
      <c r="DR146" s="162" t="s">
        <v>333</v>
      </c>
      <c r="DS146" s="162" t="s">
        <v>333</v>
      </c>
      <c r="DT146" s="162" t="s">
        <v>333</v>
      </c>
      <c r="DU146" s="162" t="s">
        <v>333</v>
      </c>
      <c r="DV146" s="162" t="s">
        <v>333</v>
      </c>
      <c r="DW146" s="162" t="s">
        <v>333</v>
      </c>
      <c r="DX146" s="162" t="s">
        <v>333</v>
      </c>
      <c r="DY146" s="162" t="s">
        <v>333</v>
      </c>
      <c r="DZ146" s="162" t="s">
        <v>333</v>
      </c>
      <c r="EA146" s="162" t="s">
        <v>333</v>
      </c>
      <c r="EB146" s="162" t="s">
        <v>333</v>
      </c>
      <c r="EC146" s="162" t="s">
        <v>333</v>
      </c>
      <c r="ED146" s="162" t="s">
        <v>333</v>
      </c>
      <c r="EE146" s="162" t="s">
        <v>333</v>
      </c>
      <c r="EF146" s="113">
        <f t="shared" ref="EF146:EF160" si="43">sum(DA146:EE146)</f>
        <v>0</v>
      </c>
      <c r="EG146" s="179"/>
      <c r="EH146" s="180"/>
      <c r="EI146" s="180"/>
      <c r="EJ146" s="180"/>
      <c r="EK146" s="180"/>
      <c r="EL146" s="180"/>
      <c r="EM146" s="180"/>
      <c r="EN146" s="180"/>
      <c r="EO146" s="180"/>
      <c r="EP146" s="180"/>
      <c r="EQ146" s="180"/>
      <c r="ER146" s="180"/>
      <c r="ES146" s="180"/>
      <c r="ET146" s="180"/>
      <c r="EU146" s="180"/>
      <c r="EV146" s="180"/>
      <c r="EW146" s="180"/>
      <c r="EX146" s="180"/>
      <c r="EY146" s="180"/>
      <c r="EZ146" s="180"/>
      <c r="FA146" s="180"/>
      <c r="FB146" s="180"/>
      <c r="FC146" s="180"/>
      <c r="FD146" s="180"/>
      <c r="FE146" s="180"/>
      <c r="FF146" s="180"/>
      <c r="FG146" s="180"/>
      <c r="FH146" s="180"/>
      <c r="FI146" s="180"/>
      <c r="FJ146" s="180"/>
      <c r="FK146" s="180"/>
      <c r="FL146" s="157">
        <f t="shared" si="41"/>
        <v>0</v>
      </c>
      <c r="FM146" s="179"/>
      <c r="FN146" s="180"/>
      <c r="FO146" s="180"/>
      <c r="FP146" s="180"/>
      <c r="FQ146" s="180"/>
      <c r="FR146" s="180"/>
      <c r="FS146" s="180"/>
      <c r="FT146" s="180"/>
      <c r="FU146" s="180"/>
      <c r="FV146" s="180"/>
      <c r="FW146" s="180"/>
      <c r="FX146" s="180"/>
      <c r="FY146" s="180"/>
      <c r="FZ146" s="180"/>
      <c r="GA146" s="180"/>
      <c r="GB146" s="180"/>
      <c r="GC146" s="180"/>
      <c r="GD146" s="180"/>
      <c r="GE146" s="180"/>
      <c r="GF146" s="180"/>
      <c r="GG146" s="180"/>
      <c r="GH146" s="180"/>
      <c r="GI146" s="180"/>
      <c r="GJ146" s="180"/>
      <c r="GK146" s="180"/>
      <c r="GL146" s="180"/>
      <c r="GM146" s="180"/>
      <c r="GN146" s="180"/>
      <c r="GO146" s="180"/>
      <c r="GP146" s="180"/>
      <c r="GQ146" s="180"/>
      <c r="GR146" s="180"/>
      <c r="GS146" s="157">
        <f t="shared" si="42"/>
        <v>0</v>
      </c>
      <c r="GT146" s="179"/>
      <c r="GU146" s="180"/>
      <c r="GV146" s="180"/>
      <c r="GW146" s="180"/>
      <c r="GX146" s="180"/>
      <c r="GY146" s="180"/>
      <c r="GZ146" s="180"/>
      <c r="HA146" s="180"/>
      <c r="HB146" s="180"/>
      <c r="HC146" s="180"/>
      <c r="HD146" s="180"/>
      <c r="HE146" s="180"/>
    </row>
    <row r="147" ht="16.5" customHeight="1" outlineLevel="1">
      <c r="A147" s="149" t="s">
        <v>359</v>
      </c>
      <c r="B147" s="106" t="str">
        <f>iferror(vlookup(A147,'SoS - Agents Info'!A:H,5,false),"")</f>
        <v>EN</v>
      </c>
      <c r="C147" s="107" t="str">
        <f>iferror(vlookup(A147,'SoS - Agents Info'!A:AQ,43,false),"")</f>
        <v>JM</v>
      </c>
      <c r="D147" s="108" t="str">
        <f>iferror(vlookup(A147,'SoS - Agents Info'!A:H,6,false),"")</f>
        <v>WE+WD</v>
      </c>
      <c r="E147" s="108" t="str">
        <f>iferror(vlookup(A147,'SoS - Agents Info'!A:H,7,false),"")</f>
        <v>00:00-09:00</v>
      </c>
      <c r="F147" s="109">
        <f>IFERROR(__xludf.DUMMYFUNCTION("sum(COUNTIFS(Filter(FILTER('Shiftplan SoS'!G$3:GU166,'Shiftplan SoS'!$G$1:$GU$1&lt;=today()),'Shiftplan SoS'!$A$3:$A166=A147),""&gt;0"",(Filter(FILTER('Shiftplan SoS'!G$3:GU166,'Shiftplan SoS'!$G$1:$GU$1&lt;=today()),'Shiftplan SoS'!$A$3:$A166=A147)),""&lt;12""))"),11.0)</f>
        <v>11</v>
      </c>
      <c r="G147" s="158" t="s">
        <v>165</v>
      </c>
      <c r="H147" s="158" t="s">
        <v>165</v>
      </c>
      <c r="I147" s="158">
        <v>8.0</v>
      </c>
      <c r="J147" s="158">
        <v>8.0</v>
      </c>
      <c r="K147" s="158">
        <v>8.0</v>
      </c>
      <c r="L147" s="158" t="s">
        <v>165</v>
      </c>
      <c r="M147" s="158" t="s">
        <v>165</v>
      </c>
      <c r="N147" s="158" t="s">
        <v>165</v>
      </c>
      <c r="O147" s="158" t="s">
        <v>165</v>
      </c>
      <c r="P147" s="158">
        <v>8.0</v>
      </c>
      <c r="Q147" s="158">
        <v>8.0</v>
      </c>
      <c r="R147" s="158">
        <v>8.0</v>
      </c>
      <c r="S147" s="158" t="s">
        <v>165</v>
      </c>
      <c r="T147" s="158" t="s">
        <v>165</v>
      </c>
      <c r="U147" s="158">
        <v>8.0</v>
      </c>
      <c r="V147" s="158">
        <v>8.0</v>
      </c>
      <c r="W147" s="158">
        <v>8.0</v>
      </c>
      <c r="X147" s="158">
        <v>8.0</v>
      </c>
      <c r="Y147" s="158">
        <v>8.0</v>
      </c>
      <c r="Z147" s="158" t="s">
        <v>165</v>
      </c>
      <c r="AA147" s="158" t="s">
        <v>165</v>
      </c>
      <c r="AB147" s="158"/>
      <c r="AC147" s="158"/>
      <c r="AD147" s="158"/>
      <c r="AE147" s="158"/>
      <c r="AF147" s="158"/>
      <c r="AG147" s="158"/>
      <c r="AH147" s="158"/>
      <c r="AI147" s="158"/>
      <c r="AJ147" s="158"/>
      <c r="AK147" s="178"/>
      <c r="AL147" s="157">
        <f t="shared" si="40"/>
        <v>88</v>
      </c>
      <c r="AM147" s="179"/>
      <c r="AN147" s="180"/>
      <c r="AO147" s="180"/>
      <c r="AP147" s="180"/>
      <c r="AQ147" s="180"/>
      <c r="AR147" s="180"/>
      <c r="AS147" s="180"/>
      <c r="AT147" s="180"/>
      <c r="AU147" s="180"/>
      <c r="AV147" s="180"/>
      <c r="AW147" s="180"/>
      <c r="AX147" s="180"/>
      <c r="AY147" s="158"/>
      <c r="AZ147" s="180"/>
      <c r="BA147" s="180"/>
      <c r="BB147" s="180"/>
      <c r="BC147" s="180"/>
      <c r="BD147" s="180"/>
      <c r="BE147" s="180"/>
      <c r="BF147" s="180"/>
      <c r="BG147" s="180"/>
      <c r="BH147" s="180"/>
      <c r="BI147" s="180"/>
      <c r="BJ147" s="180"/>
      <c r="BK147" s="180"/>
      <c r="BL147" s="180"/>
      <c r="BM147" s="180"/>
      <c r="BN147" s="180"/>
      <c r="BO147" s="180"/>
      <c r="BP147" s="180"/>
      <c r="BQ147" s="180"/>
      <c r="BR147" s="157">
        <f t="shared" ref="BR147:BR160" si="44">sum(AN147:BQ147)</f>
        <v>0</v>
      </c>
      <c r="BS147" s="179"/>
      <c r="BT147" s="180"/>
      <c r="BU147" s="180"/>
      <c r="BV147" s="180"/>
      <c r="BW147" s="180"/>
      <c r="BX147" s="180"/>
      <c r="BY147" s="180"/>
      <c r="BZ147" s="180"/>
      <c r="CA147" s="180"/>
      <c r="CB147" s="180"/>
      <c r="CC147" s="180"/>
      <c r="CD147" s="180"/>
      <c r="CE147" s="180"/>
      <c r="CF147" s="180"/>
      <c r="CG147" s="180"/>
      <c r="CH147" s="180"/>
      <c r="CI147" s="180"/>
      <c r="CJ147" s="180"/>
      <c r="CK147" s="180"/>
      <c r="CL147" s="180"/>
      <c r="CM147" s="180"/>
      <c r="CN147" s="180"/>
      <c r="CO147" s="180"/>
      <c r="CP147" s="180"/>
      <c r="CQ147" s="180"/>
      <c r="CR147" s="180"/>
      <c r="CS147" s="180"/>
      <c r="CT147" s="180"/>
      <c r="CU147" s="180"/>
      <c r="CV147" s="180"/>
      <c r="CW147" s="180"/>
      <c r="CX147" s="180"/>
      <c r="CY147" s="105">
        <f t="shared" si="39"/>
        <v>0</v>
      </c>
      <c r="CZ147" s="179"/>
      <c r="DA147" s="113" t="s">
        <v>333</v>
      </c>
      <c r="DB147" s="162" t="s">
        <v>333</v>
      </c>
      <c r="DC147" s="162" t="s">
        <v>333</v>
      </c>
      <c r="DD147" s="162" t="s">
        <v>333</v>
      </c>
      <c r="DE147" s="162" t="s">
        <v>333</v>
      </c>
      <c r="DF147" s="162" t="s">
        <v>333</v>
      </c>
      <c r="DG147" s="162" t="s">
        <v>333</v>
      </c>
      <c r="DH147" s="162" t="s">
        <v>333</v>
      </c>
      <c r="DI147" s="162" t="s">
        <v>333</v>
      </c>
      <c r="DJ147" s="162" t="s">
        <v>333</v>
      </c>
      <c r="DK147" s="162" t="s">
        <v>333</v>
      </c>
      <c r="DL147" s="162" t="s">
        <v>333</v>
      </c>
      <c r="DM147" s="162" t="s">
        <v>333</v>
      </c>
      <c r="DN147" s="162" t="s">
        <v>333</v>
      </c>
      <c r="DO147" s="162" t="s">
        <v>333</v>
      </c>
      <c r="DP147" s="162" t="s">
        <v>333</v>
      </c>
      <c r="DQ147" s="162" t="s">
        <v>333</v>
      </c>
      <c r="DR147" s="162" t="s">
        <v>333</v>
      </c>
      <c r="DS147" s="162" t="s">
        <v>333</v>
      </c>
      <c r="DT147" s="162" t="s">
        <v>333</v>
      </c>
      <c r="DU147" s="162" t="s">
        <v>333</v>
      </c>
      <c r="DV147" s="162" t="s">
        <v>333</v>
      </c>
      <c r="DW147" s="162" t="s">
        <v>333</v>
      </c>
      <c r="DX147" s="162" t="s">
        <v>333</v>
      </c>
      <c r="DY147" s="162" t="s">
        <v>333</v>
      </c>
      <c r="DZ147" s="162" t="s">
        <v>333</v>
      </c>
      <c r="EA147" s="162" t="s">
        <v>333</v>
      </c>
      <c r="EB147" s="162" t="s">
        <v>333</v>
      </c>
      <c r="EC147" s="162" t="s">
        <v>333</v>
      </c>
      <c r="ED147" s="162" t="s">
        <v>333</v>
      </c>
      <c r="EE147" s="162" t="s">
        <v>333</v>
      </c>
      <c r="EF147" s="113">
        <f t="shared" si="43"/>
        <v>0</v>
      </c>
      <c r="EG147" s="179"/>
      <c r="EH147" s="180"/>
      <c r="EI147" s="180"/>
      <c r="EJ147" s="180"/>
      <c r="EK147" s="180"/>
      <c r="EL147" s="180"/>
      <c r="EM147" s="180"/>
      <c r="EN147" s="180"/>
      <c r="EO147" s="180"/>
      <c r="EP147" s="180"/>
      <c r="EQ147" s="180"/>
      <c r="ER147" s="180"/>
      <c r="ES147" s="180"/>
      <c r="ET147" s="180"/>
      <c r="EU147" s="180"/>
      <c r="EV147" s="180"/>
      <c r="EW147" s="180"/>
      <c r="EX147" s="180"/>
      <c r="EY147" s="180"/>
      <c r="EZ147" s="180"/>
      <c r="FA147" s="180"/>
      <c r="FB147" s="180"/>
      <c r="FC147" s="180"/>
      <c r="FD147" s="180"/>
      <c r="FE147" s="180"/>
      <c r="FF147" s="180"/>
      <c r="FG147" s="180"/>
      <c r="FH147" s="180"/>
      <c r="FI147" s="180"/>
      <c r="FJ147" s="180"/>
      <c r="FK147" s="180"/>
      <c r="FL147" s="157">
        <f t="shared" si="41"/>
        <v>0</v>
      </c>
      <c r="FM147" s="179"/>
      <c r="FN147" s="180"/>
      <c r="FO147" s="180"/>
      <c r="FP147" s="180"/>
      <c r="FQ147" s="180"/>
      <c r="FR147" s="180"/>
      <c r="FS147" s="180"/>
      <c r="FT147" s="180"/>
      <c r="FU147" s="180"/>
      <c r="FV147" s="180"/>
      <c r="FW147" s="180"/>
      <c r="FX147" s="180"/>
      <c r="FY147" s="180"/>
      <c r="FZ147" s="180"/>
      <c r="GA147" s="180"/>
      <c r="GB147" s="180"/>
      <c r="GC147" s="180"/>
      <c r="GD147" s="180"/>
      <c r="GE147" s="180"/>
      <c r="GF147" s="180"/>
      <c r="GG147" s="180"/>
      <c r="GH147" s="180"/>
      <c r="GI147" s="180"/>
      <c r="GJ147" s="180"/>
      <c r="GK147" s="180"/>
      <c r="GL147" s="180"/>
      <c r="GM147" s="180"/>
      <c r="GN147" s="180"/>
      <c r="GO147" s="180"/>
      <c r="GP147" s="180"/>
      <c r="GQ147" s="180"/>
      <c r="GR147" s="180"/>
      <c r="GS147" s="157">
        <f t="shared" si="42"/>
        <v>0</v>
      </c>
      <c r="GT147" s="179"/>
      <c r="GU147" s="180"/>
      <c r="GV147" s="180"/>
      <c r="GW147" s="180"/>
      <c r="GX147" s="180"/>
      <c r="GY147" s="180"/>
      <c r="GZ147" s="180"/>
      <c r="HA147" s="180"/>
      <c r="HB147" s="180"/>
      <c r="HC147" s="180"/>
      <c r="HD147" s="180"/>
      <c r="HE147" s="180"/>
    </row>
    <row r="148" ht="16.5" customHeight="1" outlineLevel="1">
      <c r="A148" s="197" t="s">
        <v>114</v>
      </c>
      <c r="B148" s="106" t="str">
        <f>iferror(vlookup(A148,'SoS - Agents Info'!A:H,5,false),"")</f>
        <v>EN</v>
      </c>
      <c r="C148" s="107" t="str">
        <f>iferror(vlookup(A148,'SoS - Agents Info'!A:AQ,43,false),"")</f>
        <v>JM</v>
      </c>
      <c r="D148" s="108" t="str">
        <f>iferror(vlookup(A148,'SoS - Agents Info'!A:H,6,false),"")</f>
        <v>WD</v>
      </c>
      <c r="E148" s="108" t="str">
        <f>iferror(vlookup(A148,'SoS - Agents Info'!A:H,7,false),"")</f>
        <v>08:00-17:00</v>
      </c>
      <c r="F148" s="109">
        <f>IFERROR(__xludf.DUMMYFUNCTION("sum(COUNTIFS(Filter(FILTER('Shiftplan SoS'!G$3:GU166,'Shiftplan SoS'!$G$1:$GU$1&lt;=today()),'Shiftplan SoS'!$A$3:$A166=A148),""&gt;0"",(Filter(FILTER('Shiftplan SoS'!G$3:GU166,'Shiftplan SoS'!$G$1:$GU$1&lt;=today()),'Shiftplan SoS'!$A$3:$A166=A148)),""&lt;12""))"),12.0)</f>
        <v>12</v>
      </c>
      <c r="G148" s="198" t="s">
        <v>171</v>
      </c>
      <c r="H148" s="198">
        <v>8.0</v>
      </c>
      <c r="I148" s="198">
        <v>8.0</v>
      </c>
      <c r="J148" s="198">
        <v>8.0</v>
      </c>
      <c r="K148" s="198">
        <v>8.0</v>
      </c>
      <c r="L148" s="198">
        <v>8.0</v>
      </c>
      <c r="M148" s="198">
        <v>8.0</v>
      </c>
      <c r="N148" s="198">
        <v>8.0</v>
      </c>
      <c r="O148" s="198" t="s">
        <v>165</v>
      </c>
      <c r="P148" s="198">
        <v>8.0</v>
      </c>
      <c r="Q148" s="198">
        <v>8.0</v>
      </c>
      <c r="R148" s="198">
        <v>8.0</v>
      </c>
      <c r="S148" s="198">
        <v>8.0</v>
      </c>
      <c r="T148" s="198">
        <v>8.0</v>
      </c>
      <c r="U148" s="198" t="s">
        <v>165</v>
      </c>
      <c r="V148" s="198" t="s">
        <v>165</v>
      </c>
      <c r="W148" s="198" t="s">
        <v>245</v>
      </c>
      <c r="X148" s="198" t="s">
        <v>245</v>
      </c>
      <c r="Y148" s="198" t="s">
        <v>245</v>
      </c>
      <c r="Z148" s="198" t="s">
        <v>245</v>
      </c>
      <c r="AA148" s="198" t="s">
        <v>245</v>
      </c>
      <c r="AB148" s="198" t="s">
        <v>165</v>
      </c>
      <c r="AC148" s="198" t="s">
        <v>165</v>
      </c>
      <c r="AD148" s="198"/>
      <c r="AE148" s="198"/>
      <c r="AF148" s="198"/>
      <c r="AG148" s="198"/>
      <c r="AH148" s="198"/>
      <c r="AI148" s="198" t="s">
        <v>165</v>
      </c>
      <c r="AJ148" s="198" t="s">
        <v>165</v>
      </c>
      <c r="AK148" s="199"/>
      <c r="AL148" s="157">
        <f t="shared" si="40"/>
        <v>96</v>
      </c>
      <c r="AM148" s="200"/>
      <c r="AN148" s="198"/>
      <c r="AO148" s="198"/>
      <c r="AP148" s="198"/>
      <c r="AQ148" s="198"/>
      <c r="AR148" s="198"/>
      <c r="AS148" s="198"/>
      <c r="AT148" s="198"/>
      <c r="AU148" s="198"/>
      <c r="AV148" s="198"/>
      <c r="AW148" s="198"/>
      <c r="AX148" s="198"/>
      <c r="AY148" s="198"/>
      <c r="AZ148" s="198"/>
      <c r="BA148" s="198"/>
      <c r="BB148" s="198"/>
      <c r="BC148" s="198"/>
      <c r="BD148" s="198"/>
      <c r="BE148" s="198"/>
      <c r="BF148" s="198"/>
      <c r="BG148" s="198"/>
      <c r="BH148" s="198"/>
      <c r="BI148" s="198"/>
      <c r="BJ148" s="198"/>
      <c r="BK148" s="198"/>
      <c r="BL148" s="198"/>
      <c r="BM148" s="198"/>
      <c r="BN148" s="198"/>
      <c r="BO148" s="198"/>
      <c r="BP148" s="198"/>
      <c r="BQ148" s="198"/>
      <c r="BR148" s="157">
        <f t="shared" si="44"/>
        <v>0</v>
      </c>
      <c r="BS148" s="48"/>
      <c r="BT148" s="64"/>
      <c r="BU148" s="64"/>
      <c r="BV148" s="114"/>
      <c r="BW148" s="114"/>
      <c r="BX148" s="64"/>
      <c r="BY148" s="64"/>
      <c r="BZ148" s="64"/>
      <c r="CA148" s="64"/>
      <c r="CB148" s="64"/>
      <c r="CC148" s="114"/>
      <c r="CD148" s="114"/>
      <c r="CE148" s="64"/>
      <c r="CF148" s="64"/>
      <c r="CG148" s="64"/>
      <c r="CH148" s="64"/>
      <c r="CI148" s="64"/>
      <c r="CJ148" s="114"/>
      <c r="CK148" s="114"/>
      <c r="CL148" s="64"/>
      <c r="CM148" s="64"/>
      <c r="CN148" s="64"/>
      <c r="CO148" s="64"/>
      <c r="CP148" s="64"/>
      <c r="CQ148" s="114"/>
      <c r="CR148" s="114"/>
      <c r="CS148" s="64"/>
      <c r="CT148" s="64"/>
      <c r="CU148" s="64"/>
      <c r="CV148" s="64"/>
      <c r="CW148" s="64"/>
      <c r="CX148" s="114"/>
      <c r="CY148" s="105">
        <f t="shared" si="39"/>
        <v>0</v>
      </c>
      <c r="CZ148" s="200"/>
      <c r="DA148" s="113" t="s">
        <v>333</v>
      </c>
      <c r="DB148" s="162" t="s">
        <v>333</v>
      </c>
      <c r="DC148" s="162" t="s">
        <v>333</v>
      </c>
      <c r="DD148" s="162" t="s">
        <v>333</v>
      </c>
      <c r="DE148" s="162" t="s">
        <v>333</v>
      </c>
      <c r="DF148" s="162" t="s">
        <v>333</v>
      </c>
      <c r="DG148" s="162" t="s">
        <v>333</v>
      </c>
      <c r="DH148" s="162" t="s">
        <v>333</v>
      </c>
      <c r="DI148" s="162" t="s">
        <v>333</v>
      </c>
      <c r="DJ148" s="162" t="s">
        <v>333</v>
      </c>
      <c r="DK148" s="162" t="s">
        <v>333</v>
      </c>
      <c r="DL148" s="162" t="s">
        <v>333</v>
      </c>
      <c r="DM148" s="162" t="s">
        <v>333</v>
      </c>
      <c r="DN148" s="162" t="s">
        <v>333</v>
      </c>
      <c r="DO148" s="162" t="s">
        <v>333</v>
      </c>
      <c r="DP148" s="162" t="s">
        <v>333</v>
      </c>
      <c r="DQ148" s="162" t="s">
        <v>333</v>
      </c>
      <c r="DR148" s="162" t="s">
        <v>333</v>
      </c>
      <c r="DS148" s="162" t="s">
        <v>333</v>
      </c>
      <c r="DT148" s="162" t="s">
        <v>333</v>
      </c>
      <c r="DU148" s="162" t="s">
        <v>333</v>
      </c>
      <c r="DV148" s="162" t="s">
        <v>333</v>
      </c>
      <c r="DW148" s="162" t="s">
        <v>333</v>
      </c>
      <c r="DX148" s="162" t="s">
        <v>333</v>
      </c>
      <c r="DY148" s="162" t="s">
        <v>333</v>
      </c>
      <c r="DZ148" s="162" t="s">
        <v>333</v>
      </c>
      <c r="EA148" s="162" t="s">
        <v>333</v>
      </c>
      <c r="EB148" s="162" t="s">
        <v>333</v>
      </c>
      <c r="EC148" s="162" t="s">
        <v>333</v>
      </c>
      <c r="ED148" s="162" t="s">
        <v>333</v>
      </c>
      <c r="EE148" s="162" t="s">
        <v>333</v>
      </c>
      <c r="EF148" s="113">
        <f t="shared" si="43"/>
        <v>0</v>
      </c>
      <c r="EG148" s="200"/>
      <c r="EH148" s="200"/>
      <c r="EI148" s="200"/>
      <c r="EJ148" s="200"/>
      <c r="EK148" s="200"/>
      <c r="EL148" s="200"/>
      <c r="EM148" s="200"/>
      <c r="EN148" s="200"/>
      <c r="EO148" s="200"/>
      <c r="EP148" s="200"/>
      <c r="EQ148" s="200"/>
      <c r="ER148" s="200"/>
      <c r="ES148" s="200"/>
      <c r="ET148" s="200"/>
      <c r="EU148" s="200"/>
      <c r="EV148" s="200"/>
      <c r="EW148" s="200"/>
      <c r="EX148" s="200"/>
      <c r="EY148" s="200"/>
      <c r="EZ148" s="200"/>
      <c r="FA148" s="200"/>
      <c r="FB148" s="200"/>
      <c r="FC148" s="200"/>
      <c r="FD148" s="200"/>
      <c r="FE148" s="200"/>
      <c r="FF148" s="200"/>
      <c r="FG148" s="200"/>
      <c r="FH148" s="200"/>
      <c r="FI148" s="200"/>
      <c r="FJ148" s="200"/>
      <c r="FK148" s="200"/>
      <c r="FL148" s="200">
        <f t="shared" si="41"/>
        <v>0</v>
      </c>
      <c r="FM148" s="200"/>
      <c r="FN148" s="200"/>
      <c r="FO148" s="200"/>
      <c r="FP148" s="200"/>
      <c r="FQ148" s="200"/>
      <c r="FR148" s="200"/>
      <c r="FS148" s="200"/>
      <c r="FT148" s="200"/>
      <c r="FU148" s="200"/>
      <c r="FV148" s="200"/>
      <c r="FW148" s="200"/>
      <c r="FX148" s="200"/>
      <c r="FY148" s="200"/>
      <c r="FZ148" s="200"/>
      <c r="GA148" s="200"/>
      <c r="GB148" s="200"/>
      <c r="GC148" s="200"/>
      <c r="GD148" s="200"/>
      <c r="GE148" s="200"/>
      <c r="GF148" s="200"/>
      <c r="GG148" s="200"/>
      <c r="GH148" s="200"/>
      <c r="GI148" s="200"/>
      <c r="GJ148" s="200"/>
      <c r="GK148" s="200"/>
      <c r="GL148" s="200"/>
      <c r="GM148" s="200"/>
      <c r="GN148" s="200"/>
      <c r="GO148" s="200"/>
      <c r="GP148" s="200"/>
      <c r="GQ148" s="200"/>
      <c r="GR148" s="200"/>
      <c r="GS148" s="200">
        <f t="shared" si="42"/>
        <v>0</v>
      </c>
      <c r="GT148" s="200"/>
      <c r="GU148" s="200"/>
      <c r="GV148" s="200"/>
      <c r="GW148" s="200"/>
      <c r="GX148" s="200"/>
      <c r="GY148" s="200"/>
      <c r="GZ148" s="200"/>
      <c r="HA148" s="200"/>
      <c r="HB148" s="200"/>
      <c r="HC148" s="200"/>
      <c r="HD148" s="200"/>
      <c r="HE148" s="200"/>
    </row>
    <row r="149" ht="16.5" customHeight="1" outlineLevel="1">
      <c r="A149" s="205" t="s">
        <v>360</v>
      </c>
      <c r="B149" s="150" t="str">
        <f>iferror(vlookup(A149,'SoS - Agents Info'!A:H,5,false),"")</f>
        <v>RU</v>
      </c>
      <c r="C149" s="107" t="str">
        <f>iferror(vlookup(A149,'SoS - Agents Info'!A:AQ,43,false),"")</f>
        <v/>
      </c>
      <c r="D149" s="152" t="str">
        <f>iferror(vlookup(A149,'SoS - Agents Info'!A:H,6,false),"")</f>
        <v>WD</v>
      </c>
      <c r="E149" s="152" t="str">
        <f>iferror(vlookup(A149,'SoS - Agents Info'!A:H,7,false),"")</f>
        <v>09:00-18:00</v>
      </c>
      <c r="F149" s="153">
        <f>IFERROR(__xludf.DUMMYFUNCTION("sum(COUNTIFS(Filter(FILTER('Shiftplan SoS'!G$3:GU166,'Shiftplan SoS'!$G$1:$GU$1&lt;=today()),'Shiftplan SoS'!$A$3:$A166=A149),""&gt;0"",(Filter(FILTER('Shiftplan SoS'!G$3:GU166,'Shiftplan SoS'!$G$1:$GU$1&lt;=today()),'Shiftplan SoS'!$A$3:$A166=A149)),""&lt;12""))"),0.0)</f>
        <v>0</v>
      </c>
      <c r="G149" s="158"/>
      <c r="H149" s="158"/>
      <c r="I149" s="158"/>
      <c r="J149" s="158"/>
      <c r="K149" s="158"/>
      <c r="L149" s="158"/>
      <c r="M149" s="158"/>
      <c r="N149" s="158"/>
      <c r="O149" s="158"/>
      <c r="P149" s="158"/>
      <c r="Q149" s="158"/>
      <c r="R149" s="158"/>
      <c r="S149" s="158"/>
      <c r="T149" s="158"/>
      <c r="U149" s="158"/>
      <c r="V149" s="158"/>
      <c r="W149" s="158"/>
      <c r="X149" s="158"/>
      <c r="Y149" s="158"/>
      <c r="Z149" s="158"/>
      <c r="AA149" s="158"/>
      <c r="AB149" s="158"/>
      <c r="AC149" s="158"/>
      <c r="AD149" s="158"/>
      <c r="AE149" s="158"/>
      <c r="AF149" s="158"/>
      <c r="AG149" s="158"/>
      <c r="AH149" s="158"/>
      <c r="AI149" s="158"/>
      <c r="AJ149" s="158"/>
      <c r="AK149" s="158"/>
      <c r="AL149" s="157"/>
      <c r="AM149" s="179"/>
      <c r="AN149" s="158"/>
      <c r="AO149" s="158"/>
      <c r="AP149" s="158"/>
      <c r="AQ149" s="158"/>
      <c r="AR149" s="158"/>
      <c r="AS149" s="158"/>
      <c r="AT149" s="158"/>
      <c r="AU149" s="158"/>
      <c r="AV149" s="158"/>
      <c r="AW149" s="158"/>
      <c r="AX149" s="158"/>
      <c r="AY149" s="158"/>
      <c r="AZ149" s="158"/>
      <c r="BA149" s="158"/>
      <c r="BB149" s="158"/>
      <c r="BC149" s="158"/>
      <c r="BD149" s="158"/>
      <c r="BE149" s="158"/>
      <c r="BF149" s="158"/>
      <c r="BG149" s="158"/>
      <c r="BH149" s="158"/>
      <c r="BI149" s="158"/>
      <c r="BJ149" s="158"/>
      <c r="BK149" s="158"/>
      <c r="BL149" s="158"/>
      <c r="BM149" s="158"/>
      <c r="BN149" s="158"/>
      <c r="BO149" s="158"/>
      <c r="BP149" s="158"/>
      <c r="BQ149" s="158"/>
      <c r="BR149" s="157">
        <f t="shared" si="44"/>
        <v>0</v>
      </c>
      <c r="BS149" s="179"/>
      <c r="BT149" s="180"/>
      <c r="BU149" s="180"/>
      <c r="BV149" s="180"/>
      <c r="BW149" s="180"/>
      <c r="BX149" s="180"/>
      <c r="BY149" s="180"/>
      <c r="BZ149" s="180"/>
      <c r="CA149" s="180"/>
      <c r="CB149" s="180"/>
      <c r="CC149" s="180"/>
      <c r="CD149" s="180"/>
      <c r="CE149" s="180"/>
      <c r="CF149" s="180"/>
      <c r="CG149" s="180"/>
      <c r="CH149" s="180"/>
      <c r="CI149" s="180"/>
      <c r="CJ149" s="180"/>
      <c r="CK149" s="180"/>
      <c r="CL149" s="180"/>
      <c r="CM149" s="180"/>
      <c r="CN149" s="180"/>
      <c r="CO149" s="180"/>
      <c r="CP149" s="180"/>
      <c r="CQ149" s="180"/>
      <c r="CR149" s="180"/>
      <c r="CS149" s="180"/>
      <c r="CT149" s="180"/>
      <c r="CU149" s="180"/>
      <c r="CV149" s="180"/>
      <c r="CW149" s="180"/>
      <c r="CX149" s="180"/>
      <c r="CY149" s="105">
        <f t="shared" si="39"/>
        <v>0</v>
      </c>
      <c r="CZ149" s="179"/>
      <c r="DA149" s="113" t="s">
        <v>333</v>
      </c>
      <c r="DB149" s="162" t="s">
        <v>333</v>
      </c>
      <c r="DC149" s="162" t="s">
        <v>333</v>
      </c>
      <c r="DD149" s="162" t="s">
        <v>333</v>
      </c>
      <c r="DE149" s="162" t="s">
        <v>333</v>
      </c>
      <c r="DF149" s="162" t="s">
        <v>333</v>
      </c>
      <c r="DG149" s="162" t="s">
        <v>333</v>
      </c>
      <c r="DH149" s="162" t="s">
        <v>333</v>
      </c>
      <c r="DI149" s="162" t="s">
        <v>333</v>
      </c>
      <c r="DJ149" s="162" t="s">
        <v>333</v>
      </c>
      <c r="DK149" s="162" t="s">
        <v>333</v>
      </c>
      <c r="DL149" s="162" t="s">
        <v>333</v>
      </c>
      <c r="DM149" s="162" t="s">
        <v>333</v>
      </c>
      <c r="DN149" s="162" t="s">
        <v>333</v>
      </c>
      <c r="DO149" s="162" t="s">
        <v>333</v>
      </c>
      <c r="DP149" s="162" t="s">
        <v>333</v>
      </c>
      <c r="DQ149" s="162" t="s">
        <v>333</v>
      </c>
      <c r="DR149" s="162" t="s">
        <v>333</v>
      </c>
      <c r="DS149" s="162" t="s">
        <v>333</v>
      </c>
      <c r="DT149" s="162" t="s">
        <v>333</v>
      </c>
      <c r="DU149" s="162" t="s">
        <v>333</v>
      </c>
      <c r="DV149" s="162" t="s">
        <v>333</v>
      </c>
      <c r="DW149" s="162" t="s">
        <v>333</v>
      </c>
      <c r="DX149" s="162" t="s">
        <v>333</v>
      </c>
      <c r="DY149" s="162" t="s">
        <v>333</v>
      </c>
      <c r="DZ149" s="162" t="s">
        <v>333</v>
      </c>
      <c r="EA149" s="162" t="s">
        <v>333</v>
      </c>
      <c r="EB149" s="162" t="s">
        <v>333</v>
      </c>
      <c r="EC149" s="162" t="s">
        <v>333</v>
      </c>
      <c r="ED149" s="162" t="s">
        <v>333</v>
      </c>
      <c r="EE149" s="162" t="s">
        <v>333</v>
      </c>
      <c r="EF149" s="113">
        <f t="shared" si="43"/>
        <v>0</v>
      </c>
      <c r="EG149" s="179"/>
      <c r="EH149" s="180"/>
      <c r="EI149" s="180"/>
      <c r="EJ149" s="180"/>
      <c r="EK149" s="180"/>
      <c r="EL149" s="180"/>
      <c r="EM149" s="180"/>
      <c r="EN149" s="180"/>
      <c r="EO149" s="180"/>
      <c r="EP149" s="180"/>
      <c r="EQ149" s="180"/>
      <c r="ER149" s="180"/>
      <c r="ES149" s="180"/>
      <c r="ET149" s="180"/>
      <c r="EU149" s="180"/>
      <c r="EV149" s="180"/>
      <c r="EW149" s="180"/>
      <c r="EX149" s="180"/>
      <c r="EY149" s="180"/>
      <c r="EZ149" s="180"/>
      <c r="FA149" s="180"/>
      <c r="FB149" s="180"/>
      <c r="FC149" s="180"/>
      <c r="FD149" s="180"/>
      <c r="FE149" s="180"/>
      <c r="FF149" s="180"/>
      <c r="FG149" s="180"/>
      <c r="FH149" s="180"/>
      <c r="FI149" s="180"/>
      <c r="FJ149" s="180"/>
      <c r="FK149" s="180"/>
      <c r="FL149" s="157">
        <f t="shared" si="41"/>
        <v>0</v>
      </c>
      <c r="FM149" s="179"/>
      <c r="FN149" s="180"/>
      <c r="FO149" s="180"/>
      <c r="FP149" s="180"/>
      <c r="FQ149" s="180"/>
      <c r="FR149" s="180"/>
      <c r="FS149" s="180"/>
      <c r="FT149" s="180"/>
      <c r="FU149" s="180"/>
      <c r="FV149" s="180"/>
      <c r="FW149" s="180"/>
      <c r="FX149" s="180"/>
      <c r="FY149" s="180"/>
      <c r="FZ149" s="180"/>
      <c r="GA149" s="180"/>
      <c r="GB149" s="180"/>
      <c r="GC149" s="180"/>
      <c r="GD149" s="180"/>
      <c r="GE149" s="180"/>
      <c r="GF149" s="180"/>
      <c r="GG149" s="180"/>
      <c r="GH149" s="180"/>
      <c r="GI149" s="180"/>
      <c r="GJ149" s="180"/>
      <c r="GK149" s="180"/>
      <c r="GL149" s="180"/>
      <c r="GM149" s="180"/>
      <c r="GN149" s="180"/>
      <c r="GO149" s="180"/>
      <c r="GP149" s="180"/>
      <c r="GQ149" s="180"/>
      <c r="GR149" s="180"/>
      <c r="GS149" s="157">
        <f t="shared" si="42"/>
        <v>0</v>
      </c>
      <c r="GT149" s="179"/>
      <c r="GU149" s="180"/>
      <c r="GV149" s="180"/>
      <c r="GW149" s="180"/>
      <c r="GX149" s="180"/>
      <c r="GY149" s="180"/>
      <c r="GZ149" s="180"/>
      <c r="HA149" s="180"/>
      <c r="HB149" s="180"/>
      <c r="HC149" s="180"/>
      <c r="HD149" s="180"/>
      <c r="HE149" s="180"/>
    </row>
    <row r="150" ht="16.5" customHeight="1" outlineLevel="1">
      <c r="A150" s="209" t="s">
        <v>361</v>
      </c>
      <c r="B150" s="181" t="str">
        <f>iferror(vlookup(A150,'SoS - Agents Info'!A:H,5,false),"")</f>
        <v>EN</v>
      </c>
      <c r="C150" s="210" t="str">
        <f>iferror(vlookup(A150,'SoS - Agents Info'!A:AQ,43,false),"")</f>
        <v>FL</v>
      </c>
      <c r="D150" s="186" t="str">
        <f>iferror(vlookup(A150,'SoS - Agents Info'!A:H,6,false),"")</f>
        <v>WE+WD</v>
      </c>
      <c r="E150" s="186" t="str">
        <f>iferror(vlookup(A150,'SoS - Agents Info'!A:H,7,false),"")</f>
        <v>00:00-09:00</v>
      </c>
      <c r="F150" s="157">
        <f>IFERROR(__xludf.DUMMYFUNCTION("sum(COUNTIFS(Filter(FILTER('Shiftplan SoS'!G$3:GU166,'Shiftplan SoS'!$G$1:$GU$1&lt;=today()),'Shiftplan SoS'!$A$3:$A166=A150),""&gt;0"",(Filter(FILTER('Shiftplan SoS'!G$3:GU166,'Shiftplan SoS'!$G$1:$GU$1&lt;=today()),'Shiftplan SoS'!$A$3:$A166=A150)),""&lt;12""))"),62.0)</f>
        <v>62</v>
      </c>
      <c r="G150" s="188"/>
      <c r="H150" s="157"/>
      <c r="I150" s="157"/>
      <c r="J150" s="157"/>
      <c r="K150" s="157"/>
      <c r="L150" s="157"/>
      <c r="M150" s="157"/>
      <c r="N150" s="157"/>
      <c r="O150" s="157"/>
      <c r="P150" s="157"/>
      <c r="Q150" s="157"/>
      <c r="R150" s="188">
        <v>8.0</v>
      </c>
      <c r="S150" s="188">
        <v>8.0</v>
      </c>
      <c r="T150" s="188">
        <v>8.0</v>
      </c>
      <c r="U150" s="188" t="s">
        <v>165</v>
      </c>
      <c r="V150" s="188" t="s">
        <v>165</v>
      </c>
      <c r="W150" s="188">
        <v>8.0</v>
      </c>
      <c r="X150" s="188">
        <v>8.0</v>
      </c>
      <c r="Y150" s="188">
        <v>8.0</v>
      </c>
      <c r="Z150" s="188">
        <v>8.0</v>
      </c>
      <c r="AA150" s="188" t="s">
        <v>165</v>
      </c>
      <c r="AB150" s="188">
        <v>8.0</v>
      </c>
      <c r="AC150" s="188" t="s">
        <v>165</v>
      </c>
      <c r="AD150" s="188">
        <v>8.0</v>
      </c>
      <c r="AE150" s="188">
        <v>8.0</v>
      </c>
      <c r="AF150" s="188">
        <v>8.0</v>
      </c>
      <c r="AG150" s="188">
        <v>8.0</v>
      </c>
      <c r="AH150" s="188" t="s">
        <v>165</v>
      </c>
      <c r="AI150" s="188">
        <v>8.0</v>
      </c>
      <c r="AJ150" s="188" t="s">
        <v>165</v>
      </c>
      <c r="AK150" s="186">
        <v>8.0</v>
      </c>
      <c r="AL150" s="157">
        <f t="shared" ref="AL150:AL160" si="45">sum(G150:AK150)</f>
        <v>112</v>
      </c>
      <c r="AM150" s="157"/>
      <c r="AN150" s="211">
        <v>8.0</v>
      </c>
      <c r="AO150" s="211">
        <v>8.0</v>
      </c>
      <c r="AP150" s="211">
        <v>8.0</v>
      </c>
      <c r="AQ150" s="211" t="s">
        <v>165</v>
      </c>
      <c r="AR150" s="188" t="s">
        <v>165</v>
      </c>
      <c r="AS150" s="188">
        <v>8.0</v>
      </c>
      <c r="AT150" s="211">
        <v>8.0</v>
      </c>
      <c r="AU150" s="211">
        <v>8.0</v>
      </c>
      <c r="AV150" s="211">
        <v>8.0</v>
      </c>
      <c r="AW150" s="211">
        <v>8.0</v>
      </c>
      <c r="AX150" s="211" t="s">
        <v>165</v>
      </c>
      <c r="AY150" s="188">
        <v>8.0</v>
      </c>
      <c r="AZ150" s="211" t="s">
        <v>165</v>
      </c>
      <c r="BA150" s="211">
        <v>8.0</v>
      </c>
      <c r="BB150" s="211">
        <v>8.0</v>
      </c>
      <c r="BC150" s="211">
        <v>8.0</v>
      </c>
      <c r="BD150" s="211">
        <v>8.0</v>
      </c>
      <c r="BE150" s="211" t="s">
        <v>165</v>
      </c>
      <c r="BF150" s="211">
        <v>8.0</v>
      </c>
      <c r="BG150" s="211" t="s">
        <v>165</v>
      </c>
      <c r="BH150" s="211">
        <v>8.0</v>
      </c>
      <c r="BI150" s="211">
        <v>8.0</v>
      </c>
      <c r="BJ150" s="211">
        <v>8.0</v>
      </c>
      <c r="BK150" s="211">
        <v>8.0</v>
      </c>
      <c r="BL150" s="211" t="s">
        <v>165</v>
      </c>
      <c r="BM150" s="211">
        <v>8.0</v>
      </c>
      <c r="BN150" s="211" t="s">
        <v>165</v>
      </c>
      <c r="BO150" s="211">
        <v>8.0</v>
      </c>
      <c r="BP150" s="211">
        <v>8.0</v>
      </c>
      <c r="BQ150" s="211">
        <v>8.0</v>
      </c>
      <c r="BR150" s="157">
        <f t="shared" si="44"/>
        <v>176</v>
      </c>
      <c r="BS150" s="157"/>
      <c r="BT150" s="211">
        <v>8.0</v>
      </c>
      <c r="BU150" s="211" t="s">
        <v>165</v>
      </c>
      <c r="BV150" s="211">
        <v>8.0</v>
      </c>
      <c r="BW150" s="188">
        <v>4.0</v>
      </c>
      <c r="BX150" s="188">
        <v>8.0</v>
      </c>
      <c r="BY150" s="188">
        <v>8.0</v>
      </c>
      <c r="BZ150" s="211">
        <v>8.0</v>
      </c>
      <c r="CA150" s="211">
        <v>8.0</v>
      </c>
      <c r="CB150" s="211" t="s">
        <v>165</v>
      </c>
      <c r="CC150" s="188" t="s">
        <v>165</v>
      </c>
      <c r="CD150" s="188">
        <v>8.0</v>
      </c>
      <c r="CE150" s="188" t="s">
        <v>165</v>
      </c>
      <c r="CF150" s="188">
        <v>8.0</v>
      </c>
      <c r="CG150" s="211">
        <v>8.0</v>
      </c>
      <c r="CH150" s="211">
        <v>8.0</v>
      </c>
      <c r="CI150" s="211" t="s">
        <v>165</v>
      </c>
      <c r="CJ150" s="211">
        <v>8.0</v>
      </c>
      <c r="CK150" s="188">
        <v>8.0</v>
      </c>
      <c r="CL150" s="188" t="s">
        <v>165</v>
      </c>
      <c r="CM150" s="188">
        <v>8.0</v>
      </c>
      <c r="CN150" s="211">
        <v>8.0</v>
      </c>
      <c r="CO150" s="211">
        <v>8.0</v>
      </c>
      <c r="CP150" s="211" t="s">
        <v>165</v>
      </c>
      <c r="CQ150" s="188" t="s">
        <v>170</v>
      </c>
      <c r="CR150" s="188">
        <v>8.0</v>
      </c>
      <c r="CS150" s="188" t="s">
        <v>165</v>
      </c>
      <c r="CT150" s="188" t="s">
        <v>170</v>
      </c>
      <c r="CU150" s="211">
        <v>8.0</v>
      </c>
      <c r="CV150" s="211">
        <v>8.0</v>
      </c>
      <c r="CW150" s="211" t="s">
        <v>165</v>
      </c>
      <c r="CX150" s="188" t="s">
        <v>170</v>
      </c>
      <c r="CY150" s="157">
        <f t="shared" si="39"/>
        <v>148</v>
      </c>
      <c r="CZ150" s="157"/>
      <c r="DA150" s="182" t="s">
        <v>170</v>
      </c>
      <c r="DB150" s="182" t="s">
        <v>165</v>
      </c>
      <c r="DC150" s="182">
        <v>8.0</v>
      </c>
      <c r="DD150" s="182">
        <v>8.0</v>
      </c>
      <c r="DE150" s="182">
        <v>8.0</v>
      </c>
      <c r="DF150" s="182" t="s">
        <v>165</v>
      </c>
      <c r="DG150" s="182">
        <v>8.0</v>
      </c>
      <c r="DH150" s="182" t="s">
        <v>170</v>
      </c>
      <c r="DI150" s="182" t="s">
        <v>165</v>
      </c>
      <c r="DJ150" s="182">
        <v>8.0</v>
      </c>
      <c r="DK150" s="182">
        <v>8.0</v>
      </c>
      <c r="DL150" s="182">
        <v>8.0</v>
      </c>
      <c r="DM150" s="182" t="s">
        <v>165</v>
      </c>
      <c r="DN150" s="182" t="s">
        <v>170</v>
      </c>
      <c r="DO150" s="182" t="s">
        <v>170</v>
      </c>
      <c r="DP150" s="182" t="s">
        <v>165</v>
      </c>
      <c r="DQ150" s="182" t="s">
        <v>170</v>
      </c>
      <c r="DR150" s="182" t="s">
        <v>170</v>
      </c>
      <c r="DS150" s="182"/>
      <c r="DT150" s="182"/>
      <c r="DU150" s="182"/>
      <c r="DV150" s="182"/>
      <c r="DW150" s="182"/>
      <c r="DX150" s="182"/>
      <c r="DY150" s="182"/>
      <c r="DZ150" s="182"/>
      <c r="EA150" s="182"/>
      <c r="EB150" s="182"/>
      <c r="EC150" s="182"/>
      <c r="ED150" s="182"/>
      <c r="EE150" s="182"/>
      <c r="EF150" s="162">
        <f t="shared" si="43"/>
        <v>56</v>
      </c>
      <c r="EG150" s="157"/>
      <c r="EH150" s="157"/>
      <c r="EI150" s="157"/>
      <c r="EJ150" s="157"/>
      <c r="EK150" s="157"/>
      <c r="EL150" s="157"/>
      <c r="EM150" s="157"/>
      <c r="EN150" s="157"/>
      <c r="EO150" s="157"/>
      <c r="EP150" s="157"/>
      <c r="EQ150" s="157"/>
      <c r="ER150" s="157"/>
      <c r="ES150" s="157"/>
      <c r="ET150" s="157"/>
      <c r="EU150" s="157"/>
      <c r="EV150" s="157"/>
      <c r="EW150" s="157"/>
      <c r="EX150" s="157"/>
      <c r="EY150" s="157"/>
      <c r="EZ150" s="157"/>
      <c r="FA150" s="157"/>
      <c r="FB150" s="157"/>
      <c r="FC150" s="157"/>
      <c r="FD150" s="157"/>
      <c r="FE150" s="157"/>
      <c r="FF150" s="157"/>
      <c r="FG150" s="157"/>
      <c r="FH150" s="157"/>
      <c r="FI150" s="157"/>
      <c r="FJ150" s="157"/>
      <c r="FK150" s="157"/>
      <c r="FL150" s="157">
        <f t="shared" si="41"/>
        <v>0</v>
      </c>
      <c r="FM150" s="157"/>
      <c r="FN150" s="157"/>
      <c r="FO150" s="157"/>
      <c r="FP150" s="157"/>
      <c r="FQ150" s="157"/>
      <c r="FR150" s="157"/>
      <c r="FS150" s="157"/>
      <c r="FT150" s="157"/>
      <c r="FU150" s="157"/>
      <c r="FV150" s="157"/>
      <c r="FW150" s="157"/>
      <c r="FX150" s="157"/>
      <c r="FY150" s="157"/>
      <c r="FZ150" s="157"/>
      <c r="GA150" s="157"/>
      <c r="GB150" s="157"/>
      <c r="GC150" s="157"/>
      <c r="GD150" s="157"/>
      <c r="GE150" s="157"/>
      <c r="GF150" s="157"/>
      <c r="GG150" s="157"/>
      <c r="GH150" s="157"/>
      <c r="GI150" s="157"/>
      <c r="GJ150" s="157"/>
      <c r="GK150" s="157"/>
      <c r="GL150" s="157"/>
      <c r="GM150" s="157"/>
      <c r="GN150" s="157"/>
      <c r="GO150" s="157"/>
      <c r="GP150" s="157"/>
      <c r="GQ150" s="157"/>
      <c r="GR150" s="157"/>
      <c r="GS150" s="157">
        <f t="shared" si="42"/>
        <v>0</v>
      </c>
      <c r="GT150" s="157"/>
      <c r="GU150" s="157"/>
      <c r="GV150" s="157"/>
      <c r="GW150" s="157"/>
      <c r="GX150" s="157"/>
      <c r="GY150" s="157"/>
      <c r="GZ150" s="157"/>
      <c r="HA150" s="157"/>
      <c r="HB150" s="157"/>
      <c r="HC150" s="157"/>
      <c r="HD150" s="157"/>
      <c r="HE150" s="157"/>
    </row>
    <row r="151" ht="16.5" customHeight="1" outlineLevel="1">
      <c r="A151" s="205" t="s">
        <v>145</v>
      </c>
      <c r="B151" s="150" t="str">
        <f>iferror(vlookup(A151,'SoS - Agents Info'!A:H,5,false),"")</f>
        <v>ES</v>
      </c>
      <c r="C151" s="151" t="str">
        <f>iferror(vlookup(A151,'SoS - Agents Info'!A:AQ,43,false),"")</f>
        <v>JM</v>
      </c>
      <c r="D151" s="152" t="str">
        <f>iferror(vlookup(A151,'SoS - Agents Info'!A:H,6,false),"")</f>
        <v>WD</v>
      </c>
      <c r="E151" s="152" t="str">
        <f>iferror(vlookup(A151,'SoS - Agents Info'!A:H,7,false),"")</f>
        <v>09:00-18:00</v>
      </c>
      <c r="F151" s="153">
        <f>IFERROR(__xludf.DUMMYFUNCTION("sum(COUNTIFS(Filter(FILTER('Shiftplan SoS'!G$3:GU166,'Shiftplan SoS'!$G$1:$GU$1&lt;=today()),'Shiftplan SoS'!$A$3:$A166=A151),""&gt;0"",(Filter(FILTER('Shiftplan SoS'!G$3:GU166,'Shiftplan SoS'!$G$1:$GU$1&lt;=today()),'Shiftplan SoS'!$A$3:$A166=A151)),""&lt;12""))"),35.0)</f>
        <v>35</v>
      </c>
      <c r="G151" s="158" t="s">
        <v>165</v>
      </c>
      <c r="H151" s="158" t="s">
        <v>165</v>
      </c>
      <c r="I151" s="158" t="s">
        <v>167</v>
      </c>
      <c r="J151" s="158" t="s">
        <v>167</v>
      </c>
      <c r="K151" s="183" t="s">
        <v>165</v>
      </c>
      <c r="L151" s="158">
        <v>8.0</v>
      </c>
      <c r="M151" s="158">
        <v>8.0</v>
      </c>
      <c r="N151" s="158" t="s">
        <v>165</v>
      </c>
      <c r="O151" s="158" t="s">
        <v>165</v>
      </c>
      <c r="P151" s="158">
        <v>8.0</v>
      </c>
      <c r="Q151" s="158">
        <v>8.0</v>
      </c>
      <c r="R151" s="158">
        <v>8.0</v>
      </c>
      <c r="S151" s="158">
        <v>8.0</v>
      </c>
      <c r="T151" s="158">
        <v>8.0</v>
      </c>
      <c r="U151" s="158" t="s">
        <v>165</v>
      </c>
      <c r="V151" s="158" t="s">
        <v>165</v>
      </c>
      <c r="W151" s="158">
        <v>8.0</v>
      </c>
      <c r="X151" s="158" t="s">
        <v>245</v>
      </c>
      <c r="Y151" s="158" t="s">
        <v>245</v>
      </c>
      <c r="Z151" s="158" t="s">
        <v>245</v>
      </c>
      <c r="AA151" s="158" t="s">
        <v>245</v>
      </c>
      <c r="AB151" s="158" t="s">
        <v>165</v>
      </c>
      <c r="AC151" s="158" t="s">
        <v>165</v>
      </c>
      <c r="AD151" s="158">
        <v>8.0</v>
      </c>
      <c r="AE151" s="158">
        <v>8.0</v>
      </c>
      <c r="AF151" s="158">
        <v>8.0</v>
      </c>
      <c r="AG151" s="158">
        <v>8.0</v>
      </c>
      <c r="AH151" s="158">
        <v>8.0</v>
      </c>
      <c r="AI151" s="158" t="s">
        <v>165</v>
      </c>
      <c r="AJ151" s="202">
        <v>8.0</v>
      </c>
      <c r="AK151" s="207">
        <v>8.0</v>
      </c>
      <c r="AL151" s="157">
        <f t="shared" si="45"/>
        <v>120</v>
      </c>
      <c r="AM151" s="179"/>
      <c r="AN151" s="202">
        <v>8.0</v>
      </c>
      <c r="AO151" s="158">
        <v>8.0</v>
      </c>
      <c r="AP151" s="158" t="s">
        <v>245</v>
      </c>
      <c r="AQ151" s="158">
        <v>8.0</v>
      </c>
      <c r="AR151" s="158" t="s">
        <v>165</v>
      </c>
      <c r="AS151" s="158" t="s">
        <v>165</v>
      </c>
      <c r="AT151" s="158" t="s">
        <v>245</v>
      </c>
      <c r="AU151" s="158">
        <v>8.0</v>
      </c>
      <c r="AV151" s="158">
        <v>8.0</v>
      </c>
      <c r="AW151" s="158">
        <v>8.0</v>
      </c>
      <c r="AX151" s="158">
        <v>8.0</v>
      </c>
      <c r="AY151" s="158">
        <v>8.0</v>
      </c>
      <c r="AZ151" s="158" t="s">
        <v>165</v>
      </c>
      <c r="BA151" s="158">
        <v>8.0</v>
      </c>
      <c r="BB151" s="158">
        <v>8.0</v>
      </c>
      <c r="BC151" s="158">
        <v>8.0</v>
      </c>
      <c r="BD151" s="158">
        <v>8.0</v>
      </c>
      <c r="BE151" s="158">
        <v>8.0</v>
      </c>
      <c r="BF151" s="158" t="s">
        <v>165</v>
      </c>
      <c r="BG151" s="158" t="s">
        <v>165</v>
      </c>
      <c r="BH151" s="158">
        <v>8.0</v>
      </c>
      <c r="BI151" s="158">
        <v>8.0</v>
      </c>
      <c r="BJ151" s="158" t="s">
        <v>245</v>
      </c>
      <c r="BK151" s="158">
        <v>8.0</v>
      </c>
      <c r="BL151" s="158">
        <v>8.0</v>
      </c>
      <c r="BM151" s="158" t="s">
        <v>165</v>
      </c>
      <c r="BN151" s="158">
        <v>8.0</v>
      </c>
      <c r="BO151" s="158">
        <v>8.0</v>
      </c>
      <c r="BP151" s="158">
        <v>8.0</v>
      </c>
      <c r="BQ151" s="158" t="s">
        <v>245</v>
      </c>
      <c r="BR151" s="157">
        <f t="shared" si="44"/>
        <v>160</v>
      </c>
      <c r="BS151" s="179"/>
      <c r="BT151" s="161"/>
      <c r="BU151" s="161"/>
      <c r="BV151" s="160"/>
      <c r="BW151" s="160"/>
      <c r="BX151" s="161"/>
      <c r="BY151" s="161"/>
      <c r="BZ151" s="161"/>
      <c r="CA151" s="161"/>
      <c r="CB151" s="161"/>
      <c r="CC151" s="160"/>
      <c r="CD151" s="160"/>
      <c r="CE151" s="161"/>
      <c r="CF151" s="161"/>
      <c r="CG151" s="161"/>
      <c r="CH151" s="161"/>
      <c r="CI151" s="161"/>
      <c r="CJ151" s="160"/>
      <c r="CK151" s="160"/>
      <c r="CL151" s="161"/>
      <c r="CM151" s="161"/>
      <c r="CN151" s="161"/>
      <c r="CO151" s="161"/>
      <c r="CP151" s="161"/>
      <c r="CQ151" s="160"/>
      <c r="CR151" s="160"/>
      <c r="CS151" s="161"/>
      <c r="CT151" s="161"/>
      <c r="CU151" s="161"/>
      <c r="CV151" s="161"/>
      <c r="CW151" s="161"/>
      <c r="CX151" s="160"/>
      <c r="CY151" s="157"/>
      <c r="CZ151" s="179"/>
      <c r="DA151" s="113" t="s">
        <v>333</v>
      </c>
      <c r="DB151" s="162" t="s">
        <v>333</v>
      </c>
      <c r="DC151" s="162" t="s">
        <v>333</v>
      </c>
      <c r="DD151" s="162" t="s">
        <v>333</v>
      </c>
      <c r="DE151" s="162" t="s">
        <v>333</v>
      </c>
      <c r="DF151" s="162" t="s">
        <v>333</v>
      </c>
      <c r="DG151" s="162" t="s">
        <v>333</v>
      </c>
      <c r="DH151" s="162" t="s">
        <v>333</v>
      </c>
      <c r="DI151" s="162" t="s">
        <v>333</v>
      </c>
      <c r="DJ151" s="162" t="s">
        <v>333</v>
      </c>
      <c r="DK151" s="162" t="s">
        <v>333</v>
      </c>
      <c r="DL151" s="162" t="s">
        <v>333</v>
      </c>
      <c r="DM151" s="162" t="s">
        <v>333</v>
      </c>
      <c r="DN151" s="162" t="s">
        <v>333</v>
      </c>
      <c r="DO151" s="162" t="s">
        <v>333</v>
      </c>
      <c r="DP151" s="162" t="s">
        <v>333</v>
      </c>
      <c r="DQ151" s="162" t="s">
        <v>333</v>
      </c>
      <c r="DR151" s="162" t="s">
        <v>333</v>
      </c>
      <c r="DS151" s="162" t="s">
        <v>333</v>
      </c>
      <c r="DT151" s="162" t="s">
        <v>333</v>
      </c>
      <c r="DU151" s="162" t="s">
        <v>333</v>
      </c>
      <c r="DV151" s="162" t="s">
        <v>333</v>
      </c>
      <c r="DW151" s="162" t="s">
        <v>333</v>
      </c>
      <c r="DX151" s="162" t="s">
        <v>333</v>
      </c>
      <c r="DY151" s="162" t="s">
        <v>333</v>
      </c>
      <c r="DZ151" s="162" t="s">
        <v>333</v>
      </c>
      <c r="EA151" s="162" t="s">
        <v>333</v>
      </c>
      <c r="EB151" s="162" t="s">
        <v>333</v>
      </c>
      <c r="EC151" s="162" t="s">
        <v>333</v>
      </c>
      <c r="ED151" s="162" t="s">
        <v>333</v>
      </c>
      <c r="EE151" s="162" t="s">
        <v>333</v>
      </c>
      <c r="EF151" s="113">
        <f t="shared" si="43"/>
        <v>0</v>
      </c>
      <c r="EG151" s="179"/>
      <c r="EH151" s="180"/>
      <c r="EI151" s="180"/>
      <c r="EJ151" s="180"/>
      <c r="EK151" s="180"/>
      <c r="EL151" s="180"/>
      <c r="EM151" s="180"/>
      <c r="EN151" s="180"/>
      <c r="EO151" s="180"/>
      <c r="EP151" s="180"/>
      <c r="EQ151" s="180"/>
      <c r="ER151" s="180"/>
      <c r="ES151" s="180"/>
      <c r="ET151" s="180"/>
      <c r="EU151" s="180"/>
      <c r="EV151" s="180"/>
      <c r="EW151" s="180"/>
      <c r="EX151" s="180"/>
      <c r="EY151" s="180"/>
      <c r="EZ151" s="180"/>
      <c r="FA151" s="180"/>
      <c r="FB151" s="180"/>
      <c r="FC151" s="180"/>
      <c r="FD151" s="180"/>
      <c r="FE151" s="180"/>
      <c r="FF151" s="180"/>
      <c r="FG151" s="180"/>
      <c r="FH151" s="180"/>
      <c r="FI151" s="180"/>
      <c r="FJ151" s="180"/>
      <c r="FK151" s="180"/>
      <c r="FL151" s="157">
        <f t="shared" si="41"/>
        <v>0</v>
      </c>
      <c r="FM151" s="179"/>
      <c r="FN151" s="180"/>
      <c r="FO151" s="180"/>
      <c r="FP151" s="180"/>
      <c r="FQ151" s="180"/>
      <c r="FR151" s="180"/>
      <c r="FS151" s="180"/>
      <c r="FT151" s="180"/>
      <c r="FU151" s="180"/>
      <c r="FV151" s="180"/>
      <c r="FW151" s="180"/>
      <c r="FX151" s="180"/>
      <c r="FY151" s="180"/>
      <c r="FZ151" s="180"/>
      <c r="GA151" s="180"/>
      <c r="GB151" s="180"/>
      <c r="GC151" s="180"/>
      <c r="GD151" s="180"/>
      <c r="GE151" s="180"/>
      <c r="GF151" s="180"/>
      <c r="GG151" s="180"/>
      <c r="GH151" s="180"/>
      <c r="GI151" s="180"/>
      <c r="GJ151" s="180"/>
      <c r="GK151" s="180"/>
      <c r="GL151" s="180"/>
      <c r="GM151" s="180"/>
      <c r="GN151" s="180"/>
      <c r="GO151" s="180"/>
      <c r="GP151" s="180"/>
      <c r="GQ151" s="180"/>
      <c r="GR151" s="180"/>
      <c r="GS151" s="157">
        <f t="shared" si="42"/>
        <v>0</v>
      </c>
      <c r="GT151" s="179"/>
      <c r="GU151" s="180"/>
      <c r="GV151" s="180"/>
      <c r="GW151" s="180"/>
      <c r="GX151" s="180"/>
      <c r="GY151" s="180"/>
      <c r="GZ151" s="180"/>
      <c r="HA151" s="180"/>
      <c r="HB151" s="180"/>
      <c r="HC151" s="180"/>
      <c r="HD151" s="180"/>
      <c r="HE151" s="180"/>
    </row>
    <row r="152" ht="16.5" customHeight="1" outlineLevel="1">
      <c r="A152" s="149" t="s">
        <v>362</v>
      </c>
      <c r="B152" s="150" t="str">
        <f>iferror(vlookup(A152,'SoS - Agents Info'!A:H,5,false),"")</f>
        <v>RU</v>
      </c>
      <c r="C152" s="151" t="str">
        <f>iferror(vlookup(A152,'SoS - Agents Info'!A:AQ,43,false),"")</f>
        <v>JM</v>
      </c>
      <c r="D152" s="152" t="str">
        <f>iferror(vlookup(A152,'SoS - Agents Info'!A:H,6,false),"")</f>
        <v>WE</v>
      </c>
      <c r="E152" s="152" t="str">
        <f>iferror(vlookup(A152,'SoS - Agents Info'!A:H,7,false),"")</f>
        <v>08:00-17:00</v>
      </c>
      <c r="F152" s="153">
        <f>IFERROR(__xludf.DUMMYFUNCTION("sum(COUNTIFS(Filter(FILTER('Shiftplan SoS'!G$3:GU166,'Shiftplan SoS'!$G$1:$GU$1&lt;=today()),'Shiftplan SoS'!$A$3:$A166=A152),""&gt;0"",(Filter(FILTER('Shiftplan SoS'!G$3:GU166,'Shiftplan SoS'!$G$1:$GU$1&lt;=today()),'Shiftplan SoS'!$A$3:$A166=A152)),""&lt;12""))"),15.0)</f>
        <v>15</v>
      </c>
      <c r="G152" s="158"/>
      <c r="H152" s="158"/>
      <c r="I152" s="158">
        <v>8.0</v>
      </c>
      <c r="J152" s="158">
        <v>8.0</v>
      </c>
      <c r="K152" s="158">
        <v>8.0</v>
      </c>
      <c r="L152" s="158">
        <v>8.0</v>
      </c>
      <c r="M152" s="158">
        <v>8.0</v>
      </c>
      <c r="N152" s="158">
        <v>8.0</v>
      </c>
      <c r="O152" s="158">
        <v>8.0</v>
      </c>
      <c r="P152" s="158" t="s">
        <v>165</v>
      </c>
      <c r="Q152" s="158" t="s">
        <v>165</v>
      </c>
      <c r="R152" s="158" t="s">
        <v>165</v>
      </c>
      <c r="S152" s="158" t="s">
        <v>165</v>
      </c>
      <c r="T152" s="158" t="s">
        <v>165</v>
      </c>
      <c r="U152" s="158">
        <v>8.0</v>
      </c>
      <c r="V152" s="158" t="s">
        <v>165</v>
      </c>
      <c r="W152" s="158">
        <v>8.0</v>
      </c>
      <c r="X152" s="158" t="s">
        <v>165</v>
      </c>
      <c r="Y152" s="158" t="s">
        <v>165</v>
      </c>
      <c r="Z152" s="158" t="s">
        <v>165</v>
      </c>
      <c r="AA152" s="158" t="s">
        <v>165</v>
      </c>
      <c r="AB152" s="158">
        <v>8.0</v>
      </c>
      <c r="AC152" s="158">
        <v>8.0</v>
      </c>
      <c r="AD152" s="158" t="s">
        <v>165</v>
      </c>
      <c r="AE152" s="158" t="s">
        <v>165</v>
      </c>
      <c r="AF152" s="158" t="s">
        <v>165</v>
      </c>
      <c r="AG152" s="158" t="s">
        <v>165</v>
      </c>
      <c r="AH152" s="158" t="s">
        <v>165</v>
      </c>
      <c r="AI152" s="202">
        <v>8.0</v>
      </c>
      <c r="AJ152" s="202">
        <v>8.0</v>
      </c>
      <c r="AK152" s="178" t="s">
        <v>165</v>
      </c>
      <c r="AL152" s="157">
        <f t="shared" si="45"/>
        <v>104</v>
      </c>
      <c r="AM152" s="179"/>
      <c r="AN152" s="158" t="s">
        <v>165</v>
      </c>
      <c r="AO152" s="158" t="s">
        <v>165</v>
      </c>
      <c r="AP152" s="158" t="s">
        <v>165</v>
      </c>
      <c r="AQ152" s="158" t="s">
        <v>165</v>
      </c>
      <c r="AR152" s="158">
        <v>8.0</v>
      </c>
      <c r="AS152" s="158">
        <v>8.0</v>
      </c>
      <c r="AT152" s="158" t="s">
        <v>165</v>
      </c>
      <c r="AU152" s="158" t="s">
        <v>165</v>
      </c>
      <c r="AV152" s="158" t="s">
        <v>165</v>
      </c>
      <c r="AW152" s="158" t="s">
        <v>165</v>
      </c>
      <c r="AX152" s="158" t="s">
        <v>165</v>
      </c>
      <c r="AY152" s="158" t="s">
        <v>170</v>
      </c>
      <c r="AZ152" s="158" t="s">
        <v>170</v>
      </c>
      <c r="BA152" s="158" t="s">
        <v>165</v>
      </c>
      <c r="BB152" s="158" t="s">
        <v>165</v>
      </c>
      <c r="BC152" s="158" t="s">
        <v>165</v>
      </c>
      <c r="BD152" s="158" t="s">
        <v>165</v>
      </c>
      <c r="BE152" s="158" t="s">
        <v>165</v>
      </c>
      <c r="BF152" s="158" t="s">
        <v>170</v>
      </c>
      <c r="BG152" s="158" t="s">
        <v>170</v>
      </c>
      <c r="BH152" s="158" t="s">
        <v>165</v>
      </c>
      <c r="BI152" s="158" t="s">
        <v>165</v>
      </c>
      <c r="BJ152" s="158" t="s">
        <v>165</v>
      </c>
      <c r="BK152" s="158" t="s">
        <v>165</v>
      </c>
      <c r="BL152" s="158" t="s">
        <v>165</v>
      </c>
      <c r="BM152" s="198"/>
      <c r="BN152" s="198"/>
      <c r="BO152" s="158" t="s">
        <v>165</v>
      </c>
      <c r="BP152" s="158" t="s">
        <v>165</v>
      </c>
      <c r="BQ152" s="158" t="s">
        <v>165</v>
      </c>
      <c r="BR152" s="157">
        <f t="shared" si="44"/>
        <v>16</v>
      </c>
      <c r="BS152" s="179"/>
      <c r="BT152" s="180"/>
      <c r="BU152" s="180"/>
      <c r="BV152" s="180"/>
      <c r="BW152" s="180"/>
      <c r="BX152" s="180"/>
      <c r="BY152" s="180"/>
      <c r="BZ152" s="180"/>
      <c r="CA152" s="180"/>
      <c r="CB152" s="180"/>
      <c r="CC152" s="180"/>
      <c r="CD152" s="180"/>
      <c r="CE152" s="180"/>
      <c r="CF152" s="180"/>
      <c r="CG152" s="180"/>
      <c r="CH152" s="180"/>
      <c r="CI152" s="180"/>
      <c r="CJ152" s="180"/>
      <c r="CK152" s="180"/>
      <c r="CL152" s="180"/>
      <c r="CM152" s="180"/>
      <c r="CN152" s="180"/>
      <c r="CO152" s="180"/>
      <c r="CP152" s="180"/>
      <c r="CQ152" s="180"/>
      <c r="CR152" s="180"/>
      <c r="CS152" s="180"/>
      <c r="CT152" s="180"/>
      <c r="CU152" s="180"/>
      <c r="CV152" s="180"/>
      <c r="CW152" s="180"/>
      <c r="CX152" s="180"/>
      <c r="CY152" s="157">
        <f>sum(BT152:CX152)</f>
        <v>0</v>
      </c>
      <c r="CZ152" s="179"/>
      <c r="DA152" s="113" t="s">
        <v>333</v>
      </c>
      <c r="DB152" s="162" t="s">
        <v>333</v>
      </c>
      <c r="DC152" s="162" t="s">
        <v>333</v>
      </c>
      <c r="DD152" s="162" t="s">
        <v>333</v>
      </c>
      <c r="DE152" s="162" t="s">
        <v>333</v>
      </c>
      <c r="DF152" s="162" t="s">
        <v>333</v>
      </c>
      <c r="DG152" s="162" t="s">
        <v>333</v>
      </c>
      <c r="DH152" s="162" t="s">
        <v>333</v>
      </c>
      <c r="DI152" s="162" t="s">
        <v>333</v>
      </c>
      <c r="DJ152" s="162" t="s">
        <v>333</v>
      </c>
      <c r="DK152" s="162" t="s">
        <v>333</v>
      </c>
      <c r="DL152" s="162" t="s">
        <v>333</v>
      </c>
      <c r="DM152" s="162" t="s">
        <v>333</v>
      </c>
      <c r="DN152" s="162" t="s">
        <v>333</v>
      </c>
      <c r="DO152" s="162" t="s">
        <v>333</v>
      </c>
      <c r="DP152" s="162" t="s">
        <v>333</v>
      </c>
      <c r="DQ152" s="162" t="s">
        <v>333</v>
      </c>
      <c r="DR152" s="162" t="s">
        <v>333</v>
      </c>
      <c r="DS152" s="162" t="s">
        <v>333</v>
      </c>
      <c r="DT152" s="162" t="s">
        <v>333</v>
      </c>
      <c r="DU152" s="162" t="s">
        <v>333</v>
      </c>
      <c r="DV152" s="162" t="s">
        <v>333</v>
      </c>
      <c r="DW152" s="162" t="s">
        <v>333</v>
      </c>
      <c r="DX152" s="162" t="s">
        <v>333</v>
      </c>
      <c r="DY152" s="162" t="s">
        <v>333</v>
      </c>
      <c r="DZ152" s="162" t="s">
        <v>333</v>
      </c>
      <c r="EA152" s="162" t="s">
        <v>333</v>
      </c>
      <c r="EB152" s="162" t="s">
        <v>333</v>
      </c>
      <c r="EC152" s="162" t="s">
        <v>333</v>
      </c>
      <c r="ED152" s="162" t="s">
        <v>333</v>
      </c>
      <c r="EE152" s="162" t="s">
        <v>333</v>
      </c>
      <c r="EF152" s="113">
        <f t="shared" si="43"/>
        <v>0</v>
      </c>
      <c r="EG152" s="179"/>
      <c r="EH152" s="180"/>
      <c r="EI152" s="180"/>
      <c r="EJ152" s="180"/>
      <c r="EK152" s="180"/>
      <c r="EL152" s="180"/>
      <c r="EM152" s="180"/>
      <c r="EN152" s="180"/>
      <c r="EO152" s="180"/>
      <c r="EP152" s="180"/>
      <c r="EQ152" s="180"/>
      <c r="ER152" s="180"/>
      <c r="ES152" s="180"/>
      <c r="ET152" s="180"/>
      <c r="EU152" s="180"/>
      <c r="EV152" s="180"/>
      <c r="EW152" s="180"/>
      <c r="EX152" s="180"/>
      <c r="EY152" s="180"/>
      <c r="EZ152" s="180"/>
      <c r="FA152" s="180"/>
      <c r="FB152" s="180"/>
      <c r="FC152" s="180"/>
      <c r="FD152" s="180"/>
      <c r="FE152" s="180"/>
      <c r="FF152" s="180"/>
      <c r="FG152" s="180"/>
      <c r="FH152" s="180"/>
      <c r="FI152" s="180"/>
      <c r="FJ152" s="180"/>
      <c r="FK152" s="180"/>
      <c r="FL152" s="157">
        <f t="shared" si="41"/>
        <v>0</v>
      </c>
      <c r="FM152" s="179"/>
      <c r="FN152" s="180"/>
      <c r="FO152" s="180"/>
      <c r="FP152" s="180"/>
      <c r="FQ152" s="180"/>
      <c r="FR152" s="180"/>
      <c r="FS152" s="180"/>
      <c r="FT152" s="180"/>
      <c r="FU152" s="180"/>
      <c r="FV152" s="180"/>
      <c r="FW152" s="180"/>
      <c r="FX152" s="180"/>
      <c r="FY152" s="180"/>
      <c r="FZ152" s="180"/>
      <c r="GA152" s="180"/>
      <c r="GB152" s="180"/>
      <c r="GC152" s="180"/>
      <c r="GD152" s="180"/>
      <c r="GE152" s="180"/>
      <c r="GF152" s="180"/>
      <c r="GG152" s="180"/>
      <c r="GH152" s="180"/>
      <c r="GI152" s="180"/>
      <c r="GJ152" s="180"/>
      <c r="GK152" s="180"/>
      <c r="GL152" s="180"/>
      <c r="GM152" s="180"/>
      <c r="GN152" s="180"/>
      <c r="GO152" s="180"/>
      <c r="GP152" s="180"/>
      <c r="GQ152" s="180"/>
      <c r="GR152" s="180"/>
      <c r="GS152" s="157">
        <f t="shared" si="42"/>
        <v>0</v>
      </c>
      <c r="GT152" s="179"/>
      <c r="GU152" s="180"/>
      <c r="GV152" s="180"/>
      <c r="GW152" s="180"/>
      <c r="GX152" s="180"/>
      <c r="GY152" s="180"/>
      <c r="GZ152" s="180"/>
      <c r="HA152" s="180"/>
      <c r="HB152" s="180"/>
      <c r="HC152" s="180"/>
      <c r="HD152" s="180"/>
      <c r="HE152" s="180"/>
    </row>
    <row r="153" ht="16.5" customHeight="1" outlineLevel="1">
      <c r="A153" s="186" t="s">
        <v>363</v>
      </c>
      <c r="B153" s="150" t="str">
        <f>iferror(vlookup(A153,'SoS - Agents Info'!A:H,5,false),"")</f>
        <v>FR</v>
      </c>
      <c r="C153" s="151" t="str">
        <f>iferror(vlookup(A153,'SoS - Agents Info'!A:AQ,43,false),"")</f>
        <v>JM</v>
      </c>
      <c r="D153" s="152" t="str">
        <f>iferror(vlookup(A153,'SoS - Agents Info'!A:H,6,false),"")</f>
        <v>WD</v>
      </c>
      <c r="E153" s="152" t="str">
        <f>iferror(vlookup(A153,'SoS - Agents Info'!A:H,7,false),"")</f>
        <v>08:00-17:00</v>
      </c>
      <c r="F153" s="153">
        <f>IFERROR(__xludf.DUMMYFUNCTION("sum(COUNTIFS(Filter(FILTER('Shiftplan SoS'!G$3:GU166,'Shiftplan SoS'!$G$1:$GU$1&lt;=today()),'Shiftplan SoS'!$A$3:$A166=A153),""&gt;0"",(Filter(FILTER('Shiftplan SoS'!G$3:GU166,'Shiftplan SoS'!$G$1:$GU$1&lt;=today()),'Shiftplan SoS'!$A$3:$A166=A153)),""&lt;12""))"),34.0)</f>
        <v>34</v>
      </c>
      <c r="G153" s="200"/>
      <c r="H153" s="200"/>
      <c r="I153" s="200"/>
      <c r="J153" s="200"/>
      <c r="K153" s="200"/>
      <c r="L153" s="200"/>
      <c r="M153" s="200"/>
      <c r="N153" s="200"/>
      <c r="O153" s="200"/>
      <c r="P153" s="200"/>
      <c r="Q153" s="200"/>
      <c r="R153" s="158">
        <v>8.0</v>
      </c>
      <c r="S153" s="158">
        <v>8.0</v>
      </c>
      <c r="T153" s="158">
        <v>8.0</v>
      </c>
      <c r="U153" s="158" t="s">
        <v>165</v>
      </c>
      <c r="V153" s="158" t="s">
        <v>165</v>
      </c>
      <c r="W153" s="158">
        <v>8.0</v>
      </c>
      <c r="X153" s="158">
        <v>8.0</v>
      </c>
      <c r="Y153" s="158">
        <v>8.0</v>
      </c>
      <c r="Z153" s="158">
        <v>8.0</v>
      </c>
      <c r="AA153" s="158">
        <v>8.0</v>
      </c>
      <c r="AB153" s="158" t="s">
        <v>165</v>
      </c>
      <c r="AC153" s="158" t="s">
        <v>165</v>
      </c>
      <c r="AD153" s="158">
        <v>8.0</v>
      </c>
      <c r="AE153" s="158">
        <v>8.0</v>
      </c>
      <c r="AF153" s="158">
        <v>8.0</v>
      </c>
      <c r="AG153" s="158">
        <v>8.0</v>
      </c>
      <c r="AH153" s="158">
        <v>8.0</v>
      </c>
      <c r="AI153" s="158" t="s">
        <v>165</v>
      </c>
      <c r="AJ153" s="158" t="s">
        <v>165</v>
      </c>
      <c r="AK153" s="184">
        <v>8.0</v>
      </c>
      <c r="AL153" s="157">
        <f t="shared" si="45"/>
        <v>112</v>
      </c>
      <c r="AM153" s="179"/>
      <c r="AN153" s="183">
        <v>8.0</v>
      </c>
      <c r="AO153" s="158">
        <v>8.0</v>
      </c>
      <c r="AP153" s="158">
        <v>8.0</v>
      </c>
      <c r="AQ153" s="158">
        <v>8.0</v>
      </c>
      <c r="AR153" s="158" t="s">
        <v>165</v>
      </c>
      <c r="AS153" s="158" t="s">
        <v>165</v>
      </c>
      <c r="AT153" s="158">
        <v>8.0</v>
      </c>
      <c r="AU153" s="158">
        <v>8.0</v>
      </c>
      <c r="AV153" s="158">
        <v>8.0</v>
      </c>
      <c r="AW153" s="158">
        <v>8.0</v>
      </c>
      <c r="AX153" s="158">
        <v>8.0</v>
      </c>
      <c r="AY153" s="158" t="s">
        <v>165</v>
      </c>
      <c r="AZ153" s="158" t="s">
        <v>165</v>
      </c>
      <c r="BA153" s="158">
        <v>8.0</v>
      </c>
      <c r="BB153" s="158">
        <v>8.0</v>
      </c>
      <c r="BC153" s="158">
        <v>8.0</v>
      </c>
      <c r="BD153" s="158">
        <v>8.0</v>
      </c>
      <c r="BE153" s="158">
        <v>8.0</v>
      </c>
      <c r="BF153" s="158" t="s">
        <v>165</v>
      </c>
      <c r="BG153" s="158" t="s">
        <v>165</v>
      </c>
      <c r="BH153" s="158">
        <v>8.0</v>
      </c>
      <c r="BI153" s="158">
        <v>8.0</v>
      </c>
      <c r="BJ153" s="158">
        <v>8.0</v>
      </c>
      <c r="BK153" s="158" t="s">
        <v>171</v>
      </c>
      <c r="BL153" s="158">
        <v>8.0</v>
      </c>
      <c r="BM153" s="158" t="s">
        <v>165</v>
      </c>
      <c r="BN153" s="158" t="s">
        <v>165</v>
      </c>
      <c r="BO153" s="158">
        <v>8.0</v>
      </c>
      <c r="BP153" s="158">
        <v>8.0</v>
      </c>
      <c r="BQ153" s="158"/>
      <c r="BR153" s="157">
        <f t="shared" si="44"/>
        <v>160</v>
      </c>
      <c r="BS153" s="179"/>
      <c r="BT153" s="161"/>
      <c r="BU153" s="161"/>
      <c r="BV153" s="160"/>
      <c r="BW153" s="160"/>
      <c r="BX153" s="161"/>
      <c r="BY153" s="161"/>
      <c r="BZ153" s="161"/>
      <c r="CA153" s="161"/>
      <c r="CB153" s="161"/>
      <c r="CC153" s="160"/>
      <c r="CD153" s="160"/>
      <c r="CE153" s="161"/>
      <c r="CF153" s="161"/>
      <c r="CG153" s="161"/>
      <c r="CH153" s="161"/>
      <c r="CI153" s="161"/>
      <c r="CJ153" s="160"/>
      <c r="CK153" s="160"/>
      <c r="CL153" s="161"/>
      <c r="CM153" s="161"/>
      <c r="CN153" s="161"/>
      <c r="CO153" s="161"/>
      <c r="CP153" s="161"/>
      <c r="CQ153" s="160"/>
      <c r="CR153" s="160"/>
      <c r="CS153" s="161"/>
      <c r="CT153" s="161"/>
      <c r="CU153" s="161"/>
      <c r="CV153" s="161"/>
      <c r="CW153" s="161"/>
      <c r="CX153" s="160"/>
      <c r="CY153" s="157"/>
      <c r="CZ153" s="179"/>
      <c r="DA153" s="113" t="s">
        <v>333</v>
      </c>
      <c r="DB153" s="162" t="s">
        <v>333</v>
      </c>
      <c r="DC153" s="162" t="s">
        <v>333</v>
      </c>
      <c r="DD153" s="162" t="s">
        <v>333</v>
      </c>
      <c r="DE153" s="162" t="s">
        <v>333</v>
      </c>
      <c r="DF153" s="162" t="s">
        <v>333</v>
      </c>
      <c r="DG153" s="162" t="s">
        <v>333</v>
      </c>
      <c r="DH153" s="162" t="s">
        <v>333</v>
      </c>
      <c r="DI153" s="162" t="s">
        <v>333</v>
      </c>
      <c r="DJ153" s="162" t="s">
        <v>333</v>
      </c>
      <c r="DK153" s="162" t="s">
        <v>333</v>
      </c>
      <c r="DL153" s="162" t="s">
        <v>333</v>
      </c>
      <c r="DM153" s="162" t="s">
        <v>333</v>
      </c>
      <c r="DN153" s="162" t="s">
        <v>333</v>
      </c>
      <c r="DO153" s="162" t="s">
        <v>333</v>
      </c>
      <c r="DP153" s="162" t="s">
        <v>333</v>
      </c>
      <c r="DQ153" s="162" t="s">
        <v>333</v>
      </c>
      <c r="DR153" s="162" t="s">
        <v>333</v>
      </c>
      <c r="DS153" s="162" t="s">
        <v>333</v>
      </c>
      <c r="DT153" s="162" t="s">
        <v>333</v>
      </c>
      <c r="DU153" s="162" t="s">
        <v>333</v>
      </c>
      <c r="DV153" s="162" t="s">
        <v>333</v>
      </c>
      <c r="DW153" s="162" t="s">
        <v>333</v>
      </c>
      <c r="DX153" s="162" t="s">
        <v>333</v>
      </c>
      <c r="DY153" s="162" t="s">
        <v>333</v>
      </c>
      <c r="DZ153" s="162" t="s">
        <v>333</v>
      </c>
      <c r="EA153" s="162" t="s">
        <v>333</v>
      </c>
      <c r="EB153" s="162" t="s">
        <v>333</v>
      </c>
      <c r="EC153" s="162" t="s">
        <v>333</v>
      </c>
      <c r="ED153" s="162" t="s">
        <v>333</v>
      </c>
      <c r="EE153" s="162" t="s">
        <v>333</v>
      </c>
      <c r="EF153" s="113">
        <f t="shared" si="43"/>
        <v>0</v>
      </c>
      <c r="EG153" s="179"/>
      <c r="EH153" s="180"/>
      <c r="EI153" s="180"/>
      <c r="EJ153" s="180"/>
      <c r="EK153" s="180"/>
      <c r="EL153" s="180"/>
      <c r="EM153" s="180"/>
      <c r="EN153" s="180"/>
      <c r="EO153" s="180"/>
      <c r="EP153" s="180"/>
      <c r="EQ153" s="180"/>
      <c r="ER153" s="180"/>
      <c r="ES153" s="180"/>
      <c r="ET153" s="180"/>
      <c r="EU153" s="180"/>
      <c r="EV153" s="180"/>
      <c r="EW153" s="180"/>
      <c r="EX153" s="180"/>
      <c r="EY153" s="180"/>
      <c r="EZ153" s="180"/>
      <c r="FA153" s="180"/>
      <c r="FB153" s="180"/>
      <c r="FC153" s="180"/>
      <c r="FD153" s="180"/>
      <c r="FE153" s="180"/>
      <c r="FF153" s="180"/>
      <c r="FG153" s="180"/>
      <c r="FH153" s="180"/>
      <c r="FI153" s="180"/>
      <c r="FJ153" s="180"/>
      <c r="FK153" s="180"/>
      <c r="FL153" s="157">
        <f t="shared" si="41"/>
        <v>0</v>
      </c>
      <c r="FM153" s="179"/>
      <c r="FN153" s="180"/>
      <c r="FO153" s="180"/>
      <c r="FP153" s="180"/>
      <c r="FQ153" s="180"/>
      <c r="FR153" s="180"/>
      <c r="FS153" s="180"/>
      <c r="FT153" s="180"/>
      <c r="FU153" s="180"/>
      <c r="FV153" s="180"/>
      <c r="FW153" s="180"/>
      <c r="FX153" s="180"/>
      <c r="FY153" s="180"/>
      <c r="FZ153" s="180"/>
      <c r="GA153" s="180"/>
      <c r="GB153" s="180"/>
      <c r="GC153" s="180"/>
      <c r="GD153" s="180"/>
      <c r="GE153" s="180"/>
      <c r="GF153" s="180"/>
      <c r="GG153" s="180"/>
      <c r="GH153" s="180"/>
      <c r="GI153" s="180"/>
      <c r="GJ153" s="180"/>
      <c r="GK153" s="180"/>
      <c r="GL153" s="180"/>
      <c r="GM153" s="180"/>
      <c r="GN153" s="180"/>
      <c r="GO153" s="180"/>
      <c r="GP153" s="180"/>
      <c r="GQ153" s="180"/>
      <c r="GR153" s="180"/>
      <c r="GS153" s="157">
        <f t="shared" si="42"/>
        <v>0</v>
      </c>
      <c r="GT153" s="179"/>
      <c r="GU153" s="180"/>
      <c r="GV153" s="180"/>
      <c r="GW153" s="180"/>
      <c r="GX153" s="180"/>
      <c r="GY153" s="180"/>
      <c r="GZ153" s="180"/>
      <c r="HA153" s="180"/>
      <c r="HB153" s="180"/>
      <c r="HC153" s="180"/>
      <c r="HD153" s="180"/>
      <c r="HE153" s="180"/>
    </row>
    <row r="154" ht="16.5" customHeight="1" outlineLevel="1">
      <c r="A154" s="149" t="s">
        <v>364</v>
      </c>
      <c r="B154" s="150" t="str">
        <f>iferror(vlookup(A154,'SoS - Agents Info'!A:H,5,false),"")</f>
        <v>AR</v>
      </c>
      <c r="C154" s="151" t="str">
        <f>iferror(vlookup(A154,'SoS - Agents Info'!A:AQ,43,false),"")</f>
        <v>RA+VM</v>
      </c>
      <c r="D154" s="152" t="str">
        <f>iferror(vlookup(A154,'SoS - Agents Info'!A:H,6,false),"")</f>
        <v>WD</v>
      </c>
      <c r="E154" s="152" t="str">
        <f>iferror(vlookup(A154,'SoS - Agents Info'!A:H,7,false),"")</f>
        <v>12:00-21:00</v>
      </c>
      <c r="F154" s="153">
        <f>IFERROR(__xludf.DUMMYFUNCTION("sum(COUNTIFS(Filter(FILTER('Shiftplan SoS'!G$3:GU166,'Shiftplan SoS'!$G$1:$GU$1&lt;=today()),'Shiftplan SoS'!$A$3:$A166=A154),""&gt;0"",(Filter(FILTER('Shiftplan SoS'!G$3:GU166,'Shiftplan SoS'!$G$1:$GU$1&lt;=today()),'Shiftplan SoS'!$A$3:$A166=A154)),""&lt;12""))"),39.0)</f>
        <v>39</v>
      </c>
      <c r="G154" s="158"/>
      <c r="H154" s="158"/>
      <c r="I154" s="158"/>
      <c r="J154" s="158"/>
      <c r="K154" s="158">
        <v>8.0</v>
      </c>
      <c r="L154" s="158">
        <v>8.0</v>
      </c>
      <c r="M154" s="158">
        <v>8.0</v>
      </c>
      <c r="N154" s="158" t="s">
        <v>165</v>
      </c>
      <c r="O154" s="158" t="s">
        <v>165</v>
      </c>
      <c r="P154" s="158">
        <v>8.0</v>
      </c>
      <c r="Q154" s="158">
        <v>8.0</v>
      </c>
      <c r="R154" s="158">
        <v>8.0</v>
      </c>
      <c r="S154" s="158">
        <v>8.0</v>
      </c>
      <c r="T154" s="158">
        <v>8.0</v>
      </c>
      <c r="U154" s="158" t="s">
        <v>165</v>
      </c>
      <c r="V154" s="158" t="s">
        <v>165</v>
      </c>
      <c r="W154" s="158">
        <v>8.0</v>
      </c>
      <c r="X154" s="158">
        <v>8.0</v>
      </c>
      <c r="Y154" s="158">
        <v>8.0</v>
      </c>
      <c r="Z154" s="158">
        <v>8.0</v>
      </c>
      <c r="AA154" s="158">
        <v>8.0</v>
      </c>
      <c r="AB154" s="158" t="s">
        <v>165</v>
      </c>
      <c r="AC154" s="158" t="s">
        <v>165</v>
      </c>
      <c r="AD154" s="158">
        <v>8.0</v>
      </c>
      <c r="AE154" s="158">
        <v>8.0</v>
      </c>
      <c r="AF154" s="158">
        <v>8.0</v>
      </c>
      <c r="AG154" s="158">
        <v>8.0</v>
      </c>
      <c r="AH154" s="158">
        <v>8.0</v>
      </c>
      <c r="AI154" s="158" t="s">
        <v>165</v>
      </c>
      <c r="AJ154" s="158" t="s">
        <v>165</v>
      </c>
      <c r="AK154" s="178">
        <v>8.0</v>
      </c>
      <c r="AL154" s="157">
        <f t="shared" si="45"/>
        <v>152</v>
      </c>
      <c r="AM154" s="179"/>
      <c r="AN154" s="158">
        <v>8.0</v>
      </c>
      <c r="AO154" s="158">
        <v>8.0</v>
      </c>
      <c r="AP154" s="158">
        <v>8.0</v>
      </c>
      <c r="AQ154" s="158">
        <v>8.0</v>
      </c>
      <c r="AR154" s="158" t="s">
        <v>165</v>
      </c>
      <c r="AS154" s="158" t="s">
        <v>165</v>
      </c>
      <c r="AT154" s="158">
        <v>8.0</v>
      </c>
      <c r="AU154" s="158">
        <v>8.0</v>
      </c>
      <c r="AV154" s="158">
        <v>8.0</v>
      </c>
      <c r="AW154" s="158">
        <v>8.0</v>
      </c>
      <c r="AX154" s="158">
        <v>8.0</v>
      </c>
      <c r="AY154" s="158" t="s">
        <v>165</v>
      </c>
      <c r="AZ154" s="158" t="s">
        <v>165</v>
      </c>
      <c r="BA154" s="158">
        <v>8.0</v>
      </c>
      <c r="BB154" s="158">
        <v>8.0</v>
      </c>
      <c r="BC154" s="158">
        <v>8.0</v>
      </c>
      <c r="BD154" s="158">
        <v>8.0</v>
      </c>
      <c r="BE154" s="158">
        <v>8.0</v>
      </c>
      <c r="BF154" s="158" t="s">
        <v>165</v>
      </c>
      <c r="BG154" s="158" t="s">
        <v>165</v>
      </c>
      <c r="BH154" s="158">
        <v>8.0</v>
      </c>
      <c r="BI154" s="158">
        <v>8.0</v>
      </c>
      <c r="BJ154" s="158">
        <v>8.0</v>
      </c>
      <c r="BK154" s="158">
        <v>8.0</v>
      </c>
      <c r="BL154" s="158">
        <v>8.0</v>
      </c>
      <c r="BM154" s="158" t="s">
        <v>165</v>
      </c>
      <c r="BN154" s="158" t="s">
        <v>165</v>
      </c>
      <c r="BO154" s="158" t="s">
        <v>170</v>
      </c>
      <c r="BP154" s="202">
        <v>8.0</v>
      </c>
      <c r="BQ154" s="158" t="s">
        <v>170</v>
      </c>
      <c r="BR154" s="157">
        <f t="shared" si="44"/>
        <v>160</v>
      </c>
      <c r="BS154" s="179"/>
      <c r="BT154" s="159" t="s">
        <v>170</v>
      </c>
      <c r="BU154" s="159" t="s">
        <v>170</v>
      </c>
      <c r="BV154" s="160" t="s">
        <v>165</v>
      </c>
      <c r="BW154" s="160" t="s">
        <v>165</v>
      </c>
      <c r="BX154" s="159" t="s">
        <v>170</v>
      </c>
      <c r="BY154" s="159" t="s">
        <v>170</v>
      </c>
      <c r="BZ154" s="64"/>
      <c r="CA154" s="64"/>
      <c r="CB154" s="64"/>
      <c r="CC154" s="64"/>
      <c r="CD154" s="64"/>
      <c r="CE154" s="64"/>
      <c r="CF154" s="64"/>
      <c r="CG154" s="64"/>
      <c r="CH154" s="64"/>
      <c r="CI154" s="64"/>
      <c r="CJ154" s="64"/>
      <c r="CK154" s="64"/>
      <c r="CL154" s="64"/>
      <c r="CM154" s="64"/>
      <c r="CN154" s="64"/>
      <c r="CO154" s="64"/>
      <c r="CP154" s="64"/>
      <c r="CQ154" s="64"/>
      <c r="CR154" s="64"/>
      <c r="CS154" s="64"/>
      <c r="CT154" s="64"/>
      <c r="CU154" s="64"/>
      <c r="CV154" s="64"/>
      <c r="CW154" s="64"/>
      <c r="CX154" s="64"/>
      <c r="CY154" s="105">
        <f t="shared" ref="CY154:CY160" si="46">sum(BT154:CX154)</f>
        <v>0</v>
      </c>
      <c r="CZ154" s="48"/>
      <c r="DA154" s="113" t="s">
        <v>333</v>
      </c>
      <c r="DB154" s="113" t="s">
        <v>333</v>
      </c>
      <c r="DC154" s="113" t="s">
        <v>333</v>
      </c>
      <c r="DD154" s="113" t="s">
        <v>333</v>
      </c>
      <c r="DE154" s="113" t="s">
        <v>333</v>
      </c>
      <c r="DF154" s="113" t="s">
        <v>333</v>
      </c>
      <c r="DG154" s="113" t="s">
        <v>333</v>
      </c>
      <c r="DH154" s="113" t="s">
        <v>333</v>
      </c>
      <c r="DI154" s="113" t="s">
        <v>333</v>
      </c>
      <c r="DJ154" s="113" t="s">
        <v>333</v>
      </c>
      <c r="DK154" s="113" t="s">
        <v>333</v>
      </c>
      <c r="DL154" s="113" t="s">
        <v>333</v>
      </c>
      <c r="DM154" s="113" t="s">
        <v>333</v>
      </c>
      <c r="DN154" s="113" t="s">
        <v>333</v>
      </c>
      <c r="DO154" s="113" t="s">
        <v>333</v>
      </c>
      <c r="DP154" s="113" t="s">
        <v>333</v>
      </c>
      <c r="DQ154" s="113" t="s">
        <v>333</v>
      </c>
      <c r="DR154" s="113" t="s">
        <v>333</v>
      </c>
      <c r="DS154" s="113" t="s">
        <v>333</v>
      </c>
      <c r="DT154" s="113" t="s">
        <v>333</v>
      </c>
      <c r="DU154" s="113" t="s">
        <v>333</v>
      </c>
      <c r="DV154" s="113" t="s">
        <v>333</v>
      </c>
      <c r="DW154" s="113" t="s">
        <v>333</v>
      </c>
      <c r="DX154" s="113" t="s">
        <v>333</v>
      </c>
      <c r="DY154" s="113" t="s">
        <v>333</v>
      </c>
      <c r="DZ154" s="113" t="s">
        <v>333</v>
      </c>
      <c r="EA154" s="113" t="s">
        <v>333</v>
      </c>
      <c r="EB154" s="113" t="s">
        <v>333</v>
      </c>
      <c r="EC154" s="113" t="s">
        <v>333</v>
      </c>
      <c r="ED154" s="113" t="s">
        <v>333</v>
      </c>
      <c r="EE154" s="113" t="s">
        <v>333</v>
      </c>
      <c r="EF154" s="113">
        <f t="shared" si="43"/>
        <v>0</v>
      </c>
      <c r="EG154" s="48"/>
      <c r="EH154" s="15"/>
      <c r="EI154" s="15"/>
      <c r="EJ154" s="15"/>
      <c r="EK154" s="15"/>
      <c r="EL154" s="15"/>
      <c r="EM154" s="15"/>
      <c r="EN154" s="15"/>
      <c r="EO154" s="15"/>
      <c r="EP154" s="15"/>
      <c r="EQ154" s="15"/>
      <c r="ER154" s="15"/>
      <c r="ES154" s="15"/>
      <c r="ET154" s="15"/>
      <c r="EU154" s="15"/>
      <c r="EV154" s="15"/>
      <c r="EW154" s="15"/>
      <c r="EX154" s="15"/>
      <c r="EY154" s="15"/>
      <c r="EZ154" s="15"/>
      <c r="FA154" s="15"/>
      <c r="FB154" s="15"/>
      <c r="FC154" s="15"/>
      <c r="FD154" s="15"/>
      <c r="FE154" s="15"/>
      <c r="FF154" s="15"/>
      <c r="FG154" s="15"/>
      <c r="FH154" s="15"/>
      <c r="FI154" s="15"/>
      <c r="FJ154" s="15"/>
      <c r="FK154" s="15"/>
      <c r="FL154" s="105">
        <f t="shared" si="41"/>
        <v>0</v>
      </c>
      <c r="FM154" s="48"/>
      <c r="FN154" s="15"/>
      <c r="FO154" s="15"/>
      <c r="FP154" s="15"/>
      <c r="FQ154" s="15"/>
      <c r="FR154" s="15"/>
      <c r="FS154" s="15"/>
      <c r="FT154" s="15"/>
      <c r="FU154" s="15"/>
      <c r="FV154" s="15"/>
      <c r="FW154" s="15"/>
      <c r="FX154" s="15"/>
      <c r="FY154" s="15"/>
      <c r="FZ154" s="15"/>
      <c r="GA154" s="15"/>
      <c r="GB154" s="15"/>
      <c r="GC154" s="15"/>
      <c r="GD154" s="15"/>
      <c r="GE154" s="15"/>
      <c r="GF154" s="15"/>
      <c r="GG154" s="15"/>
      <c r="GH154" s="15"/>
      <c r="GI154" s="15"/>
      <c r="GJ154" s="15"/>
      <c r="GK154" s="15"/>
      <c r="GL154" s="15"/>
      <c r="GM154" s="15"/>
      <c r="GN154" s="15"/>
      <c r="GO154" s="15"/>
      <c r="GP154" s="15"/>
      <c r="GQ154" s="15"/>
      <c r="GR154" s="15"/>
      <c r="GS154" s="105">
        <f t="shared" si="42"/>
        <v>0</v>
      </c>
      <c r="GT154" s="48"/>
      <c r="GU154" s="15"/>
      <c r="GV154" s="15"/>
      <c r="GW154" s="15"/>
      <c r="GX154" s="15"/>
      <c r="GY154" s="15"/>
      <c r="GZ154" s="15"/>
      <c r="HA154" s="15"/>
      <c r="HB154" s="15"/>
      <c r="HC154" s="15"/>
      <c r="HD154" s="15"/>
      <c r="HE154" s="15"/>
    </row>
    <row r="155" ht="16.5" customHeight="1" outlineLevel="1">
      <c r="A155" s="186" t="s">
        <v>365</v>
      </c>
      <c r="B155" s="150" t="str">
        <f>iferror(vlookup(A155,'SoS - Agents Info'!A:H,5,false),"")</f>
        <v>EN</v>
      </c>
      <c r="C155" s="151" t="str">
        <f>iferror(vlookup(A155,'SoS - Agents Info'!A:AQ,43,false),"")</f>
        <v>JM</v>
      </c>
      <c r="D155" s="152" t="str">
        <f>iferror(vlookup(A155,'SoS - Agents Info'!A:H,6,false),"")</f>
        <v>WD</v>
      </c>
      <c r="E155" s="152" t="str">
        <f>iferror(vlookup(A155,'SoS - Agents Info'!A:H,7,false),"")</f>
        <v>08:00-17:00</v>
      </c>
      <c r="F155" s="153">
        <f>IFERROR(__xludf.DUMMYFUNCTION("sum(COUNTIFS(Filter(FILTER('Shiftplan SoS'!G$3:GU166,'Shiftplan SoS'!$G$1:$GU$1&lt;=today()),'Shiftplan SoS'!$A$3:$A166=A155),""&gt;0"",(Filter(FILTER('Shiftplan SoS'!G$3:GU166,'Shiftplan SoS'!$G$1:$GU$1&lt;=today()),'Shiftplan SoS'!$A$3:$A166=A155)),""&lt;12""))"),62.0)</f>
        <v>62</v>
      </c>
      <c r="G155" s="158" t="s">
        <v>165</v>
      </c>
      <c r="H155" s="158" t="s">
        <v>165</v>
      </c>
      <c r="I155" s="158">
        <v>8.0</v>
      </c>
      <c r="J155" s="158">
        <v>8.0</v>
      </c>
      <c r="K155" s="158">
        <v>8.0</v>
      </c>
      <c r="L155" s="158">
        <v>8.0</v>
      </c>
      <c r="M155" s="158">
        <v>8.0</v>
      </c>
      <c r="N155" s="158" t="s">
        <v>165</v>
      </c>
      <c r="O155" s="158" t="s">
        <v>165</v>
      </c>
      <c r="P155" s="158" t="s">
        <v>165</v>
      </c>
      <c r="Q155" s="158" t="s">
        <v>165</v>
      </c>
      <c r="R155" s="158">
        <v>8.0</v>
      </c>
      <c r="S155" s="158" t="s">
        <v>245</v>
      </c>
      <c r="T155" s="158">
        <v>8.0</v>
      </c>
      <c r="U155" s="158">
        <v>8.0</v>
      </c>
      <c r="V155" s="158">
        <v>8.0</v>
      </c>
      <c r="W155" s="158" t="s">
        <v>165</v>
      </c>
      <c r="X155" s="158" t="s">
        <v>165</v>
      </c>
      <c r="Y155" s="158">
        <v>8.0</v>
      </c>
      <c r="Z155" s="158">
        <v>8.0</v>
      </c>
      <c r="AA155" s="158" t="s">
        <v>245</v>
      </c>
      <c r="AB155" s="158">
        <v>8.0</v>
      </c>
      <c r="AC155" s="158">
        <v>8.0</v>
      </c>
      <c r="AD155" s="158" t="s">
        <v>165</v>
      </c>
      <c r="AE155" s="158" t="s">
        <v>165</v>
      </c>
      <c r="AF155" s="158">
        <v>8.0</v>
      </c>
      <c r="AG155" s="158">
        <v>8.0</v>
      </c>
      <c r="AH155" s="158">
        <v>8.0</v>
      </c>
      <c r="AI155" s="202">
        <v>8.0</v>
      </c>
      <c r="AJ155" s="158" t="s">
        <v>170</v>
      </c>
      <c r="AK155" s="178" t="s">
        <v>165</v>
      </c>
      <c r="AL155" s="157">
        <f t="shared" si="45"/>
        <v>136</v>
      </c>
      <c r="AM155" s="179"/>
      <c r="AN155" s="206" t="s">
        <v>165</v>
      </c>
      <c r="AO155" s="158">
        <v>8.0</v>
      </c>
      <c r="AP155" s="158" t="s">
        <v>245</v>
      </c>
      <c r="AQ155" s="206">
        <v>8.0</v>
      </c>
      <c r="AR155" s="206">
        <v>8.0</v>
      </c>
      <c r="AS155" s="206">
        <v>8.0</v>
      </c>
      <c r="AT155" s="206" t="s">
        <v>165</v>
      </c>
      <c r="AU155" s="206" t="s">
        <v>165</v>
      </c>
      <c r="AV155" s="206">
        <v>8.0</v>
      </c>
      <c r="AW155" s="206">
        <v>8.0</v>
      </c>
      <c r="AX155" s="206">
        <v>8.0</v>
      </c>
      <c r="AY155" s="158">
        <v>8.0</v>
      </c>
      <c r="AZ155" s="206">
        <v>8.0</v>
      </c>
      <c r="BA155" s="206" t="s">
        <v>165</v>
      </c>
      <c r="BB155" s="206" t="s">
        <v>165</v>
      </c>
      <c r="BC155" s="206">
        <v>8.0</v>
      </c>
      <c r="BD155" s="206">
        <v>8.0</v>
      </c>
      <c r="BE155" s="206">
        <v>8.0</v>
      </c>
      <c r="BF155" s="206">
        <v>8.0</v>
      </c>
      <c r="BG155" s="206">
        <v>8.0</v>
      </c>
      <c r="BH155" s="206" t="s">
        <v>165</v>
      </c>
      <c r="BI155" s="206" t="s">
        <v>165</v>
      </c>
      <c r="BJ155" s="206">
        <v>8.0</v>
      </c>
      <c r="BK155" s="206">
        <v>8.0</v>
      </c>
      <c r="BL155" s="206">
        <v>8.0</v>
      </c>
      <c r="BM155" s="206">
        <v>8.0</v>
      </c>
      <c r="BN155" s="206">
        <v>8.0</v>
      </c>
      <c r="BO155" s="206" t="s">
        <v>165</v>
      </c>
      <c r="BP155" s="206" t="s">
        <v>165</v>
      </c>
      <c r="BQ155" s="206">
        <v>8.0</v>
      </c>
      <c r="BR155" s="157">
        <f t="shared" si="44"/>
        <v>160</v>
      </c>
      <c r="BS155" s="179"/>
      <c r="BT155" s="212">
        <v>8.0</v>
      </c>
      <c r="BU155" s="212">
        <v>8.0</v>
      </c>
      <c r="BV155" s="213">
        <v>8.0</v>
      </c>
      <c r="BW155" s="213">
        <v>8.0</v>
      </c>
      <c r="BX155" s="214" t="s">
        <v>165</v>
      </c>
      <c r="BY155" s="214" t="s">
        <v>165</v>
      </c>
      <c r="BZ155" s="212">
        <v>8.0</v>
      </c>
      <c r="CA155" s="212">
        <v>8.0</v>
      </c>
      <c r="CB155" s="212">
        <v>8.0</v>
      </c>
      <c r="CC155" s="213">
        <v>8.0</v>
      </c>
      <c r="CD155" s="213">
        <v>8.0</v>
      </c>
      <c r="CE155" s="214" t="s">
        <v>165</v>
      </c>
      <c r="CF155" s="214" t="s">
        <v>165</v>
      </c>
      <c r="CG155" s="212">
        <v>8.0</v>
      </c>
      <c r="CH155" s="212">
        <v>8.0</v>
      </c>
      <c r="CI155" s="212">
        <v>8.0</v>
      </c>
      <c r="CJ155" s="213">
        <v>8.0</v>
      </c>
      <c r="CK155" s="213">
        <v>8.0</v>
      </c>
      <c r="CL155" s="214" t="s">
        <v>165</v>
      </c>
      <c r="CM155" s="214" t="s">
        <v>165</v>
      </c>
      <c r="CN155" s="212">
        <v>8.0</v>
      </c>
      <c r="CO155" s="212">
        <v>8.0</v>
      </c>
      <c r="CP155" s="212">
        <v>8.0</v>
      </c>
      <c r="CQ155" s="213">
        <v>8.0</v>
      </c>
      <c r="CR155" s="213">
        <v>8.0</v>
      </c>
      <c r="CS155" s="214" t="s">
        <v>165</v>
      </c>
      <c r="CT155" s="214" t="s">
        <v>165</v>
      </c>
      <c r="CU155" s="212">
        <v>8.0</v>
      </c>
      <c r="CV155" s="212">
        <v>8.0</v>
      </c>
      <c r="CW155" s="212">
        <v>8.0</v>
      </c>
      <c r="CX155" s="213">
        <v>8.0</v>
      </c>
      <c r="CY155" s="157">
        <f t="shared" si="46"/>
        <v>184</v>
      </c>
      <c r="CZ155" s="179"/>
      <c r="DA155" s="162">
        <v>8.0</v>
      </c>
      <c r="DB155" s="162" t="s">
        <v>165</v>
      </c>
      <c r="DC155" s="162" t="s">
        <v>165</v>
      </c>
      <c r="DD155" s="182" t="s">
        <v>170</v>
      </c>
      <c r="DE155" s="182" t="s">
        <v>170</v>
      </c>
      <c r="DF155" s="182" t="s">
        <v>170</v>
      </c>
      <c r="DG155" s="182" t="s">
        <v>170</v>
      </c>
      <c r="DH155" s="182" t="s">
        <v>170</v>
      </c>
      <c r="DI155" s="162" t="s">
        <v>165</v>
      </c>
      <c r="DJ155" s="162" t="s">
        <v>165</v>
      </c>
      <c r="DK155" s="182" t="s">
        <v>170</v>
      </c>
      <c r="DL155" s="182" t="s">
        <v>170</v>
      </c>
      <c r="DM155" s="182" t="s">
        <v>170</v>
      </c>
      <c r="DN155" s="162"/>
      <c r="DO155" s="162"/>
      <c r="DP155" s="162"/>
      <c r="DQ155" s="162"/>
      <c r="DR155" s="162"/>
      <c r="DS155" s="162"/>
      <c r="DT155" s="162"/>
      <c r="DU155" s="162"/>
      <c r="DV155" s="162"/>
      <c r="DW155" s="162"/>
      <c r="DX155" s="162"/>
      <c r="DY155" s="162"/>
      <c r="DZ155" s="162"/>
      <c r="EA155" s="162"/>
      <c r="EB155" s="162"/>
      <c r="EC155" s="162"/>
      <c r="ED155" s="162"/>
      <c r="EE155" s="162"/>
      <c r="EF155" s="162">
        <f t="shared" si="43"/>
        <v>8</v>
      </c>
      <c r="EG155" s="179"/>
      <c r="EH155" s="180"/>
      <c r="EI155" s="180"/>
      <c r="EJ155" s="180"/>
      <c r="EK155" s="180"/>
      <c r="EL155" s="180"/>
      <c r="EM155" s="180"/>
      <c r="EN155" s="180"/>
      <c r="EO155" s="180"/>
      <c r="EP155" s="180"/>
      <c r="EQ155" s="180"/>
      <c r="ER155" s="180"/>
      <c r="ES155" s="180"/>
      <c r="ET155" s="180"/>
      <c r="EU155" s="180"/>
      <c r="EV155" s="180"/>
      <c r="EW155" s="180"/>
      <c r="EX155" s="180"/>
      <c r="EY155" s="180"/>
      <c r="EZ155" s="180"/>
      <c r="FA155" s="180"/>
      <c r="FB155" s="180"/>
      <c r="FC155" s="180"/>
      <c r="FD155" s="180"/>
      <c r="FE155" s="180"/>
      <c r="FF155" s="180"/>
      <c r="FG155" s="180"/>
      <c r="FH155" s="180"/>
      <c r="FI155" s="180"/>
      <c r="FJ155" s="180"/>
      <c r="FK155" s="180"/>
      <c r="FL155" s="157">
        <f t="shared" si="41"/>
        <v>0</v>
      </c>
      <c r="FM155" s="179"/>
      <c r="FN155" s="180"/>
      <c r="FO155" s="180"/>
      <c r="FP155" s="180"/>
      <c r="FQ155" s="180"/>
      <c r="FR155" s="180"/>
      <c r="FS155" s="180"/>
      <c r="FT155" s="180"/>
      <c r="FU155" s="180"/>
      <c r="FV155" s="180"/>
      <c r="FW155" s="180"/>
      <c r="FX155" s="180"/>
      <c r="FY155" s="180"/>
      <c r="FZ155" s="180"/>
      <c r="GA155" s="180"/>
      <c r="GB155" s="180"/>
      <c r="GC155" s="180"/>
      <c r="GD155" s="180"/>
      <c r="GE155" s="180"/>
      <c r="GF155" s="180"/>
      <c r="GG155" s="180"/>
      <c r="GH155" s="180"/>
      <c r="GI155" s="180"/>
      <c r="GJ155" s="180"/>
      <c r="GK155" s="180"/>
      <c r="GL155" s="180"/>
      <c r="GM155" s="180"/>
      <c r="GN155" s="180"/>
      <c r="GO155" s="180"/>
      <c r="GP155" s="180"/>
      <c r="GQ155" s="180"/>
      <c r="GR155" s="180"/>
      <c r="GS155" s="157">
        <f t="shared" si="42"/>
        <v>0</v>
      </c>
      <c r="GT155" s="179"/>
      <c r="GU155" s="180"/>
      <c r="GV155" s="180"/>
      <c r="GW155" s="180"/>
      <c r="GX155" s="180"/>
      <c r="GY155" s="180"/>
      <c r="GZ155" s="180"/>
      <c r="HA155" s="180"/>
      <c r="HB155" s="180"/>
      <c r="HC155" s="180"/>
      <c r="HD155" s="180"/>
      <c r="HE155" s="180"/>
    </row>
    <row r="156" ht="16.5" customHeight="1" outlineLevel="1">
      <c r="A156" s="205" t="s">
        <v>162</v>
      </c>
      <c r="B156" s="150" t="str">
        <f>iferror(vlookup(A156,'SoS - Agents Info'!A:H,5,false),"")</f>
        <v>RU</v>
      </c>
      <c r="C156" s="107" t="str">
        <f>iferror(vlookup(A156,'SoS - Agents Info'!A:AQ,43,false),"")</f>
        <v>JM</v>
      </c>
      <c r="D156" s="152" t="str">
        <f>iferror(vlookup(A156,'SoS - Agents Info'!A:H,6,false),"")</f>
        <v>WD</v>
      </c>
      <c r="E156" s="152" t="str">
        <f>iferror(vlookup(A156,'SoS - Agents Info'!A:H,7,false),"")</f>
        <v>08:00-17:00</v>
      </c>
      <c r="F156" s="153">
        <f>IFERROR(__xludf.DUMMYFUNCTION("sum(COUNTIFS(Filter(FILTER('Shiftplan SoS'!G$3:GU166,'Shiftplan SoS'!$G$1:$GU$1&lt;=today()),'Shiftplan SoS'!$A$3:$A166=A156),""&gt;0"",(Filter(FILTER('Shiftplan SoS'!G$3:GU166,'Shiftplan SoS'!$G$1:$GU$1&lt;=today()),'Shiftplan SoS'!$A$3:$A166=A156)),""&lt;12""))"),20.0)</f>
        <v>20</v>
      </c>
      <c r="G156" s="158" t="s">
        <v>165</v>
      </c>
      <c r="H156" s="158" t="s">
        <v>165</v>
      </c>
      <c r="I156" s="158" t="s">
        <v>165</v>
      </c>
      <c r="J156" s="158">
        <v>8.0</v>
      </c>
      <c r="K156" s="158">
        <v>8.0</v>
      </c>
      <c r="L156" s="158">
        <v>8.0</v>
      </c>
      <c r="M156" s="158">
        <v>8.0</v>
      </c>
      <c r="N156" s="158" t="s">
        <v>165</v>
      </c>
      <c r="O156" s="158" t="s">
        <v>165</v>
      </c>
      <c r="P156" s="158">
        <v>8.0</v>
      </c>
      <c r="Q156" s="158">
        <v>8.0</v>
      </c>
      <c r="R156" s="158">
        <v>8.0</v>
      </c>
      <c r="S156" s="158">
        <v>8.0</v>
      </c>
      <c r="T156" s="158">
        <v>8.0</v>
      </c>
      <c r="U156" s="158" t="s">
        <v>165</v>
      </c>
      <c r="V156" s="158" t="s">
        <v>165</v>
      </c>
      <c r="W156" s="158">
        <v>8.0</v>
      </c>
      <c r="X156" s="158">
        <v>8.0</v>
      </c>
      <c r="Y156" s="158">
        <v>8.0</v>
      </c>
      <c r="Z156" s="158">
        <v>8.0</v>
      </c>
      <c r="AA156" s="158">
        <v>8.0</v>
      </c>
      <c r="AB156" s="158" t="s">
        <v>165</v>
      </c>
      <c r="AC156" s="158" t="s">
        <v>165</v>
      </c>
      <c r="AD156" s="158">
        <v>8.0</v>
      </c>
      <c r="AE156" s="158">
        <v>8.0</v>
      </c>
      <c r="AF156" s="158">
        <v>8.0</v>
      </c>
      <c r="AG156" s="158">
        <v>8.0</v>
      </c>
      <c r="AH156" s="158">
        <v>8.0</v>
      </c>
      <c r="AI156" s="158" t="s">
        <v>165</v>
      </c>
      <c r="AJ156" s="158" t="s">
        <v>165</v>
      </c>
      <c r="AK156" s="207">
        <v>8.0</v>
      </c>
      <c r="AL156" s="157">
        <f t="shared" si="45"/>
        <v>160</v>
      </c>
      <c r="AM156" s="179"/>
      <c r="AN156" s="202">
        <v>0.0</v>
      </c>
      <c r="AO156" s="158" t="s">
        <v>245</v>
      </c>
      <c r="AP156" s="158" t="s">
        <v>245</v>
      </c>
      <c r="AQ156" s="158" t="s">
        <v>245</v>
      </c>
      <c r="AR156" s="158" t="s">
        <v>165</v>
      </c>
      <c r="AS156" s="158" t="s">
        <v>165</v>
      </c>
      <c r="AT156" s="158" t="s">
        <v>170</v>
      </c>
      <c r="AU156" s="158" t="s">
        <v>170</v>
      </c>
      <c r="AV156" s="158" t="s">
        <v>170</v>
      </c>
      <c r="AW156" s="158"/>
      <c r="AX156" s="158"/>
      <c r="AY156" s="158"/>
      <c r="AZ156" s="158"/>
      <c r="BA156" s="158"/>
      <c r="BB156" s="158"/>
      <c r="BC156" s="158"/>
      <c r="BD156" s="158"/>
      <c r="BE156" s="158"/>
      <c r="BF156" s="158"/>
      <c r="BG156" s="158"/>
      <c r="BH156" s="158"/>
      <c r="BI156" s="158"/>
      <c r="BJ156" s="158"/>
      <c r="BK156" s="158"/>
      <c r="BL156" s="158"/>
      <c r="BM156" s="158"/>
      <c r="BN156" s="158"/>
      <c r="BO156" s="158"/>
      <c r="BP156" s="158"/>
      <c r="BQ156" s="158"/>
      <c r="BR156" s="157">
        <f t="shared" si="44"/>
        <v>0</v>
      </c>
      <c r="BS156" s="179"/>
      <c r="BT156" s="180"/>
      <c r="BU156" s="180"/>
      <c r="BV156" s="180"/>
      <c r="BW156" s="180"/>
      <c r="BX156" s="180"/>
      <c r="BY156" s="180"/>
      <c r="BZ156" s="180"/>
      <c r="CA156" s="180"/>
      <c r="CB156" s="180"/>
      <c r="CC156" s="180"/>
      <c r="CD156" s="180"/>
      <c r="CE156" s="180"/>
      <c r="CF156" s="180"/>
      <c r="CG156" s="180"/>
      <c r="CH156" s="180"/>
      <c r="CI156" s="180"/>
      <c r="CJ156" s="180"/>
      <c r="CK156" s="180"/>
      <c r="CL156" s="180"/>
      <c r="CM156" s="180"/>
      <c r="CN156" s="180"/>
      <c r="CO156" s="180"/>
      <c r="CP156" s="180"/>
      <c r="CQ156" s="180"/>
      <c r="CR156" s="180"/>
      <c r="CS156" s="180"/>
      <c r="CT156" s="180"/>
      <c r="CU156" s="180"/>
      <c r="CV156" s="180"/>
      <c r="CW156" s="180"/>
      <c r="CX156" s="180"/>
      <c r="CY156" s="105">
        <f t="shared" si="46"/>
        <v>0</v>
      </c>
      <c r="CZ156" s="179"/>
      <c r="DA156" s="113" t="s">
        <v>333</v>
      </c>
      <c r="DB156" s="162" t="s">
        <v>333</v>
      </c>
      <c r="DC156" s="162" t="s">
        <v>333</v>
      </c>
      <c r="DD156" s="162" t="s">
        <v>333</v>
      </c>
      <c r="DE156" s="162" t="s">
        <v>333</v>
      </c>
      <c r="DF156" s="162" t="s">
        <v>333</v>
      </c>
      <c r="DG156" s="162" t="s">
        <v>333</v>
      </c>
      <c r="DH156" s="162" t="s">
        <v>333</v>
      </c>
      <c r="DI156" s="162" t="s">
        <v>333</v>
      </c>
      <c r="DJ156" s="162" t="s">
        <v>333</v>
      </c>
      <c r="DK156" s="162" t="s">
        <v>333</v>
      </c>
      <c r="DL156" s="162" t="s">
        <v>333</v>
      </c>
      <c r="DM156" s="162" t="s">
        <v>333</v>
      </c>
      <c r="DN156" s="162" t="s">
        <v>333</v>
      </c>
      <c r="DO156" s="162" t="s">
        <v>333</v>
      </c>
      <c r="DP156" s="162" t="s">
        <v>333</v>
      </c>
      <c r="DQ156" s="162" t="s">
        <v>333</v>
      </c>
      <c r="DR156" s="162" t="s">
        <v>333</v>
      </c>
      <c r="DS156" s="162" t="s">
        <v>333</v>
      </c>
      <c r="DT156" s="162" t="s">
        <v>333</v>
      </c>
      <c r="DU156" s="162" t="s">
        <v>333</v>
      </c>
      <c r="DV156" s="162" t="s">
        <v>333</v>
      </c>
      <c r="DW156" s="162" t="s">
        <v>333</v>
      </c>
      <c r="DX156" s="162" t="s">
        <v>333</v>
      </c>
      <c r="DY156" s="162" t="s">
        <v>333</v>
      </c>
      <c r="DZ156" s="162" t="s">
        <v>333</v>
      </c>
      <c r="EA156" s="162" t="s">
        <v>333</v>
      </c>
      <c r="EB156" s="162" t="s">
        <v>333</v>
      </c>
      <c r="EC156" s="162" t="s">
        <v>333</v>
      </c>
      <c r="ED156" s="162" t="s">
        <v>333</v>
      </c>
      <c r="EE156" s="162" t="s">
        <v>333</v>
      </c>
      <c r="EF156" s="113">
        <f t="shared" si="43"/>
        <v>0</v>
      </c>
      <c r="EG156" s="179"/>
      <c r="EH156" s="180"/>
      <c r="EI156" s="180"/>
      <c r="EJ156" s="180"/>
      <c r="EK156" s="180"/>
      <c r="EL156" s="180"/>
      <c r="EM156" s="180"/>
      <c r="EN156" s="180"/>
      <c r="EO156" s="180"/>
      <c r="EP156" s="180"/>
      <c r="EQ156" s="180"/>
      <c r="ER156" s="180"/>
      <c r="ES156" s="180"/>
      <c r="ET156" s="180"/>
      <c r="EU156" s="180"/>
      <c r="EV156" s="180"/>
      <c r="EW156" s="180"/>
      <c r="EX156" s="180"/>
      <c r="EY156" s="180"/>
      <c r="EZ156" s="180"/>
      <c r="FA156" s="180"/>
      <c r="FB156" s="180"/>
      <c r="FC156" s="180"/>
      <c r="FD156" s="180"/>
      <c r="FE156" s="180"/>
      <c r="FF156" s="180"/>
      <c r="FG156" s="180"/>
      <c r="FH156" s="180"/>
      <c r="FI156" s="180"/>
      <c r="FJ156" s="180"/>
      <c r="FK156" s="180"/>
      <c r="FL156" s="157">
        <f t="shared" si="41"/>
        <v>0</v>
      </c>
      <c r="FM156" s="179"/>
      <c r="FN156" s="180"/>
      <c r="FO156" s="180"/>
      <c r="FP156" s="180"/>
      <c r="FQ156" s="180"/>
      <c r="FR156" s="180"/>
      <c r="FS156" s="180"/>
      <c r="FT156" s="180"/>
      <c r="FU156" s="180"/>
      <c r="FV156" s="180"/>
      <c r="FW156" s="180"/>
      <c r="FX156" s="180"/>
      <c r="FY156" s="180"/>
      <c r="FZ156" s="180"/>
      <c r="GA156" s="180"/>
      <c r="GB156" s="180"/>
      <c r="GC156" s="180"/>
      <c r="GD156" s="180"/>
      <c r="GE156" s="180"/>
      <c r="GF156" s="180"/>
      <c r="GG156" s="180"/>
      <c r="GH156" s="180"/>
      <c r="GI156" s="180"/>
      <c r="GJ156" s="180"/>
      <c r="GK156" s="180"/>
      <c r="GL156" s="180"/>
      <c r="GM156" s="180"/>
      <c r="GN156" s="180"/>
      <c r="GO156" s="180"/>
      <c r="GP156" s="180"/>
      <c r="GQ156" s="180"/>
      <c r="GR156" s="180"/>
      <c r="GS156" s="157">
        <f t="shared" si="42"/>
        <v>0</v>
      </c>
      <c r="GT156" s="179"/>
      <c r="GU156" s="180"/>
      <c r="GV156" s="180"/>
      <c r="GW156" s="180"/>
      <c r="GX156" s="180"/>
      <c r="GY156" s="180"/>
      <c r="GZ156" s="180"/>
      <c r="HA156" s="180"/>
      <c r="HB156" s="180"/>
      <c r="HC156" s="180"/>
      <c r="HD156" s="180"/>
      <c r="HE156" s="180"/>
    </row>
    <row r="157" ht="16.5" customHeight="1" outlineLevel="1">
      <c r="A157" s="181" t="s">
        <v>160</v>
      </c>
      <c r="B157" s="150" t="str">
        <f>iferror(vlookup(A157,'SoS - Agents Info'!A:H,5,false),"")</f>
        <v>RU</v>
      </c>
      <c r="C157" s="151" t="str">
        <f>iferror(vlookup(A157,'SoS - Agents Info'!A:AQ,43,false),"")</f>
        <v>JM</v>
      </c>
      <c r="D157" s="152" t="str">
        <f>iferror(vlookup(A157,'SoS - Agents Info'!A:H,6,false),"")</f>
        <v>WD</v>
      </c>
      <c r="E157" s="152" t="str">
        <f>iferror(vlookup(A157,'SoS - Agents Info'!A:H,7,false),"")</f>
        <v>08:00-17:00</v>
      </c>
      <c r="F157" s="153">
        <f>IFERROR(__xludf.DUMMYFUNCTION("sum(COUNTIFS(Filter(FILTER('Shiftplan SoS'!G$3:GU166,'Shiftplan SoS'!$G$1:$GU$1&lt;=today()),'Shiftplan SoS'!$A$3:$A166=A157),""&gt;0"",(Filter(FILTER('Shiftplan SoS'!G$3:GU166,'Shiftplan SoS'!$G$1:$GU$1&lt;=today()),'Shiftplan SoS'!$A$3:$A166=A157)),""&lt;12""))"),45.0)</f>
        <v>45</v>
      </c>
      <c r="G157" s="158" t="s">
        <v>165</v>
      </c>
      <c r="H157" s="158" t="s">
        <v>165</v>
      </c>
      <c r="I157" s="158">
        <v>8.0</v>
      </c>
      <c r="J157" s="158">
        <v>8.0</v>
      </c>
      <c r="K157" s="158">
        <v>8.0</v>
      </c>
      <c r="L157" s="158">
        <v>8.0</v>
      </c>
      <c r="M157" s="158">
        <v>8.0</v>
      </c>
      <c r="N157" s="158" t="s">
        <v>165</v>
      </c>
      <c r="O157" s="158" t="s">
        <v>165</v>
      </c>
      <c r="P157" s="158">
        <v>8.0</v>
      </c>
      <c r="Q157" s="158">
        <v>8.0</v>
      </c>
      <c r="R157" s="158">
        <v>8.0</v>
      </c>
      <c r="S157" s="158">
        <v>8.0</v>
      </c>
      <c r="T157" s="158">
        <v>8.0</v>
      </c>
      <c r="U157" s="158" t="s">
        <v>165</v>
      </c>
      <c r="V157" s="158" t="s">
        <v>165</v>
      </c>
      <c r="W157" s="158">
        <v>8.0</v>
      </c>
      <c r="X157" s="158">
        <v>8.0</v>
      </c>
      <c r="Y157" s="158">
        <v>8.0</v>
      </c>
      <c r="Z157" s="158" t="s">
        <v>245</v>
      </c>
      <c r="AA157" s="158">
        <v>8.0</v>
      </c>
      <c r="AB157" s="158" t="s">
        <v>165</v>
      </c>
      <c r="AC157" s="158" t="s">
        <v>165</v>
      </c>
      <c r="AD157" s="158">
        <v>8.0</v>
      </c>
      <c r="AE157" s="158">
        <v>8.0</v>
      </c>
      <c r="AF157" s="158">
        <v>8.0</v>
      </c>
      <c r="AG157" s="158">
        <v>8.0</v>
      </c>
      <c r="AH157" s="158">
        <v>8.0</v>
      </c>
      <c r="AI157" s="158" t="s">
        <v>165</v>
      </c>
      <c r="AJ157" s="158" t="s">
        <v>165</v>
      </c>
      <c r="AK157" s="207">
        <v>8.0</v>
      </c>
      <c r="AL157" s="157">
        <f t="shared" si="45"/>
        <v>160</v>
      </c>
      <c r="AM157" s="179"/>
      <c r="AN157" s="183">
        <v>8.0</v>
      </c>
      <c r="AO157" s="158">
        <v>8.0</v>
      </c>
      <c r="AP157" s="158">
        <v>8.0</v>
      </c>
      <c r="AQ157" s="158">
        <v>8.0</v>
      </c>
      <c r="AR157" s="158" t="s">
        <v>165</v>
      </c>
      <c r="AS157" s="158" t="s">
        <v>165</v>
      </c>
      <c r="AT157" s="158">
        <v>8.0</v>
      </c>
      <c r="AU157" s="158">
        <v>8.0</v>
      </c>
      <c r="AV157" s="158">
        <v>8.0</v>
      </c>
      <c r="AW157" s="158">
        <v>8.0</v>
      </c>
      <c r="AX157" s="158">
        <v>8.0</v>
      </c>
      <c r="AY157" s="158" t="s">
        <v>165</v>
      </c>
      <c r="AZ157" s="158" t="s">
        <v>165</v>
      </c>
      <c r="BA157" s="158">
        <v>8.0</v>
      </c>
      <c r="BB157" s="158">
        <v>8.0</v>
      </c>
      <c r="BC157" s="158">
        <v>8.0</v>
      </c>
      <c r="BD157" s="158">
        <v>8.0</v>
      </c>
      <c r="BE157" s="158">
        <v>8.0</v>
      </c>
      <c r="BF157" s="158" t="s">
        <v>165</v>
      </c>
      <c r="BG157" s="158" t="s">
        <v>165</v>
      </c>
      <c r="BH157" s="158">
        <v>8.0</v>
      </c>
      <c r="BI157" s="158">
        <v>8.0</v>
      </c>
      <c r="BJ157" s="158">
        <v>8.0</v>
      </c>
      <c r="BK157" s="158">
        <v>8.0</v>
      </c>
      <c r="BL157" s="158">
        <v>8.0</v>
      </c>
      <c r="BM157" s="158" t="s">
        <v>165</v>
      </c>
      <c r="BN157" s="158" t="s">
        <v>165</v>
      </c>
      <c r="BO157" s="158">
        <v>8.0</v>
      </c>
      <c r="BP157" s="158">
        <v>8.0</v>
      </c>
      <c r="BQ157" s="158">
        <v>8.0</v>
      </c>
      <c r="BR157" s="157">
        <f t="shared" si="44"/>
        <v>176</v>
      </c>
      <c r="BS157" s="179"/>
      <c r="BT157" s="161">
        <v>8.0</v>
      </c>
      <c r="BU157" s="161">
        <v>8.0</v>
      </c>
      <c r="BV157" s="215" t="s">
        <v>165</v>
      </c>
      <c r="BW157" s="215" t="s">
        <v>165</v>
      </c>
      <c r="BX157" s="159">
        <v>8.0</v>
      </c>
      <c r="BY157" s="161"/>
      <c r="BZ157" s="161"/>
      <c r="CA157" s="161"/>
      <c r="CB157" s="161"/>
      <c r="CC157" s="160"/>
      <c r="CD157" s="160"/>
      <c r="CE157" s="161"/>
      <c r="CF157" s="161"/>
      <c r="CG157" s="161"/>
      <c r="CH157" s="161"/>
      <c r="CI157" s="161"/>
      <c r="CJ157" s="160"/>
      <c r="CK157" s="160"/>
      <c r="CL157" s="161"/>
      <c r="CM157" s="161"/>
      <c r="CN157" s="161"/>
      <c r="CO157" s="161"/>
      <c r="CP157" s="161"/>
      <c r="CQ157" s="160"/>
      <c r="CR157" s="160"/>
      <c r="CS157" s="161"/>
      <c r="CT157" s="161"/>
      <c r="CU157" s="161"/>
      <c r="CV157" s="161"/>
      <c r="CW157" s="161"/>
      <c r="CX157" s="160"/>
      <c r="CY157" s="157">
        <f t="shared" si="46"/>
        <v>24</v>
      </c>
      <c r="CZ157" s="179"/>
      <c r="DA157" s="113" t="s">
        <v>333</v>
      </c>
      <c r="DB157" s="162" t="s">
        <v>333</v>
      </c>
      <c r="DC157" s="162" t="s">
        <v>333</v>
      </c>
      <c r="DD157" s="162" t="s">
        <v>333</v>
      </c>
      <c r="DE157" s="162" t="s">
        <v>333</v>
      </c>
      <c r="DF157" s="162" t="s">
        <v>333</v>
      </c>
      <c r="DG157" s="162" t="s">
        <v>333</v>
      </c>
      <c r="DH157" s="162" t="s">
        <v>333</v>
      </c>
      <c r="DI157" s="162" t="s">
        <v>333</v>
      </c>
      <c r="DJ157" s="162" t="s">
        <v>333</v>
      </c>
      <c r="DK157" s="162" t="s">
        <v>333</v>
      </c>
      <c r="DL157" s="162" t="s">
        <v>333</v>
      </c>
      <c r="DM157" s="162" t="s">
        <v>333</v>
      </c>
      <c r="DN157" s="162" t="s">
        <v>333</v>
      </c>
      <c r="DO157" s="162" t="s">
        <v>333</v>
      </c>
      <c r="DP157" s="162" t="s">
        <v>333</v>
      </c>
      <c r="DQ157" s="162" t="s">
        <v>333</v>
      </c>
      <c r="DR157" s="162" t="s">
        <v>333</v>
      </c>
      <c r="DS157" s="162" t="s">
        <v>333</v>
      </c>
      <c r="DT157" s="162" t="s">
        <v>333</v>
      </c>
      <c r="DU157" s="162" t="s">
        <v>333</v>
      </c>
      <c r="DV157" s="162" t="s">
        <v>333</v>
      </c>
      <c r="DW157" s="162" t="s">
        <v>333</v>
      </c>
      <c r="DX157" s="162" t="s">
        <v>333</v>
      </c>
      <c r="DY157" s="162" t="s">
        <v>333</v>
      </c>
      <c r="DZ157" s="162" t="s">
        <v>333</v>
      </c>
      <c r="EA157" s="162" t="s">
        <v>333</v>
      </c>
      <c r="EB157" s="162" t="s">
        <v>333</v>
      </c>
      <c r="EC157" s="162" t="s">
        <v>333</v>
      </c>
      <c r="ED157" s="162" t="s">
        <v>333</v>
      </c>
      <c r="EE157" s="162" t="s">
        <v>333</v>
      </c>
      <c r="EF157" s="113">
        <f t="shared" si="43"/>
        <v>0</v>
      </c>
      <c r="EG157" s="179"/>
      <c r="EH157" s="180"/>
      <c r="EI157" s="180"/>
      <c r="EJ157" s="180"/>
      <c r="EK157" s="180"/>
      <c r="EL157" s="180"/>
      <c r="EM157" s="180"/>
      <c r="EN157" s="180"/>
      <c r="EO157" s="180"/>
      <c r="EP157" s="180"/>
      <c r="EQ157" s="180"/>
      <c r="ER157" s="180"/>
      <c r="ES157" s="180"/>
      <c r="ET157" s="180"/>
      <c r="EU157" s="180"/>
      <c r="EV157" s="180"/>
      <c r="EW157" s="180"/>
      <c r="EX157" s="180"/>
      <c r="EY157" s="180"/>
      <c r="EZ157" s="180"/>
      <c r="FA157" s="180"/>
      <c r="FB157" s="180"/>
      <c r="FC157" s="180"/>
      <c r="FD157" s="180"/>
      <c r="FE157" s="180"/>
      <c r="FF157" s="180"/>
      <c r="FG157" s="180"/>
      <c r="FH157" s="180"/>
      <c r="FI157" s="180"/>
      <c r="FJ157" s="180"/>
      <c r="FK157" s="180"/>
      <c r="FL157" s="157">
        <f t="shared" si="41"/>
        <v>0</v>
      </c>
      <c r="FM157" s="179"/>
      <c r="FN157" s="180"/>
      <c r="FO157" s="180"/>
      <c r="FP157" s="180"/>
      <c r="FQ157" s="180"/>
      <c r="FR157" s="180"/>
      <c r="FS157" s="180"/>
      <c r="FT157" s="180"/>
      <c r="FU157" s="180"/>
      <c r="FV157" s="180"/>
      <c r="FW157" s="180"/>
      <c r="FX157" s="180"/>
      <c r="FY157" s="180"/>
      <c r="FZ157" s="180"/>
      <c r="GA157" s="180"/>
      <c r="GB157" s="180"/>
      <c r="GC157" s="180"/>
      <c r="GD157" s="180"/>
      <c r="GE157" s="180"/>
      <c r="GF157" s="180"/>
      <c r="GG157" s="180"/>
      <c r="GH157" s="180"/>
      <c r="GI157" s="180"/>
      <c r="GJ157" s="180"/>
      <c r="GK157" s="180"/>
      <c r="GL157" s="180"/>
      <c r="GM157" s="180"/>
      <c r="GN157" s="180"/>
      <c r="GO157" s="180"/>
      <c r="GP157" s="15"/>
      <c r="GQ157" s="15"/>
      <c r="GR157" s="15"/>
      <c r="GS157" s="105">
        <f t="shared" si="42"/>
        <v>0</v>
      </c>
      <c r="GT157" s="48"/>
      <c r="GU157" s="15"/>
      <c r="GV157" s="15"/>
      <c r="GW157" s="15"/>
      <c r="GX157" s="15"/>
      <c r="GY157" s="15"/>
      <c r="GZ157" s="15"/>
      <c r="HA157" s="15"/>
      <c r="HB157" s="15"/>
      <c r="HC157" s="15"/>
      <c r="HD157" s="15"/>
      <c r="HE157" s="15"/>
    </row>
    <row r="158" ht="16.5" customHeight="1" outlineLevel="1">
      <c r="A158" s="205" t="s">
        <v>366</v>
      </c>
      <c r="B158" s="150" t="str">
        <f>iferror(vlookup(A158,'SoS - Agents Info'!A:H,5,false),"")</f>
        <v>EN</v>
      </c>
      <c r="C158" s="107" t="str">
        <f>iferror(vlookup(A158,'SoS - Agents Info'!A:AQ,43,false),"")</f>
        <v>GM+FL
</v>
      </c>
      <c r="D158" s="152" t="str">
        <f>iferror(vlookup(A158,'SoS - Agents Info'!A:H,6,false),"")</f>
        <v>WD</v>
      </c>
      <c r="E158" s="152" t="str">
        <f>iferror(vlookup(A158,'SoS - Agents Info'!A:H,7,false),"")</f>
        <v>00:00-09:00</v>
      </c>
      <c r="F158" s="153">
        <f>IFERROR(__xludf.DUMMYFUNCTION("sum(COUNTIFS(Filter(FILTER('Shiftplan SoS'!G$3:GU166,'Shiftplan SoS'!$G$1:$GU$1&lt;=today()),'Shiftplan SoS'!$A$3:$A166=A158),""&gt;0"",(Filter(FILTER('Shiftplan SoS'!G$3:GU166,'Shiftplan SoS'!$G$1:$GU$1&lt;=today()),'Shiftplan SoS'!$A$3:$A166=A158)),""&lt;12""))"),33.0)</f>
        <v>33</v>
      </c>
      <c r="G158" s="158" t="s">
        <v>165</v>
      </c>
      <c r="H158" s="158" t="s">
        <v>165</v>
      </c>
      <c r="I158" s="188">
        <v>2.0</v>
      </c>
      <c r="J158" s="158">
        <v>8.0</v>
      </c>
      <c r="K158" s="158">
        <v>8.0</v>
      </c>
      <c r="L158" s="158">
        <v>8.0</v>
      </c>
      <c r="M158" s="158">
        <v>8.0</v>
      </c>
      <c r="N158" s="158">
        <v>8.0</v>
      </c>
      <c r="O158" s="158" t="s">
        <v>165</v>
      </c>
      <c r="P158" s="158" t="s">
        <v>165</v>
      </c>
      <c r="Q158" s="158" t="s">
        <v>165</v>
      </c>
      <c r="R158" s="158">
        <v>8.0</v>
      </c>
      <c r="S158" s="158">
        <v>8.0</v>
      </c>
      <c r="T158" s="158">
        <v>8.0</v>
      </c>
      <c r="U158" s="158" t="s">
        <v>165</v>
      </c>
      <c r="V158" s="158" t="s">
        <v>165</v>
      </c>
      <c r="W158" s="158">
        <v>8.0</v>
      </c>
      <c r="X158" s="158">
        <v>8.0</v>
      </c>
      <c r="Y158" s="158">
        <v>8.0</v>
      </c>
      <c r="Z158" s="158">
        <v>8.0</v>
      </c>
      <c r="AA158" s="158">
        <v>8.0</v>
      </c>
      <c r="AB158" s="158" t="s">
        <v>165</v>
      </c>
      <c r="AC158" s="158" t="s">
        <v>165</v>
      </c>
      <c r="AD158" s="158">
        <v>8.0</v>
      </c>
      <c r="AE158" s="158">
        <v>8.0</v>
      </c>
      <c r="AF158" s="158">
        <v>8.0</v>
      </c>
      <c r="AG158" s="158">
        <v>8.0</v>
      </c>
      <c r="AH158" s="158">
        <v>8.0</v>
      </c>
      <c r="AI158" s="158" t="s">
        <v>165</v>
      </c>
      <c r="AJ158" s="158" t="s">
        <v>165</v>
      </c>
      <c r="AK158" s="178">
        <v>8.0</v>
      </c>
      <c r="AL158" s="157">
        <f t="shared" si="45"/>
        <v>154</v>
      </c>
      <c r="AM158" s="179"/>
      <c r="AN158" s="158">
        <v>8.0</v>
      </c>
      <c r="AO158" s="158">
        <v>8.0</v>
      </c>
      <c r="AP158" s="158">
        <v>8.0</v>
      </c>
      <c r="AQ158" s="202">
        <v>8.0</v>
      </c>
      <c r="AR158" s="158" t="s">
        <v>165</v>
      </c>
      <c r="AS158" s="158" t="s">
        <v>165</v>
      </c>
      <c r="AT158" s="158">
        <v>8.0</v>
      </c>
      <c r="AU158" s="158">
        <v>8.0</v>
      </c>
      <c r="AV158" s="158">
        <v>8.0</v>
      </c>
      <c r="AW158" s="158">
        <v>8.0</v>
      </c>
      <c r="AX158" s="158">
        <v>8.0</v>
      </c>
      <c r="AY158" s="158" t="s">
        <v>165</v>
      </c>
      <c r="AZ158" s="158" t="s">
        <v>165</v>
      </c>
      <c r="BA158" s="158">
        <v>8.0</v>
      </c>
      <c r="BB158" s="158">
        <v>8.0</v>
      </c>
      <c r="BC158" s="158">
        <v>8.0</v>
      </c>
      <c r="BD158" s="158">
        <v>8.0</v>
      </c>
      <c r="BE158" s="158"/>
      <c r="BF158" s="158"/>
      <c r="BG158" s="158"/>
      <c r="BH158" s="158"/>
      <c r="BI158" s="158"/>
      <c r="BJ158" s="158"/>
      <c r="BK158" s="158"/>
      <c r="BL158" s="158"/>
      <c r="BM158" s="158"/>
      <c r="BN158" s="158"/>
      <c r="BO158" s="158"/>
      <c r="BP158" s="158"/>
      <c r="BQ158" s="158"/>
      <c r="BR158" s="157">
        <f t="shared" si="44"/>
        <v>104</v>
      </c>
      <c r="BS158" s="179"/>
      <c r="BT158" s="180"/>
      <c r="BU158" s="180"/>
      <c r="BV158" s="180"/>
      <c r="BW158" s="180"/>
      <c r="BX158" s="180"/>
      <c r="BY158" s="180"/>
      <c r="BZ158" s="180"/>
      <c r="CA158" s="180"/>
      <c r="CB158" s="180"/>
      <c r="CC158" s="180"/>
      <c r="CD158" s="180"/>
      <c r="CE158" s="180"/>
      <c r="CF158" s="180"/>
      <c r="CG158" s="180"/>
      <c r="CH158" s="180"/>
      <c r="CI158" s="180"/>
      <c r="CJ158" s="180"/>
      <c r="CK158" s="180"/>
      <c r="CL158" s="180"/>
      <c r="CM158" s="180"/>
      <c r="CN158" s="180"/>
      <c r="CO158" s="180"/>
      <c r="CP158" s="180"/>
      <c r="CQ158" s="180"/>
      <c r="CR158" s="180"/>
      <c r="CS158" s="180"/>
      <c r="CT158" s="180"/>
      <c r="CU158" s="180"/>
      <c r="CV158" s="180"/>
      <c r="CW158" s="180"/>
      <c r="CX158" s="180"/>
      <c r="CY158" s="105">
        <f t="shared" si="46"/>
        <v>0</v>
      </c>
      <c r="CZ158" s="179"/>
      <c r="DA158" s="113" t="s">
        <v>333</v>
      </c>
      <c r="DB158" s="162" t="s">
        <v>333</v>
      </c>
      <c r="DC158" s="162" t="s">
        <v>333</v>
      </c>
      <c r="DD158" s="162" t="s">
        <v>333</v>
      </c>
      <c r="DE158" s="162" t="s">
        <v>333</v>
      </c>
      <c r="DF158" s="162" t="s">
        <v>333</v>
      </c>
      <c r="DG158" s="162" t="s">
        <v>333</v>
      </c>
      <c r="DH158" s="162" t="s">
        <v>333</v>
      </c>
      <c r="DI158" s="162" t="s">
        <v>333</v>
      </c>
      <c r="DJ158" s="162" t="s">
        <v>333</v>
      </c>
      <c r="DK158" s="162" t="s">
        <v>333</v>
      </c>
      <c r="DL158" s="162" t="s">
        <v>333</v>
      </c>
      <c r="DM158" s="162" t="s">
        <v>333</v>
      </c>
      <c r="DN158" s="162" t="s">
        <v>333</v>
      </c>
      <c r="DO158" s="162" t="s">
        <v>333</v>
      </c>
      <c r="DP158" s="162" t="s">
        <v>333</v>
      </c>
      <c r="DQ158" s="162" t="s">
        <v>333</v>
      </c>
      <c r="DR158" s="162" t="s">
        <v>333</v>
      </c>
      <c r="DS158" s="162" t="s">
        <v>333</v>
      </c>
      <c r="DT158" s="162" t="s">
        <v>333</v>
      </c>
      <c r="DU158" s="162" t="s">
        <v>333</v>
      </c>
      <c r="DV158" s="162" t="s">
        <v>333</v>
      </c>
      <c r="DW158" s="162" t="s">
        <v>333</v>
      </c>
      <c r="DX158" s="162" t="s">
        <v>333</v>
      </c>
      <c r="DY158" s="162" t="s">
        <v>333</v>
      </c>
      <c r="DZ158" s="162" t="s">
        <v>333</v>
      </c>
      <c r="EA158" s="162" t="s">
        <v>333</v>
      </c>
      <c r="EB158" s="162" t="s">
        <v>333</v>
      </c>
      <c r="EC158" s="162" t="s">
        <v>333</v>
      </c>
      <c r="ED158" s="162" t="s">
        <v>333</v>
      </c>
      <c r="EE158" s="162" t="s">
        <v>333</v>
      </c>
      <c r="EF158" s="113">
        <f t="shared" si="43"/>
        <v>0</v>
      </c>
      <c r="EG158" s="179"/>
      <c r="EH158" s="180"/>
      <c r="EI158" s="180"/>
      <c r="EJ158" s="180"/>
      <c r="EK158" s="180"/>
      <c r="EL158" s="180"/>
      <c r="EM158" s="180"/>
      <c r="EN158" s="180"/>
      <c r="EO158" s="180"/>
      <c r="EP158" s="180"/>
      <c r="EQ158" s="180"/>
      <c r="ER158" s="180"/>
      <c r="ES158" s="180"/>
      <c r="ET158" s="180"/>
      <c r="EU158" s="180"/>
      <c r="EV158" s="180"/>
      <c r="EW158" s="180"/>
      <c r="EX158" s="180"/>
      <c r="EY158" s="180"/>
      <c r="EZ158" s="180"/>
      <c r="FA158" s="180"/>
      <c r="FB158" s="180"/>
      <c r="FC158" s="180"/>
      <c r="FD158" s="180"/>
      <c r="FE158" s="180"/>
      <c r="FF158" s="180"/>
      <c r="FG158" s="180"/>
      <c r="FH158" s="180"/>
      <c r="FI158" s="180"/>
      <c r="FJ158" s="180"/>
      <c r="FK158" s="180"/>
      <c r="FL158" s="157">
        <f t="shared" si="41"/>
        <v>0</v>
      </c>
      <c r="FM158" s="179"/>
      <c r="FN158" s="180"/>
      <c r="FO158" s="180"/>
      <c r="FP158" s="180"/>
      <c r="FQ158" s="180"/>
      <c r="FR158" s="180"/>
      <c r="FS158" s="180"/>
      <c r="FT158" s="180"/>
      <c r="FU158" s="180"/>
      <c r="FV158" s="180"/>
      <c r="FW158" s="180"/>
      <c r="FX158" s="180"/>
      <c r="FY158" s="180"/>
      <c r="FZ158" s="180"/>
      <c r="GA158" s="180"/>
      <c r="GB158" s="180"/>
      <c r="GC158" s="180"/>
      <c r="GD158" s="180"/>
      <c r="GE158" s="180"/>
      <c r="GF158" s="180"/>
      <c r="GG158" s="180"/>
      <c r="GH158" s="180"/>
      <c r="GI158" s="180"/>
      <c r="GJ158" s="180"/>
      <c r="GK158" s="180"/>
      <c r="GL158" s="180"/>
      <c r="GM158" s="180"/>
      <c r="GN158" s="180"/>
      <c r="GO158" s="180"/>
      <c r="GP158" s="180"/>
      <c r="GQ158" s="180"/>
      <c r="GR158" s="180"/>
      <c r="GS158" s="157">
        <f t="shared" si="42"/>
        <v>0</v>
      </c>
      <c r="GT158" s="179"/>
      <c r="GU158" s="180"/>
      <c r="GV158" s="180"/>
      <c r="GW158" s="180"/>
      <c r="GX158" s="180"/>
      <c r="GY158" s="180"/>
      <c r="GZ158" s="180"/>
      <c r="HA158" s="180"/>
      <c r="HB158" s="180"/>
      <c r="HC158" s="180"/>
      <c r="HD158" s="180"/>
      <c r="HE158" s="180"/>
    </row>
    <row r="159" ht="16.5" customHeight="1" outlineLevel="1">
      <c r="A159" s="152" t="s">
        <v>367</v>
      </c>
      <c r="B159" s="150" t="str">
        <f>iferror(vlookup(A159,'SoS - Agents Info'!A:H,5,false),"")</f>
        <v/>
      </c>
      <c r="C159" s="107" t="str">
        <f>iferror(vlookup(A159,'SoS - Agents Info'!A:AQ,43,false),"")</f>
        <v/>
      </c>
      <c r="D159" s="152" t="str">
        <f>iferror(vlookup(A159,'SoS - Agents Info'!A:H,6,false),"")</f>
        <v/>
      </c>
      <c r="E159" s="152" t="str">
        <f>iferror(vlookup(A159,'SoS - Agents Info'!A:H,7,false),"")</f>
        <v/>
      </c>
      <c r="F159" s="109">
        <f>IFERROR(__xludf.DUMMYFUNCTION("sum(COUNTIFS(Filter(FILTER('Shiftplan SoS'!G$3:GU166,'Shiftplan SoS'!$G$1:$GU$1&lt;=today()),'Shiftplan SoS'!$A$3:$A166=A159),""&gt;0"",(Filter(FILTER('Shiftplan SoS'!G$3:GU166,'Shiftplan SoS'!$G$1:$GU$1&lt;=today()),'Shiftplan SoS'!$A$3:$A166=A159)),""&lt;12""))"),14.0)</f>
        <v>14</v>
      </c>
      <c r="G159" s="198"/>
      <c r="H159" s="198"/>
      <c r="I159" s="198"/>
      <c r="J159" s="198"/>
      <c r="K159" s="198"/>
      <c r="L159" s="198"/>
      <c r="M159" s="158">
        <v>8.0</v>
      </c>
      <c r="N159" s="158" t="s">
        <v>165</v>
      </c>
      <c r="O159" s="158" t="s">
        <v>165</v>
      </c>
      <c r="P159" s="158">
        <v>8.0</v>
      </c>
      <c r="Q159" s="158">
        <v>8.0</v>
      </c>
      <c r="R159" s="158">
        <v>8.0</v>
      </c>
      <c r="S159" s="158" t="s">
        <v>245</v>
      </c>
      <c r="T159" s="158" t="s">
        <v>167</v>
      </c>
      <c r="U159" s="158" t="s">
        <v>165</v>
      </c>
      <c r="V159" s="158" t="s">
        <v>165</v>
      </c>
      <c r="W159" s="158">
        <v>8.0</v>
      </c>
      <c r="X159" s="158">
        <v>8.0</v>
      </c>
      <c r="Y159" s="158">
        <v>8.0</v>
      </c>
      <c r="Z159" s="158">
        <v>8.0</v>
      </c>
      <c r="AA159" s="158">
        <v>8.0</v>
      </c>
      <c r="AB159" s="158" t="s">
        <v>165</v>
      </c>
      <c r="AC159" s="158" t="s">
        <v>165</v>
      </c>
      <c r="AD159" s="158">
        <v>8.0</v>
      </c>
      <c r="AE159" s="158">
        <v>8.0</v>
      </c>
      <c r="AF159" s="158">
        <v>4.0</v>
      </c>
      <c r="AG159" s="158">
        <v>8.0</v>
      </c>
      <c r="AH159" s="158">
        <v>4.0</v>
      </c>
      <c r="AI159" s="203"/>
      <c r="AJ159" s="203"/>
      <c r="AK159" s="204"/>
      <c r="AL159" s="157">
        <f t="shared" si="45"/>
        <v>104</v>
      </c>
      <c r="AM159" s="179"/>
      <c r="AN159" s="203"/>
      <c r="AO159" s="203"/>
      <c r="AP159" s="203"/>
      <c r="AQ159" s="203"/>
      <c r="AR159" s="203"/>
      <c r="AS159" s="203"/>
      <c r="AT159" s="203"/>
      <c r="AU159" s="203"/>
      <c r="AV159" s="203"/>
      <c r="AW159" s="203"/>
      <c r="AX159" s="203"/>
      <c r="AY159" s="203"/>
      <c r="AZ159" s="203"/>
      <c r="BA159" s="203"/>
      <c r="BB159" s="203"/>
      <c r="BC159" s="203"/>
      <c r="BD159" s="203"/>
      <c r="BE159" s="203"/>
      <c r="BF159" s="203"/>
      <c r="BG159" s="203"/>
      <c r="BH159" s="203"/>
      <c r="BI159" s="203"/>
      <c r="BJ159" s="203"/>
      <c r="BK159" s="203"/>
      <c r="BL159" s="203"/>
      <c r="BM159" s="203"/>
      <c r="BN159" s="203"/>
      <c r="BO159" s="203"/>
      <c r="BP159" s="203"/>
      <c r="BQ159" s="203"/>
      <c r="BR159" s="157">
        <f t="shared" si="44"/>
        <v>0</v>
      </c>
      <c r="BS159" s="179"/>
      <c r="BT159" s="180"/>
      <c r="BU159" s="180"/>
      <c r="BV159" s="180"/>
      <c r="BW159" s="180"/>
      <c r="BX159" s="180"/>
      <c r="BY159" s="180"/>
      <c r="BZ159" s="180"/>
      <c r="CA159" s="180"/>
      <c r="CB159" s="180"/>
      <c r="CC159" s="180"/>
      <c r="CD159" s="180"/>
      <c r="CE159" s="180"/>
      <c r="CF159" s="180"/>
      <c r="CG159" s="180"/>
      <c r="CH159" s="180"/>
      <c r="CI159" s="180"/>
      <c r="CJ159" s="180"/>
      <c r="CK159" s="180"/>
      <c r="CL159" s="180"/>
      <c r="CM159" s="180"/>
      <c r="CN159" s="180"/>
      <c r="CO159" s="180"/>
      <c r="CP159" s="180"/>
      <c r="CQ159" s="180"/>
      <c r="CR159" s="180"/>
      <c r="CS159" s="180"/>
      <c r="CT159" s="180"/>
      <c r="CU159" s="180"/>
      <c r="CV159" s="180"/>
      <c r="CW159" s="180"/>
      <c r="CX159" s="180"/>
      <c r="CY159" s="105">
        <f t="shared" si="46"/>
        <v>0</v>
      </c>
      <c r="CZ159" s="179"/>
      <c r="DA159" s="113"/>
      <c r="DB159" s="162"/>
      <c r="DC159" s="162"/>
      <c r="DD159" s="162"/>
      <c r="DE159" s="162"/>
      <c r="DF159" s="162"/>
      <c r="DG159" s="162"/>
      <c r="DH159" s="162"/>
      <c r="DI159" s="162"/>
      <c r="DJ159" s="162"/>
      <c r="DK159" s="162"/>
      <c r="DL159" s="162"/>
      <c r="DM159" s="162"/>
      <c r="DN159" s="162"/>
      <c r="DO159" s="162"/>
      <c r="DP159" s="162"/>
      <c r="DQ159" s="162"/>
      <c r="DR159" s="162"/>
      <c r="DS159" s="162"/>
      <c r="DT159" s="162"/>
      <c r="DU159" s="162"/>
      <c r="DV159" s="162"/>
      <c r="DW159" s="162"/>
      <c r="DX159" s="162"/>
      <c r="DY159" s="162"/>
      <c r="DZ159" s="162"/>
      <c r="EA159" s="162"/>
      <c r="EB159" s="162"/>
      <c r="EC159" s="162"/>
      <c r="ED159" s="162"/>
      <c r="EE159" s="162"/>
      <c r="EF159" s="113">
        <f t="shared" si="43"/>
        <v>0</v>
      </c>
      <c r="EG159" s="179"/>
      <c r="EH159" s="180"/>
      <c r="EI159" s="180"/>
      <c r="EJ159" s="180"/>
      <c r="EK159" s="180"/>
      <c r="EL159" s="180"/>
      <c r="EM159" s="180"/>
      <c r="EN159" s="180"/>
      <c r="EO159" s="180"/>
      <c r="EP159" s="180"/>
      <c r="EQ159" s="180"/>
      <c r="ER159" s="180"/>
      <c r="ES159" s="180"/>
      <c r="ET159" s="180"/>
      <c r="EU159" s="180"/>
      <c r="EV159" s="180"/>
      <c r="EW159" s="180"/>
      <c r="EX159" s="180"/>
      <c r="EY159" s="180"/>
      <c r="EZ159" s="180"/>
      <c r="FA159" s="180"/>
      <c r="FB159" s="180"/>
      <c r="FC159" s="180"/>
      <c r="FD159" s="180"/>
      <c r="FE159" s="180"/>
      <c r="FF159" s="180"/>
      <c r="FG159" s="180"/>
      <c r="FH159" s="180"/>
      <c r="FI159" s="180"/>
      <c r="FJ159" s="180"/>
      <c r="FK159" s="180"/>
      <c r="FL159" s="157">
        <f t="shared" si="41"/>
        <v>0</v>
      </c>
      <c r="FM159" s="179"/>
      <c r="FN159" s="180"/>
      <c r="FO159" s="180"/>
      <c r="FP159" s="180"/>
      <c r="FQ159" s="180"/>
      <c r="FR159" s="180"/>
      <c r="FS159" s="180"/>
      <c r="FT159" s="180"/>
      <c r="FU159" s="180"/>
      <c r="FV159" s="180"/>
      <c r="FW159" s="180"/>
      <c r="FX159" s="180"/>
      <c r="FY159" s="180"/>
      <c r="FZ159" s="180"/>
      <c r="GA159" s="180"/>
      <c r="GB159" s="180"/>
      <c r="GC159" s="180"/>
      <c r="GD159" s="180"/>
      <c r="GE159" s="180"/>
      <c r="GF159" s="180"/>
      <c r="GG159" s="180"/>
      <c r="GH159" s="180"/>
      <c r="GI159" s="180"/>
      <c r="GJ159" s="180"/>
      <c r="GK159" s="180"/>
      <c r="GL159" s="180"/>
      <c r="GM159" s="180"/>
      <c r="GN159" s="180"/>
      <c r="GO159" s="180"/>
      <c r="GP159" s="180"/>
      <c r="GQ159" s="180"/>
      <c r="GR159" s="180"/>
      <c r="GS159" s="157">
        <f t="shared" si="42"/>
        <v>0</v>
      </c>
      <c r="GT159" s="179"/>
      <c r="GU159" s="180"/>
      <c r="GV159" s="180"/>
      <c r="GW159" s="180"/>
      <c r="GX159" s="180"/>
      <c r="GY159" s="180"/>
      <c r="GZ159" s="180"/>
      <c r="HA159" s="180"/>
      <c r="HB159" s="180"/>
      <c r="HC159" s="180"/>
      <c r="HD159" s="180"/>
      <c r="HE159" s="180"/>
    </row>
    <row r="160" ht="16.5" customHeight="1" outlineLevel="1">
      <c r="A160" s="149" t="s">
        <v>368</v>
      </c>
      <c r="B160" s="150" t="str">
        <f>iferror(vlookup(A160,'SoS - Agents Info'!A:H,5,false),"")</f>
        <v>EN</v>
      </c>
      <c r="C160" s="107" t="str">
        <f>iferror(vlookup(A160,'SoS - Agents Info'!A:AQ,43,false),"")</f>
        <v>RA+VM</v>
      </c>
      <c r="D160" s="152" t="str">
        <f>iferror(vlookup(A160,'SoS - Agents Info'!A:H,6,false),"")</f>
        <v>WE+WD</v>
      </c>
      <c r="E160" s="152" t="str">
        <f>iferror(vlookup(A160,'SoS - Agents Info'!A:H,7,false),"")</f>
        <v>16:00-01:00</v>
      </c>
      <c r="F160" s="153">
        <f>IFERROR(__xludf.DUMMYFUNCTION("sum(COUNTIFS(Filter(FILTER('Shiftplan SoS'!G$3:GU166,'Shiftplan SoS'!$G$1:$GU$1&lt;=today()),'Shiftplan SoS'!$A$3:$A166=A160),""&gt;0"",(Filter(FILTER('Shiftplan SoS'!G$3:GU166,'Shiftplan SoS'!$G$1:$GU$1&lt;=today()),'Shiftplan SoS'!$A$3:$A166=A160)),""&lt;12""))"),28.0)</f>
        <v>28</v>
      </c>
      <c r="G160" s="200"/>
      <c r="H160" s="200"/>
      <c r="I160" s="200"/>
      <c r="J160" s="200"/>
      <c r="K160" s="200"/>
      <c r="L160" s="200"/>
      <c r="M160" s="200"/>
      <c r="N160" s="200"/>
      <c r="O160" s="200"/>
      <c r="P160" s="200"/>
      <c r="Q160" s="200"/>
      <c r="R160" s="198"/>
      <c r="S160" s="158">
        <v>8.0</v>
      </c>
      <c r="T160" s="158" t="s">
        <v>165</v>
      </c>
      <c r="U160" s="158" t="s">
        <v>165</v>
      </c>
      <c r="V160" s="158" t="s">
        <v>165</v>
      </c>
      <c r="W160" s="158">
        <v>8.0</v>
      </c>
      <c r="X160" s="158">
        <v>8.0</v>
      </c>
      <c r="Y160" s="158">
        <v>8.0</v>
      </c>
      <c r="Z160" s="158">
        <v>8.0</v>
      </c>
      <c r="AA160" s="158" t="s">
        <v>165</v>
      </c>
      <c r="AB160" s="158">
        <v>8.0</v>
      </c>
      <c r="AC160" s="158">
        <v>8.0</v>
      </c>
      <c r="AD160" s="158" t="s">
        <v>165</v>
      </c>
      <c r="AE160" s="158" t="s">
        <v>165</v>
      </c>
      <c r="AF160" s="158">
        <v>8.0</v>
      </c>
      <c r="AG160" s="158">
        <v>8.0</v>
      </c>
      <c r="AH160" s="158">
        <v>8.0</v>
      </c>
      <c r="AI160" s="202">
        <v>8.0</v>
      </c>
      <c r="AJ160" s="202">
        <v>8.0</v>
      </c>
      <c r="AK160" s="178" t="s">
        <v>165</v>
      </c>
      <c r="AL160" s="157">
        <f t="shared" si="45"/>
        <v>96</v>
      </c>
      <c r="AM160" s="179"/>
      <c r="AN160" s="158" t="s">
        <v>165</v>
      </c>
      <c r="AO160" s="202">
        <v>8.0</v>
      </c>
      <c r="AP160" s="158">
        <v>8.0</v>
      </c>
      <c r="AQ160" s="202">
        <v>8.0</v>
      </c>
      <c r="AR160" s="158">
        <v>8.0</v>
      </c>
      <c r="AS160" s="158" t="s">
        <v>245</v>
      </c>
      <c r="AT160" s="158" t="s">
        <v>165</v>
      </c>
      <c r="AU160" s="158" t="s">
        <v>165</v>
      </c>
      <c r="AV160" s="202">
        <v>8.0</v>
      </c>
      <c r="AW160" s="202">
        <v>8.0</v>
      </c>
      <c r="AX160" s="202">
        <v>8.0</v>
      </c>
      <c r="AY160" s="158">
        <v>8.0</v>
      </c>
      <c r="AZ160" s="158">
        <v>8.0</v>
      </c>
      <c r="BA160" s="158" t="s">
        <v>165</v>
      </c>
      <c r="BB160" s="158" t="s">
        <v>165</v>
      </c>
      <c r="BC160" s="202">
        <v>8.0</v>
      </c>
      <c r="BD160" s="202">
        <v>8.0</v>
      </c>
      <c r="BE160" s="202">
        <v>8.0</v>
      </c>
      <c r="BF160" s="158">
        <v>8.0</v>
      </c>
      <c r="BG160" s="158">
        <v>8.0</v>
      </c>
      <c r="BH160" s="158" t="s">
        <v>165</v>
      </c>
      <c r="BI160" s="158" t="s">
        <v>165</v>
      </c>
      <c r="BJ160" s="202">
        <v>8.0</v>
      </c>
      <c r="BK160" s="202">
        <v>8.0</v>
      </c>
      <c r="BL160" s="216"/>
      <c r="BM160" s="216"/>
      <c r="BN160" s="216"/>
      <c r="BO160" s="216"/>
      <c r="BP160" s="216"/>
      <c r="BQ160" s="216"/>
      <c r="BR160" s="157">
        <f t="shared" si="44"/>
        <v>128</v>
      </c>
      <c r="BS160" s="179"/>
      <c r="BT160" s="188"/>
      <c r="BU160" s="157"/>
      <c r="BV160" s="216"/>
      <c r="BW160" s="216"/>
      <c r="BX160" s="216"/>
      <c r="BY160" s="216"/>
      <c r="BZ160" s="216"/>
      <c r="CA160" s="188"/>
      <c r="CB160" s="157"/>
      <c r="CC160" s="216"/>
      <c r="CD160" s="216"/>
      <c r="CE160" s="216"/>
      <c r="CF160" s="216"/>
      <c r="CG160" s="216"/>
      <c r="CH160" s="188"/>
      <c r="CI160" s="157"/>
      <c r="CJ160" s="216"/>
      <c r="CK160" s="216"/>
      <c r="CL160" s="216"/>
      <c r="CM160" s="216"/>
      <c r="CN160" s="216"/>
      <c r="CO160" s="188"/>
      <c r="CP160" s="157"/>
      <c r="CQ160" s="216"/>
      <c r="CR160" s="216"/>
      <c r="CS160" s="216"/>
      <c r="CT160" s="216"/>
      <c r="CU160" s="216"/>
      <c r="CV160" s="196"/>
      <c r="CW160" s="196"/>
      <c r="CX160" s="196"/>
      <c r="CY160" s="105">
        <f t="shared" si="46"/>
        <v>0</v>
      </c>
      <c r="CZ160" s="179"/>
      <c r="DA160" s="113" t="s">
        <v>333</v>
      </c>
      <c r="DB160" s="162" t="s">
        <v>333</v>
      </c>
      <c r="DC160" s="162" t="s">
        <v>333</v>
      </c>
      <c r="DD160" s="162" t="s">
        <v>333</v>
      </c>
      <c r="DE160" s="162" t="s">
        <v>333</v>
      </c>
      <c r="DF160" s="162" t="s">
        <v>333</v>
      </c>
      <c r="DG160" s="162" t="s">
        <v>333</v>
      </c>
      <c r="DH160" s="162" t="s">
        <v>333</v>
      </c>
      <c r="DI160" s="162" t="s">
        <v>333</v>
      </c>
      <c r="DJ160" s="162" t="s">
        <v>333</v>
      </c>
      <c r="DK160" s="162" t="s">
        <v>333</v>
      </c>
      <c r="DL160" s="162" t="s">
        <v>333</v>
      </c>
      <c r="DM160" s="162" t="s">
        <v>333</v>
      </c>
      <c r="DN160" s="162" t="s">
        <v>333</v>
      </c>
      <c r="DO160" s="162" t="s">
        <v>333</v>
      </c>
      <c r="DP160" s="162" t="s">
        <v>333</v>
      </c>
      <c r="DQ160" s="162" t="s">
        <v>333</v>
      </c>
      <c r="DR160" s="162" t="s">
        <v>333</v>
      </c>
      <c r="DS160" s="162" t="s">
        <v>333</v>
      </c>
      <c r="DT160" s="162" t="s">
        <v>333</v>
      </c>
      <c r="DU160" s="162" t="s">
        <v>333</v>
      </c>
      <c r="DV160" s="162" t="s">
        <v>333</v>
      </c>
      <c r="DW160" s="162" t="s">
        <v>333</v>
      </c>
      <c r="DX160" s="162" t="s">
        <v>333</v>
      </c>
      <c r="DY160" s="162" t="s">
        <v>333</v>
      </c>
      <c r="DZ160" s="162" t="s">
        <v>333</v>
      </c>
      <c r="EA160" s="162" t="s">
        <v>333</v>
      </c>
      <c r="EB160" s="162" t="s">
        <v>333</v>
      </c>
      <c r="EC160" s="162" t="s">
        <v>333</v>
      </c>
      <c r="ED160" s="162" t="s">
        <v>333</v>
      </c>
      <c r="EE160" s="162" t="s">
        <v>333</v>
      </c>
      <c r="EF160" s="113">
        <f t="shared" si="43"/>
        <v>0</v>
      </c>
      <c r="EG160" s="179"/>
      <c r="EH160" s="180"/>
      <c r="EI160" s="180"/>
      <c r="EJ160" s="180"/>
      <c r="EK160" s="180"/>
      <c r="EL160" s="180"/>
      <c r="EM160" s="180"/>
      <c r="EN160" s="180"/>
      <c r="EO160" s="180"/>
      <c r="EP160" s="180"/>
      <c r="EQ160" s="180"/>
      <c r="ER160" s="180"/>
      <c r="ES160" s="180"/>
      <c r="ET160" s="180"/>
      <c r="EU160" s="180"/>
      <c r="EV160" s="180"/>
      <c r="EW160" s="180"/>
      <c r="EX160" s="180"/>
      <c r="EY160" s="180"/>
      <c r="EZ160" s="180"/>
      <c r="FA160" s="180"/>
      <c r="FB160" s="180"/>
      <c r="FC160" s="180"/>
      <c r="FD160" s="180"/>
      <c r="FE160" s="180"/>
      <c r="FF160" s="180"/>
      <c r="FG160" s="180"/>
      <c r="FH160" s="180"/>
      <c r="FI160" s="180"/>
      <c r="FJ160" s="180"/>
      <c r="FK160" s="180"/>
      <c r="FL160" s="157">
        <f t="shared" si="41"/>
        <v>0</v>
      </c>
      <c r="FM160" s="179"/>
      <c r="FN160" s="180"/>
      <c r="FO160" s="180"/>
      <c r="FP160" s="180"/>
      <c r="FQ160" s="180"/>
      <c r="FR160" s="180"/>
      <c r="FS160" s="180"/>
      <c r="FT160" s="180"/>
      <c r="FU160" s="180"/>
      <c r="FV160" s="180"/>
      <c r="FW160" s="180"/>
      <c r="FX160" s="180"/>
      <c r="FY160" s="180"/>
      <c r="FZ160" s="180"/>
      <c r="GA160" s="180"/>
      <c r="GB160" s="180"/>
      <c r="GC160" s="180"/>
      <c r="GD160" s="180"/>
      <c r="GE160" s="180"/>
      <c r="GF160" s="180"/>
      <c r="GG160" s="180"/>
      <c r="GH160" s="180"/>
      <c r="GI160" s="180"/>
      <c r="GJ160" s="180"/>
      <c r="GK160" s="180"/>
      <c r="GL160" s="180"/>
      <c r="GM160" s="180"/>
      <c r="GN160" s="180"/>
      <c r="GO160" s="180"/>
      <c r="GP160" s="180"/>
      <c r="GQ160" s="180"/>
      <c r="GR160" s="180"/>
      <c r="GS160" s="157">
        <f t="shared" si="42"/>
        <v>0</v>
      </c>
      <c r="GT160" s="179"/>
      <c r="GU160" s="180"/>
      <c r="GV160" s="15"/>
      <c r="GW160" s="15"/>
      <c r="GX160" s="15"/>
      <c r="GY160" s="15"/>
      <c r="GZ160" s="15"/>
      <c r="HA160" s="15"/>
      <c r="HB160" s="15"/>
      <c r="HC160" s="15"/>
      <c r="HD160" s="15"/>
      <c r="HE160" s="15"/>
    </row>
    <row r="161">
      <c r="A161" s="111"/>
      <c r="B161" s="106"/>
      <c r="C161" s="176"/>
      <c r="D161" s="108"/>
      <c r="E161" s="108"/>
      <c r="F161" s="153"/>
      <c r="G161" s="118"/>
      <c r="H161" s="118"/>
      <c r="I161" s="118"/>
      <c r="J161" s="118"/>
      <c r="K161" s="118"/>
      <c r="L161" s="118"/>
      <c r="M161" s="118"/>
      <c r="N161" s="118"/>
      <c r="O161" s="118"/>
      <c r="P161" s="118"/>
      <c r="Q161" s="118"/>
      <c r="R161" s="118"/>
      <c r="S161" s="118"/>
      <c r="T161" s="118"/>
      <c r="U161" s="118"/>
      <c r="V161" s="118"/>
      <c r="W161" s="118"/>
      <c r="X161" s="118"/>
      <c r="Y161" s="118"/>
      <c r="Z161" s="118"/>
      <c r="AA161" s="118"/>
      <c r="AB161" s="118"/>
      <c r="AC161" s="118"/>
      <c r="AD161" s="118"/>
      <c r="AE161" s="118"/>
      <c r="AF161" s="118"/>
      <c r="AG161" s="118"/>
      <c r="AH161" s="118"/>
      <c r="AI161" s="118"/>
      <c r="AJ161" s="118"/>
      <c r="AK161" s="169"/>
      <c r="AL161" s="105"/>
      <c r="AM161" s="48"/>
      <c r="AN161" s="16"/>
      <c r="AO161" s="16"/>
      <c r="AP161" s="16"/>
      <c r="AQ161" s="16"/>
      <c r="AR161" s="16"/>
      <c r="AS161" s="16"/>
      <c r="AT161" s="118"/>
      <c r="AU161" s="118"/>
      <c r="AV161" s="118"/>
      <c r="AW161" s="118"/>
      <c r="AX161" s="118"/>
      <c r="AY161" s="118"/>
      <c r="AZ161" s="118"/>
      <c r="BA161" s="118"/>
      <c r="BB161" s="118"/>
      <c r="BC161" s="118"/>
      <c r="BD161" s="118"/>
      <c r="BE161" s="118"/>
      <c r="BF161" s="118"/>
      <c r="BG161" s="118"/>
      <c r="BH161" s="118"/>
      <c r="BI161" s="118"/>
      <c r="BJ161" s="118"/>
      <c r="BK161" s="118"/>
      <c r="BL161" s="118"/>
      <c r="BM161" s="118"/>
      <c r="BN161" s="118"/>
      <c r="BO161" s="118"/>
      <c r="BP161" s="118"/>
      <c r="BQ161" s="118"/>
      <c r="BR161" s="170"/>
      <c r="BS161" s="48"/>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c r="CS161" s="170"/>
      <c r="CT161" s="170"/>
      <c r="CU161" s="170"/>
      <c r="CV161" s="170"/>
      <c r="CW161" s="170"/>
      <c r="CX161" s="170"/>
      <c r="CY161" s="170"/>
      <c r="CZ161" s="170"/>
      <c r="DA161" s="105"/>
      <c r="DB161" s="105"/>
      <c r="DC161" s="105"/>
      <c r="DD161" s="105"/>
      <c r="DE161" s="105"/>
      <c r="DF161" s="105"/>
      <c r="DG161" s="105"/>
      <c r="DH161" s="105"/>
      <c r="DI161" s="105"/>
      <c r="DJ161" s="105"/>
      <c r="DK161" s="105"/>
      <c r="DL161" s="105"/>
      <c r="DM161" s="105"/>
      <c r="DN161" s="105"/>
      <c r="DO161" s="105"/>
      <c r="DP161" s="105"/>
      <c r="DQ161" s="105"/>
      <c r="DR161" s="105"/>
      <c r="DS161" s="105"/>
      <c r="DT161" s="105"/>
      <c r="DU161" s="105"/>
      <c r="DV161" s="105"/>
      <c r="DW161" s="105"/>
      <c r="DX161" s="105"/>
      <c r="DY161" s="105"/>
      <c r="DZ161" s="105"/>
      <c r="EA161" s="105"/>
      <c r="EB161" s="105"/>
      <c r="EC161" s="105"/>
      <c r="ED161" s="105"/>
      <c r="EE161" s="105"/>
      <c r="EF161" s="170"/>
      <c r="EG161" s="170"/>
      <c r="EH161" s="170"/>
      <c r="EI161" s="170"/>
      <c r="EJ161" s="170"/>
      <c r="EK161" s="170"/>
      <c r="EL161" s="170"/>
      <c r="EM161" s="170"/>
      <c r="EN161" s="170"/>
      <c r="EO161" s="170"/>
      <c r="EP161" s="170"/>
      <c r="EQ161" s="170"/>
      <c r="ER161" s="170"/>
      <c r="ES161" s="170"/>
      <c r="ET161" s="170"/>
      <c r="EU161" s="170"/>
      <c r="EV161" s="170"/>
      <c r="EW161" s="170"/>
      <c r="EX161" s="170"/>
      <c r="EY161" s="170"/>
      <c r="EZ161" s="170"/>
      <c r="FA161" s="170"/>
      <c r="FB161" s="170"/>
      <c r="FC161" s="170"/>
      <c r="FD161" s="170"/>
      <c r="FE161" s="170"/>
      <c r="FF161" s="170"/>
      <c r="FG161" s="170"/>
      <c r="FH161" s="170"/>
      <c r="FI161" s="170"/>
      <c r="FJ161" s="170"/>
      <c r="FK161" s="170"/>
      <c r="FL161" s="170"/>
      <c r="FM161" s="170"/>
      <c r="FN161" s="170"/>
      <c r="FO161" s="170"/>
      <c r="FP161" s="170"/>
      <c r="FQ161" s="170"/>
      <c r="FR161" s="170"/>
      <c r="FS161" s="170"/>
      <c r="FT161" s="170"/>
      <c r="FU161" s="170"/>
      <c r="FV161" s="170"/>
      <c r="FW161" s="170"/>
      <c r="FX161" s="170"/>
      <c r="FY161" s="170"/>
      <c r="FZ161" s="170"/>
      <c r="GA161" s="170"/>
      <c r="GB161" s="170"/>
      <c r="GC161" s="170"/>
      <c r="GD161" s="170"/>
      <c r="GE161" s="170"/>
      <c r="GF161" s="170"/>
      <c r="GG161" s="170"/>
      <c r="GH161" s="170"/>
      <c r="GI161" s="170"/>
      <c r="GJ161" s="170"/>
      <c r="GK161" s="170"/>
      <c r="GL161" s="170"/>
      <c r="GM161" s="170"/>
      <c r="GN161" s="170"/>
      <c r="GO161" s="170"/>
      <c r="GP161" s="170"/>
      <c r="GQ161" s="170"/>
      <c r="GR161" s="170"/>
      <c r="GS161" s="170"/>
      <c r="GT161" s="170"/>
      <c r="GU161" s="170"/>
      <c r="GV161" s="170"/>
      <c r="GW161" s="170"/>
      <c r="GX161" s="170"/>
      <c r="GY161" s="170"/>
      <c r="GZ161" s="170"/>
      <c r="HA161" s="170"/>
      <c r="HB161" s="170"/>
      <c r="HC161" s="170"/>
      <c r="HD161" s="170"/>
      <c r="HE161" s="170"/>
    </row>
    <row r="162">
      <c r="A162" s="111"/>
      <c r="B162" s="106"/>
      <c r="C162" s="176"/>
      <c r="D162" s="108"/>
      <c r="E162" s="108"/>
      <c r="F162" s="153"/>
      <c r="G162" s="118"/>
      <c r="H162" s="118"/>
      <c r="I162" s="118"/>
      <c r="J162" s="118"/>
      <c r="K162" s="118"/>
      <c r="L162" s="118"/>
      <c r="M162" s="118"/>
      <c r="N162" s="118"/>
      <c r="O162" s="118"/>
      <c r="P162" s="118"/>
      <c r="Q162" s="118"/>
      <c r="R162" s="118"/>
      <c r="S162" s="118"/>
      <c r="T162" s="118"/>
      <c r="U162" s="118"/>
      <c r="V162" s="118"/>
      <c r="W162" s="118"/>
      <c r="X162" s="118"/>
      <c r="Y162" s="118"/>
      <c r="Z162" s="118"/>
      <c r="AA162" s="118"/>
      <c r="AB162" s="118"/>
      <c r="AC162" s="118"/>
      <c r="AD162" s="118"/>
      <c r="AE162" s="118"/>
      <c r="AF162" s="118"/>
      <c r="AG162" s="118"/>
      <c r="AH162" s="118"/>
      <c r="AI162" s="118"/>
      <c r="AJ162" s="118"/>
      <c r="AK162" s="169"/>
      <c r="AL162" s="105"/>
      <c r="AM162" s="48"/>
      <c r="AN162" s="16"/>
      <c r="AO162" s="16"/>
      <c r="AP162" s="16"/>
      <c r="AQ162" s="16"/>
      <c r="AR162" s="16"/>
      <c r="AS162" s="16"/>
      <c r="AT162" s="118"/>
      <c r="AU162" s="118"/>
      <c r="AV162" s="118"/>
      <c r="AW162" s="118"/>
      <c r="AX162" s="118"/>
      <c r="AY162" s="118"/>
      <c r="AZ162" s="118"/>
      <c r="BA162" s="118"/>
      <c r="BB162" s="118"/>
      <c r="BC162" s="118"/>
      <c r="BD162" s="118"/>
      <c r="BE162" s="118"/>
      <c r="BF162" s="118"/>
      <c r="BG162" s="118"/>
      <c r="BH162" s="118"/>
      <c r="BI162" s="118"/>
      <c r="BJ162" s="118"/>
      <c r="BK162" s="118"/>
      <c r="BL162" s="118"/>
      <c r="BM162" s="118"/>
      <c r="BN162" s="118"/>
      <c r="BO162" s="118"/>
      <c r="BP162" s="118"/>
      <c r="BQ162" s="118"/>
      <c r="BR162" s="170"/>
      <c r="BS162" s="48"/>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c r="CS162" s="170"/>
      <c r="CT162" s="170"/>
      <c r="CU162" s="170"/>
      <c r="CV162" s="170"/>
      <c r="CW162" s="170"/>
      <c r="CX162" s="170"/>
      <c r="CY162" s="170"/>
      <c r="CZ162" s="170"/>
      <c r="DA162" s="105"/>
      <c r="DB162" s="105"/>
      <c r="DC162" s="105"/>
      <c r="DD162" s="105"/>
      <c r="DE162" s="105"/>
      <c r="DF162" s="105"/>
      <c r="DG162" s="105"/>
      <c r="DH162" s="105"/>
      <c r="DI162" s="105"/>
      <c r="DJ162" s="105"/>
      <c r="DK162" s="105"/>
      <c r="DL162" s="105"/>
      <c r="DM162" s="105"/>
      <c r="DN162" s="105"/>
      <c r="DO162" s="105"/>
      <c r="DP162" s="105"/>
      <c r="DQ162" s="105"/>
      <c r="DR162" s="105"/>
      <c r="DS162" s="105"/>
      <c r="DT162" s="105"/>
      <c r="DU162" s="105"/>
      <c r="DV162" s="105"/>
      <c r="DW162" s="105"/>
      <c r="DX162" s="105"/>
      <c r="DY162" s="105"/>
      <c r="DZ162" s="105"/>
      <c r="EA162" s="105"/>
      <c r="EB162" s="105"/>
      <c r="EC162" s="105"/>
      <c r="ED162" s="105"/>
      <c r="EE162" s="105"/>
      <c r="EF162" s="170"/>
      <c r="EG162" s="170"/>
      <c r="EH162" s="170"/>
      <c r="EI162" s="170"/>
      <c r="EJ162" s="170"/>
      <c r="EK162" s="170"/>
      <c r="EL162" s="170"/>
      <c r="EM162" s="170"/>
      <c r="EN162" s="170"/>
      <c r="EO162" s="170"/>
      <c r="EP162" s="170"/>
      <c r="EQ162" s="170"/>
      <c r="ER162" s="170"/>
      <c r="ES162" s="170"/>
      <c r="ET162" s="170"/>
      <c r="EU162" s="170"/>
      <c r="EV162" s="170"/>
      <c r="EW162" s="170"/>
      <c r="EX162" s="170"/>
      <c r="EY162" s="170"/>
      <c r="EZ162" s="170"/>
      <c r="FA162" s="170"/>
      <c r="FB162" s="170"/>
      <c r="FC162" s="170"/>
      <c r="FD162" s="170"/>
      <c r="FE162" s="170"/>
      <c r="FF162" s="170"/>
      <c r="FG162" s="170"/>
      <c r="FH162" s="170"/>
      <c r="FI162" s="170"/>
      <c r="FJ162" s="170"/>
      <c r="FK162" s="170"/>
      <c r="FL162" s="170"/>
      <c r="FM162" s="170"/>
      <c r="FN162" s="170"/>
      <c r="FO162" s="170"/>
      <c r="FP162" s="170"/>
      <c r="FQ162" s="170"/>
      <c r="FR162" s="170"/>
      <c r="FS162" s="170"/>
      <c r="FT162" s="170"/>
      <c r="FU162" s="170"/>
      <c r="FV162" s="170"/>
      <c r="FW162" s="170"/>
      <c r="FX162" s="170"/>
      <c r="FY162" s="170"/>
      <c r="FZ162" s="170"/>
      <c r="GA162" s="170"/>
      <c r="GB162" s="170"/>
      <c r="GC162" s="170"/>
      <c r="GD162" s="170"/>
      <c r="GE162" s="170"/>
      <c r="GF162" s="170"/>
      <c r="GG162" s="170"/>
      <c r="GH162" s="170"/>
      <c r="GI162" s="170"/>
      <c r="GJ162" s="170"/>
      <c r="GK162" s="170"/>
      <c r="GL162" s="170"/>
      <c r="GM162" s="170"/>
      <c r="GN162" s="170"/>
      <c r="GO162" s="170"/>
      <c r="GP162" s="170"/>
      <c r="GQ162" s="170"/>
      <c r="GR162" s="170"/>
      <c r="GS162" s="170"/>
      <c r="GT162" s="170"/>
      <c r="GU162" s="170"/>
      <c r="GV162" s="170"/>
      <c r="GW162" s="170"/>
      <c r="GX162" s="170"/>
      <c r="GY162" s="170"/>
      <c r="GZ162" s="170"/>
      <c r="HA162" s="170"/>
      <c r="HB162" s="170"/>
      <c r="HC162" s="170"/>
      <c r="HD162" s="170"/>
      <c r="HE162" s="170"/>
    </row>
    <row r="163">
      <c r="A163" s="73" t="s">
        <v>369</v>
      </c>
      <c r="B163" s="73"/>
      <c r="C163" s="73"/>
      <c r="D163" s="73"/>
      <c r="E163" s="73"/>
      <c r="F163" s="73"/>
      <c r="G163" s="217"/>
      <c r="H163" s="217"/>
      <c r="I163" s="217"/>
      <c r="J163" s="217"/>
      <c r="K163" s="217"/>
      <c r="L163" s="217"/>
      <c r="M163" s="217"/>
      <c r="N163" s="217"/>
      <c r="O163" s="217"/>
      <c r="P163" s="217"/>
      <c r="Q163" s="217"/>
      <c r="R163" s="217"/>
      <c r="S163" s="217"/>
      <c r="T163" s="217"/>
      <c r="U163" s="217"/>
      <c r="V163" s="217"/>
      <c r="W163" s="217"/>
      <c r="X163" s="217"/>
      <c r="Y163" s="217"/>
      <c r="Z163" s="217"/>
      <c r="AA163" s="217"/>
      <c r="AB163" s="217"/>
      <c r="AC163" s="217"/>
      <c r="AD163" s="217"/>
      <c r="AE163" s="217"/>
      <c r="AF163" s="217"/>
      <c r="AG163" s="217"/>
      <c r="AH163" s="217"/>
      <c r="AI163" s="217"/>
      <c r="AJ163" s="217"/>
      <c r="AK163" s="218"/>
      <c r="AL163" s="219"/>
      <c r="AM163" s="219"/>
      <c r="AN163" s="217"/>
      <c r="AO163" s="217"/>
      <c r="AP163" s="217"/>
      <c r="AQ163" s="217"/>
      <c r="AR163" s="217"/>
      <c r="AS163" s="217"/>
      <c r="AT163" s="217"/>
      <c r="AU163" s="217"/>
      <c r="AV163" s="217"/>
      <c r="AW163" s="217"/>
      <c r="AX163" s="217"/>
      <c r="AY163" s="217"/>
      <c r="AZ163" s="217"/>
      <c r="BA163" s="217"/>
      <c r="BB163" s="217"/>
      <c r="BC163" s="217"/>
      <c r="BD163" s="217"/>
      <c r="BE163" s="217"/>
      <c r="BF163" s="217"/>
      <c r="BG163" s="217"/>
      <c r="BH163" s="217"/>
      <c r="BI163" s="217"/>
      <c r="BJ163" s="217"/>
      <c r="BK163" s="217"/>
      <c r="BL163" s="217"/>
      <c r="BM163" s="217"/>
      <c r="BN163" s="217"/>
      <c r="BO163" s="217"/>
      <c r="BP163" s="217"/>
      <c r="BQ163" s="217"/>
      <c r="BR163" s="219"/>
      <c r="BS163" s="219"/>
      <c r="BT163" s="219"/>
      <c r="BU163" s="219"/>
      <c r="BV163" s="219"/>
      <c r="BW163" s="219"/>
      <c r="BX163" s="219"/>
      <c r="BY163" s="219"/>
      <c r="BZ163" s="219"/>
      <c r="CA163" s="219"/>
      <c r="CB163" s="219"/>
      <c r="CC163" s="219"/>
      <c r="CD163" s="217"/>
      <c r="CE163" s="217"/>
      <c r="CF163" s="219"/>
      <c r="CG163" s="219"/>
      <c r="CH163" s="219"/>
      <c r="CI163" s="219"/>
      <c r="CJ163" s="219"/>
      <c r="CK163" s="219"/>
      <c r="CL163" s="219"/>
      <c r="CM163" s="219"/>
      <c r="CN163" s="219"/>
      <c r="CO163" s="219"/>
      <c r="CP163" s="219"/>
      <c r="CQ163" s="219"/>
      <c r="CR163" s="219"/>
      <c r="CS163" s="219"/>
      <c r="CT163" s="219"/>
      <c r="CU163" s="219"/>
      <c r="CV163" s="219"/>
      <c r="CW163" s="219"/>
      <c r="CX163" s="219"/>
      <c r="CY163" s="219"/>
      <c r="CZ163" s="219"/>
      <c r="DA163" s="105"/>
      <c r="DB163" s="105"/>
      <c r="DC163" s="105"/>
      <c r="DD163" s="105"/>
      <c r="DE163" s="105"/>
      <c r="DF163" s="105"/>
      <c r="DG163" s="105"/>
      <c r="DH163" s="105"/>
      <c r="DI163" s="105"/>
      <c r="DJ163" s="105"/>
      <c r="DK163" s="105"/>
      <c r="DL163" s="105"/>
      <c r="DM163" s="105"/>
      <c r="DN163" s="105"/>
      <c r="DO163" s="105"/>
      <c r="DP163" s="105"/>
      <c r="DQ163" s="105"/>
      <c r="DR163" s="105"/>
      <c r="DS163" s="105"/>
      <c r="DT163" s="105"/>
      <c r="DU163" s="105"/>
      <c r="DV163" s="105"/>
      <c r="DW163" s="105"/>
      <c r="DX163" s="105"/>
      <c r="DY163" s="105"/>
      <c r="DZ163" s="105"/>
      <c r="EA163" s="105"/>
      <c r="EB163" s="105"/>
      <c r="EC163" s="105"/>
      <c r="ED163" s="105"/>
      <c r="EE163" s="105"/>
      <c r="EF163" s="219"/>
      <c r="EG163" s="219"/>
      <c r="EH163" s="219"/>
      <c r="EI163" s="219"/>
      <c r="EJ163" s="219"/>
      <c r="EK163" s="219"/>
      <c r="EL163" s="219"/>
      <c r="EM163" s="219"/>
      <c r="EN163" s="219"/>
      <c r="EO163" s="219"/>
      <c r="EP163" s="219"/>
      <c r="EQ163" s="219"/>
      <c r="ER163" s="219"/>
      <c r="ES163" s="219"/>
      <c r="ET163" s="219"/>
      <c r="EU163" s="219"/>
      <c r="EV163" s="219"/>
      <c r="EW163" s="219"/>
      <c r="EX163" s="219"/>
      <c r="EY163" s="219"/>
      <c r="EZ163" s="219"/>
      <c r="FA163" s="219"/>
      <c r="FB163" s="219"/>
      <c r="FC163" s="219"/>
      <c r="FD163" s="219"/>
      <c r="FE163" s="219"/>
      <c r="FF163" s="219"/>
      <c r="FG163" s="219"/>
      <c r="FH163" s="219"/>
      <c r="FI163" s="219"/>
      <c r="FJ163" s="219"/>
      <c r="FK163" s="219"/>
      <c r="FL163" s="219"/>
      <c r="FM163" s="219"/>
      <c r="FN163" s="219"/>
      <c r="FO163" s="219"/>
      <c r="FP163" s="219"/>
      <c r="FQ163" s="219"/>
      <c r="FR163" s="219"/>
      <c r="FS163" s="219"/>
      <c r="FT163" s="219"/>
      <c r="FU163" s="219"/>
      <c r="FV163" s="219"/>
      <c r="FW163" s="219"/>
      <c r="FX163" s="219"/>
      <c r="FY163" s="219"/>
      <c r="FZ163" s="219"/>
      <c r="GA163" s="219"/>
      <c r="GB163" s="219"/>
      <c r="GC163" s="219"/>
      <c r="GD163" s="219"/>
      <c r="GE163" s="219"/>
      <c r="GF163" s="219"/>
      <c r="GG163" s="219"/>
      <c r="GH163" s="219"/>
      <c r="GI163" s="219"/>
      <c r="GJ163" s="219"/>
      <c r="GK163" s="219"/>
      <c r="GL163" s="219"/>
      <c r="GM163" s="219"/>
      <c r="GN163" s="219"/>
      <c r="GO163" s="219"/>
      <c r="GP163" s="219"/>
      <c r="GQ163" s="219"/>
      <c r="GR163" s="219"/>
      <c r="GS163" s="219"/>
      <c r="GT163" s="219"/>
      <c r="GU163" s="219"/>
      <c r="GV163" s="219"/>
      <c r="GW163" s="219"/>
      <c r="GX163" s="219"/>
      <c r="GY163" s="219"/>
      <c r="GZ163" s="219"/>
      <c r="HA163" s="219"/>
      <c r="HB163" s="219"/>
      <c r="HC163" s="219"/>
      <c r="HD163" s="219"/>
      <c r="HE163" s="219"/>
    </row>
    <row r="164">
      <c r="A164" s="220" t="s">
        <v>370</v>
      </c>
      <c r="B164" s="220"/>
      <c r="C164" s="221"/>
      <c r="D164" s="220"/>
      <c r="E164" s="220"/>
      <c r="F164" s="222">
        <f>IFERROR(__xludf.DUMMYFUNCTION("sum(COUNTIFS(Filter(FILTER('Shiftplan SoS'!G$3:GU166,'Shiftplan SoS'!$G$1:$GU$1&lt;=today()),'Shiftplan SoS'!$A$3:$A166=A164),""&gt;0"",(Filter(FILTER('Shiftplan SoS'!G$3:GU166,'Shiftplan SoS'!$G$1:$GU$1&lt;=today()),'Shiftplan SoS'!$A$3:$A166=A164)),""&lt;12""))"),31.0)</f>
        <v>31</v>
      </c>
      <c r="G164" s="223" t="str">
        <f t="shared" ref="G164:BR164" si="47">IFERROR(IFS(ISNUMBER(G$142),G$142,ISNUMBER(G$143),G$143),"OFF")</f>
        <v>OFF</v>
      </c>
      <c r="H164" s="223" t="str">
        <f t="shared" si="47"/>
        <v>OFF</v>
      </c>
      <c r="I164" s="223" t="str">
        <f t="shared" si="47"/>
        <v>OFF</v>
      </c>
      <c r="J164" s="223" t="str">
        <f t="shared" si="47"/>
        <v>OFF</v>
      </c>
      <c r="K164" s="223" t="str">
        <f t="shared" si="47"/>
        <v>OFF</v>
      </c>
      <c r="L164" s="223" t="str">
        <f t="shared" si="47"/>
        <v>OFF</v>
      </c>
      <c r="M164" s="223" t="str">
        <f t="shared" si="47"/>
        <v>OFF</v>
      </c>
      <c r="N164" s="223" t="str">
        <f t="shared" si="47"/>
        <v>OFF</v>
      </c>
      <c r="O164" s="223" t="str">
        <f t="shared" si="47"/>
        <v>OFF</v>
      </c>
      <c r="P164" s="223" t="str">
        <f t="shared" si="47"/>
        <v>OFF</v>
      </c>
      <c r="Q164" s="223" t="str">
        <f t="shared" si="47"/>
        <v>OFF</v>
      </c>
      <c r="R164" s="223" t="str">
        <f t="shared" si="47"/>
        <v>OFF</v>
      </c>
      <c r="S164" s="223" t="str">
        <f t="shared" si="47"/>
        <v>OFF</v>
      </c>
      <c r="T164" s="223" t="str">
        <f t="shared" si="47"/>
        <v>OFF</v>
      </c>
      <c r="U164" s="223" t="str">
        <f t="shared" si="47"/>
        <v>OFF</v>
      </c>
      <c r="V164" s="223" t="str">
        <f t="shared" si="47"/>
        <v>OFF</v>
      </c>
      <c r="W164" s="223">
        <f t="shared" si="47"/>
        <v>8</v>
      </c>
      <c r="X164" s="223">
        <f t="shared" si="47"/>
        <v>8</v>
      </c>
      <c r="Y164" s="223">
        <f t="shared" si="47"/>
        <v>8</v>
      </c>
      <c r="Z164" s="223">
        <f t="shared" si="47"/>
        <v>8</v>
      </c>
      <c r="AA164" s="223">
        <f t="shared" si="47"/>
        <v>8</v>
      </c>
      <c r="AB164" s="223" t="str">
        <f t="shared" si="47"/>
        <v>OFF</v>
      </c>
      <c r="AC164" s="223" t="str">
        <f t="shared" si="47"/>
        <v>OFF</v>
      </c>
      <c r="AD164" s="223" t="str">
        <f t="shared" si="47"/>
        <v>OFF</v>
      </c>
      <c r="AE164" s="223" t="str">
        <f t="shared" si="47"/>
        <v>OFF</v>
      </c>
      <c r="AF164" s="223" t="str">
        <f t="shared" si="47"/>
        <v>OFF</v>
      </c>
      <c r="AG164" s="223" t="str">
        <f t="shared" si="47"/>
        <v>OFF</v>
      </c>
      <c r="AH164" s="223" t="str">
        <f t="shared" si="47"/>
        <v>OFF</v>
      </c>
      <c r="AI164" s="223">
        <f t="shared" si="47"/>
        <v>8</v>
      </c>
      <c r="AJ164" s="223">
        <f t="shared" si="47"/>
        <v>8</v>
      </c>
      <c r="AK164" s="223">
        <f t="shared" si="47"/>
        <v>8</v>
      </c>
      <c r="AL164" s="223">
        <f t="shared" si="47"/>
        <v>56</v>
      </c>
      <c r="AM164" s="223" t="str">
        <f t="shared" si="47"/>
        <v>OFF</v>
      </c>
      <c r="AN164" s="223">
        <f t="shared" si="47"/>
        <v>8</v>
      </c>
      <c r="AO164" s="223">
        <f t="shared" si="47"/>
        <v>8</v>
      </c>
      <c r="AP164" s="223" t="str">
        <f t="shared" si="47"/>
        <v>OFF</v>
      </c>
      <c r="AQ164" s="223" t="str">
        <f t="shared" si="47"/>
        <v>OFF</v>
      </c>
      <c r="AR164" s="223">
        <f t="shared" si="47"/>
        <v>8</v>
      </c>
      <c r="AS164" s="223">
        <f t="shared" si="47"/>
        <v>8</v>
      </c>
      <c r="AT164" s="223">
        <f t="shared" si="47"/>
        <v>8</v>
      </c>
      <c r="AU164" s="223">
        <f t="shared" si="47"/>
        <v>8</v>
      </c>
      <c r="AV164" s="223">
        <f t="shared" si="47"/>
        <v>8</v>
      </c>
      <c r="AW164" s="223">
        <f t="shared" si="47"/>
        <v>8</v>
      </c>
      <c r="AX164" s="223" t="str">
        <f t="shared" si="47"/>
        <v>OFF</v>
      </c>
      <c r="AY164" s="223" t="str">
        <f t="shared" si="47"/>
        <v>OFF</v>
      </c>
      <c r="AZ164" s="223" t="str">
        <f t="shared" si="47"/>
        <v>OFF</v>
      </c>
      <c r="BA164" s="223">
        <f t="shared" si="47"/>
        <v>8</v>
      </c>
      <c r="BB164" s="223">
        <f t="shared" si="47"/>
        <v>8</v>
      </c>
      <c r="BC164" s="223">
        <f t="shared" si="47"/>
        <v>8</v>
      </c>
      <c r="BD164" s="223" t="str">
        <f t="shared" si="47"/>
        <v>OFF</v>
      </c>
      <c r="BE164" s="223" t="str">
        <f t="shared" si="47"/>
        <v>OFF</v>
      </c>
      <c r="BF164" s="223">
        <f t="shared" si="47"/>
        <v>5</v>
      </c>
      <c r="BG164" s="223" t="str">
        <f t="shared" si="47"/>
        <v>OFF</v>
      </c>
      <c r="BH164" s="223">
        <f t="shared" si="47"/>
        <v>8</v>
      </c>
      <c r="BI164" s="223">
        <f t="shared" si="47"/>
        <v>8</v>
      </c>
      <c r="BJ164" s="223">
        <f t="shared" si="47"/>
        <v>8</v>
      </c>
      <c r="BK164" s="223" t="str">
        <f t="shared" si="47"/>
        <v>OFF</v>
      </c>
      <c r="BL164" s="223" t="str">
        <f t="shared" si="47"/>
        <v>OFF</v>
      </c>
      <c r="BM164" s="223" t="str">
        <f t="shared" si="47"/>
        <v>OFF</v>
      </c>
      <c r="BN164" s="223" t="str">
        <f t="shared" si="47"/>
        <v>OFF</v>
      </c>
      <c r="BO164" s="223" t="str">
        <f t="shared" si="47"/>
        <v>OFF</v>
      </c>
      <c r="BP164" s="223" t="str">
        <f t="shared" si="47"/>
        <v>OFF</v>
      </c>
      <c r="BQ164" s="223">
        <f t="shared" si="47"/>
        <v>8</v>
      </c>
      <c r="BR164" s="223">
        <f t="shared" si="47"/>
        <v>21</v>
      </c>
      <c r="BS164" s="224"/>
      <c r="BT164" s="223" t="str">
        <f t="shared" ref="BT164:CY164" si="48">IFERROR(IFS(ISNUMBER(BT$142),BT$142,ISNUMBER(BT$143),BT$143),"OFF")</f>
        <v>OFF</v>
      </c>
      <c r="BU164" s="223" t="str">
        <f t="shared" si="48"/>
        <v>OFF</v>
      </c>
      <c r="BV164" s="223" t="str">
        <f t="shared" si="48"/>
        <v>OFF</v>
      </c>
      <c r="BW164" s="223">
        <f t="shared" si="48"/>
        <v>8</v>
      </c>
      <c r="BX164" s="223" t="str">
        <f t="shared" si="48"/>
        <v>OFF</v>
      </c>
      <c r="BY164" s="223">
        <f t="shared" si="48"/>
        <v>8</v>
      </c>
      <c r="BZ164" s="223">
        <f t="shared" si="48"/>
        <v>8</v>
      </c>
      <c r="CA164" s="223" t="str">
        <f t="shared" si="48"/>
        <v>OFF</v>
      </c>
      <c r="CB164" s="223" t="str">
        <f t="shared" si="48"/>
        <v>OFF</v>
      </c>
      <c r="CC164" s="223" t="str">
        <f t="shared" si="48"/>
        <v>OFF</v>
      </c>
      <c r="CD164" s="223">
        <f t="shared" si="48"/>
        <v>8</v>
      </c>
      <c r="CE164" s="223">
        <f t="shared" si="48"/>
        <v>8</v>
      </c>
      <c r="CF164" s="223">
        <f t="shared" si="48"/>
        <v>8</v>
      </c>
      <c r="CG164" s="223">
        <f t="shared" si="48"/>
        <v>8</v>
      </c>
      <c r="CH164" s="223" t="str">
        <f t="shared" si="48"/>
        <v>OFF</v>
      </c>
      <c r="CI164" s="223" t="str">
        <f t="shared" si="48"/>
        <v>OFF</v>
      </c>
      <c r="CJ164" s="223" t="str">
        <f t="shared" si="48"/>
        <v>OFF</v>
      </c>
      <c r="CK164" s="223" t="str">
        <f t="shared" si="48"/>
        <v>OFF</v>
      </c>
      <c r="CL164" s="223" t="str">
        <f t="shared" si="48"/>
        <v>OFF</v>
      </c>
      <c r="CM164" s="223" t="str">
        <f t="shared" si="48"/>
        <v>OFF</v>
      </c>
      <c r="CN164" s="223" t="str">
        <f t="shared" si="48"/>
        <v>OFF</v>
      </c>
      <c r="CO164" s="223" t="str">
        <f t="shared" si="48"/>
        <v>OFF</v>
      </c>
      <c r="CP164" s="223" t="str">
        <f t="shared" si="48"/>
        <v>OFF</v>
      </c>
      <c r="CQ164" s="223" t="str">
        <f t="shared" si="48"/>
        <v>OFF</v>
      </c>
      <c r="CR164" s="223" t="str">
        <f t="shared" si="48"/>
        <v>OFF</v>
      </c>
      <c r="CS164" s="223" t="str">
        <f t="shared" si="48"/>
        <v>OFF</v>
      </c>
      <c r="CT164" s="223" t="str">
        <f t="shared" si="48"/>
        <v>OFF</v>
      </c>
      <c r="CU164" s="223" t="str">
        <f t="shared" si="48"/>
        <v>OFF</v>
      </c>
      <c r="CV164" s="223" t="str">
        <f t="shared" si="48"/>
        <v>OFF</v>
      </c>
      <c r="CW164" s="223" t="str">
        <f t="shared" si="48"/>
        <v>OFF</v>
      </c>
      <c r="CX164" s="223" t="str">
        <f t="shared" si="48"/>
        <v>OFF</v>
      </c>
      <c r="CY164" s="223">
        <f t="shared" si="48"/>
        <v>16</v>
      </c>
      <c r="CZ164" s="224"/>
      <c r="DA164" s="223" t="str">
        <f t="shared" ref="DA164:EE164" si="49">IFERROR(IFS(ISNUMBER(DA$142),DA$142,ISNUMBER(DA$143),DA$143),"OFF")</f>
        <v>OFF</v>
      </c>
      <c r="DB164" s="223" t="str">
        <f t="shared" si="49"/>
        <v>OFF</v>
      </c>
      <c r="DC164" s="223" t="str">
        <f t="shared" si="49"/>
        <v>OFF</v>
      </c>
      <c r="DD164" s="223" t="str">
        <f t="shared" si="49"/>
        <v>OFF</v>
      </c>
      <c r="DE164" s="223" t="str">
        <f t="shared" si="49"/>
        <v>OFF</v>
      </c>
      <c r="DF164" s="223" t="str">
        <f t="shared" si="49"/>
        <v>OFF</v>
      </c>
      <c r="DG164" s="223" t="str">
        <f t="shared" si="49"/>
        <v>OFF</v>
      </c>
      <c r="DH164" s="223" t="str">
        <f t="shared" si="49"/>
        <v>OFF</v>
      </c>
      <c r="DI164" s="223" t="str">
        <f t="shared" si="49"/>
        <v>OFF</v>
      </c>
      <c r="DJ164" s="223" t="str">
        <f t="shared" si="49"/>
        <v>OFF</v>
      </c>
      <c r="DK164" s="223" t="str">
        <f t="shared" si="49"/>
        <v>OFF</v>
      </c>
      <c r="DL164" s="223" t="str">
        <f t="shared" si="49"/>
        <v>OFF</v>
      </c>
      <c r="DM164" s="223" t="str">
        <f t="shared" si="49"/>
        <v>OFF</v>
      </c>
      <c r="DN164" s="223" t="str">
        <f t="shared" si="49"/>
        <v>OFF</v>
      </c>
      <c r="DO164" s="223" t="str">
        <f t="shared" si="49"/>
        <v>OFF</v>
      </c>
      <c r="DP164" s="223" t="str">
        <f t="shared" si="49"/>
        <v>OFF</v>
      </c>
      <c r="DQ164" s="223" t="str">
        <f t="shared" si="49"/>
        <v>OFF</v>
      </c>
      <c r="DR164" s="223" t="str">
        <f t="shared" si="49"/>
        <v>OFF</v>
      </c>
      <c r="DS164" s="223" t="str">
        <f t="shared" si="49"/>
        <v>OFF</v>
      </c>
      <c r="DT164" s="223" t="str">
        <f t="shared" si="49"/>
        <v>OFF</v>
      </c>
      <c r="DU164" s="223" t="str">
        <f t="shared" si="49"/>
        <v>OFF</v>
      </c>
      <c r="DV164" s="223" t="str">
        <f t="shared" si="49"/>
        <v>OFF</v>
      </c>
      <c r="DW164" s="223" t="str">
        <f t="shared" si="49"/>
        <v>OFF</v>
      </c>
      <c r="DX164" s="223" t="str">
        <f t="shared" si="49"/>
        <v>OFF</v>
      </c>
      <c r="DY164" s="223" t="str">
        <f t="shared" si="49"/>
        <v>OFF</v>
      </c>
      <c r="DZ164" s="223" t="str">
        <f t="shared" si="49"/>
        <v>OFF</v>
      </c>
      <c r="EA164" s="223" t="str">
        <f t="shared" si="49"/>
        <v>OFF</v>
      </c>
      <c r="EB164" s="223" t="str">
        <f t="shared" si="49"/>
        <v>OFF</v>
      </c>
      <c r="EC164" s="223" t="str">
        <f t="shared" si="49"/>
        <v>OFF</v>
      </c>
      <c r="ED164" s="223" t="str">
        <f t="shared" si="49"/>
        <v>OFF</v>
      </c>
      <c r="EE164" s="223" t="str">
        <f t="shared" si="49"/>
        <v>OFF</v>
      </c>
      <c r="EF164" s="133"/>
      <c r="EG164" s="133"/>
      <c r="EH164" s="133"/>
      <c r="EI164" s="133"/>
      <c r="EJ164" s="133"/>
      <c r="EK164" s="133"/>
      <c r="EL164" s="133"/>
      <c r="EM164" s="133"/>
      <c r="EN164" s="133"/>
      <c r="EO164" s="133"/>
      <c r="EP164" s="133"/>
      <c r="EQ164" s="133"/>
      <c r="ER164" s="133"/>
      <c r="ES164" s="133"/>
      <c r="ET164" s="133"/>
      <c r="EU164" s="133"/>
      <c r="EV164" s="133"/>
      <c r="EW164" s="133"/>
      <c r="EX164" s="133"/>
      <c r="EY164" s="133"/>
      <c r="EZ164" s="133"/>
      <c r="FA164" s="133"/>
      <c r="FB164" s="133"/>
      <c r="FC164" s="133"/>
      <c r="FD164" s="133"/>
      <c r="FE164" s="133"/>
      <c r="FF164" s="133"/>
      <c r="FG164" s="133"/>
      <c r="FH164" s="133"/>
      <c r="FI164" s="133"/>
      <c r="FJ164" s="133"/>
      <c r="FK164" s="133"/>
      <c r="FL164" s="133"/>
      <c r="FM164" s="133"/>
      <c r="FN164" s="133"/>
      <c r="FO164" s="133"/>
      <c r="FP164" s="133"/>
      <c r="FQ164" s="133"/>
      <c r="FR164" s="133"/>
      <c r="FS164" s="133"/>
      <c r="FT164" s="133"/>
      <c r="FU164" s="133"/>
      <c r="FV164" s="133"/>
      <c r="FW164" s="133"/>
      <c r="FX164" s="133"/>
      <c r="FY164" s="133"/>
      <c r="FZ164" s="133"/>
      <c r="GA164" s="133"/>
      <c r="GB164" s="133"/>
      <c r="GC164" s="133"/>
      <c r="GD164" s="133"/>
      <c r="GE164" s="133"/>
      <c r="GF164" s="133"/>
      <c r="GG164" s="133"/>
      <c r="GH164" s="133"/>
      <c r="GI164" s="133"/>
      <c r="GJ164" s="133"/>
      <c r="GK164" s="133"/>
      <c r="GL164" s="133"/>
      <c r="GM164" s="133"/>
      <c r="GN164" s="133"/>
      <c r="GO164" s="133"/>
      <c r="GP164" s="133"/>
      <c r="GQ164" s="133"/>
      <c r="GR164" s="133"/>
      <c r="GS164" s="133"/>
      <c r="GT164" s="133"/>
      <c r="GU164" s="133"/>
      <c r="GV164" s="133"/>
      <c r="GW164" s="133"/>
      <c r="GX164" s="133"/>
      <c r="GY164" s="133"/>
      <c r="GZ164" s="133"/>
      <c r="HA164" s="133"/>
      <c r="HB164" s="133"/>
      <c r="HC164" s="133"/>
      <c r="HD164" s="133"/>
      <c r="HE164" s="133"/>
    </row>
    <row r="165">
      <c r="A165" s="225" t="s">
        <v>143</v>
      </c>
      <c r="B165" s="225" t="s">
        <v>93</v>
      </c>
      <c r="C165" s="226" t="s">
        <v>371</v>
      </c>
      <c r="D165" s="225" t="s">
        <v>192</v>
      </c>
      <c r="E165" s="225" t="s">
        <v>199</v>
      </c>
      <c r="F165" s="227">
        <f>IFERROR(__xludf.DUMMYFUNCTION("sum(COUNTIFS(Filter(FILTER('Shiftplan SoS'!G$3:GU166,'Shiftplan SoS'!$G$1:$GU$1&lt;=today()),'Shiftplan SoS'!$A$3:$A166=A165),""&gt;0"",(Filter(FILTER('Shiftplan SoS'!G$3:GU166,'Shiftplan SoS'!$G$1:$GU$1&lt;=today()),'Shiftplan SoS'!$A$3:$A166=A165)),""&lt;12""))"),80.0)</f>
        <v>80</v>
      </c>
      <c r="G165" s="133">
        <f t="shared" ref="G165:BR165" si="50">IFERROR(IFS(ISNUMBER(G$5),G$5,ISNUMBER(G$6),G$6),"OFF")</f>
        <v>9</v>
      </c>
      <c r="H165" s="133">
        <f t="shared" si="50"/>
        <v>9</v>
      </c>
      <c r="I165" s="133" t="str">
        <f t="shared" si="50"/>
        <v>OFF</v>
      </c>
      <c r="J165" s="133">
        <f t="shared" si="50"/>
        <v>8</v>
      </c>
      <c r="K165" s="133">
        <f t="shared" si="50"/>
        <v>8</v>
      </c>
      <c r="L165" s="133" t="str">
        <f t="shared" si="50"/>
        <v>OFF</v>
      </c>
      <c r="M165" s="133">
        <f t="shared" si="50"/>
        <v>8</v>
      </c>
      <c r="N165" s="133">
        <f t="shared" si="50"/>
        <v>8</v>
      </c>
      <c r="O165" s="133">
        <f t="shared" si="50"/>
        <v>8</v>
      </c>
      <c r="P165" s="133" t="str">
        <f t="shared" si="50"/>
        <v>OFF</v>
      </c>
      <c r="Q165" s="133">
        <f t="shared" si="50"/>
        <v>8</v>
      </c>
      <c r="R165" s="133">
        <f t="shared" si="50"/>
        <v>8</v>
      </c>
      <c r="S165" s="133" t="str">
        <f t="shared" si="50"/>
        <v>OFF</v>
      </c>
      <c r="T165" s="133">
        <f t="shared" si="50"/>
        <v>8</v>
      </c>
      <c r="U165" s="133">
        <f t="shared" si="50"/>
        <v>8</v>
      </c>
      <c r="V165" s="133">
        <f t="shared" si="50"/>
        <v>8</v>
      </c>
      <c r="W165" s="133" t="str">
        <f t="shared" si="50"/>
        <v>OFF</v>
      </c>
      <c r="X165" s="133">
        <f t="shared" si="50"/>
        <v>8</v>
      </c>
      <c r="Y165" s="133">
        <f t="shared" si="50"/>
        <v>8</v>
      </c>
      <c r="Z165" s="133" t="str">
        <f t="shared" si="50"/>
        <v>OFF</v>
      </c>
      <c r="AA165" s="133">
        <f t="shared" si="50"/>
        <v>8</v>
      </c>
      <c r="AB165" s="133">
        <f t="shared" si="50"/>
        <v>8</v>
      </c>
      <c r="AC165" s="133">
        <f t="shared" si="50"/>
        <v>8</v>
      </c>
      <c r="AD165" s="133" t="str">
        <f t="shared" si="50"/>
        <v>OFF</v>
      </c>
      <c r="AE165" s="133">
        <f t="shared" si="50"/>
        <v>8</v>
      </c>
      <c r="AF165" s="133">
        <f t="shared" si="50"/>
        <v>8</v>
      </c>
      <c r="AG165" s="133" t="str">
        <f t="shared" si="50"/>
        <v>OFF</v>
      </c>
      <c r="AH165" s="133">
        <f t="shared" si="50"/>
        <v>8</v>
      </c>
      <c r="AI165" s="133">
        <f t="shared" si="50"/>
        <v>8</v>
      </c>
      <c r="AJ165" s="133">
        <f t="shared" si="50"/>
        <v>8</v>
      </c>
      <c r="AK165" s="133" t="str">
        <f t="shared" si="50"/>
        <v>OFF</v>
      </c>
      <c r="AL165" s="133">
        <f t="shared" si="50"/>
        <v>146</v>
      </c>
      <c r="AM165" s="133" t="str">
        <f t="shared" si="50"/>
        <v>OFF</v>
      </c>
      <c r="AN165" s="133">
        <f t="shared" si="50"/>
        <v>8</v>
      </c>
      <c r="AO165" s="133">
        <f t="shared" si="50"/>
        <v>8</v>
      </c>
      <c r="AP165" s="133" t="str">
        <f t="shared" si="50"/>
        <v>OFF</v>
      </c>
      <c r="AQ165" s="133">
        <f t="shared" si="50"/>
        <v>8</v>
      </c>
      <c r="AR165" s="133" t="str">
        <f t="shared" si="50"/>
        <v>OFF</v>
      </c>
      <c r="AS165" s="133">
        <f t="shared" si="50"/>
        <v>8</v>
      </c>
      <c r="AT165" s="133" t="str">
        <f t="shared" si="50"/>
        <v>OFF</v>
      </c>
      <c r="AU165" s="133">
        <f t="shared" si="50"/>
        <v>8</v>
      </c>
      <c r="AV165" s="133">
        <f t="shared" si="50"/>
        <v>8</v>
      </c>
      <c r="AW165" s="133" t="str">
        <f t="shared" si="50"/>
        <v>OFF</v>
      </c>
      <c r="AX165" s="133">
        <f t="shared" si="50"/>
        <v>8</v>
      </c>
      <c r="AY165" s="133">
        <f t="shared" si="50"/>
        <v>8</v>
      </c>
      <c r="AZ165" s="133" t="str">
        <f t="shared" si="50"/>
        <v>OFF</v>
      </c>
      <c r="BA165" s="133" t="str">
        <f t="shared" si="50"/>
        <v>OFF</v>
      </c>
      <c r="BB165" s="133">
        <f t="shared" si="50"/>
        <v>8</v>
      </c>
      <c r="BC165" s="133">
        <f t="shared" si="50"/>
        <v>8</v>
      </c>
      <c r="BD165" s="133" t="str">
        <f t="shared" si="50"/>
        <v>OFF</v>
      </c>
      <c r="BE165" s="133">
        <f t="shared" si="50"/>
        <v>8</v>
      </c>
      <c r="BF165" s="133">
        <f t="shared" si="50"/>
        <v>8</v>
      </c>
      <c r="BG165" s="133">
        <f t="shared" si="50"/>
        <v>8</v>
      </c>
      <c r="BH165" s="133" t="str">
        <f t="shared" si="50"/>
        <v>OFF</v>
      </c>
      <c r="BI165" s="133">
        <f t="shared" si="50"/>
        <v>8</v>
      </c>
      <c r="BJ165" s="133">
        <f t="shared" si="50"/>
        <v>8</v>
      </c>
      <c r="BK165" s="133" t="str">
        <f t="shared" si="50"/>
        <v>OFF</v>
      </c>
      <c r="BL165" s="133">
        <f t="shared" si="50"/>
        <v>8</v>
      </c>
      <c r="BM165" s="133">
        <f t="shared" si="50"/>
        <v>8</v>
      </c>
      <c r="BN165" s="133">
        <f t="shared" si="50"/>
        <v>8</v>
      </c>
      <c r="BO165" s="133" t="str">
        <f t="shared" si="50"/>
        <v>OFF</v>
      </c>
      <c r="BP165" s="133">
        <f t="shared" si="50"/>
        <v>8</v>
      </c>
      <c r="BQ165" s="133">
        <f t="shared" si="50"/>
        <v>8</v>
      </c>
      <c r="BR165" s="133">
        <f t="shared" si="50"/>
        <v>120</v>
      </c>
      <c r="BS165" s="219"/>
      <c r="BT165" s="133" t="str">
        <f t="shared" ref="BT165:BY165" si="51">IFERROR(IFS(ISNUMBER(BT$5),BT$5,ISNUMBER(BT$6),BT$6),"OFF")</f>
        <v>OFF</v>
      </c>
      <c r="BU165" s="133">
        <f t="shared" si="51"/>
        <v>8</v>
      </c>
      <c r="BV165" s="133">
        <f t="shared" si="51"/>
        <v>8</v>
      </c>
      <c r="BW165" s="133">
        <f t="shared" si="51"/>
        <v>8</v>
      </c>
      <c r="BX165" s="133" t="str">
        <f t="shared" si="51"/>
        <v>OFF</v>
      </c>
      <c r="BY165" s="133">
        <f t="shared" si="51"/>
        <v>8</v>
      </c>
      <c r="BZ165" s="133">
        <f>IFERROR(IFS(ISNUMBER(BZ$6),BZ$6,ISNUMBER(#REF!),#REF!),"OFF")</f>
        <v>8</v>
      </c>
      <c r="CA165" s="133" t="str">
        <f t="shared" ref="CA165:CF165" si="52">IFERROR(IFS(ISNUMBER(CA$5),CA$5,ISNUMBER(CA$6),CA$6),"OFF")</f>
        <v>OFF</v>
      </c>
      <c r="CB165" s="133" t="str">
        <f t="shared" si="52"/>
        <v>OFF</v>
      </c>
      <c r="CC165" s="133">
        <f t="shared" si="52"/>
        <v>8</v>
      </c>
      <c r="CD165" s="133">
        <f t="shared" si="52"/>
        <v>8</v>
      </c>
      <c r="CE165" s="133" t="str">
        <f t="shared" si="52"/>
        <v>OFF</v>
      </c>
      <c r="CF165" s="133">
        <f t="shared" si="52"/>
        <v>8</v>
      </c>
      <c r="CG165" s="133">
        <f>IFERROR(IFS(ISNUMBER(CG$6),CG$6,ISNUMBER(#REF!),#REF!),"OFF")</f>
        <v>8</v>
      </c>
      <c r="CH165" s="133" t="str">
        <f t="shared" ref="CH165:CM165" si="53">IFERROR(IFS(ISNUMBER(CH$5),CH$5,ISNUMBER(CH$6),CH$6),"OFF")</f>
        <v>OFF</v>
      </c>
      <c r="CI165" s="133">
        <f t="shared" si="53"/>
        <v>8</v>
      </c>
      <c r="CJ165" s="133">
        <f t="shared" si="53"/>
        <v>8</v>
      </c>
      <c r="CK165" s="133" t="str">
        <f t="shared" si="53"/>
        <v>OFF</v>
      </c>
      <c r="CL165" s="133" t="str">
        <f t="shared" si="53"/>
        <v>OFF</v>
      </c>
      <c r="CM165" s="133">
        <f t="shared" si="53"/>
        <v>8</v>
      </c>
      <c r="CN165" s="133">
        <f>IFERROR(IFS(ISNUMBER(CN$6),CN$6,ISNUMBER(#REF!),#REF!),"OFF")</f>
        <v>8</v>
      </c>
      <c r="CO165" s="133" t="str">
        <f t="shared" ref="CO165:CT165" si="54">IFERROR(IFS(ISNUMBER(CO$5),CO$5,ISNUMBER(CO$6),CO$6),"OFF")</f>
        <v>OFF</v>
      </c>
      <c r="CP165" s="133">
        <f t="shared" si="54"/>
        <v>8</v>
      </c>
      <c r="CQ165" s="133">
        <f t="shared" si="54"/>
        <v>8</v>
      </c>
      <c r="CR165" s="133">
        <f t="shared" si="54"/>
        <v>8</v>
      </c>
      <c r="CS165" s="133" t="str">
        <f t="shared" si="54"/>
        <v>OFF</v>
      </c>
      <c r="CT165" s="133">
        <f t="shared" si="54"/>
        <v>8</v>
      </c>
      <c r="CU165" s="133">
        <f>IFERROR(IFS(ISNUMBER(CU$6),CU$6,ISNUMBER(#REF!),#REF!),"OFF")</f>
        <v>8</v>
      </c>
      <c r="CV165" s="133" t="str">
        <f t="shared" ref="CV165:CY165" si="55">IFERROR(IFS(ISNUMBER(CV$5),CV$5,ISNUMBER(CV$6),CV$6),"OFF")</f>
        <v>OFF</v>
      </c>
      <c r="CW165" s="133">
        <f t="shared" si="55"/>
        <v>8</v>
      </c>
      <c r="CX165" s="133">
        <f t="shared" si="55"/>
        <v>8</v>
      </c>
      <c r="CY165" s="133">
        <f t="shared" si="55"/>
        <v>128</v>
      </c>
      <c r="CZ165" s="219"/>
      <c r="DA165" s="133" t="str">
        <f t="shared" ref="DA165:EE165" si="56">IFERROR(IFS(ISNUMBER(DA$5),DA$5,ISNUMBER(DA$6),DA$6),"OFF")</f>
        <v>OFF</v>
      </c>
      <c r="DB165" s="133" t="str">
        <f t="shared" si="56"/>
        <v>OFF</v>
      </c>
      <c r="DC165" s="133" t="str">
        <f t="shared" si="56"/>
        <v>OFF</v>
      </c>
      <c r="DD165" s="133" t="str">
        <f t="shared" si="56"/>
        <v>OFF</v>
      </c>
      <c r="DE165" s="133" t="str">
        <f t="shared" si="56"/>
        <v>OFF</v>
      </c>
      <c r="DF165" s="133" t="str">
        <f t="shared" si="56"/>
        <v>OFF</v>
      </c>
      <c r="DG165" s="133">
        <f t="shared" si="56"/>
        <v>8</v>
      </c>
      <c r="DH165" s="133" t="str">
        <f t="shared" si="56"/>
        <v>OFF</v>
      </c>
      <c r="DI165" s="133" t="str">
        <f t="shared" si="56"/>
        <v>OFF</v>
      </c>
      <c r="DJ165" s="133">
        <f t="shared" si="56"/>
        <v>8</v>
      </c>
      <c r="DK165" s="133">
        <f t="shared" si="56"/>
        <v>8</v>
      </c>
      <c r="DL165" s="133" t="str">
        <f t="shared" si="56"/>
        <v>OFF</v>
      </c>
      <c r="DM165" s="133">
        <f t="shared" si="56"/>
        <v>8</v>
      </c>
      <c r="DN165" s="133">
        <f t="shared" si="56"/>
        <v>8</v>
      </c>
      <c r="DO165" s="133">
        <f t="shared" si="56"/>
        <v>8</v>
      </c>
      <c r="DP165" s="133" t="str">
        <f t="shared" si="56"/>
        <v>OFF</v>
      </c>
      <c r="DQ165" s="133">
        <f t="shared" si="56"/>
        <v>8</v>
      </c>
      <c r="DR165" s="133" t="str">
        <f t="shared" si="56"/>
        <v>OFF</v>
      </c>
      <c r="DS165" s="133" t="str">
        <f t="shared" si="56"/>
        <v>OFF</v>
      </c>
      <c r="DT165" s="133">
        <f t="shared" si="56"/>
        <v>8</v>
      </c>
      <c r="DU165" s="133">
        <f t="shared" si="56"/>
        <v>8</v>
      </c>
      <c r="DV165" s="133">
        <f t="shared" si="56"/>
        <v>8</v>
      </c>
      <c r="DW165" s="133">
        <f t="shared" si="56"/>
        <v>8</v>
      </c>
      <c r="DX165" s="133">
        <f t="shared" si="56"/>
        <v>8</v>
      </c>
      <c r="DY165" s="133">
        <f t="shared" si="56"/>
        <v>8</v>
      </c>
      <c r="DZ165" s="133">
        <f t="shared" si="56"/>
        <v>8</v>
      </c>
      <c r="EA165" s="133">
        <f t="shared" si="56"/>
        <v>8</v>
      </c>
      <c r="EB165" s="133">
        <f t="shared" si="56"/>
        <v>8</v>
      </c>
      <c r="EC165" s="133">
        <f t="shared" si="56"/>
        <v>8</v>
      </c>
      <c r="ED165" s="133" t="str">
        <f t="shared" si="56"/>
        <v>OFF</v>
      </c>
      <c r="EE165" s="133">
        <f t="shared" si="56"/>
        <v>8</v>
      </c>
      <c r="EF165" s="133"/>
      <c r="EG165" s="133"/>
      <c r="EH165" s="133"/>
      <c r="EI165" s="133"/>
      <c r="EJ165" s="133"/>
      <c r="EK165" s="133"/>
      <c r="EL165" s="133"/>
      <c r="EM165" s="133"/>
      <c r="EN165" s="133"/>
      <c r="EO165" s="133"/>
      <c r="EP165" s="133"/>
      <c r="EQ165" s="133"/>
      <c r="ER165" s="133"/>
      <c r="ES165" s="133"/>
      <c r="ET165" s="133"/>
      <c r="EU165" s="133"/>
      <c r="EV165" s="133"/>
      <c r="EW165" s="133"/>
      <c r="EX165" s="133"/>
      <c r="EY165" s="133"/>
      <c r="EZ165" s="133"/>
      <c r="FA165" s="133"/>
      <c r="FB165" s="133"/>
      <c r="FC165" s="133"/>
      <c r="FD165" s="133"/>
      <c r="FE165" s="133"/>
      <c r="FF165" s="133"/>
      <c r="FG165" s="133"/>
      <c r="FH165" s="133"/>
      <c r="FI165" s="133"/>
      <c r="FJ165" s="133"/>
      <c r="FK165" s="133"/>
      <c r="FL165" s="133"/>
      <c r="FM165" s="133"/>
      <c r="FN165" s="133"/>
      <c r="FO165" s="133"/>
      <c r="FP165" s="133"/>
      <c r="FQ165" s="133"/>
      <c r="FR165" s="133"/>
      <c r="FS165" s="133"/>
      <c r="FT165" s="133"/>
      <c r="FU165" s="133"/>
      <c r="FV165" s="133"/>
      <c r="FW165" s="133"/>
      <c r="FX165" s="133"/>
      <c r="FY165" s="133"/>
      <c r="FZ165" s="133"/>
      <c r="GA165" s="133"/>
      <c r="GB165" s="133"/>
      <c r="GC165" s="133"/>
      <c r="GD165" s="133"/>
      <c r="GE165" s="133"/>
      <c r="GF165" s="133"/>
      <c r="GG165" s="133"/>
      <c r="GH165" s="133"/>
      <c r="GI165" s="133"/>
      <c r="GJ165" s="133"/>
      <c r="GK165" s="133"/>
      <c r="GL165" s="133"/>
      <c r="GM165" s="133"/>
      <c r="GN165" s="133"/>
      <c r="GO165" s="133"/>
      <c r="GP165" s="133"/>
      <c r="GQ165" s="133"/>
      <c r="GR165" s="133"/>
      <c r="GS165" s="133"/>
      <c r="GT165" s="133"/>
      <c r="GU165" s="133"/>
      <c r="GV165" s="133"/>
      <c r="GW165" s="133"/>
      <c r="GX165" s="133"/>
      <c r="GY165" s="133"/>
      <c r="GZ165" s="133"/>
      <c r="HA165" s="133"/>
      <c r="HB165" s="133"/>
      <c r="HC165" s="133"/>
      <c r="HD165" s="133"/>
      <c r="HE165" s="133"/>
    </row>
    <row r="166">
      <c r="A166" s="225" t="s">
        <v>372</v>
      </c>
      <c r="B166" s="228" t="str">
        <f>iferror(vlookup(A166,'SoS - Agents Info'!A:H,5,false),"")</f>
        <v>PL</v>
      </c>
      <c r="C166" s="226" t="s">
        <v>371</v>
      </c>
      <c r="D166" s="225" t="str">
        <f>iferror(vlookup(A166,'SoS - Agents Info'!A:H,6,false),"")</f>
        <v>WE+WD</v>
      </c>
      <c r="E166" s="225" t="str">
        <f>iferror(vlookup(A166,'SoS - Agents Info'!A:H,7,false),"")</f>
        <v>16:00-01:00</v>
      </c>
      <c r="F166" s="227">
        <f>IFERROR(__xludf.DUMMYFUNCTION("sum(COUNTIFS(Filter(FILTER('Shiftplan SoS'!G$3:GU166,'Shiftplan SoS'!$G$1:$GU$1&lt;=today()),'Shiftplan SoS'!$A$3:$A166=A166),""&gt;0"",(Filter(FILTER('Shiftplan SoS'!G$3:GU166,'Shiftplan SoS'!$G$1:$GU$1&lt;=today()),'Shiftplan SoS'!$A$3:$A166=A166)),""&lt;12""))"),29.0)</f>
        <v>29</v>
      </c>
      <c r="G166" s="133" t="str">
        <f t="shared" ref="G166:BR166" si="57">IFERROR(IFS(ISNUMBER(G$60),G$60,ISNUMBER(G$61),G$61),"OFF")</f>
        <v>OFF</v>
      </c>
      <c r="H166" s="133" t="str">
        <f t="shared" si="57"/>
        <v>OFF</v>
      </c>
      <c r="I166" s="133" t="str">
        <f t="shared" si="57"/>
        <v>OFF</v>
      </c>
      <c r="J166" s="133" t="str">
        <f t="shared" si="57"/>
        <v>OFF</v>
      </c>
      <c r="K166" s="133" t="str">
        <f t="shared" si="57"/>
        <v>OFF</v>
      </c>
      <c r="L166" s="133" t="str">
        <f t="shared" si="57"/>
        <v>OFF</v>
      </c>
      <c r="M166" s="133" t="str">
        <f t="shared" si="57"/>
        <v>OFF</v>
      </c>
      <c r="N166" s="133">
        <f t="shared" si="57"/>
        <v>8</v>
      </c>
      <c r="O166" s="133">
        <f t="shared" si="57"/>
        <v>8</v>
      </c>
      <c r="P166" s="133" t="str">
        <f t="shared" si="57"/>
        <v>OFF</v>
      </c>
      <c r="Q166" s="133" t="str">
        <f t="shared" si="57"/>
        <v>OFF</v>
      </c>
      <c r="R166" s="133" t="str">
        <f t="shared" si="57"/>
        <v>OFF</v>
      </c>
      <c r="S166" s="133" t="str">
        <f t="shared" si="57"/>
        <v>OFF</v>
      </c>
      <c r="T166" s="133" t="str">
        <f t="shared" si="57"/>
        <v>OFF</v>
      </c>
      <c r="U166" s="133">
        <f t="shared" si="57"/>
        <v>8</v>
      </c>
      <c r="V166" s="133">
        <f t="shared" si="57"/>
        <v>8</v>
      </c>
      <c r="W166" s="133" t="str">
        <f t="shared" si="57"/>
        <v>OFF</v>
      </c>
      <c r="X166" s="133" t="str">
        <f t="shared" si="57"/>
        <v>OFF</v>
      </c>
      <c r="Y166" s="133" t="str">
        <f t="shared" si="57"/>
        <v>OFF</v>
      </c>
      <c r="Z166" s="133" t="str">
        <f t="shared" si="57"/>
        <v>OFF</v>
      </c>
      <c r="AA166" s="133" t="str">
        <f t="shared" si="57"/>
        <v>OFF</v>
      </c>
      <c r="AB166" s="133">
        <f t="shared" si="57"/>
        <v>8</v>
      </c>
      <c r="AC166" s="133">
        <f t="shared" si="57"/>
        <v>8</v>
      </c>
      <c r="AD166" s="133" t="str">
        <f t="shared" si="57"/>
        <v>OFF</v>
      </c>
      <c r="AE166" s="133" t="str">
        <f t="shared" si="57"/>
        <v>OFF</v>
      </c>
      <c r="AF166" s="133" t="str">
        <f t="shared" si="57"/>
        <v>OFF</v>
      </c>
      <c r="AG166" s="133" t="str">
        <f t="shared" si="57"/>
        <v>OFF</v>
      </c>
      <c r="AH166" s="133" t="str">
        <f t="shared" si="57"/>
        <v>OFF</v>
      </c>
      <c r="AI166" s="133">
        <f t="shared" si="57"/>
        <v>8</v>
      </c>
      <c r="AJ166" s="133">
        <f t="shared" si="57"/>
        <v>8</v>
      </c>
      <c r="AK166" s="133" t="str">
        <f t="shared" si="57"/>
        <v>OFF</v>
      </c>
      <c r="AL166" s="133">
        <f t="shared" si="57"/>
        <v>64</v>
      </c>
      <c r="AM166" s="133" t="str">
        <f t="shared" si="57"/>
        <v>OFF</v>
      </c>
      <c r="AN166" s="133" t="str">
        <f t="shared" si="57"/>
        <v>OFF</v>
      </c>
      <c r="AO166" s="133" t="str">
        <f t="shared" si="57"/>
        <v>OFF</v>
      </c>
      <c r="AP166" s="133" t="str">
        <f t="shared" si="57"/>
        <v>OFF</v>
      </c>
      <c r="AQ166" s="133" t="str">
        <f t="shared" si="57"/>
        <v>OFF</v>
      </c>
      <c r="AR166" s="133" t="str">
        <f t="shared" si="57"/>
        <v>OFF</v>
      </c>
      <c r="AS166" s="133">
        <f t="shared" si="57"/>
        <v>8</v>
      </c>
      <c r="AT166" s="133" t="str">
        <f t="shared" si="57"/>
        <v>OFF</v>
      </c>
      <c r="AU166" s="133" t="str">
        <f t="shared" si="57"/>
        <v>OFF</v>
      </c>
      <c r="AV166" s="133" t="str">
        <f t="shared" si="57"/>
        <v>OFF</v>
      </c>
      <c r="AW166" s="133" t="str">
        <f t="shared" si="57"/>
        <v>OFF</v>
      </c>
      <c r="AX166" s="133" t="str">
        <f t="shared" si="57"/>
        <v>OFF</v>
      </c>
      <c r="AY166" s="133">
        <f t="shared" si="57"/>
        <v>8</v>
      </c>
      <c r="AZ166" s="133">
        <f t="shared" si="57"/>
        <v>8</v>
      </c>
      <c r="BA166" s="133" t="str">
        <f t="shared" si="57"/>
        <v>OFF</v>
      </c>
      <c r="BB166" s="133" t="str">
        <f t="shared" si="57"/>
        <v>OFF</v>
      </c>
      <c r="BC166" s="133" t="str">
        <f t="shared" si="57"/>
        <v>OFF</v>
      </c>
      <c r="BD166" s="133" t="str">
        <f t="shared" si="57"/>
        <v>OFF</v>
      </c>
      <c r="BE166" s="133" t="str">
        <f t="shared" si="57"/>
        <v>OFF</v>
      </c>
      <c r="BF166" s="133">
        <f t="shared" si="57"/>
        <v>8</v>
      </c>
      <c r="BG166" s="133">
        <f t="shared" si="57"/>
        <v>8</v>
      </c>
      <c r="BH166" s="133" t="str">
        <f t="shared" si="57"/>
        <v>OFF</v>
      </c>
      <c r="BI166" s="133" t="str">
        <f t="shared" si="57"/>
        <v>OFF</v>
      </c>
      <c r="BJ166" s="133" t="str">
        <f t="shared" si="57"/>
        <v>OFF</v>
      </c>
      <c r="BK166" s="133" t="str">
        <f t="shared" si="57"/>
        <v>OFF</v>
      </c>
      <c r="BL166" s="133" t="str">
        <f t="shared" si="57"/>
        <v>OFF</v>
      </c>
      <c r="BM166" s="133">
        <f t="shared" si="57"/>
        <v>8</v>
      </c>
      <c r="BN166" s="133">
        <f t="shared" si="57"/>
        <v>8</v>
      </c>
      <c r="BO166" s="133" t="str">
        <f t="shared" si="57"/>
        <v>OFF</v>
      </c>
      <c r="BP166" s="133" t="str">
        <f t="shared" si="57"/>
        <v>OFF</v>
      </c>
      <c r="BQ166" s="133" t="str">
        <f t="shared" si="57"/>
        <v>OFF</v>
      </c>
      <c r="BR166" s="133">
        <f t="shared" si="57"/>
        <v>56</v>
      </c>
      <c r="BS166" s="219"/>
      <c r="BT166" s="133" t="str">
        <f t="shared" ref="BT166:CY166" si="58">IFERROR(IFS(ISNUMBER(BT$60),BT$60,ISNUMBER(BT$61),BT$61),"OFF")</f>
        <v>OFF</v>
      </c>
      <c r="BU166" s="133" t="str">
        <f t="shared" si="58"/>
        <v>OFF</v>
      </c>
      <c r="BV166" s="133">
        <f t="shared" si="58"/>
        <v>8</v>
      </c>
      <c r="BW166" s="133">
        <f t="shared" si="58"/>
        <v>8</v>
      </c>
      <c r="BX166" s="133" t="str">
        <f t="shared" si="58"/>
        <v>OFF</v>
      </c>
      <c r="BY166" s="133" t="str">
        <f t="shared" si="58"/>
        <v>OFF</v>
      </c>
      <c r="BZ166" s="133" t="str">
        <f t="shared" si="58"/>
        <v>OFF</v>
      </c>
      <c r="CA166" s="133" t="str">
        <f t="shared" si="58"/>
        <v>OFF</v>
      </c>
      <c r="CB166" s="133" t="str">
        <f t="shared" si="58"/>
        <v>OFF</v>
      </c>
      <c r="CC166" s="133">
        <f t="shared" si="58"/>
        <v>8</v>
      </c>
      <c r="CD166" s="133">
        <f t="shared" si="58"/>
        <v>8</v>
      </c>
      <c r="CE166" s="133" t="str">
        <f t="shared" si="58"/>
        <v>OFF</v>
      </c>
      <c r="CF166" s="133" t="str">
        <f t="shared" si="58"/>
        <v>OFF</v>
      </c>
      <c r="CG166" s="133" t="str">
        <f t="shared" si="58"/>
        <v>OFF</v>
      </c>
      <c r="CH166" s="133" t="str">
        <f t="shared" si="58"/>
        <v>OFF</v>
      </c>
      <c r="CI166" s="133" t="str">
        <f t="shared" si="58"/>
        <v>OFF</v>
      </c>
      <c r="CJ166" s="133">
        <f t="shared" si="58"/>
        <v>9</v>
      </c>
      <c r="CK166" s="133">
        <f t="shared" si="58"/>
        <v>9</v>
      </c>
      <c r="CL166" s="133" t="str">
        <f t="shared" si="58"/>
        <v>OFF</v>
      </c>
      <c r="CM166" s="133" t="str">
        <f t="shared" si="58"/>
        <v>OFF</v>
      </c>
      <c r="CN166" s="133" t="str">
        <f t="shared" si="58"/>
        <v>OFF</v>
      </c>
      <c r="CO166" s="133" t="str">
        <f t="shared" si="58"/>
        <v>OFF</v>
      </c>
      <c r="CP166" s="133" t="str">
        <f t="shared" si="58"/>
        <v>OFF</v>
      </c>
      <c r="CQ166" s="133">
        <f t="shared" si="58"/>
        <v>8</v>
      </c>
      <c r="CR166" s="133">
        <f t="shared" si="58"/>
        <v>8</v>
      </c>
      <c r="CS166" s="133" t="str">
        <f t="shared" si="58"/>
        <v>OFF</v>
      </c>
      <c r="CT166" s="133" t="str">
        <f t="shared" si="58"/>
        <v>OFF</v>
      </c>
      <c r="CU166" s="133" t="str">
        <f t="shared" si="58"/>
        <v>OFF</v>
      </c>
      <c r="CV166" s="133" t="str">
        <f t="shared" si="58"/>
        <v>OFF</v>
      </c>
      <c r="CW166" s="133" t="str">
        <f t="shared" si="58"/>
        <v>OFF</v>
      </c>
      <c r="CX166" s="133" t="str">
        <f t="shared" si="58"/>
        <v>OFF</v>
      </c>
      <c r="CY166" s="133">
        <f t="shared" si="58"/>
        <v>66</v>
      </c>
      <c r="CZ166" s="219"/>
      <c r="DA166" s="133" t="str">
        <f t="shared" ref="DA166:EE166" si="59">IFERROR(IFS(ISNUMBER(DA$60),DA$60,ISNUMBER(DA$61),DA$61),"OFF")</f>
        <v>OFF</v>
      </c>
      <c r="DB166" s="133" t="str">
        <f t="shared" si="59"/>
        <v>OFF</v>
      </c>
      <c r="DC166" s="133" t="str">
        <f t="shared" si="59"/>
        <v>OFF</v>
      </c>
      <c r="DD166" s="133" t="str">
        <f t="shared" si="59"/>
        <v>OFF</v>
      </c>
      <c r="DE166" s="133" t="str">
        <f t="shared" si="59"/>
        <v>OFF</v>
      </c>
      <c r="DF166" s="133" t="str">
        <f t="shared" si="59"/>
        <v>OFF</v>
      </c>
      <c r="DG166" s="133" t="str">
        <f t="shared" si="59"/>
        <v>OFF</v>
      </c>
      <c r="DH166" s="133" t="str">
        <f t="shared" si="59"/>
        <v>OFF</v>
      </c>
      <c r="DI166" s="133" t="str">
        <f t="shared" si="59"/>
        <v>OFF</v>
      </c>
      <c r="DJ166" s="133" t="str">
        <f t="shared" si="59"/>
        <v>OFF</v>
      </c>
      <c r="DK166" s="133" t="str">
        <f t="shared" si="59"/>
        <v>OFF</v>
      </c>
      <c r="DL166" s="133" t="str">
        <f t="shared" si="59"/>
        <v>OFF</v>
      </c>
      <c r="DM166" s="133" t="str">
        <f t="shared" si="59"/>
        <v>OFF</v>
      </c>
      <c r="DN166" s="133">
        <f t="shared" si="59"/>
        <v>8</v>
      </c>
      <c r="DO166" s="133">
        <f t="shared" si="59"/>
        <v>8</v>
      </c>
      <c r="DP166" s="133" t="str">
        <f t="shared" si="59"/>
        <v>OFF</v>
      </c>
      <c r="DQ166" s="133" t="str">
        <f t="shared" si="59"/>
        <v>OFF</v>
      </c>
      <c r="DR166" s="133" t="str">
        <f t="shared" si="59"/>
        <v>OFF</v>
      </c>
      <c r="DS166" s="133" t="str">
        <f t="shared" si="59"/>
        <v>OFF</v>
      </c>
      <c r="DT166" s="133" t="str">
        <f t="shared" si="59"/>
        <v>OFF</v>
      </c>
      <c r="DU166" s="133">
        <f t="shared" si="59"/>
        <v>8</v>
      </c>
      <c r="DV166" s="133">
        <f t="shared" si="59"/>
        <v>8</v>
      </c>
      <c r="DW166" s="133" t="str">
        <f t="shared" si="59"/>
        <v>OFF</v>
      </c>
      <c r="DX166" s="133" t="str">
        <f t="shared" si="59"/>
        <v>OFF</v>
      </c>
      <c r="DY166" s="133" t="str">
        <f t="shared" si="59"/>
        <v>OFF</v>
      </c>
      <c r="DZ166" s="133" t="str">
        <f t="shared" si="59"/>
        <v>OFF</v>
      </c>
      <c r="EA166" s="133" t="str">
        <f t="shared" si="59"/>
        <v>OFF</v>
      </c>
      <c r="EB166" s="133">
        <f t="shared" si="59"/>
        <v>8</v>
      </c>
      <c r="EC166" s="133">
        <f t="shared" si="59"/>
        <v>8</v>
      </c>
      <c r="ED166" s="133" t="str">
        <f t="shared" si="59"/>
        <v>OFF</v>
      </c>
      <c r="EE166" s="133" t="str">
        <f t="shared" si="59"/>
        <v>OFF</v>
      </c>
      <c r="EF166" s="113">
        <f>sum(DA166:EE166)</f>
        <v>48</v>
      </c>
      <c r="EG166" s="133"/>
      <c r="EH166" s="133"/>
      <c r="EI166" s="133"/>
      <c r="EJ166" s="133"/>
      <c r="EK166" s="133"/>
      <c r="EL166" s="133"/>
      <c r="EM166" s="133"/>
      <c r="EN166" s="133"/>
      <c r="EO166" s="133"/>
      <c r="EP166" s="133"/>
      <c r="EQ166" s="133"/>
      <c r="ER166" s="133"/>
      <c r="ES166" s="133"/>
      <c r="ET166" s="133"/>
      <c r="EU166" s="133"/>
      <c r="EV166" s="133"/>
      <c r="EW166" s="133"/>
      <c r="EX166" s="133"/>
      <c r="EY166" s="133"/>
      <c r="EZ166" s="133"/>
      <c r="FA166" s="133"/>
      <c r="FB166" s="133"/>
      <c r="FC166" s="133"/>
      <c r="FD166" s="133"/>
      <c r="FE166" s="133"/>
      <c r="FF166" s="133"/>
      <c r="FG166" s="133"/>
      <c r="FH166" s="133"/>
      <c r="FI166" s="133"/>
      <c r="FJ166" s="133"/>
      <c r="FK166" s="133"/>
      <c r="FL166" s="133"/>
      <c r="FM166" s="133"/>
      <c r="FN166" s="133"/>
      <c r="FO166" s="133"/>
      <c r="FP166" s="133"/>
      <c r="FQ166" s="133"/>
      <c r="FR166" s="133"/>
      <c r="FS166" s="133"/>
      <c r="FT166" s="133"/>
      <c r="FU166" s="133"/>
      <c r="FV166" s="133"/>
      <c r="FW166" s="133"/>
      <c r="FX166" s="133"/>
      <c r="FY166" s="133"/>
      <c r="FZ166" s="133"/>
      <c r="GA166" s="133"/>
      <c r="GB166" s="133"/>
      <c r="GC166" s="133"/>
      <c r="GD166" s="133"/>
      <c r="GE166" s="133"/>
      <c r="GF166" s="133"/>
      <c r="GG166" s="133"/>
      <c r="GH166" s="133"/>
      <c r="GI166" s="133"/>
      <c r="GJ166" s="133"/>
      <c r="GK166" s="133"/>
      <c r="GL166" s="133"/>
      <c r="GM166" s="133"/>
      <c r="GN166" s="133"/>
      <c r="GO166" s="133"/>
      <c r="GP166" s="133"/>
      <c r="GQ166" s="133"/>
      <c r="GR166" s="133"/>
      <c r="GS166" s="133"/>
      <c r="GT166" s="133"/>
      <c r="GU166" s="133"/>
      <c r="GV166" s="133"/>
      <c r="GW166" s="133"/>
      <c r="GX166" s="133"/>
      <c r="GY166" s="133"/>
      <c r="GZ166" s="133"/>
      <c r="HA166" s="133"/>
      <c r="HB166" s="133"/>
      <c r="HC166" s="133"/>
      <c r="HD166" s="133"/>
      <c r="HE166" s="133"/>
    </row>
  </sheetData>
  <customSheetViews>
    <customSheetView guid="{3227E687-00D1-4680-BB98-D28CD0735E57}" filter="1" showAutoFilter="1">
      <autoFilter ref="$A$103:$DY$115"/>
    </customSheetView>
    <customSheetView guid="{85F502BC-50AD-48AC-B58A-B38B14C31435}" filter="1" showAutoFilter="1">
      <autoFilter ref="$A$1:$HE$166">
        <filterColumn colId="1">
          <filters>
            <filter val="FR"/>
            <filter val="TL"/>
            <filter val="TN"/>
            <filter val="EN/PT"/>
            <filter val="SN"/>
          </filters>
        </filterColumn>
      </autoFilter>
    </customSheetView>
    <customSheetView guid="{97D0CE9B-7D35-438C-AD60-BB26A3ED4939}" filter="1" showAutoFilter="1">
      <autoFilter ref="$A$2:$GU$92">
        <filterColumn colId="3">
          <filters>
            <filter val="WE"/>
          </filters>
        </filterColumn>
        <sortState ref="A2:GU92">
          <sortCondition ref="BT2:BT92"/>
          <sortCondition ref="E2:E92"/>
          <sortCondition ref="B2:B92"/>
          <sortCondition ref="F2:F92"/>
          <sortCondition ref="D2:D92"/>
          <sortCondition ref="A2:A92"/>
          <sortCondition ref="AN2:AN92"/>
          <sortCondition ref="C2:C92"/>
        </sortState>
      </autoFilter>
    </customSheetView>
    <customSheetView guid="{C0C25217-3A55-4FA4-824D-5368EF46BFDA}" filter="1" showAutoFilter="1">
      <autoFilter ref="$AP$1:$AP$166">
        <filterColumn colId="0">
          <filters>
            <filter val="8"/>
            <filter val="ABSENT"/>
          </filters>
        </filterColumn>
      </autoFilter>
    </customSheetView>
    <customSheetView guid="{8A63CFD9-8472-443D-89C8-1D8D95A3F157}" filter="1" showAutoFilter="1">
      <autoFilter ref="$A$1:$BR$119">
        <filterColumn colId="2">
          <filters>
            <filter val="RA+VM"/>
            <filter val="GM"/>
            <filter val="AS+YS"/>
            <filter val="AM"/>
          </filters>
        </filterColumn>
      </autoFilter>
    </customSheetView>
    <customSheetView guid="{5F8E9797-B807-461E-BAFE-DE965A57F0D5}" filter="1" showAutoFilter="1">
      <autoFilter ref="$A$1:$FK$166">
        <filterColumn colId="3">
          <filters>
            <filter val="WD"/>
          </filters>
        </filterColumn>
      </autoFilter>
    </customSheetView>
    <customSheetView guid="{E505A9E2-A2E4-4BBF-BC36-354BCBF0F395}" filter="1" showAutoFilter="1">
      <autoFilter ref="$A$1:$AA$166">
        <filterColumn colId="1">
          <filters>
            <filter val="TL"/>
            <filter val="TN"/>
            <filter val="EN/PT"/>
            <filter val="SN"/>
            <filter val="TR"/>
          </filters>
        </filterColumn>
        <sortState ref="A1:AA166">
          <sortCondition ref="A1:A166"/>
        </sortState>
      </autoFilter>
    </customSheetView>
    <customSheetView guid="{9D5EC46A-A72B-423C-A54A-246C2F0D3121}" filter="1" showAutoFilter="1">
      <autoFilter ref="$A$1:$AL$81">
        <filterColumn colId="1">
          <filters>
            <filter val="DE"/>
            <filter val="TH"/>
            <filter val="TL"/>
            <filter val="TN"/>
            <filter val="SN"/>
          </filters>
        </filterColumn>
      </autoFilter>
    </customSheetView>
    <customSheetView guid="{7B299FF0-7444-4CE2-932A-5A8A8ACA1F1E}" filter="1" showAutoFilter="1">
      <autoFilter ref="$A$1:$GU$115">
        <filterColumn colId="4">
          <filters>
            <filter val="12:00-21:00"/>
            <filter val="01:00-08:00"/>
            <filter val="21:00-06:00"/>
            <filter val="TIME (UTC+0)"/>
            <filter val="15:00-00:00"/>
            <filter val="07:00-16:00"/>
            <filter val="00:00-09:00"/>
          </filters>
        </filterColumn>
        <filterColumn colId="2">
          <filters blank="1">
            <filter val="GM"/>
            <filter val="AM"/>
            <filter val="NM"/>
          </filters>
        </filterColumn>
        <sortState ref="A1:GU115">
          <sortCondition ref="C1:C115"/>
          <sortCondition ref="D1:D115"/>
          <sortCondition ref="E1:E115"/>
          <sortCondition descending="1" ref="F1:F115"/>
          <sortCondition ref="AL1:AL115"/>
          <sortCondition ref="G1:G115"/>
        </sortState>
      </autoFilter>
    </customSheetView>
    <customSheetView guid="{87289A4D-27DF-44CD-8232-011B043D5BD5}" filter="1" showAutoFilter="1">
      <autoFilter ref="$A$1:$GU$166">
        <filterColumn colId="2">
          <filters>
            <filter val="RA+VM"/>
            <filter val="GM"/>
            <filter val="GM+FL"/>
            <filter val="ZR"/>
            <filter val="AS+YS"/>
            <filter val="AM"/>
            <filter val="VIP"/>
          </filters>
        </filterColumn>
        <filterColumn colId="4">
          <filters blank="1">
            <filter val="09:00-18:00"/>
            <filter val="12:00-21:00"/>
            <filter val="01:00-08:00"/>
            <filter val="21:00-06:00"/>
            <filter val="TIME (UTC+0)"/>
            <filter val="16:00-1:00"/>
            <filter val="15:00-00:00"/>
            <filter val="00:00-09:00"/>
            <filter val="23:00-8:00"/>
            <filter val="08:00-17:00"/>
            <filter val="07:00-16:00"/>
          </filters>
        </filterColumn>
      </autoFilter>
    </customSheetView>
    <customSheetView guid="{C389EE20-8E82-4662-8B19-E8758718C7B4}" filter="1" showAutoFilter="1">
      <autoFilter ref="$A$1:$GU$166">
        <filterColumn colId="2">
          <filters>
            <filter val="RA+VM"/>
            <filter val="GM"/>
            <filter val="GM+FL"/>
            <filter val="AS+YS"/>
            <filter val="AM"/>
            <filter val="VIP"/>
          </filters>
        </filterColumn>
      </autoFilter>
    </customSheetView>
    <customSheetView guid="{09F4CCC2-264A-4343-AECF-D89509AFBF8E}" filter="1" showAutoFilter="1">
      <autoFilter ref="$A$1:$GU$166">
        <filterColumn colId="2">
          <filters>
            <filter val="RA+VM"/>
            <filter val="GM"/>
            <filter val="GM+FL"/>
            <filter val="AS+YS"/>
            <filter val="AM"/>
            <filter val="VIP"/>
          </filters>
        </filterColumn>
        <sortState ref="A1:GU166">
          <sortCondition ref="AZ1:AZ166"/>
        </sortState>
      </autoFilter>
    </customSheetView>
    <customSheetView guid="{A42DDBA2-C75A-4CEA-B4C6-92FEDEB819E2}" filter="1" showAutoFilter="1">
      <autoFilter ref="$A$2:$GU$166">
        <filterColumn colId="0">
          <filters>
            <filter val="José Agustín Torti Candellero"/>
            <filter val="Jesus Antonio Mejia Vasquez"/>
            <filter val="Larissa Rodrigues"/>
            <filter val="Guilherme Eduardo Atalla"/>
            <filter val="Hamza Benchreik"/>
            <filter val="Karl Matthew Domingo Torres"/>
            <filter val="Mohamed Amine Boudguig"/>
            <filter val="Milos Martinovic"/>
            <filter val="Kapil Chawala"/>
            <filter val="Mohammed Bourassi"/>
            <filter val="João Guilherme Albuquerque Studart"/>
            <filter val="Ksenia Lukyanova"/>
            <filter val="Clark Jesse Falv Olayvar"/>
            <filter val="Nikita Denisjuks"/>
            <filter val="Braulio de Araujo Braga"/>
            <filter val="Arthur Tellechea Inda de Almeida"/>
            <filter val="Sukum Naralertsukumpong"/>
            <filter val="Bruno Allaria"/>
            <filter val="Esther Elaweremi"/>
            <filter val="Katherine Joy Veneracion"/>
            <filter val="Allan Zambrano"/>
            <filter val="Daniel Kovacs"/>
          </filters>
        </filterColumn>
      </autoFilter>
    </customSheetView>
    <customSheetView guid="{2E2E6F55-0CBD-41CD-BD12-009ABD1AEE0A}" filter="1" showAutoFilter="1">
      <autoFilter ref="$C$1:$C$73">
        <filterColumn colId="0">
          <filters>
            <filter val="JM"/>
            <filter val="FL"/>
          </filters>
        </filterColumn>
      </autoFilter>
    </customSheetView>
    <customSheetView guid="{76297575-36B1-47C1-9DF8-A62675C08347}" filter="1" showAutoFilter="1">
      <autoFilter ref="$A$1:$CT$118">
        <filterColumn colId="77">
          <filters>
            <filter val="8"/>
            <filter val="9"/>
          </filters>
        </filterColumn>
      </autoFilter>
    </customSheetView>
    <customSheetView guid="{62E6931F-4FA5-40DF-AE5B-6B97368BC8D5}" filter="1" showAutoFilter="1">
      <autoFilter ref="$A$1:$GU$84">
        <filterColumn colId="2">
          <filters>
            <filter val="RA+VM"/>
            <filter val="GM"/>
            <filter val="Daguai Master"/>
          </filters>
        </filterColumn>
      </autoFilter>
    </customSheetView>
    <customSheetView guid="{4D3C7CA0-ACCC-4F50-A3C6-515B47606797}" filter="1" showAutoFilter="1">
      <autoFilter ref="$A$1:$EF$166">
        <filterColumn colId="4">
          <filters>
            <filter val="21:00-06:00"/>
            <filter val="16:00-1:00"/>
            <filter val="16:00-01:00"/>
            <filter val="23:00-8:00"/>
          </filters>
        </filterColumn>
      </autoFilter>
    </customSheetView>
    <customSheetView guid="{E307F958-B96E-427E-91FC-9DA8312A8036}" filter="1" showAutoFilter="1">
      <autoFilter ref="$A$1:$AL$79">
        <filterColumn colId="4">
          <filters>
            <filter val="21:00-06:00"/>
            <filter val="16:00-01:00"/>
          </filters>
        </filterColumn>
        <sortState ref="A1:AL79">
          <sortCondition ref="E1:E79"/>
        </sortState>
      </autoFilter>
    </customSheetView>
    <customSheetView guid="{A062D162-C765-483D-B36C-47BDCBCE65F9}" filter="1" showAutoFilter="1">
      <autoFilter ref="$A$1:$BR$104">
        <filterColumn colId="1">
          <filters>
            <filter val="ES"/>
            <filter val="TL"/>
            <filter val="TN"/>
            <filter val="SN"/>
          </filters>
        </filterColumn>
      </autoFilter>
    </customSheetView>
    <customSheetView guid="{CE804A60-D1A4-4032-A892-2ECEEE991671}" filter="1" showAutoFilter="1">
      <autoFilter ref="$A$1:$BR$104">
        <filterColumn colId="1">
          <filters>
            <filter val="RU"/>
            <filter val="TL"/>
            <filter val="TN"/>
            <filter val="SN"/>
          </filters>
        </filterColumn>
      </autoFilter>
    </customSheetView>
    <customSheetView guid="{BF1B4EC2-E87A-4F68-8B0B-FB5DEA645D9F}" filter="1" showAutoFilter="1">
      <autoFilter ref="$A$1:$BR$104">
        <filterColumn colId="0">
          <filters blank="1">
            <filter val="Rodrigo Soares Silva"/>
          </filters>
        </filterColumn>
      </autoFilter>
    </customSheetView>
    <customSheetView guid="{702AF96C-A58A-4823-8302-6EBB8A6F9430}" filter="1" showAutoFilter="1">
      <autoFilter ref="$A$1:$EE$166">
        <filterColumn colId="2">
          <filters>
            <filter val="FL"/>
            <filter val="AS+YS"/>
            <filter val="AM"/>
          </filters>
        </filterColumn>
        <sortState ref="A1:EE166">
          <sortCondition ref="D1:D166"/>
          <sortCondition ref="DM1:DM166"/>
        </sortState>
      </autoFilter>
    </customSheetView>
    <customSheetView guid="{D1053DAF-7F00-4A15-9978-E608AC50E893}" filter="1" showAutoFilter="1">
      <autoFilter ref="$A$1:$BR$106">
        <filterColumn colId="1">
          <filters>
            <filter val="TL"/>
            <filter val="TN"/>
            <filter val="ID"/>
            <filter val="SN"/>
          </filters>
        </filterColumn>
      </autoFilter>
    </customSheetView>
    <customSheetView guid="{3463F88F-6DEF-46B8-AEB1-A0C801CCC64F}" filter="1" showAutoFilter="1">
      <autoFilter ref="$B$1:$B$166">
        <filterColumn colId="0">
          <filters>
            <filter val="AR"/>
            <filter val="TL"/>
            <filter val="TN"/>
            <filter val="EN/PT"/>
            <filter val="SN"/>
          </filters>
        </filterColumn>
      </autoFilter>
    </customSheetView>
    <customSheetView guid="{97EA795C-36CF-404C-B7FF-A6EF887EED64}" filter="1" showAutoFilter="1">
      <autoFilter ref="$B$1:$B$166">
        <filterColumn colId="0">
          <filters>
            <filter val="DE"/>
            <filter val="EN/PT"/>
          </filters>
        </filterColumn>
      </autoFilter>
    </customSheetView>
  </customSheetViews>
  <conditionalFormatting sqref="F1:F162 F164:F166">
    <cfRule type="cellIs" dxfId="0" priority="1" operator="lessThan">
      <formula>0</formula>
    </cfRule>
  </conditionalFormatting>
  <conditionalFormatting sqref="A1:A80 B1:HE166 A82:A97 A99:A105 A107:A109 A112 A115:A166">
    <cfRule type="containsText" dxfId="1" priority="2" operator="containsText" text="OFF">
      <formula>NOT(ISERROR(SEARCH(("OFF"),(A1))))</formula>
    </cfRule>
  </conditionalFormatting>
  <conditionalFormatting sqref="A1:A80 B1:HE166 A82:A97 A99:A105 A107:A109 A112 A115:A166">
    <cfRule type="containsText" dxfId="0" priority="3" operator="containsText" text="absent">
      <formula>NOT(ISERROR(SEARCH(("absent"),(A1))))</formula>
    </cfRule>
  </conditionalFormatting>
  <conditionalFormatting sqref="A1:F1 G1:HE166">
    <cfRule type="containsBlanks" dxfId="2" priority="4">
      <formula>LEN(TRIM(A1))=0</formula>
    </cfRule>
  </conditionalFormatting>
  <dataValidations>
    <dataValidation type="list" allowBlank="1" showErrorMessage="1" sqref="E3:E162 E164:E166">
      <formula1>DATA!$E$49:$E$53</formula1>
    </dataValidation>
    <dataValidation type="list" allowBlank="1" showErrorMessage="1" sqref="D3:D162 D164:D166">
      <formula1>"WE+WD,WD,WE"</formula1>
    </dataValidation>
    <dataValidation type="list" allowBlank="1" sqref="DB3:EE4 DA5:EE6 DB8:EE31 DA32:EE33 DB34:EE59 DA60:EE61 DB62:EE68 DA69:EE69 DB70:EE80 EH3:FK80 DA81:EE81 EG81:FK81 DB82:EE88 DA89:EE90 DB91:EE91 DA92:EE93 DB94:EE96 DA97:EE97 DB98:EE98 DA99:EE99 DB100:EE104 DA105:EE111 DB112:EE124 AN3:BQ125 DA125:EE125 AN126 AR126:AS126 AU126 AW126:BQ126 DB126:EE141 DA142:EE142 DB143:EE149 DA150:EE150 DB151:EE160 G3:AK163 AN127:BQ163 BT3:CX163 DA161:EE163 EH82:FK163 FN3:GR163 GU3:HE163 DA164:HE165 G164:BR166 BT164:CY166 DA166:EE166 EG166:HE166">
      <formula1>DATA!$A$58:$A$68</formula1>
    </dataValidation>
  </dataValidations>
  <drawing r:id="rId2"/>
  <legacyDrawing r:id="rId3"/>
  <tableParts count="1">
    <tablePart r:id="rId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0.14"/>
  </cols>
  <sheetData>
    <row r="1">
      <c r="A1" s="229" t="s">
        <v>373</v>
      </c>
      <c r="B1" s="1" t="s">
        <v>374</v>
      </c>
    </row>
    <row r="2">
      <c r="A2" s="127" t="s">
        <v>375</v>
      </c>
      <c r="B2" s="127"/>
      <c r="C2" s="127" t="str">
        <f>IFERROR(__xludf.DUMMYFUNCTION("unique(A2:A1000)"),"adam.ellison@mogi-group.com")</f>
        <v>adam.ellison@mogi-group.com</v>
      </c>
      <c r="D2" s="127" t="str">
        <f>IFERROR(__xludf.DUMMYFUNCTION("filter(C2:C1000,C2:C1000&gt;"""")"),"adam.ellison@mogi-group.com")</f>
        <v>adam.ellison@mogi-group.com</v>
      </c>
      <c r="E2" s="127" t="str">
        <f>join(",",D2:D113)</f>
        <v>adam.ellison@mogi-group.com,alexander.sidki@mogi-group.com,alexander.myaldzin@mogi-group.com,alexander.snetkov@mogi-group.com,amanda.philot-trotta@mogi-group.com,Amin-Adjarain.Majindi@mogi-group.com,anatolii.draliuk@mogi-group.com,angelo.tabada@mogi-group.com,bruno.toledo@mogi-group.com,bruno.goncales@mogi-group.com,burak.emlik@mogi-group.com,ceyhun.cengiz@mogi-group.com,chaimaa.elaimeur@mogi-group.com,christian.ries@mogi-group.com,coline-ysabel.tan@mogi-group.com,dani.taylor@mogi-group.com,daniel.kovacs@mogi-group.com,diana.dobrovolskaja@mogi-group.com,dmitry.patrushev@mogi-group.com,ariel.acosta@mogi-group.com,eddi.dostatni@mogi-group.com,eliana.galanda@mogi-group.com,eliezer.pena@mogi-group.com,elif.emir@mogi-group.com,emanuel.koydl@mogi-group.com,endrio.lima@mogi-group.com,enrico.fasani@mogi-group.com,ernesto.zapanta@mogi-group.com,eugene.ovcharov@mogi-group.com,Facundo.lasarte@mogi-group.com,gabriel.zambrano@mogi-group.com,gabriela.mello@mogi-group.com,gernot.orgler@mogi-group.com,guilherme.atalla@mogi-group.com,guilherme.perottoni@mogi-group.com,guilherme.torres@mogi-group.com,gustavo.albano@mogi-group.com,hanne.barkerud@mogi-group.com,hans.co@mogi-group.com,joao.studart@mogi-group.com,john.campos@mogi-group.com,jorge.almeida@mogi-group.com,jose.mass@mogi-group.com,jose-luis.alon@mogi-group.com,jose-mari.kanazawa@mogi-group.com,joshua.clarke@mogi-group.com,juan.verrone@mogi-group.com,julian.soler@mogi-group.com,kamil.pabin@mogi-group.com,karl.torres@mogi-group.com,katherine.keen@mogi-group.com,kevin.eikmeier@mogi-group.com,kokoh.murti@mogi-group.com,ladina.majindi@mogi-group.com,lidia.aguiar-bezerra@mogi-group.com,lorenzo.vergel@mogi-group.com,lucas.carvalho@mogi-group.com,marcus.kiefer@mogi-group.com,maria.hattler@mogi-group.com,mateus.cavalheiro-de-sousa@mogi-group.com,matheus.cortez@mogi-group.com,mathilde.cantagrel@mogi-group.com,gerard.smyth@mogi-group.com,mohamed.zidan@mogi-group.com,nanthicha.meksuwan@mogi-group.com,nicha.mahakanchanakul@mogi-group.com,alfonso.zendejas-nevarez@mogi-group.com,othmane.abidar@mogi-group.com,oussama.el-hoz@mogi-group.com,pacome.kemkeu@mogi-group.com,paulo.ximenes@mogi-group.com,rabia.turten@mogi-group.com,rachelle-anne.manalo@mogi-group.com,raffael.azevedo-andrade@mogi-group.com,ralph.cruz@mogi-group.com,ramilia.nurutdinova@mogi-group.com,ramon.roberto@mogi-group.com,Rebeca.de-cerqueira-mateus@mogi-group.com,ricardo.flores@mogi-group.com,rodrigo.soares-silva@mogi-group.com,sascha.miller@mogi-group.com,sebastian.hadjidimitris@mogi-group.com,stefan.schroeder@mogi-group.com,stefan.djokic@mogi-group.com,tatiana.kummer@mogi-group.com,tayllor.masi@mogi-group.com,thercio.brandao@mogi-group.com,thiago.martins@mogi-group.com,timothy.naldo@mogi-group.com,tomas.mendez@mogi-group.com,valentin.cieur@mogi-group.com,valentin.covilar@mogi-group.com,vicky.wu@mogi-group.com,vivianne.de-lima-mendonca@mogi-group.com,vladimir.dolgov@mogi-group.com,wissal.dahir@mogi-group.com,xiogenys.pineda@mogi-group.com,yonatan.suhardi@mogi-group.com,yury.esin@mogi-group.com,zamzami.syadza@mogi-group.com,zayad.ayassi@mogi-group.com,zeljko.randic@mogi-group.com,zul-emyr.pinera@mogi-group.com,paultre-stuart.beaucejour@mogi-group.com,nicho.ferrero@mogi-group.com,kaelen.bandao@mogi-group.com,katherine.veneracion@mogi-group.com,rachel.cruz@mogi-group.com,rafael.palmieri@mogi-group.com,farouk.saboula@mogi-group.com,jose.candellero@mogi-group.com,hamza.benchreik@mogi-group.com</v>
      </c>
    </row>
    <row r="3">
      <c r="A3" s="230"/>
      <c r="B3" s="230" t="s">
        <v>376</v>
      </c>
      <c r="C3" s="103"/>
      <c r="D3" s="103" t="str">
        <f>IFERROR(__xludf.DUMMYFUNCTION("""COMPUTED_VALUE"""),"alexander.sidki@mogi-group.com")</f>
        <v>alexander.sidki@mogi-group.com</v>
      </c>
      <c r="E3" s="103"/>
    </row>
    <row r="4">
      <c r="A4" s="230"/>
      <c r="B4" s="230" t="s">
        <v>376</v>
      </c>
      <c r="C4" s="103" t="str">
        <f>IFERROR(__xludf.DUMMYFUNCTION("""COMPUTED_VALUE"""),"alexander.sidki@mogi-group.com")</f>
        <v>alexander.sidki@mogi-group.com</v>
      </c>
      <c r="D4" s="103" t="str">
        <f>IFERROR(__xludf.DUMMYFUNCTION("""COMPUTED_VALUE"""),"alexander.myaldzin@mogi-group.com")</f>
        <v>alexander.myaldzin@mogi-group.com</v>
      </c>
      <c r="E4" s="103"/>
    </row>
    <row r="5">
      <c r="A5" s="231" t="s">
        <v>377</v>
      </c>
      <c r="B5" s="103"/>
      <c r="C5" s="103" t="str">
        <f>IFERROR(__xludf.DUMMYFUNCTION("""COMPUTED_VALUE"""),"alexander.myaldzin@mogi-group.com")</f>
        <v>alexander.myaldzin@mogi-group.com</v>
      </c>
      <c r="D5" s="103" t="str">
        <f>IFERROR(__xludf.DUMMYFUNCTION("""COMPUTED_VALUE"""),"alexander.snetkov@mogi-group.com")</f>
        <v>alexander.snetkov@mogi-group.com</v>
      </c>
      <c r="E5" s="103"/>
    </row>
    <row r="6">
      <c r="A6" s="231" t="s">
        <v>378</v>
      </c>
      <c r="B6" s="103"/>
      <c r="C6" s="103" t="str">
        <f>IFERROR(__xludf.DUMMYFUNCTION("""COMPUTED_VALUE"""),"alexander.snetkov@mogi-group.com")</f>
        <v>alexander.snetkov@mogi-group.com</v>
      </c>
      <c r="D6" s="103" t="str">
        <f>IFERROR(__xludf.DUMMYFUNCTION("""COMPUTED_VALUE"""),"amanda.philot-trotta@mogi-group.com")</f>
        <v>amanda.philot-trotta@mogi-group.com</v>
      </c>
      <c r="E6" s="103"/>
    </row>
    <row r="7">
      <c r="A7" s="231" t="s">
        <v>379</v>
      </c>
      <c r="B7" s="103"/>
      <c r="C7" s="103" t="str">
        <f>IFERROR(__xludf.DUMMYFUNCTION("""COMPUTED_VALUE"""),"amanda.philot-trotta@mogi-group.com")</f>
        <v>amanda.philot-trotta@mogi-group.com</v>
      </c>
      <c r="D7" s="103" t="str">
        <f>IFERROR(__xludf.DUMMYFUNCTION("""COMPUTED_VALUE"""),"Amin-Adjarain.Majindi@mogi-group.com")</f>
        <v>Amin-Adjarain.Majindi@mogi-group.com</v>
      </c>
      <c r="E7" s="103"/>
    </row>
    <row r="8">
      <c r="A8" s="232"/>
      <c r="B8" s="230" t="s">
        <v>376</v>
      </c>
      <c r="C8" s="103" t="str">
        <f>IFERROR(__xludf.DUMMYFUNCTION("""COMPUTED_VALUE"""),"Amin-Adjarain.Majindi@mogi-group.com")</f>
        <v>Amin-Adjarain.Majindi@mogi-group.com</v>
      </c>
      <c r="D8" s="103" t="str">
        <f>IFERROR(__xludf.DUMMYFUNCTION("""COMPUTED_VALUE"""),"anatolii.draliuk@mogi-group.com")</f>
        <v>anatolii.draliuk@mogi-group.com</v>
      </c>
      <c r="E8" s="103"/>
    </row>
    <row r="9">
      <c r="A9" s="231" t="s">
        <v>380</v>
      </c>
      <c r="B9" s="103"/>
      <c r="C9" s="103" t="str">
        <f>IFERROR(__xludf.DUMMYFUNCTION("""COMPUTED_VALUE"""),"anatolii.draliuk@mogi-group.com")</f>
        <v>anatolii.draliuk@mogi-group.com</v>
      </c>
      <c r="D9" s="103" t="str">
        <f>IFERROR(__xludf.DUMMYFUNCTION("""COMPUTED_VALUE"""),"angelo.tabada@mogi-group.com")</f>
        <v>angelo.tabada@mogi-group.com</v>
      </c>
      <c r="E9" s="103"/>
    </row>
    <row r="10">
      <c r="A10" s="231" t="s">
        <v>381</v>
      </c>
      <c r="B10" s="103"/>
      <c r="C10" s="103" t="str">
        <f>IFERROR(__xludf.DUMMYFUNCTION("""COMPUTED_VALUE"""),"angelo.tabada@mogi-group.com")</f>
        <v>angelo.tabada@mogi-group.com</v>
      </c>
      <c r="D10" s="103" t="str">
        <f>IFERROR(__xludf.DUMMYFUNCTION("""COMPUTED_VALUE"""),"bruno.toledo@mogi-group.com")</f>
        <v>bruno.toledo@mogi-group.com</v>
      </c>
      <c r="E10" s="103"/>
    </row>
    <row r="11">
      <c r="A11" s="1" t="s">
        <v>382</v>
      </c>
      <c r="B11" s="233"/>
      <c r="C11" s="233" t="str">
        <f>IFERROR(__xludf.DUMMYFUNCTION("""COMPUTED_VALUE"""),"bruno.toledo@mogi-group.com")</f>
        <v>bruno.toledo@mogi-group.com</v>
      </c>
      <c r="D11" s="233" t="str">
        <f>IFERROR(__xludf.DUMMYFUNCTION("""COMPUTED_VALUE"""),"bruno.goncales@mogi-group.com")</f>
        <v>bruno.goncales@mogi-group.com</v>
      </c>
      <c r="E11" s="233"/>
    </row>
    <row r="12">
      <c r="A12" s="230"/>
      <c r="B12" s="230" t="s">
        <v>376</v>
      </c>
      <c r="C12" s="103" t="str">
        <f>IFERROR(__xludf.DUMMYFUNCTION("""COMPUTED_VALUE"""),"bruno.goncales@mogi-group.com")</f>
        <v>bruno.goncales@mogi-group.com</v>
      </c>
      <c r="D12" s="103" t="str">
        <f>IFERROR(__xludf.DUMMYFUNCTION("""COMPUTED_VALUE"""),"burak.emlik@mogi-group.com")</f>
        <v>burak.emlik@mogi-group.com</v>
      </c>
      <c r="E12" s="103"/>
    </row>
    <row r="13">
      <c r="A13" s="231" t="s">
        <v>383</v>
      </c>
      <c r="B13" s="103"/>
      <c r="C13" s="103" t="str">
        <f>IFERROR(__xludf.DUMMYFUNCTION("""COMPUTED_VALUE"""),"burak.emlik@mogi-group.com")</f>
        <v>burak.emlik@mogi-group.com</v>
      </c>
      <c r="D13" s="103" t="str">
        <f>IFERROR(__xludf.DUMMYFUNCTION("""COMPUTED_VALUE"""),"ceyhun.cengiz@mogi-group.com")</f>
        <v>ceyhun.cengiz@mogi-group.com</v>
      </c>
      <c r="E13" s="103"/>
    </row>
    <row r="14">
      <c r="A14" s="230"/>
      <c r="B14" s="230" t="s">
        <v>376</v>
      </c>
      <c r="C14" s="103" t="str">
        <f>IFERROR(__xludf.DUMMYFUNCTION("""COMPUTED_VALUE"""),"ceyhun.cengiz@mogi-group.com")</f>
        <v>ceyhun.cengiz@mogi-group.com</v>
      </c>
      <c r="D14" s="103" t="str">
        <f>IFERROR(__xludf.DUMMYFUNCTION("""COMPUTED_VALUE"""),"chaimaa.elaimeur@mogi-group.com")</f>
        <v>chaimaa.elaimeur@mogi-group.com</v>
      </c>
      <c r="E14" s="103"/>
    </row>
    <row r="15">
      <c r="A15" s="231" t="s">
        <v>384</v>
      </c>
      <c r="B15" s="103"/>
      <c r="C15" s="103" t="str">
        <f>IFERROR(__xludf.DUMMYFUNCTION("""COMPUTED_VALUE"""),"chaimaa.elaimeur@mogi-group.com")</f>
        <v>chaimaa.elaimeur@mogi-group.com</v>
      </c>
      <c r="D15" s="103" t="str">
        <f>IFERROR(__xludf.DUMMYFUNCTION("""COMPUTED_VALUE"""),"christian.ries@mogi-group.com")</f>
        <v>christian.ries@mogi-group.com</v>
      </c>
      <c r="E15" s="103"/>
    </row>
    <row r="16">
      <c r="A16" s="231" t="s">
        <v>385</v>
      </c>
      <c r="B16" s="103"/>
      <c r="C16" s="103" t="str">
        <f>IFERROR(__xludf.DUMMYFUNCTION("""COMPUTED_VALUE"""),"christian.ries@mogi-group.com")</f>
        <v>christian.ries@mogi-group.com</v>
      </c>
      <c r="D16" s="103" t="str">
        <f>IFERROR(__xludf.DUMMYFUNCTION("""COMPUTED_VALUE"""),"coline-ysabel.tan@mogi-group.com")</f>
        <v>coline-ysabel.tan@mogi-group.com</v>
      </c>
      <c r="E16" s="103"/>
    </row>
    <row r="17">
      <c r="A17" s="230"/>
      <c r="B17" s="230" t="s">
        <v>376</v>
      </c>
      <c r="C17" s="103" t="str">
        <f>IFERROR(__xludf.DUMMYFUNCTION("""COMPUTED_VALUE"""),"coline-ysabel.tan@mogi-group.com")</f>
        <v>coline-ysabel.tan@mogi-group.com</v>
      </c>
      <c r="D17" s="103" t="str">
        <f>IFERROR(__xludf.DUMMYFUNCTION("""COMPUTED_VALUE"""),"dani.taylor@mogi-group.com")</f>
        <v>dani.taylor@mogi-group.com</v>
      </c>
      <c r="E17" s="103"/>
    </row>
    <row r="18">
      <c r="A18" s="234" t="s">
        <v>386</v>
      </c>
      <c r="B18" s="235"/>
      <c r="C18" s="235" t="str">
        <f>IFERROR(__xludf.DUMMYFUNCTION("""COMPUTED_VALUE"""),"dani.taylor@mogi-group.com")</f>
        <v>dani.taylor@mogi-group.com</v>
      </c>
      <c r="D18" s="235" t="str">
        <f>IFERROR(__xludf.DUMMYFUNCTION("""COMPUTED_VALUE"""),"daniel.kovacs@mogi-group.com")</f>
        <v>daniel.kovacs@mogi-group.com</v>
      </c>
      <c r="E18" s="235"/>
    </row>
    <row r="19">
      <c r="A19" s="230"/>
      <c r="B19" s="230" t="s">
        <v>376</v>
      </c>
      <c r="C19" s="103" t="str">
        <f>IFERROR(__xludf.DUMMYFUNCTION("""COMPUTED_VALUE"""),"daniel.kovacs@mogi-group.com")</f>
        <v>daniel.kovacs@mogi-group.com</v>
      </c>
      <c r="D19" s="103" t="str">
        <f>IFERROR(__xludf.DUMMYFUNCTION("""COMPUTED_VALUE"""),"diana.dobrovolskaja@mogi-group.com")</f>
        <v>diana.dobrovolskaja@mogi-group.com</v>
      </c>
      <c r="E19" s="103"/>
    </row>
    <row r="20">
      <c r="A20" s="236"/>
      <c r="B20" s="230" t="s">
        <v>376</v>
      </c>
      <c r="C20" s="103" t="str">
        <f>IFERROR(__xludf.DUMMYFUNCTION("""COMPUTED_VALUE"""),"diana.dobrovolskaja@mogi-group.com")</f>
        <v>diana.dobrovolskaja@mogi-group.com</v>
      </c>
      <c r="D20" s="103" t="str">
        <f>IFERROR(__xludf.DUMMYFUNCTION("""COMPUTED_VALUE"""),"dmitry.patrushev@mogi-group.com")</f>
        <v>dmitry.patrushev@mogi-group.com</v>
      </c>
      <c r="E20" s="103"/>
    </row>
    <row r="21">
      <c r="A21" s="166" t="s">
        <v>387</v>
      </c>
      <c r="B21" s="237"/>
      <c r="C21" s="237" t="str">
        <f>IFERROR(__xludf.DUMMYFUNCTION("""COMPUTED_VALUE"""),"dmitry.patrushev@mogi-group.com")</f>
        <v>dmitry.patrushev@mogi-group.com</v>
      </c>
      <c r="D21" s="237" t="str">
        <f>IFERROR(__xludf.DUMMYFUNCTION("""COMPUTED_VALUE"""),"ariel.acosta@mogi-group.com")</f>
        <v>ariel.acosta@mogi-group.com</v>
      </c>
      <c r="E21" s="237"/>
    </row>
    <row r="22">
      <c r="A22" s="231" t="s">
        <v>388</v>
      </c>
      <c r="B22" s="103"/>
      <c r="C22" s="103" t="str">
        <f>IFERROR(__xludf.DUMMYFUNCTION("""COMPUTED_VALUE"""),"ariel.acosta@mogi-group.com")</f>
        <v>ariel.acosta@mogi-group.com</v>
      </c>
      <c r="D22" s="103" t="str">
        <f>IFERROR(__xludf.DUMMYFUNCTION("""COMPUTED_VALUE"""),"eddi.dostatni@mogi-group.com")</f>
        <v>eddi.dostatni@mogi-group.com</v>
      </c>
      <c r="E22" s="103"/>
    </row>
    <row r="23">
      <c r="A23" s="230"/>
      <c r="B23" s="230" t="s">
        <v>376</v>
      </c>
      <c r="C23" s="103" t="str">
        <f>IFERROR(__xludf.DUMMYFUNCTION("""COMPUTED_VALUE"""),"eddi.dostatni@mogi-group.com")</f>
        <v>eddi.dostatni@mogi-group.com</v>
      </c>
      <c r="D23" s="103" t="str">
        <f>IFERROR(__xludf.DUMMYFUNCTION("""COMPUTED_VALUE"""),"eliana.galanda@mogi-group.com")</f>
        <v>eliana.galanda@mogi-group.com</v>
      </c>
      <c r="E23" s="103"/>
    </row>
    <row r="24">
      <c r="A24" s="231" t="s">
        <v>389</v>
      </c>
      <c r="B24" s="103"/>
      <c r="C24" s="103" t="str">
        <f>IFERROR(__xludf.DUMMYFUNCTION("""COMPUTED_VALUE"""),"eliana.galanda@mogi-group.com")</f>
        <v>eliana.galanda@mogi-group.com</v>
      </c>
      <c r="D24" s="103" t="str">
        <f>IFERROR(__xludf.DUMMYFUNCTION("""COMPUTED_VALUE"""),"eliezer.pena@mogi-group.com")</f>
        <v>eliezer.pena@mogi-group.com</v>
      </c>
      <c r="E24" s="103"/>
    </row>
    <row r="25">
      <c r="A25" s="1" t="s">
        <v>390</v>
      </c>
      <c r="B25" s="233"/>
      <c r="C25" s="233" t="str">
        <f>IFERROR(__xludf.DUMMYFUNCTION("""COMPUTED_VALUE"""),"eliezer.pena@mogi-group.com")</f>
        <v>eliezer.pena@mogi-group.com</v>
      </c>
      <c r="D25" s="233" t="str">
        <f>IFERROR(__xludf.DUMMYFUNCTION("""COMPUTED_VALUE"""),"elif.emir@mogi-group.com")</f>
        <v>elif.emir@mogi-group.com</v>
      </c>
      <c r="E25" s="233"/>
    </row>
    <row r="26">
      <c r="A26" s="231" t="s">
        <v>391</v>
      </c>
      <c r="B26" s="103"/>
      <c r="C26" s="103" t="str">
        <f>IFERROR(__xludf.DUMMYFUNCTION("""COMPUTED_VALUE"""),"elif.emir@mogi-group.com")</f>
        <v>elif.emir@mogi-group.com</v>
      </c>
      <c r="D26" s="103" t="str">
        <f>IFERROR(__xludf.DUMMYFUNCTION("""COMPUTED_VALUE"""),"emanuel.koydl@mogi-group.com")</f>
        <v>emanuel.koydl@mogi-group.com</v>
      </c>
      <c r="E26" s="103"/>
    </row>
    <row r="27">
      <c r="A27" s="231" t="s">
        <v>392</v>
      </c>
      <c r="B27" s="103"/>
      <c r="C27" s="103" t="str">
        <f>IFERROR(__xludf.DUMMYFUNCTION("""COMPUTED_VALUE"""),"emanuel.koydl@mogi-group.com")</f>
        <v>emanuel.koydl@mogi-group.com</v>
      </c>
      <c r="D27" s="103" t="str">
        <f>IFERROR(__xludf.DUMMYFUNCTION("""COMPUTED_VALUE"""),"endrio.lima@mogi-group.com")</f>
        <v>endrio.lima@mogi-group.com</v>
      </c>
      <c r="E27" s="103"/>
    </row>
    <row r="28">
      <c r="A28" s="236"/>
      <c r="B28" s="230" t="s">
        <v>376</v>
      </c>
      <c r="C28" s="103" t="str">
        <f>IFERROR(__xludf.DUMMYFUNCTION("""COMPUTED_VALUE"""),"endrio.lima@mogi-group.com")</f>
        <v>endrio.lima@mogi-group.com</v>
      </c>
      <c r="D28" s="103" t="str">
        <f>IFERROR(__xludf.DUMMYFUNCTION("""COMPUTED_VALUE"""),"enrico.fasani@mogi-group.com")</f>
        <v>enrico.fasani@mogi-group.com</v>
      </c>
      <c r="E28" s="103"/>
    </row>
    <row r="29">
      <c r="A29" s="231" t="s">
        <v>393</v>
      </c>
      <c r="B29" s="103"/>
      <c r="C29" s="103" t="str">
        <f>IFERROR(__xludf.DUMMYFUNCTION("""COMPUTED_VALUE"""),"enrico.fasani@mogi-group.com")</f>
        <v>enrico.fasani@mogi-group.com</v>
      </c>
      <c r="D29" s="103" t="str">
        <f>IFERROR(__xludf.DUMMYFUNCTION("""COMPUTED_VALUE"""),"ernesto.zapanta@mogi-group.com")</f>
        <v>ernesto.zapanta@mogi-group.com</v>
      </c>
      <c r="E29" s="103"/>
    </row>
    <row r="30">
      <c r="A30" s="231" t="s">
        <v>394</v>
      </c>
      <c r="B30" s="103"/>
      <c r="C30" s="103" t="str">
        <f>IFERROR(__xludf.DUMMYFUNCTION("""COMPUTED_VALUE"""),"ernesto.zapanta@mogi-group.com")</f>
        <v>ernesto.zapanta@mogi-group.com</v>
      </c>
      <c r="D30" s="103" t="str">
        <f>IFERROR(__xludf.DUMMYFUNCTION("""COMPUTED_VALUE"""),"eugene.ovcharov@mogi-group.com")</f>
        <v>eugene.ovcharov@mogi-group.com</v>
      </c>
      <c r="E30" s="103"/>
    </row>
    <row r="31">
      <c r="A31" s="231" t="s">
        <v>395</v>
      </c>
      <c r="B31" s="103"/>
      <c r="C31" s="103" t="str">
        <f>IFERROR(__xludf.DUMMYFUNCTION("""COMPUTED_VALUE"""),"eugene.ovcharov@mogi-group.com")</f>
        <v>eugene.ovcharov@mogi-group.com</v>
      </c>
      <c r="D31" s="103" t="str">
        <f>IFERROR(__xludf.DUMMYFUNCTION("""COMPUTED_VALUE"""),"Facundo.lasarte@mogi-group.com")</f>
        <v>Facundo.lasarte@mogi-group.com</v>
      </c>
      <c r="E31" s="103"/>
    </row>
    <row r="32">
      <c r="A32" s="231" t="s">
        <v>396</v>
      </c>
      <c r="B32" s="103"/>
      <c r="C32" s="103" t="str">
        <f>IFERROR(__xludf.DUMMYFUNCTION("""COMPUTED_VALUE"""),"Facundo.lasarte@mogi-group.com")</f>
        <v>Facundo.lasarte@mogi-group.com</v>
      </c>
      <c r="D32" s="103" t="str">
        <f>IFERROR(__xludf.DUMMYFUNCTION("""COMPUTED_VALUE"""),"gabriel.zambrano@mogi-group.com")</f>
        <v>gabriel.zambrano@mogi-group.com</v>
      </c>
      <c r="E32" s="103"/>
    </row>
    <row r="33">
      <c r="A33" s="230"/>
      <c r="B33" s="230" t="s">
        <v>376</v>
      </c>
      <c r="C33" s="103" t="str">
        <f>IFERROR(__xludf.DUMMYFUNCTION("""COMPUTED_VALUE"""),"gabriel.zambrano@mogi-group.com")</f>
        <v>gabriel.zambrano@mogi-group.com</v>
      </c>
      <c r="D33" s="103" t="str">
        <f>IFERROR(__xludf.DUMMYFUNCTION("""COMPUTED_VALUE"""),"gabriela.mello@mogi-group.com")</f>
        <v>gabriela.mello@mogi-group.com</v>
      </c>
      <c r="E33" s="103"/>
    </row>
    <row r="34">
      <c r="A34" s="231" t="s">
        <v>397</v>
      </c>
      <c r="B34" s="103"/>
      <c r="C34" s="103" t="str">
        <f>IFERROR(__xludf.DUMMYFUNCTION("""COMPUTED_VALUE"""),"gabriela.mello@mogi-group.com")</f>
        <v>gabriela.mello@mogi-group.com</v>
      </c>
      <c r="D34" s="103" t="str">
        <f>IFERROR(__xludf.DUMMYFUNCTION("""COMPUTED_VALUE"""),"gernot.orgler@mogi-group.com")</f>
        <v>gernot.orgler@mogi-group.com</v>
      </c>
      <c r="E34" s="103"/>
    </row>
    <row r="35">
      <c r="A35" s="166" t="s">
        <v>398</v>
      </c>
      <c r="B35" s="237"/>
      <c r="C35" s="237" t="str">
        <f>IFERROR(__xludf.DUMMYFUNCTION("""COMPUTED_VALUE"""),"gernot.orgler@mogi-group.com")</f>
        <v>gernot.orgler@mogi-group.com</v>
      </c>
      <c r="D35" s="237" t="str">
        <f>IFERROR(__xludf.DUMMYFUNCTION("""COMPUTED_VALUE"""),"guilherme.atalla@mogi-group.com")</f>
        <v>guilherme.atalla@mogi-group.com</v>
      </c>
      <c r="E35" s="237"/>
    </row>
    <row r="36">
      <c r="A36" s="231" t="s">
        <v>399</v>
      </c>
      <c r="B36" s="103"/>
      <c r="C36" s="103" t="str">
        <f>IFERROR(__xludf.DUMMYFUNCTION("""COMPUTED_VALUE"""),"guilherme.atalla@mogi-group.com")</f>
        <v>guilherme.atalla@mogi-group.com</v>
      </c>
      <c r="D36" s="103" t="str">
        <f>IFERROR(__xludf.DUMMYFUNCTION("""COMPUTED_VALUE"""),"guilherme.perottoni@mogi-group.com")</f>
        <v>guilherme.perottoni@mogi-group.com</v>
      </c>
      <c r="E36" s="103"/>
    </row>
    <row r="37">
      <c r="A37" s="238"/>
      <c r="B37" s="230" t="s">
        <v>376</v>
      </c>
      <c r="C37" s="103" t="str">
        <f>IFERROR(__xludf.DUMMYFUNCTION("""COMPUTED_VALUE"""),"guilherme.perottoni@mogi-group.com")</f>
        <v>guilherme.perottoni@mogi-group.com</v>
      </c>
      <c r="D37" s="103" t="str">
        <f>IFERROR(__xludf.DUMMYFUNCTION("""COMPUTED_VALUE"""),"guilherme.torres@mogi-group.com")</f>
        <v>guilherme.torres@mogi-group.com</v>
      </c>
      <c r="E37" s="103"/>
    </row>
    <row r="38">
      <c r="A38" s="237" t="s">
        <v>400</v>
      </c>
      <c r="B38" s="237"/>
      <c r="C38" s="237" t="str">
        <f>IFERROR(__xludf.DUMMYFUNCTION("""COMPUTED_VALUE"""),"guilherme.torres@mogi-group.com")</f>
        <v>guilherme.torres@mogi-group.com</v>
      </c>
      <c r="D38" s="237" t="str">
        <f>IFERROR(__xludf.DUMMYFUNCTION("""COMPUTED_VALUE"""),"gustavo.albano@mogi-group.com")</f>
        <v>gustavo.albano@mogi-group.com</v>
      </c>
      <c r="E38" s="237"/>
    </row>
    <row r="39">
      <c r="A39" s="231" t="s">
        <v>401</v>
      </c>
      <c r="B39" s="103"/>
      <c r="C39" s="103" t="str">
        <f>IFERROR(__xludf.DUMMYFUNCTION("""COMPUTED_VALUE"""),"gustavo.albano@mogi-group.com")</f>
        <v>gustavo.albano@mogi-group.com</v>
      </c>
      <c r="D39" s="103" t="str">
        <f>IFERROR(__xludf.DUMMYFUNCTION("""COMPUTED_VALUE"""),"hanne.barkerud@mogi-group.com")</f>
        <v>hanne.barkerud@mogi-group.com</v>
      </c>
      <c r="E39" s="103"/>
    </row>
    <row r="40">
      <c r="A40" s="231" t="s">
        <v>402</v>
      </c>
      <c r="B40" s="103"/>
      <c r="C40" s="103" t="str">
        <f>IFERROR(__xludf.DUMMYFUNCTION("""COMPUTED_VALUE"""),"hanne.barkerud@mogi-group.com")</f>
        <v>hanne.barkerud@mogi-group.com</v>
      </c>
      <c r="D40" s="103" t="str">
        <f>IFERROR(__xludf.DUMMYFUNCTION("""COMPUTED_VALUE"""),"hans.co@mogi-group.com")</f>
        <v>hans.co@mogi-group.com</v>
      </c>
      <c r="E40" s="103"/>
    </row>
    <row r="41">
      <c r="A41" s="166" t="s">
        <v>403</v>
      </c>
      <c r="B41" s="237"/>
      <c r="C41" s="237" t="str">
        <f>IFERROR(__xludf.DUMMYFUNCTION("""COMPUTED_VALUE"""),"hans.co@mogi-group.com")</f>
        <v>hans.co@mogi-group.com</v>
      </c>
      <c r="D41" s="237" t="str">
        <f>IFERROR(__xludf.DUMMYFUNCTION("""COMPUTED_VALUE"""),"joao.studart@mogi-group.com")</f>
        <v>joao.studart@mogi-group.com</v>
      </c>
      <c r="E41" s="237"/>
    </row>
    <row r="42">
      <c r="A42" s="103" t="s">
        <v>404</v>
      </c>
      <c r="B42" s="103"/>
      <c r="C42" s="103" t="str">
        <f>IFERROR(__xludf.DUMMYFUNCTION("""COMPUTED_VALUE"""),"joao.studart@mogi-group.com")</f>
        <v>joao.studart@mogi-group.com</v>
      </c>
      <c r="D42" s="103" t="str">
        <f>IFERROR(__xludf.DUMMYFUNCTION("""COMPUTED_VALUE"""),"john.campos@mogi-group.com")</f>
        <v>john.campos@mogi-group.com</v>
      </c>
      <c r="E42" s="103"/>
    </row>
    <row r="43">
      <c r="A43" s="231" t="s">
        <v>405</v>
      </c>
      <c r="B43" s="103"/>
      <c r="C43" s="103" t="str">
        <f>IFERROR(__xludf.DUMMYFUNCTION("""COMPUTED_VALUE"""),"john.campos@mogi-group.com")</f>
        <v>john.campos@mogi-group.com</v>
      </c>
      <c r="D43" s="103" t="str">
        <f>IFERROR(__xludf.DUMMYFUNCTION("""COMPUTED_VALUE"""),"jorge.almeida@mogi-group.com")</f>
        <v>jorge.almeida@mogi-group.com</v>
      </c>
      <c r="E43" s="103"/>
    </row>
    <row r="44">
      <c r="A44" s="231" t="s">
        <v>406</v>
      </c>
      <c r="B44" s="103"/>
      <c r="C44" s="103" t="str">
        <f>IFERROR(__xludf.DUMMYFUNCTION("""COMPUTED_VALUE"""),"jorge.almeida@mogi-group.com")</f>
        <v>jorge.almeida@mogi-group.com</v>
      </c>
      <c r="D44" s="103" t="str">
        <f>IFERROR(__xludf.DUMMYFUNCTION("""COMPUTED_VALUE"""),"jose.mass@mogi-group.com")</f>
        <v>jose.mass@mogi-group.com</v>
      </c>
      <c r="E44" s="103"/>
    </row>
    <row r="45">
      <c r="A45" s="231" t="s">
        <v>407</v>
      </c>
      <c r="B45" s="103"/>
      <c r="C45" s="103" t="str">
        <f>IFERROR(__xludf.DUMMYFUNCTION("""COMPUTED_VALUE"""),"jose.mass@mogi-group.com")</f>
        <v>jose.mass@mogi-group.com</v>
      </c>
      <c r="D45" s="103" t="str">
        <f>IFERROR(__xludf.DUMMYFUNCTION("""COMPUTED_VALUE"""),"jose-luis.alon@mogi-group.com")</f>
        <v>jose-luis.alon@mogi-group.com</v>
      </c>
      <c r="E45" s="103"/>
    </row>
    <row r="46">
      <c r="A46" s="231" t="s">
        <v>408</v>
      </c>
      <c r="B46" s="103"/>
      <c r="C46" s="103" t="str">
        <f>IFERROR(__xludf.DUMMYFUNCTION("""COMPUTED_VALUE"""),"jose-luis.alon@mogi-group.com")</f>
        <v>jose-luis.alon@mogi-group.com</v>
      </c>
      <c r="D46" s="103" t="str">
        <f>IFERROR(__xludf.DUMMYFUNCTION("""COMPUTED_VALUE"""),"jose-mari.kanazawa@mogi-group.com")</f>
        <v>jose-mari.kanazawa@mogi-group.com</v>
      </c>
      <c r="E46" s="103"/>
    </row>
    <row r="47">
      <c r="A47" s="230"/>
      <c r="B47" s="230" t="s">
        <v>376</v>
      </c>
      <c r="C47" s="103" t="str">
        <f>IFERROR(__xludf.DUMMYFUNCTION("""COMPUTED_VALUE"""),"jose-mari.kanazawa@mogi-group.com")</f>
        <v>jose-mari.kanazawa@mogi-group.com</v>
      </c>
      <c r="D47" s="103" t="str">
        <f>IFERROR(__xludf.DUMMYFUNCTION("""COMPUTED_VALUE"""),"joshua.clarke@mogi-group.com")</f>
        <v>joshua.clarke@mogi-group.com</v>
      </c>
      <c r="E47" s="103"/>
    </row>
    <row r="48">
      <c r="A48" s="149"/>
      <c r="B48" s="230" t="s">
        <v>376</v>
      </c>
      <c r="C48" s="103" t="str">
        <f>IFERROR(__xludf.DUMMYFUNCTION("""COMPUTED_VALUE"""),"joshua.clarke@mogi-group.com")</f>
        <v>joshua.clarke@mogi-group.com</v>
      </c>
      <c r="D48" s="103" t="str">
        <f>IFERROR(__xludf.DUMMYFUNCTION("""COMPUTED_VALUE"""),"juan.verrone@mogi-group.com")</f>
        <v>juan.verrone@mogi-group.com</v>
      </c>
      <c r="E48" s="103"/>
    </row>
    <row r="49">
      <c r="A49" s="231" t="s">
        <v>409</v>
      </c>
      <c r="B49" s="103"/>
      <c r="C49" s="103" t="str">
        <f>IFERROR(__xludf.DUMMYFUNCTION("""COMPUTED_VALUE"""),"juan.verrone@mogi-group.com")</f>
        <v>juan.verrone@mogi-group.com</v>
      </c>
      <c r="D49" s="103" t="str">
        <f>IFERROR(__xludf.DUMMYFUNCTION("""COMPUTED_VALUE"""),"julian.soler@mogi-group.com")</f>
        <v>julian.soler@mogi-group.com</v>
      </c>
      <c r="E49" s="103"/>
    </row>
    <row r="50">
      <c r="A50" s="231" t="s">
        <v>410</v>
      </c>
      <c r="B50" s="103"/>
      <c r="C50" s="103" t="str">
        <f>IFERROR(__xludf.DUMMYFUNCTION("""COMPUTED_VALUE"""),"julian.soler@mogi-group.com")</f>
        <v>julian.soler@mogi-group.com</v>
      </c>
      <c r="D50" s="103" t="str">
        <f>IFERROR(__xludf.DUMMYFUNCTION("""COMPUTED_VALUE"""),"kamil.pabin@mogi-group.com")</f>
        <v>kamil.pabin@mogi-group.com</v>
      </c>
      <c r="E50" s="103"/>
    </row>
    <row r="51">
      <c r="A51" s="231" t="s">
        <v>411</v>
      </c>
      <c r="B51" s="103"/>
      <c r="C51" s="103" t="str">
        <f>IFERROR(__xludf.DUMMYFUNCTION("""COMPUTED_VALUE"""),"kamil.pabin@mogi-group.com")</f>
        <v>kamil.pabin@mogi-group.com</v>
      </c>
      <c r="D51" s="103" t="str">
        <f>IFERROR(__xludf.DUMMYFUNCTION("""COMPUTED_VALUE"""),"karl.torres@mogi-group.com")</f>
        <v>karl.torres@mogi-group.com</v>
      </c>
      <c r="E51" s="103"/>
    </row>
    <row r="52">
      <c r="A52" s="231" t="s">
        <v>412</v>
      </c>
      <c r="B52" s="103"/>
      <c r="C52" s="103" t="str">
        <f>IFERROR(__xludf.DUMMYFUNCTION("""COMPUTED_VALUE"""),"karl.torres@mogi-group.com")</f>
        <v>karl.torres@mogi-group.com</v>
      </c>
      <c r="D52" s="103" t="str">
        <f>IFERROR(__xludf.DUMMYFUNCTION("""COMPUTED_VALUE"""),"katherine.keen@mogi-group.com")</f>
        <v>katherine.keen@mogi-group.com</v>
      </c>
      <c r="E52" s="103"/>
    </row>
    <row r="53">
      <c r="A53" s="166" t="s">
        <v>413</v>
      </c>
      <c r="B53" s="237"/>
      <c r="C53" s="237" t="str">
        <f>IFERROR(__xludf.DUMMYFUNCTION("""COMPUTED_VALUE"""),"katherine.keen@mogi-group.com")</f>
        <v>katherine.keen@mogi-group.com</v>
      </c>
      <c r="D53" s="237" t="str">
        <f>IFERROR(__xludf.DUMMYFUNCTION("""COMPUTED_VALUE"""),"kevin.eikmeier@mogi-group.com")</f>
        <v>kevin.eikmeier@mogi-group.com</v>
      </c>
      <c r="E53" s="237"/>
    </row>
    <row r="54">
      <c r="A54" s="231" t="s">
        <v>414</v>
      </c>
      <c r="B54" s="103"/>
      <c r="C54" s="103" t="str">
        <f>IFERROR(__xludf.DUMMYFUNCTION("""COMPUTED_VALUE"""),"kevin.eikmeier@mogi-group.com")</f>
        <v>kevin.eikmeier@mogi-group.com</v>
      </c>
      <c r="D54" s="103" t="str">
        <f>IFERROR(__xludf.DUMMYFUNCTION("""COMPUTED_VALUE"""),"kokoh.murti@mogi-group.com")</f>
        <v>kokoh.murti@mogi-group.com</v>
      </c>
      <c r="E54" s="103"/>
    </row>
    <row r="55">
      <c r="A55" s="149"/>
      <c r="B55" s="230" t="s">
        <v>376</v>
      </c>
      <c r="C55" s="103" t="str">
        <f>IFERROR(__xludf.DUMMYFUNCTION("""COMPUTED_VALUE"""),"kokoh.murti@mogi-group.com")</f>
        <v>kokoh.murti@mogi-group.com</v>
      </c>
      <c r="D55" s="103" t="str">
        <f>IFERROR(__xludf.DUMMYFUNCTION("""COMPUTED_VALUE"""),"ladina.majindi@mogi-group.com")</f>
        <v>ladina.majindi@mogi-group.com</v>
      </c>
      <c r="E55" s="103"/>
    </row>
    <row r="56">
      <c r="A56" s="239"/>
      <c r="B56" s="230" t="s">
        <v>376</v>
      </c>
      <c r="C56" s="103" t="str">
        <f>IFERROR(__xludf.DUMMYFUNCTION("""COMPUTED_VALUE"""),"ladina.majindi@mogi-group.com")</f>
        <v>ladina.majindi@mogi-group.com</v>
      </c>
      <c r="D56" s="103" t="str">
        <f>IFERROR(__xludf.DUMMYFUNCTION("""COMPUTED_VALUE"""),"lidia.aguiar-bezerra@mogi-group.com")</f>
        <v>lidia.aguiar-bezerra@mogi-group.com</v>
      </c>
      <c r="E56" s="103"/>
    </row>
    <row r="57">
      <c r="A57" s="231" t="s">
        <v>415</v>
      </c>
      <c r="B57" s="103"/>
      <c r="C57" s="103" t="str">
        <f>IFERROR(__xludf.DUMMYFUNCTION("""COMPUTED_VALUE"""),"lidia.aguiar-bezerra@mogi-group.com")</f>
        <v>lidia.aguiar-bezerra@mogi-group.com</v>
      </c>
      <c r="D57" s="103" t="str">
        <f>IFERROR(__xludf.DUMMYFUNCTION("""COMPUTED_VALUE"""),"lorenzo.vergel@mogi-group.com")</f>
        <v>lorenzo.vergel@mogi-group.com</v>
      </c>
      <c r="E57" s="103"/>
    </row>
    <row r="58">
      <c r="A58" s="166" t="s">
        <v>416</v>
      </c>
      <c r="B58" s="237"/>
      <c r="C58" s="237" t="str">
        <f>IFERROR(__xludf.DUMMYFUNCTION("""COMPUTED_VALUE"""),"lorenzo.vergel@mogi-group.com")</f>
        <v>lorenzo.vergel@mogi-group.com</v>
      </c>
      <c r="D58" s="237" t="str">
        <f>IFERROR(__xludf.DUMMYFUNCTION("""COMPUTED_VALUE"""),"lucas.carvalho@mogi-group.com")</f>
        <v>lucas.carvalho@mogi-group.com</v>
      </c>
      <c r="E58" s="237"/>
    </row>
    <row r="59">
      <c r="A59" s="231" t="s">
        <v>417</v>
      </c>
      <c r="B59" s="103"/>
      <c r="C59" s="103" t="str">
        <f>IFERROR(__xludf.DUMMYFUNCTION("""COMPUTED_VALUE"""),"lucas.carvalho@mogi-group.com")</f>
        <v>lucas.carvalho@mogi-group.com</v>
      </c>
      <c r="D59" s="103" t="str">
        <f>IFERROR(__xludf.DUMMYFUNCTION("""COMPUTED_VALUE"""),"marcus.kiefer@mogi-group.com")</f>
        <v>marcus.kiefer@mogi-group.com</v>
      </c>
      <c r="E59" s="103"/>
    </row>
    <row r="60">
      <c r="A60" s="231" t="s">
        <v>418</v>
      </c>
      <c r="B60" s="103"/>
      <c r="C60" s="103" t="str">
        <f>IFERROR(__xludf.DUMMYFUNCTION("""COMPUTED_VALUE"""),"marcus.kiefer@mogi-group.com")</f>
        <v>marcus.kiefer@mogi-group.com</v>
      </c>
      <c r="D60" s="103" t="str">
        <f>IFERROR(__xludf.DUMMYFUNCTION("""COMPUTED_VALUE"""),"maria.hattler@mogi-group.com")</f>
        <v>maria.hattler@mogi-group.com</v>
      </c>
      <c r="E60" s="103"/>
    </row>
    <row r="61">
      <c r="A61" s="237" t="s">
        <v>419</v>
      </c>
      <c r="B61" s="237"/>
      <c r="C61" s="237" t="str">
        <f>IFERROR(__xludf.DUMMYFUNCTION("""COMPUTED_VALUE"""),"maria.hattler@mogi-group.com")</f>
        <v>maria.hattler@mogi-group.com</v>
      </c>
      <c r="D61" s="237" t="str">
        <f>IFERROR(__xludf.DUMMYFUNCTION("""COMPUTED_VALUE"""),"mateus.cavalheiro-de-sousa@mogi-group.com")</f>
        <v>mateus.cavalheiro-de-sousa@mogi-group.com</v>
      </c>
      <c r="E61" s="237"/>
    </row>
    <row r="62">
      <c r="A62" s="231" t="s">
        <v>420</v>
      </c>
      <c r="B62" s="103"/>
      <c r="C62" s="103" t="str">
        <f>IFERROR(__xludf.DUMMYFUNCTION("""COMPUTED_VALUE"""),"mateus.cavalheiro-de-sousa@mogi-group.com")</f>
        <v>mateus.cavalheiro-de-sousa@mogi-group.com</v>
      </c>
      <c r="D62" s="103" t="str">
        <f>IFERROR(__xludf.DUMMYFUNCTION("""COMPUTED_VALUE"""),"matheus.cortez@mogi-group.com")</f>
        <v>matheus.cortez@mogi-group.com</v>
      </c>
      <c r="E62" s="103"/>
    </row>
    <row r="63">
      <c r="A63" s="166" t="s">
        <v>421</v>
      </c>
      <c r="B63" s="237"/>
      <c r="C63" s="237" t="str">
        <f>IFERROR(__xludf.DUMMYFUNCTION("""COMPUTED_VALUE"""),"matheus.cortez@mogi-group.com")</f>
        <v>matheus.cortez@mogi-group.com</v>
      </c>
      <c r="D63" s="237" t="str">
        <f>IFERROR(__xludf.DUMMYFUNCTION("""COMPUTED_VALUE"""),"mathilde.cantagrel@mogi-group.com")</f>
        <v>mathilde.cantagrel@mogi-group.com</v>
      </c>
      <c r="E63" s="237"/>
    </row>
    <row r="64">
      <c r="A64" s="231" t="s">
        <v>422</v>
      </c>
      <c r="B64" s="103"/>
      <c r="C64" s="103" t="str">
        <f>IFERROR(__xludf.DUMMYFUNCTION("""COMPUTED_VALUE"""),"mathilde.cantagrel@mogi-group.com")</f>
        <v>mathilde.cantagrel@mogi-group.com</v>
      </c>
      <c r="D64" s="103" t="str">
        <f>IFERROR(__xludf.DUMMYFUNCTION("""COMPUTED_VALUE"""),"gerard.smyth@mogi-group.com")</f>
        <v>gerard.smyth@mogi-group.com</v>
      </c>
      <c r="E64" s="103"/>
    </row>
    <row r="65">
      <c r="A65" s="240" t="s">
        <v>423</v>
      </c>
      <c r="B65" s="241"/>
      <c r="C65" s="241" t="str">
        <f>IFERROR(__xludf.DUMMYFUNCTION("""COMPUTED_VALUE"""),"gerard.smyth@mogi-group.com")</f>
        <v>gerard.smyth@mogi-group.com</v>
      </c>
      <c r="D65" s="241" t="str">
        <f>IFERROR(__xludf.DUMMYFUNCTION("""COMPUTED_VALUE"""),"mohamed.zidan@mogi-group.com")</f>
        <v>mohamed.zidan@mogi-group.com</v>
      </c>
      <c r="E65" s="241"/>
    </row>
    <row r="66">
      <c r="A66" s="230"/>
      <c r="B66" s="230" t="s">
        <v>376</v>
      </c>
      <c r="C66" s="103" t="str">
        <f>IFERROR(__xludf.DUMMYFUNCTION("""COMPUTED_VALUE"""),"mohamed.zidan@mogi-group.com")</f>
        <v>mohamed.zidan@mogi-group.com</v>
      </c>
      <c r="D66" s="103" t="str">
        <f>IFERROR(__xludf.DUMMYFUNCTION("""COMPUTED_VALUE"""),"nanthicha.meksuwan@mogi-group.com")</f>
        <v>nanthicha.meksuwan@mogi-group.com</v>
      </c>
      <c r="E66" s="103"/>
    </row>
    <row r="67">
      <c r="A67" s="231" t="s">
        <v>424</v>
      </c>
      <c r="B67" s="103"/>
      <c r="C67" s="103" t="str">
        <f>IFERROR(__xludf.DUMMYFUNCTION("""COMPUTED_VALUE"""),"nanthicha.meksuwan@mogi-group.com")</f>
        <v>nanthicha.meksuwan@mogi-group.com</v>
      </c>
      <c r="D67" s="103" t="str">
        <f>IFERROR(__xludf.DUMMYFUNCTION("""COMPUTED_VALUE"""),"nicha.mahakanchanakul@mogi-group.com")</f>
        <v>nicha.mahakanchanakul@mogi-group.com</v>
      </c>
      <c r="E67" s="103"/>
    </row>
    <row r="68">
      <c r="A68" s="231" t="s">
        <v>425</v>
      </c>
      <c r="B68" s="103"/>
      <c r="C68" s="103" t="str">
        <f>IFERROR(__xludf.DUMMYFUNCTION("""COMPUTED_VALUE"""),"nicha.mahakanchanakul@mogi-group.com")</f>
        <v>nicha.mahakanchanakul@mogi-group.com</v>
      </c>
      <c r="D68" s="103" t="str">
        <f>IFERROR(__xludf.DUMMYFUNCTION("""COMPUTED_VALUE"""),"alfonso.zendejas-nevarez@mogi-group.com")</f>
        <v>alfonso.zendejas-nevarez@mogi-group.com</v>
      </c>
      <c r="E68" s="103"/>
    </row>
    <row r="69">
      <c r="A69" s="230"/>
      <c r="B69" s="230" t="s">
        <v>376</v>
      </c>
      <c r="C69" s="103" t="str">
        <f>IFERROR(__xludf.DUMMYFUNCTION("""COMPUTED_VALUE"""),"alfonso.zendejas-nevarez@mogi-group.com")</f>
        <v>alfonso.zendejas-nevarez@mogi-group.com</v>
      </c>
      <c r="D69" s="103" t="str">
        <f>IFERROR(__xludf.DUMMYFUNCTION("""COMPUTED_VALUE"""),"othmane.abidar@mogi-group.com")</f>
        <v>othmane.abidar@mogi-group.com</v>
      </c>
      <c r="E69" s="103"/>
    </row>
    <row r="70">
      <c r="A70" s="231" t="s">
        <v>426</v>
      </c>
      <c r="B70" s="103"/>
      <c r="C70" s="103" t="str">
        <f>IFERROR(__xludf.DUMMYFUNCTION("""COMPUTED_VALUE"""),"othmane.abidar@mogi-group.com")</f>
        <v>othmane.abidar@mogi-group.com</v>
      </c>
      <c r="D70" s="103" t="str">
        <f>IFERROR(__xludf.DUMMYFUNCTION("""COMPUTED_VALUE"""),"oussama.el-hoz@mogi-group.com")</f>
        <v>oussama.el-hoz@mogi-group.com</v>
      </c>
      <c r="E70" s="103"/>
    </row>
    <row r="71">
      <c r="A71" s="231" t="s">
        <v>427</v>
      </c>
      <c r="B71" s="103"/>
      <c r="C71" s="103" t="str">
        <f>IFERROR(__xludf.DUMMYFUNCTION("""COMPUTED_VALUE"""),"oussama.el-hoz@mogi-group.com")</f>
        <v>oussama.el-hoz@mogi-group.com</v>
      </c>
      <c r="D71" s="103" t="str">
        <f>IFERROR(__xludf.DUMMYFUNCTION("""COMPUTED_VALUE"""),"pacome.kemkeu@mogi-group.com")</f>
        <v>pacome.kemkeu@mogi-group.com</v>
      </c>
      <c r="E71" s="103"/>
    </row>
    <row r="72">
      <c r="A72" s="231" t="s">
        <v>428</v>
      </c>
      <c r="B72" s="103"/>
      <c r="C72" s="103" t="str">
        <f>IFERROR(__xludf.DUMMYFUNCTION("""COMPUTED_VALUE"""),"pacome.kemkeu@mogi-group.com")</f>
        <v>pacome.kemkeu@mogi-group.com</v>
      </c>
      <c r="D72" s="103" t="str">
        <f>IFERROR(__xludf.DUMMYFUNCTION("""COMPUTED_VALUE"""),"paulo.ximenes@mogi-group.com")</f>
        <v>paulo.ximenes@mogi-group.com</v>
      </c>
      <c r="E72" s="103"/>
    </row>
    <row r="73">
      <c r="A73" s="242"/>
      <c r="B73" s="230" t="s">
        <v>376</v>
      </c>
      <c r="C73" s="103" t="str">
        <f>IFERROR(__xludf.DUMMYFUNCTION("""COMPUTED_VALUE"""),"paulo.ximenes@mogi-group.com")</f>
        <v>paulo.ximenes@mogi-group.com</v>
      </c>
      <c r="D73" s="103" t="str">
        <f>IFERROR(__xludf.DUMMYFUNCTION("""COMPUTED_VALUE"""),"rabia.turten@mogi-group.com")</f>
        <v>rabia.turten@mogi-group.com</v>
      </c>
      <c r="E73" s="103"/>
    </row>
    <row r="74">
      <c r="A74" s="101" t="s">
        <v>429</v>
      </c>
      <c r="B74" s="127"/>
      <c r="C74" s="127" t="str">
        <f>IFERROR(__xludf.DUMMYFUNCTION("""COMPUTED_VALUE"""),"rabia.turten@mogi-group.com")</f>
        <v>rabia.turten@mogi-group.com</v>
      </c>
      <c r="D74" s="127" t="str">
        <f>IFERROR(__xludf.DUMMYFUNCTION("""COMPUTED_VALUE"""),"rachelle-anne.manalo@mogi-group.com")</f>
        <v>rachelle-anne.manalo@mogi-group.com</v>
      </c>
      <c r="E74" s="127"/>
    </row>
    <row r="75">
      <c r="A75" s="231" t="s">
        <v>430</v>
      </c>
      <c r="B75" s="103"/>
      <c r="C75" s="103" t="str">
        <f>IFERROR(__xludf.DUMMYFUNCTION("""COMPUTED_VALUE"""),"rachelle-anne.manalo@mogi-group.com")</f>
        <v>rachelle-anne.manalo@mogi-group.com</v>
      </c>
      <c r="D75" s="103" t="str">
        <f>IFERROR(__xludf.DUMMYFUNCTION("""COMPUTED_VALUE"""),"raffael.azevedo-andrade@mogi-group.com")</f>
        <v>raffael.azevedo-andrade@mogi-group.com</v>
      </c>
      <c r="E75" s="103"/>
    </row>
    <row r="76">
      <c r="A76" s="231" t="s">
        <v>431</v>
      </c>
      <c r="B76" s="103"/>
      <c r="C76" s="103" t="str">
        <f>IFERROR(__xludf.DUMMYFUNCTION("""COMPUTED_VALUE"""),"raffael.azevedo-andrade@mogi-group.com")</f>
        <v>raffael.azevedo-andrade@mogi-group.com</v>
      </c>
      <c r="D76" s="103" t="str">
        <f>IFERROR(__xludf.DUMMYFUNCTION("""COMPUTED_VALUE"""),"ralph.cruz@mogi-group.com")</f>
        <v>ralph.cruz@mogi-group.com</v>
      </c>
      <c r="E76" s="103"/>
    </row>
    <row r="77">
      <c r="A77" s="230"/>
      <c r="B77" s="230" t="s">
        <v>376</v>
      </c>
      <c r="C77" s="103" t="str">
        <f>IFERROR(__xludf.DUMMYFUNCTION("""COMPUTED_VALUE"""),"ralph.cruz@mogi-group.com")</f>
        <v>ralph.cruz@mogi-group.com</v>
      </c>
      <c r="D77" s="103" t="str">
        <f>IFERROR(__xludf.DUMMYFUNCTION("""COMPUTED_VALUE"""),"ramilia.nurutdinova@mogi-group.com")</f>
        <v>ramilia.nurutdinova@mogi-group.com</v>
      </c>
      <c r="E77" s="103"/>
    </row>
    <row r="78">
      <c r="A78" s="230"/>
      <c r="B78" s="230" t="s">
        <v>376</v>
      </c>
      <c r="C78" s="103" t="str">
        <f>IFERROR(__xludf.DUMMYFUNCTION("""COMPUTED_VALUE"""),"ramilia.nurutdinova@mogi-group.com")</f>
        <v>ramilia.nurutdinova@mogi-group.com</v>
      </c>
      <c r="D78" s="103" t="str">
        <f>IFERROR(__xludf.DUMMYFUNCTION("""COMPUTED_VALUE"""),"ramon.roberto@mogi-group.com")</f>
        <v>ramon.roberto@mogi-group.com</v>
      </c>
      <c r="E78" s="103"/>
    </row>
    <row r="79">
      <c r="A79" s="166" t="s">
        <v>432</v>
      </c>
      <c r="B79" s="237"/>
      <c r="C79" s="237" t="str">
        <f>IFERROR(__xludf.DUMMYFUNCTION("""COMPUTED_VALUE"""),"ramon.roberto@mogi-group.com")</f>
        <v>ramon.roberto@mogi-group.com</v>
      </c>
      <c r="D79" s="237" t="str">
        <f>IFERROR(__xludf.DUMMYFUNCTION("""COMPUTED_VALUE"""),"Rebeca.de-cerqueira-mateus@mogi-group.com")</f>
        <v>Rebeca.de-cerqueira-mateus@mogi-group.com</v>
      </c>
      <c r="E79" s="237"/>
    </row>
    <row r="80">
      <c r="A80" s="231" t="s">
        <v>433</v>
      </c>
      <c r="B80" s="103"/>
      <c r="C80" s="103" t="str">
        <f>IFERROR(__xludf.DUMMYFUNCTION("""COMPUTED_VALUE"""),"Rebeca.de-cerqueira-mateus@mogi-group.com")</f>
        <v>Rebeca.de-cerqueira-mateus@mogi-group.com</v>
      </c>
      <c r="D80" s="103" t="str">
        <f>IFERROR(__xludf.DUMMYFUNCTION("""COMPUTED_VALUE"""),"ricardo.flores@mogi-group.com")</f>
        <v>ricardo.flores@mogi-group.com</v>
      </c>
      <c r="E80" s="103"/>
    </row>
    <row r="81">
      <c r="A81" s="231" t="s">
        <v>434</v>
      </c>
      <c r="B81" s="103"/>
      <c r="C81" s="103" t="str">
        <f>IFERROR(__xludf.DUMMYFUNCTION("""COMPUTED_VALUE"""),"ricardo.flores@mogi-group.com")</f>
        <v>ricardo.flores@mogi-group.com</v>
      </c>
      <c r="D81" s="103" t="str">
        <f>IFERROR(__xludf.DUMMYFUNCTION("""COMPUTED_VALUE"""),"rodrigo.soares-silva@mogi-group.com")</f>
        <v>rodrigo.soares-silva@mogi-group.com</v>
      </c>
      <c r="E81" s="103"/>
    </row>
    <row r="82">
      <c r="A82" s="149"/>
      <c r="B82" s="230" t="s">
        <v>376</v>
      </c>
      <c r="C82" s="103" t="str">
        <f>IFERROR(__xludf.DUMMYFUNCTION("""COMPUTED_VALUE"""),"rodrigo.soares-silva@mogi-group.com")</f>
        <v>rodrigo.soares-silva@mogi-group.com</v>
      </c>
      <c r="D82" s="243" t="str">
        <f>IFERROR(__xludf.DUMMYFUNCTION("""COMPUTED_VALUE"""),"sascha.miller@mogi-group.com")</f>
        <v>sascha.miller@mogi-group.com</v>
      </c>
      <c r="E82" s="103"/>
    </row>
    <row r="83">
      <c r="A83" s="231" t="s">
        <v>435</v>
      </c>
      <c r="B83" s="103"/>
      <c r="C83" s="103" t="str">
        <f>IFERROR(__xludf.DUMMYFUNCTION("""COMPUTED_VALUE"""),"sascha.miller@mogi-group.com")</f>
        <v>sascha.miller@mogi-group.com</v>
      </c>
      <c r="D83" s="243" t="str">
        <f>IFERROR(__xludf.DUMMYFUNCTION("""COMPUTED_VALUE"""),"sebastian.hadjidimitris@mogi-group.com")</f>
        <v>sebastian.hadjidimitris@mogi-group.com</v>
      </c>
      <c r="E83" s="103"/>
    </row>
    <row r="84">
      <c r="A84" s="231" t="s">
        <v>436</v>
      </c>
      <c r="B84" s="103"/>
      <c r="C84" s="103" t="str">
        <f>IFERROR(__xludf.DUMMYFUNCTION("""COMPUTED_VALUE"""),"sebastian.hadjidimitris@mogi-group.com")</f>
        <v>sebastian.hadjidimitris@mogi-group.com</v>
      </c>
      <c r="D84" s="244" t="str">
        <f>IFERROR(__xludf.DUMMYFUNCTION("""COMPUTED_VALUE"""),"stefan.schroeder@mogi-group.com")</f>
        <v>stefan.schroeder@mogi-group.com</v>
      </c>
      <c r="E84" s="103"/>
    </row>
    <row r="85">
      <c r="A85" s="231" t="s">
        <v>437</v>
      </c>
      <c r="B85" s="103"/>
      <c r="C85" s="103" t="str">
        <f>IFERROR(__xludf.DUMMYFUNCTION("""COMPUTED_VALUE"""),"stefan.schroeder@mogi-group.com")</f>
        <v>stefan.schroeder@mogi-group.com</v>
      </c>
      <c r="D85" s="243" t="str">
        <f>IFERROR(__xludf.DUMMYFUNCTION("""COMPUTED_VALUE"""),"stefan.djokic@mogi-group.com")</f>
        <v>stefan.djokic@mogi-group.com</v>
      </c>
      <c r="E85" s="103"/>
    </row>
    <row r="86">
      <c r="A86" s="231" t="s">
        <v>438</v>
      </c>
      <c r="B86" s="103"/>
      <c r="C86" s="103" t="str">
        <f>IFERROR(__xludf.DUMMYFUNCTION("""COMPUTED_VALUE"""),"stefan.djokic@mogi-group.com")</f>
        <v>stefan.djokic@mogi-group.com</v>
      </c>
      <c r="D86" s="244" t="str">
        <f>IFERROR(__xludf.DUMMYFUNCTION("""COMPUTED_VALUE"""),"tatiana.kummer@mogi-group.com")</f>
        <v>tatiana.kummer@mogi-group.com</v>
      </c>
      <c r="E86" s="103"/>
    </row>
    <row r="87">
      <c r="A87" s="230"/>
      <c r="B87" s="230" t="s">
        <v>376</v>
      </c>
      <c r="C87" s="103" t="str">
        <f>IFERROR(__xludf.DUMMYFUNCTION("""COMPUTED_VALUE"""),"tatiana.kummer@mogi-group.com")</f>
        <v>tatiana.kummer@mogi-group.com</v>
      </c>
      <c r="D87" s="243" t="str">
        <f>IFERROR(__xludf.DUMMYFUNCTION("""COMPUTED_VALUE"""),"tayllor.masi@mogi-group.com")</f>
        <v>tayllor.masi@mogi-group.com</v>
      </c>
      <c r="E87" s="103"/>
    </row>
    <row r="88">
      <c r="A88" s="237" t="s">
        <v>439</v>
      </c>
      <c r="B88" s="237"/>
      <c r="C88" s="237" t="str">
        <f>IFERROR(__xludf.DUMMYFUNCTION("""COMPUTED_VALUE"""),"tayllor.masi@mogi-group.com")</f>
        <v>tayllor.masi@mogi-group.com</v>
      </c>
      <c r="D88" s="245" t="str">
        <f>IFERROR(__xludf.DUMMYFUNCTION("""COMPUTED_VALUE"""),"thercio.brandao@mogi-group.com")</f>
        <v>thercio.brandao@mogi-group.com</v>
      </c>
      <c r="E88" s="237"/>
    </row>
    <row r="89">
      <c r="A89" s="149"/>
      <c r="B89" s="230" t="s">
        <v>376</v>
      </c>
      <c r="C89" s="103" t="str">
        <f>IFERROR(__xludf.DUMMYFUNCTION("""COMPUTED_VALUE"""),"thercio.brandao@mogi-group.com")</f>
        <v>thercio.brandao@mogi-group.com</v>
      </c>
      <c r="D89" s="244" t="str">
        <f>IFERROR(__xludf.DUMMYFUNCTION("""COMPUTED_VALUE"""),"thiago.martins@mogi-group.com")</f>
        <v>thiago.martins@mogi-group.com</v>
      </c>
      <c r="E89" s="103"/>
    </row>
    <row r="90">
      <c r="A90" s="2" t="s">
        <v>440</v>
      </c>
      <c r="B90" s="246"/>
      <c r="C90" s="246" t="str">
        <f>IFERROR(__xludf.DUMMYFUNCTION("""COMPUTED_VALUE"""),"thiago.martins@mogi-group.com")</f>
        <v>thiago.martins@mogi-group.com</v>
      </c>
      <c r="D90" s="247" t="str">
        <f>IFERROR(__xludf.DUMMYFUNCTION("""COMPUTED_VALUE"""),"timothy.naldo@mogi-group.com")</f>
        <v>timothy.naldo@mogi-group.com</v>
      </c>
      <c r="E90" s="246"/>
    </row>
    <row r="91">
      <c r="A91" s="231" t="s">
        <v>441</v>
      </c>
      <c r="B91" s="103"/>
      <c r="C91" s="103" t="str">
        <f>IFERROR(__xludf.DUMMYFUNCTION("""COMPUTED_VALUE"""),"timothy.naldo@mogi-group.com")</f>
        <v>timothy.naldo@mogi-group.com</v>
      </c>
      <c r="D91" s="244" t="str">
        <f>IFERROR(__xludf.DUMMYFUNCTION("""COMPUTED_VALUE"""),"tomas.mendez@mogi-group.com")</f>
        <v>tomas.mendez@mogi-group.com</v>
      </c>
      <c r="E91" s="103"/>
    </row>
    <row r="92">
      <c r="A92" s="237" t="s">
        <v>442</v>
      </c>
      <c r="B92" s="237"/>
      <c r="C92" s="237" t="str">
        <f>IFERROR(__xludf.DUMMYFUNCTION("""COMPUTED_VALUE"""),"tomas.mendez@mogi-group.com")</f>
        <v>tomas.mendez@mogi-group.com</v>
      </c>
      <c r="D92" s="245" t="str">
        <f>IFERROR(__xludf.DUMMYFUNCTION("""COMPUTED_VALUE"""),"valentin.cieur@mogi-group.com")</f>
        <v>valentin.cieur@mogi-group.com</v>
      </c>
      <c r="E92" s="237"/>
    </row>
    <row r="93">
      <c r="A93" s="231" t="s">
        <v>443</v>
      </c>
      <c r="B93" s="103"/>
      <c r="C93" s="103" t="str">
        <f>IFERROR(__xludf.DUMMYFUNCTION("""COMPUTED_VALUE"""),"valentin.cieur@mogi-group.com")</f>
        <v>valentin.cieur@mogi-group.com</v>
      </c>
      <c r="D93" s="243" t="str">
        <f>IFERROR(__xludf.DUMMYFUNCTION("""COMPUTED_VALUE"""),"valentin.covilar@mogi-group.com")</f>
        <v>valentin.covilar@mogi-group.com</v>
      </c>
      <c r="E93" s="103"/>
    </row>
    <row r="94">
      <c r="A94" s="231" t="s">
        <v>444</v>
      </c>
      <c r="B94" s="103"/>
      <c r="C94" s="103" t="str">
        <f>IFERROR(__xludf.DUMMYFUNCTION("""COMPUTED_VALUE"""),"valentin.covilar@mogi-group.com")</f>
        <v>valentin.covilar@mogi-group.com</v>
      </c>
      <c r="D94" s="243" t="str">
        <f>IFERROR(__xludf.DUMMYFUNCTION("""COMPUTED_VALUE"""),"vicky.wu@mogi-group.com")</f>
        <v>vicky.wu@mogi-group.com</v>
      </c>
      <c r="E94" s="103"/>
    </row>
    <row r="95">
      <c r="A95" s="237" t="s">
        <v>445</v>
      </c>
      <c r="B95" s="237"/>
      <c r="C95" s="237" t="str">
        <f>IFERROR(__xludf.DUMMYFUNCTION("""COMPUTED_VALUE"""),"vicky.wu@mogi-group.com")</f>
        <v>vicky.wu@mogi-group.com</v>
      </c>
      <c r="D95" s="245" t="str">
        <f>IFERROR(__xludf.DUMMYFUNCTION("""COMPUTED_VALUE"""),"vivianne.de-lima-mendonca@mogi-group.com")</f>
        <v>vivianne.de-lima-mendonca@mogi-group.com</v>
      </c>
      <c r="E95" s="237"/>
    </row>
    <row r="96">
      <c r="A96" s="231" t="s">
        <v>446</v>
      </c>
      <c r="B96" s="103"/>
      <c r="C96" s="103" t="str">
        <f>IFERROR(__xludf.DUMMYFUNCTION("""COMPUTED_VALUE"""),"vivianne.de-lima-mendonca@mogi-group.com")</f>
        <v>vivianne.de-lima-mendonca@mogi-group.com</v>
      </c>
      <c r="D96" s="243" t="str">
        <f>IFERROR(__xludf.DUMMYFUNCTION("""COMPUTED_VALUE"""),"vladimir.dolgov@mogi-group.com")</f>
        <v>vladimir.dolgov@mogi-group.com</v>
      </c>
      <c r="E96" s="103"/>
    </row>
    <row r="97">
      <c r="A97" s="231" t="s">
        <v>447</v>
      </c>
      <c r="B97" s="103"/>
      <c r="C97" s="103" t="str">
        <f>IFERROR(__xludf.DUMMYFUNCTION("""COMPUTED_VALUE"""),"vladimir.dolgov@mogi-group.com")</f>
        <v>vladimir.dolgov@mogi-group.com</v>
      </c>
      <c r="D97" s="243" t="str">
        <f>IFERROR(__xludf.DUMMYFUNCTION("""COMPUTED_VALUE"""),"wissal.dahir@mogi-group.com")</f>
        <v>wissal.dahir@mogi-group.com</v>
      </c>
      <c r="E97" s="103"/>
    </row>
    <row r="98">
      <c r="A98" s="231" t="s">
        <v>448</v>
      </c>
      <c r="B98" s="103"/>
      <c r="C98" s="103" t="str">
        <f>IFERROR(__xludf.DUMMYFUNCTION("""COMPUTED_VALUE"""),"wissal.dahir@mogi-group.com")</f>
        <v>wissal.dahir@mogi-group.com</v>
      </c>
      <c r="D98" s="243" t="str">
        <f>IFERROR(__xludf.DUMMYFUNCTION("""COMPUTED_VALUE"""),"xiogenys.pineda@mogi-group.com")</f>
        <v>xiogenys.pineda@mogi-group.com</v>
      </c>
      <c r="E98" s="103"/>
    </row>
    <row r="99">
      <c r="A99" s="231" t="s">
        <v>449</v>
      </c>
      <c r="B99" s="103"/>
      <c r="C99" s="103" t="str">
        <f>IFERROR(__xludf.DUMMYFUNCTION("""COMPUTED_VALUE"""),"xiogenys.pineda@mogi-group.com")</f>
        <v>xiogenys.pineda@mogi-group.com</v>
      </c>
      <c r="D99" s="243" t="str">
        <f>IFERROR(__xludf.DUMMYFUNCTION("""COMPUTED_VALUE"""),"yonatan.suhardi@mogi-group.com")</f>
        <v>yonatan.suhardi@mogi-group.com</v>
      </c>
      <c r="E99" s="103"/>
    </row>
    <row r="100">
      <c r="A100" s="237" t="s">
        <v>450</v>
      </c>
      <c r="B100" s="237"/>
      <c r="C100" s="237" t="str">
        <f>IFERROR(__xludf.DUMMYFUNCTION("""COMPUTED_VALUE"""),"yonatan.suhardi@mogi-group.com")</f>
        <v>yonatan.suhardi@mogi-group.com</v>
      </c>
      <c r="D100" s="248" t="str">
        <f>IFERROR(__xludf.DUMMYFUNCTION("""COMPUTED_VALUE"""),"yury.esin@mogi-group.com")</f>
        <v>yury.esin@mogi-group.com</v>
      </c>
      <c r="E100" s="237"/>
    </row>
    <row r="101">
      <c r="A101" s="231" t="s">
        <v>451</v>
      </c>
      <c r="B101" s="103"/>
      <c r="C101" s="103" t="str">
        <f>IFERROR(__xludf.DUMMYFUNCTION("""COMPUTED_VALUE"""),"yury.esin@mogi-group.com")</f>
        <v>yury.esin@mogi-group.com</v>
      </c>
      <c r="D101" s="244" t="str">
        <f>IFERROR(__xludf.DUMMYFUNCTION("""COMPUTED_VALUE"""),"zamzami.syadza@mogi-group.com")</f>
        <v>zamzami.syadza@mogi-group.com</v>
      </c>
      <c r="E101" s="103"/>
    </row>
    <row r="102">
      <c r="A102" s="231" t="s">
        <v>452</v>
      </c>
      <c r="B102" s="103"/>
      <c r="C102" s="103" t="str">
        <f>IFERROR(__xludf.DUMMYFUNCTION("""COMPUTED_VALUE"""),"zamzami.syadza@mogi-group.com")</f>
        <v>zamzami.syadza@mogi-group.com</v>
      </c>
      <c r="D102" s="244" t="str">
        <f>IFERROR(__xludf.DUMMYFUNCTION("""COMPUTED_VALUE"""),"zayad.ayassi@mogi-group.com")</f>
        <v>zayad.ayassi@mogi-group.com</v>
      </c>
      <c r="E102" s="103"/>
    </row>
    <row r="103">
      <c r="A103" s="234" t="s">
        <v>453</v>
      </c>
      <c r="B103" s="235"/>
      <c r="C103" s="235" t="str">
        <f>IFERROR(__xludf.DUMMYFUNCTION("""COMPUTED_VALUE"""),"zayad.ayassi@mogi-group.com")</f>
        <v>zayad.ayassi@mogi-group.com</v>
      </c>
      <c r="D103" s="245" t="str">
        <f>IFERROR(__xludf.DUMMYFUNCTION("""COMPUTED_VALUE"""),"zeljko.randic@mogi-group.com")</f>
        <v>zeljko.randic@mogi-group.com</v>
      </c>
      <c r="E103" s="235"/>
    </row>
    <row r="104">
      <c r="A104" s="230"/>
      <c r="B104" s="230" t="s">
        <v>376</v>
      </c>
      <c r="C104" s="103" t="str">
        <f>IFERROR(__xludf.DUMMYFUNCTION("""COMPUTED_VALUE"""),"zeljko.randic@mogi-group.com")</f>
        <v>zeljko.randic@mogi-group.com</v>
      </c>
      <c r="D104" s="244" t="str">
        <f>IFERROR(__xludf.DUMMYFUNCTION("""COMPUTED_VALUE"""),"zul-emyr.pinera@mogi-group.com")</f>
        <v>zul-emyr.pinera@mogi-group.com</v>
      </c>
      <c r="E104" s="103"/>
    </row>
    <row r="105">
      <c r="A105" s="149"/>
      <c r="B105" s="230" t="s">
        <v>376</v>
      </c>
      <c r="C105" s="103" t="str">
        <f>IFERROR(__xludf.DUMMYFUNCTION("""COMPUTED_VALUE"""),"zul-emyr.pinera@mogi-group.com")</f>
        <v>zul-emyr.pinera@mogi-group.com</v>
      </c>
      <c r="D105" s="244" t="str">
        <f>IFERROR(__xludf.DUMMYFUNCTION("""COMPUTED_VALUE"""),"paultre-stuart.beaucejour@mogi-group.com")</f>
        <v>paultre-stuart.beaucejour@mogi-group.com</v>
      </c>
      <c r="E105" s="103"/>
    </row>
    <row r="106">
      <c r="A106" s="249" t="s">
        <v>454</v>
      </c>
      <c r="B106" s="250"/>
      <c r="C106" s="250" t="str">
        <f>IFERROR(__xludf.DUMMYFUNCTION("""COMPUTED_VALUE"""),"paultre-stuart.beaucejour@mogi-group.com")</f>
        <v>paultre-stuart.beaucejour@mogi-group.com</v>
      </c>
      <c r="D106" s="251" t="str">
        <f>IFERROR(__xludf.DUMMYFUNCTION("""COMPUTED_VALUE"""),"nicho.ferrero@mogi-group.com")</f>
        <v>nicho.ferrero@mogi-group.com</v>
      </c>
      <c r="E106" s="250"/>
    </row>
    <row r="107">
      <c r="A107" s="237" t="s">
        <v>455</v>
      </c>
      <c r="B107" s="237"/>
      <c r="C107" s="237" t="str">
        <f>IFERROR(__xludf.DUMMYFUNCTION("""COMPUTED_VALUE"""),"nicho.ferrero@mogi-group.com")</f>
        <v>nicho.ferrero@mogi-group.com</v>
      </c>
      <c r="D107" s="252" t="str">
        <f>IFERROR(__xludf.DUMMYFUNCTION("""COMPUTED_VALUE"""),"kaelen.bandao@mogi-group.com")</f>
        <v>kaelen.bandao@mogi-group.com</v>
      </c>
      <c r="E107" s="237"/>
    </row>
    <row r="108">
      <c r="A108" s="231" t="s">
        <v>456</v>
      </c>
      <c r="B108" s="103"/>
      <c r="C108" s="103" t="str">
        <f>IFERROR(__xludf.DUMMYFUNCTION("""COMPUTED_VALUE"""),"kaelen.bandao@mogi-group.com")</f>
        <v>kaelen.bandao@mogi-group.com</v>
      </c>
      <c r="D108" s="253" t="str">
        <f>IFERROR(__xludf.DUMMYFUNCTION("""COMPUTED_VALUE"""),"katherine.veneracion@mogi-group.com")</f>
        <v>katherine.veneracion@mogi-group.com</v>
      </c>
      <c r="E108" s="103"/>
    </row>
    <row r="109">
      <c r="A109" s="230"/>
      <c r="B109" s="230" t="s">
        <v>376</v>
      </c>
      <c r="C109" s="103" t="str">
        <f>IFERROR(__xludf.DUMMYFUNCTION("""COMPUTED_VALUE"""),"katherine.veneracion@mogi-group.com")</f>
        <v>katherine.veneracion@mogi-group.com</v>
      </c>
      <c r="D109" s="244" t="str">
        <f>IFERROR(__xludf.DUMMYFUNCTION("""COMPUTED_VALUE"""),"rachel.cruz@mogi-group.com")</f>
        <v>rachel.cruz@mogi-group.com</v>
      </c>
      <c r="E109" s="103"/>
    </row>
    <row r="110">
      <c r="A110" s="231" t="s">
        <v>457</v>
      </c>
      <c r="B110" s="103"/>
      <c r="C110" s="103" t="str">
        <f>IFERROR(__xludf.DUMMYFUNCTION("""COMPUTED_VALUE"""),"rachel.cruz@mogi-group.com")</f>
        <v>rachel.cruz@mogi-group.com</v>
      </c>
      <c r="D110" s="253" t="str">
        <f>IFERROR(__xludf.DUMMYFUNCTION("""COMPUTED_VALUE"""),"rafael.palmieri@mogi-group.com")</f>
        <v>rafael.palmieri@mogi-group.com</v>
      </c>
      <c r="E110" s="103"/>
    </row>
    <row r="111">
      <c r="A111" s="231" t="s">
        <v>458</v>
      </c>
      <c r="B111" s="103"/>
      <c r="C111" s="103" t="str">
        <f>IFERROR(__xludf.DUMMYFUNCTION("""COMPUTED_VALUE"""),"rafael.palmieri@mogi-group.com")</f>
        <v>rafael.palmieri@mogi-group.com</v>
      </c>
      <c r="D111" s="244" t="str">
        <f>IFERROR(__xludf.DUMMYFUNCTION("""COMPUTED_VALUE"""),"farouk.saboula@mogi-group.com")</f>
        <v>farouk.saboula@mogi-group.com</v>
      </c>
      <c r="E111" s="103"/>
    </row>
    <row r="112">
      <c r="A112" s="238"/>
      <c r="B112" s="230" t="s">
        <v>376</v>
      </c>
      <c r="C112" s="103" t="str">
        <f>IFERROR(__xludf.DUMMYFUNCTION("""COMPUTED_VALUE"""),"farouk.saboula@mogi-group.com")</f>
        <v>farouk.saboula@mogi-group.com</v>
      </c>
      <c r="D112" s="253" t="str">
        <f>IFERROR(__xludf.DUMMYFUNCTION("""COMPUTED_VALUE"""),"jose.candellero@mogi-group.com")</f>
        <v>jose.candellero@mogi-group.com</v>
      </c>
      <c r="E112" s="103"/>
    </row>
    <row r="113">
      <c r="A113" s="231" t="s">
        <v>459</v>
      </c>
      <c r="B113" s="103"/>
      <c r="C113" s="103" t="str">
        <f>IFERROR(__xludf.DUMMYFUNCTION("""COMPUTED_VALUE"""),"jose.candellero@mogi-group.com")</f>
        <v>jose.candellero@mogi-group.com</v>
      </c>
      <c r="D113" s="253" t="str">
        <f>IFERROR(__xludf.DUMMYFUNCTION("""COMPUTED_VALUE"""),"hamza.benchreik@mogi-group.com")</f>
        <v>hamza.benchreik@mogi-group.com</v>
      </c>
      <c r="E113" s="103"/>
    </row>
    <row r="114">
      <c r="A114" s="231" t="s">
        <v>460</v>
      </c>
      <c r="B114" s="103"/>
      <c r="C114" s="103" t="str">
        <f>IFERROR(__xludf.DUMMYFUNCTION("""COMPUTED_VALUE"""),"hamza.benchreik@mogi-group.com")</f>
        <v>hamza.benchreik@mogi-group.com</v>
      </c>
      <c r="D114" s="253"/>
      <c r="E114" s="103"/>
    </row>
    <row r="115">
      <c r="A115" s="231" t="s">
        <v>461</v>
      </c>
      <c r="B115" s="103"/>
      <c r="C115" s="103"/>
      <c r="D115" s="103"/>
      <c r="E115" s="103"/>
    </row>
    <row r="116">
      <c r="A116" s="230"/>
      <c r="B116" s="230" t="s">
        <v>376</v>
      </c>
      <c r="C116" s="103"/>
      <c r="D116" s="103"/>
      <c r="E116" s="103"/>
    </row>
    <row r="117">
      <c r="A117" s="231" t="s">
        <v>462</v>
      </c>
      <c r="B117" s="103"/>
      <c r="C117" s="103"/>
      <c r="D117" s="103"/>
      <c r="E117" s="103"/>
    </row>
    <row r="118">
      <c r="A118" s="231" t="s">
        <v>463</v>
      </c>
      <c r="B118" s="103"/>
      <c r="C118" s="103"/>
      <c r="D118" s="103"/>
      <c r="E118" s="103"/>
    </row>
    <row r="119">
      <c r="A119" s="231" t="s">
        <v>464</v>
      </c>
      <c r="B119" s="103"/>
      <c r="C119" s="103"/>
      <c r="D119" s="103"/>
      <c r="E119" s="103"/>
    </row>
    <row r="120">
      <c r="A120" s="231" t="s">
        <v>465</v>
      </c>
      <c r="B120" s="103"/>
      <c r="C120" s="103"/>
      <c r="D120" s="103"/>
      <c r="E120" s="103"/>
    </row>
    <row r="121">
      <c r="A121" s="103" t="s">
        <v>466</v>
      </c>
      <c r="B121" s="103"/>
      <c r="C121" s="103"/>
      <c r="D121" s="103"/>
      <c r="E121" s="103"/>
    </row>
    <row r="122">
      <c r="A122" s="230"/>
      <c r="B122" s="230" t="s">
        <v>376</v>
      </c>
      <c r="C122" s="103"/>
      <c r="D122" s="103"/>
      <c r="E122" s="103"/>
    </row>
    <row r="123">
      <c r="A123" s="231" t="s">
        <v>467</v>
      </c>
      <c r="B123" s="103"/>
      <c r="C123" s="103"/>
      <c r="D123" s="103"/>
      <c r="E123" s="103"/>
    </row>
    <row r="124">
      <c r="A124" s="237" t="s">
        <v>468</v>
      </c>
      <c r="B124" s="237"/>
      <c r="C124" s="237"/>
      <c r="D124" s="237"/>
      <c r="E124" s="237"/>
    </row>
    <row r="125">
      <c r="A125" s="230"/>
      <c r="B125" s="230" t="s">
        <v>376</v>
      </c>
      <c r="C125" s="103"/>
      <c r="D125" s="103"/>
      <c r="E125" s="103"/>
    </row>
    <row r="126">
      <c r="A126" s="231" t="s">
        <v>469</v>
      </c>
      <c r="B126" s="103"/>
      <c r="C126" s="103"/>
      <c r="D126" s="103"/>
      <c r="E126" s="103"/>
    </row>
    <row r="127">
      <c r="A127" s="237" t="s">
        <v>470</v>
      </c>
      <c r="B127" s="237"/>
      <c r="C127" s="237"/>
      <c r="D127" s="237"/>
      <c r="E127" s="237"/>
    </row>
    <row r="128">
      <c r="A128" s="237" t="s">
        <v>471</v>
      </c>
      <c r="B128" s="237"/>
      <c r="C128" s="237"/>
      <c r="D128" s="237"/>
      <c r="E128" s="237"/>
    </row>
    <row r="129">
      <c r="A129" s="231" t="s">
        <v>472</v>
      </c>
      <c r="B129" s="103"/>
      <c r="C129" s="103"/>
      <c r="D129" s="103"/>
      <c r="E129" s="103"/>
    </row>
    <row r="130">
      <c r="A130" s="230"/>
      <c r="B130" s="230" t="s">
        <v>376</v>
      </c>
      <c r="C130" s="103"/>
      <c r="D130" s="103"/>
      <c r="E130" s="103"/>
    </row>
    <row r="131">
      <c r="A131" s="231" t="s">
        <v>473</v>
      </c>
      <c r="B131" s="103"/>
      <c r="C131" s="103"/>
      <c r="D131" s="103"/>
      <c r="E131" s="103"/>
    </row>
    <row r="132">
      <c r="A132" s="231" t="s">
        <v>474</v>
      </c>
      <c r="B132" s="103"/>
      <c r="C132" s="103"/>
      <c r="D132" s="103"/>
      <c r="E132" s="103"/>
    </row>
    <row r="133">
      <c r="A133" s="254" t="s">
        <v>475</v>
      </c>
      <c r="B133" s="235"/>
      <c r="C133" s="235"/>
      <c r="D133" s="235"/>
      <c r="E133" s="235"/>
    </row>
    <row r="134">
      <c r="A134" s="166" t="s">
        <v>476</v>
      </c>
      <c r="B134" s="237"/>
      <c r="C134" s="237"/>
      <c r="D134" s="237"/>
      <c r="E134" s="237"/>
    </row>
    <row r="135">
      <c r="A135" s="231" t="s">
        <v>477</v>
      </c>
      <c r="B135" s="103"/>
      <c r="C135" s="103"/>
      <c r="D135" s="103"/>
      <c r="E135" s="103"/>
    </row>
    <row r="136">
      <c r="A136" s="234" t="s">
        <v>478</v>
      </c>
      <c r="B136" s="235"/>
      <c r="C136" s="235"/>
      <c r="D136" s="235"/>
      <c r="E136" s="235"/>
    </row>
    <row r="137">
      <c r="A137" s="166" t="s">
        <v>479</v>
      </c>
      <c r="B137" s="237"/>
      <c r="C137" s="237"/>
      <c r="D137" s="237"/>
      <c r="E137" s="237"/>
    </row>
    <row r="138">
      <c r="A138" s="166" t="s">
        <v>480</v>
      </c>
      <c r="B138" s="237"/>
      <c r="C138" s="237"/>
      <c r="D138" s="237"/>
      <c r="E138" s="237"/>
    </row>
    <row r="139">
      <c r="A139" s="166" t="s">
        <v>481</v>
      </c>
      <c r="B139" s="237"/>
      <c r="C139" s="237"/>
      <c r="D139" s="237"/>
      <c r="E139" s="237"/>
    </row>
    <row r="140">
      <c r="A140" s="166" t="s">
        <v>482</v>
      </c>
      <c r="B140" s="237"/>
      <c r="C140" s="237"/>
      <c r="D140" s="237"/>
      <c r="E140" s="237"/>
    </row>
    <row r="141">
      <c r="A141" s="166" t="s">
        <v>483</v>
      </c>
      <c r="B141" s="237"/>
      <c r="C141" s="237"/>
      <c r="D141" s="237"/>
      <c r="E141" s="237"/>
    </row>
    <row r="142">
      <c r="A142" s="166" t="s">
        <v>484</v>
      </c>
      <c r="B142" s="237"/>
      <c r="C142" s="237"/>
      <c r="D142" s="237"/>
      <c r="E142" s="237"/>
    </row>
    <row r="143">
      <c r="A143" s="166" t="s">
        <v>485</v>
      </c>
      <c r="B143" s="237"/>
      <c r="C143" s="237"/>
      <c r="D143" s="237"/>
      <c r="E143" s="237"/>
    </row>
    <row r="144">
      <c r="A144" s="166" t="s">
        <v>486</v>
      </c>
      <c r="B144" s="237"/>
      <c r="C144" s="237"/>
      <c r="D144" s="237"/>
      <c r="E144" s="237"/>
    </row>
    <row r="145">
      <c r="A145" s="166" t="s">
        <v>487</v>
      </c>
      <c r="B145" s="237"/>
      <c r="C145" s="237"/>
      <c r="D145" s="237"/>
      <c r="E145" s="237"/>
    </row>
    <row r="146">
      <c r="A146" s="166"/>
      <c r="B146" s="237"/>
      <c r="C146" s="237"/>
      <c r="D146" s="237"/>
      <c r="E146" s="237"/>
    </row>
    <row r="147">
      <c r="A147" s="166"/>
      <c r="B147" s="237"/>
      <c r="C147" s="237"/>
      <c r="D147" s="237"/>
      <c r="E147" s="237"/>
    </row>
  </sheetData>
  <customSheetViews>
    <customSheetView guid="{4D3C7CA0-ACCC-4F50-A3C6-515B47606797}" filter="1" showAutoFilter="1">
      <autoFilter ref="$D$5:$D$6"/>
    </customSheetView>
  </customSheetViews>
  <conditionalFormatting sqref="A130">
    <cfRule type="expression" dxfId="7" priority="1">
      <formula>ISEVEN(ROW())</formula>
    </cfRule>
  </conditionalFormatting>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D9D9"/>
    <outlinePr summaryBelow="0" summaryRight="0"/>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4.43" defaultRowHeight="15.75" outlineLevelCol="1" outlineLevelRow="1"/>
  <cols>
    <col customWidth="1" min="1" max="1" width="23.29"/>
    <col customWidth="1" min="2" max="3" width="41.43"/>
    <col customWidth="1" min="4" max="5" width="7.86"/>
    <col customWidth="1" min="6" max="6" width="9.43"/>
    <col customWidth="1" min="7" max="7" width="12.0"/>
    <col customWidth="1" min="8" max="8" width="12.57"/>
    <col customWidth="1" min="9" max="10" width="4.0"/>
    <col customWidth="1" min="11" max="11" width="6.29"/>
    <col customWidth="1" min="12" max="12" width="9.86"/>
    <col customWidth="1" min="13" max="13" width="11.14"/>
    <col customWidth="1" min="14" max="17" width="4.86"/>
    <col customWidth="1" min="18" max="19" width="5.86"/>
    <col customWidth="1" min="20" max="20" width="12.86"/>
    <col customWidth="1" min="21" max="24" width="5.86"/>
    <col customWidth="1" min="25" max="25" width="10.0"/>
    <col customWidth="1" min="26" max="33" width="5.86"/>
    <col customWidth="1" min="34" max="40" width="5.86" outlineLevel="1"/>
    <col customWidth="1" min="41" max="41" width="9.71"/>
    <col customWidth="1" min="42" max="43" width="5.86"/>
  </cols>
  <sheetData>
    <row r="1" ht="39.75" customHeight="1">
      <c r="A1" s="255" t="s">
        <v>488</v>
      </c>
      <c r="B1" s="256" t="s">
        <v>373</v>
      </c>
      <c r="C1" s="257" t="s">
        <v>489</v>
      </c>
      <c r="D1" s="257" t="s">
        <v>490</v>
      </c>
      <c r="E1" s="257" t="s">
        <v>87</v>
      </c>
      <c r="F1" s="257" t="s">
        <v>99</v>
      </c>
      <c r="G1" s="257" t="s">
        <v>100</v>
      </c>
      <c r="H1" s="258" t="s">
        <v>491</v>
      </c>
      <c r="I1" s="259" t="s">
        <v>492</v>
      </c>
      <c r="J1" s="259" t="s">
        <v>493</v>
      </c>
      <c r="K1" s="257" t="s">
        <v>494</v>
      </c>
      <c r="L1" s="257" t="s">
        <v>495</v>
      </c>
      <c r="M1" s="260" t="s">
        <v>185</v>
      </c>
      <c r="N1" s="261" t="s">
        <v>496</v>
      </c>
      <c r="O1" s="257" t="s">
        <v>497</v>
      </c>
      <c r="P1" s="257" t="s">
        <v>498</v>
      </c>
      <c r="Q1" s="257" t="s">
        <v>499</v>
      </c>
      <c r="R1" s="257" t="s">
        <v>500</v>
      </c>
      <c r="S1" s="257" t="s">
        <v>501</v>
      </c>
      <c r="T1" s="257" t="s">
        <v>502</v>
      </c>
      <c r="U1" s="257" t="s">
        <v>503</v>
      </c>
      <c r="V1" s="257" t="s">
        <v>504</v>
      </c>
      <c r="W1" s="257" t="s">
        <v>505</v>
      </c>
      <c r="X1" s="257" t="s">
        <v>506</v>
      </c>
      <c r="Y1" s="257" t="s">
        <v>507</v>
      </c>
      <c r="Z1" s="257" t="s">
        <v>508</v>
      </c>
      <c r="AA1" s="257" t="s">
        <v>509</v>
      </c>
      <c r="AB1" s="257" t="s">
        <v>510</v>
      </c>
      <c r="AC1" s="262" t="s">
        <v>511</v>
      </c>
      <c r="AD1" s="263" t="s">
        <v>512</v>
      </c>
      <c r="AE1" s="263" t="s">
        <v>513</v>
      </c>
      <c r="AF1" s="263" t="s">
        <v>514</v>
      </c>
      <c r="AG1" s="257" t="s">
        <v>515</v>
      </c>
      <c r="AH1" s="264" t="s">
        <v>516</v>
      </c>
      <c r="AI1" s="264" t="s">
        <v>517</v>
      </c>
      <c r="AJ1" s="264" t="s">
        <v>518</v>
      </c>
      <c r="AK1" s="264" t="s">
        <v>519</v>
      </c>
      <c r="AL1" s="264" t="s">
        <v>520</v>
      </c>
      <c r="AM1" s="264" t="s">
        <v>521</v>
      </c>
      <c r="AN1" s="264" t="s">
        <v>522</v>
      </c>
      <c r="AO1" s="265" t="s">
        <v>523</v>
      </c>
      <c r="AP1" s="265" t="s">
        <v>524</v>
      </c>
      <c r="AQ1" s="265" t="s">
        <v>183</v>
      </c>
    </row>
    <row r="2" outlineLevel="1">
      <c r="A2" s="111" t="s">
        <v>115</v>
      </c>
      <c r="B2" s="266" t="s">
        <v>449</v>
      </c>
      <c r="C2" s="111" t="s">
        <v>449</v>
      </c>
      <c r="D2" s="111" t="s">
        <v>525</v>
      </c>
      <c r="E2" s="111" t="s">
        <v>88</v>
      </c>
      <c r="F2" s="111" t="s">
        <v>98</v>
      </c>
      <c r="G2" s="111" t="s">
        <v>105</v>
      </c>
      <c r="H2" s="267">
        <v>44256.0</v>
      </c>
      <c r="I2" s="268">
        <f>IFERROR(__xludf.DUMMYFUNCTION("countif(FILTER(FILTER(Shiftplan!D$7:BJ$67,Shiftplan!$A$7:$A$67&lt;=Shiftplan!$A$67),Shiftplan!$D$6:$BJ$6=A2),""&gt;0"")"),43.0)</f>
        <v>43</v>
      </c>
      <c r="J2" s="111">
        <f>VLOOKUP(A2,'Shiftplan SoS'!A:F,6,false)</f>
        <v>82</v>
      </c>
      <c r="K2" s="268">
        <f t="shared" ref="K2:K14" si="1">sum(I2:J2)</f>
        <v>125</v>
      </c>
      <c r="L2" s="111" t="s">
        <v>526</v>
      </c>
      <c r="M2" s="269" t="str">
        <f t="shared" ref="M2:M14" si="2">ifs(K2&lt;3, "0",K2&lt;6, "1",K2&lt;10, "2",K2&lt;15, "3",K2&lt;20, "4",K2&lt;41, "5",K2&lt;62, "6",K2&lt;83, "7",K2&lt;104, "8",K2&lt;125, "9")</f>
        <v>#N/A</v>
      </c>
      <c r="N2" s="270" t="str">
        <f t="shared" ref="N2:N19" si="3">ifs(M2="0", "0",M2="1", "10",M2="2", "20",M2="3", "25",M2="4", "30",M2="5", "40",M2="6", "50",M2&gt;6, "60")</f>
        <v>#N/A</v>
      </c>
      <c r="O2" s="111" t="str">
        <f t="shared" ref="O2:O19" si="4">ifs(M2="0", "-",M2="1", "-",M2="2", "20",M2="3", "20",M2="4", "15",M2="5", "10",M2="6", "5",M2&gt;6, "0")</f>
        <v>#N/A</v>
      </c>
      <c r="P2" s="111" t="str">
        <f t="shared" ref="P2:P19" si="5">ifs(M2="0", "-",M2="1", "-",M2="2", "10",M2="3", "10",M2="4", "10",M2="5", "5",M2&gt;5, "0")</f>
        <v>#N/A</v>
      </c>
      <c r="Q2" s="111" t="str">
        <f t="shared" ref="Q2:Q19" si="6">ifs(M2="0", "-",M2="1", "-",M2="2", "30",M2="3", "30",M2="4", "30",M2="5", "25",M2="6", "20",M2="7", "15",M2="8", "10",M2="9", "5")</f>
        <v>#N/A</v>
      </c>
      <c r="R2" s="111" t="s">
        <v>527</v>
      </c>
      <c r="S2" s="271" t="s">
        <v>528</v>
      </c>
      <c r="T2" s="271" t="s">
        <v>529</v>
      </c>
      <c r="U2" s="271" t="s">
        <v>530</v>
      </c>
      <c r="V2" s="111" t="s">
        <v>527</v>
      </c>
      <c r="W2" s="271" t="s">
        <v>527</v>
      </c>
      <c r="X2" s="111" t="s">
        <v>527</v>
      </c>
      <c r="Y2" s="111" t="s">
        <v>531</v>
      </c>
      <c r="Z2" s="111" t="s">
        <v>532</v>
      </c>
      <c r="AA2" s="111">
        <v>645.0</v>
      </c>
      <c r="AB2" s="111">
        <v>3.014975877662E12</v>
      </c>
      <c r="AC2" s="272"/>
      <c r="AD2" s="111" t="s">
        <v>527</v>
      </c>
      <c r="AE2" s="111" t="s">
        <v>527</v>
      </c>
      <c r="AF2" s="111" t="s">
        <v>527</v>
      </c>
      <c r="AG2" s="111" t="s">
        <v>527</v>
      </c>
      <c r="AH2" s="273"/>
      <c r="AI2" s="273"/>
      <c r="AJ2" s="273"/>
      <c r="AK2" s="273"/>
      <c r="AL2" s="273"/>
      <c r="AM2" s="273"/>
      <c r="AN2" s="273"/>
      <c r="AO2" s="111" t="s">
        <v>533</v>
      </c>
      <c r="AP2" s="111" t="s">
        <v>534</v>
      </c>
      <c r="AQ2" s="111"/>
    </row>
    <row r="3" outlineLevel="1">
      <c r="A3" s="274" t="s">
        <v>111</v>
      </c>
      <c r="B3" s="275" t="s">
        <v>407</v>
      </c>
      <c r="C3" s="276" t="s">
        <v>535</v>
      </c>
      <c r="D3" s="276" t="s">
        <v>525</v>
      </c>
      <c r="E3" s="276" t="s">
        <v>88</v>
      </c>
      <c r="F3" s="276" t="s">
        <v>98</v>
      </c>
      <c r="G3" s="276" t="s">
        <v>105</v>
      </c>
      <c r="H3" s="277">
        <v>44256.0</v>
      </c>
      <c r="I3" s="278">
        <f>IFERROR(__xludf.DUMMYFUNCTION("countif(FILTER(FILTER(Shiftplan!D$7:BJ$67,Shiftplan!$A$7:$A$67&lt;=Shiftplan!$A$67),Shiftplan!$D$6:$BJ$6=A3),""&gt;0"")"),42.0)</f>
        <v>42</v>
      </c>
      <c r="J3" s="276">
        <f>VLOOKUP(A3,'Shiftplan SoS'!A:F,6,false)</f>
        <v>48</v>
      </c>
      <c r="K3" s="278">
        <f t="shared" si="1"/>
        <v>90</v>
      </c>
      <c r="L3" s="276" t="s">
        <v>526</v>
      </c>
      <c r="M3" s="279" t="str">
        <f t="shared" si="2"/>
        <v>8</v>
      </c>
      <c r="N3" s="280" t="str">
        <f t="shared" si="3"/>
        <v>60</v>
      </c>
      <c r="O3" s="276" t="str">
        <f t="shared" si="4"/>
        <v>0</v>
      </c>
      <c r="P3" s="276" t="str">
        <f t="shared" si="5"/>
        <v>0</v>
      </c>
      <c r="Q3" s="276" t="str">
        <f t="shared" si="6"/>
        <v>10</v>
      </c>
      <c r="R3" s="276" t="s">
        <v>527</v>
      </c>
      <c r="S3" s="281" t="s">
        <v>528</v>
      </c>
      <c r="T3" s="281" t="s">
        <v>536</v>
      </c>
      <c r="U3" s="281" t="s">
        <v>537</v>
      </c>
      <c r="V3" s="276" t="s">
        <v>527</v>
      </c>
      <c r="W3" s="281" t="s">
        <v>527</v>
      </c>
      <c r="X3" s="276" t="s">
        <v>527</v>
      </c>
      <c r="Y3" s="276" t="s">
        <v>538</v>
      </c>
      <c r="Z3" s="276" t="s">
        <v>539</v>
      </c>
      <c r="AA3" s="276">
        <v>645.0</v>
      </c>
      <c r="AB3" s="276">
        <v>3.011174095459E12</v>
      </c>
      <c r="AC3" s="282" t="s">
        <v>540</v>
      </c>
      <c r="AD3" s="276" t="s">
        <v>527</v>
      </c>
      <c r="AE3" s="276" t="s">
        <v>527</v>
      </c>
      <c r="AF3" s="276" t="s">
        <v>527</v>
      </c>
      <c r="AG3" s="276" t="s">
        <v>527</v>
      </c>
      <c r="AH3" s="274"/>
      <c r="AI3" s="274"/>
      <c r="AJ3" s="274"/>
      <c r="AK3" s="274"/>
      <c r="AL3" s="274"/>
      <c r="AM3" s="274"/>
      <c r="AN3" s="274"/>
      <c r="AO3" s="276" t="s">
        <v>541</v>
      </c>
      <c r="AP3" s="276" t="s">
        <v>542</v>
      </c>
      <c r="AQ3" s="276"/>
    </row>
    <row r="4" outlineLevel="1">
      <c r="A4" s="273" t="s">
        <v>118</v>
      </c>
      <c r="B4" s="283" t="s">
        <v>423</v>
      </c>
      <c r="C4" s="111" t="s">
        <v>423</v>
      </c>
      <c r="D4" s="111" t="s">
        <v>525</v>
      </c>
      <c r="E4" s="111" t="s">
        <v>88</v>
      </c>
      <c r="F4" s="111" t="s">
        <v>97</v>
      </c>
      <c r="G4" s="111" t="s">
        <v>189</v>
      </c>
      <c r="H4" s="267">
        <v>44256.0</v>
      </c>
      <c r="I4" s="268">
        <f>IFERROR(__xludf.DUMMYFUNCTION("countif(FILTER(FILTER(Shiftplan!D$7:BJ$67,Shiftplan!$A$7:$A$67&lt;=Shiftplan!$A$67),Shiftplan!$D$6:$BJ$6=A4),""&gt;0"")"),18.0)</f>
        <v>18</v>
      </c>
      <c r="J4" s="111">
        <f>VLOOKUP(A4,'Shiftplan SoS'!A:F,6,false)</f>
        <v>36</v>
      </c>
      <c r="K4" s="268">
        <f t="shared" si="1"/>
        <v>54</v>
      </c>
      <c r="L4" s="111" t="s">
        <v>526</v>
      </c>
      <c r="M4" s="269" t="str">
        <f t="shared" si="2"/>
        <v>6</v>
      </c>
      <c r="N4" s="270" t="str">
        <f t="shared" si="3"/>
        <v>50</v>
      </c>
      <c r="O4" s="111" t="str">
        <f t="shared" si="4"/>
        <v>5</v>
      </c>
      <c r="P4" s="111" t="str">
        <f t="shared" si="5"/>
        <v>0</v>
      </c>
      <c r="Q4" s="111" t="str">
        <f t="shared" si="6"/>
        <v>20</v>
      </c>
      <c r="R4" s="111" t="s">
        <v>527</v>
      </c>
      <c r="S4" s="271" t="s">
        <v>528</v>
      </c>
      <c r="T4" s="271" t="s">
        <v>543</v>
      </c>
      <c r="U4" s="271" t="s">
        <v>118</v>
      </c>
      <c r="V4" s="111" t="s">
        <v>527</v>
      </c>
      <c r="W4" s="271" t="s">
        <v>527</v>
      </c>
      <c r="X4" s="111" t="s">
        <v>527</v>
      </c>
      <c r="Y4" s="111" t="s">
        <v>544</v>
      </c>
      <c r="Z4" s="111" t="s">
        <v>545</v>
      </c>
      <c r="AA4" s="111">
        <v>645.0</v>
      </c>
      <c r="AB4" s="111">
        <v>3.01197589526E12</v>
      </c>
      <c r="AC4" s="272"/>
      <c r="AD4" s="273"/>
      <c r="AE4" s="273"/>
      <c r="AF4" s="273"/>
      <c r="AG4" s="273"/>
      <c r="AH4" s="273"/>
      <c r="AI4" s="273"/>
      <c r="AJ4" s="273"/>
      <c r="AK4" s="273"/>
      <c r="AL4" s="273"/>
      <c r="AM4" s="273"/>
      <c r="AN4" s="273"/>
      <c r="AO4" s="111" t="s">
        <v>546</v>
      </c>
      <c r="AP4" s="111" t="s">
        <v>547</v>
      </c>
      <c r="AQ4" s="111" t="s">
        <v>190</v>
      </c>
    </row>
    <row r="5" outlineLevel="1">
      <c r="A5" s="274" t="s">
        <v>110</v>
      </c>
      <c r="B5" s="275" t="s">
        <v>427</v>
      </c>
      <c r="C5" s="276" t="s">
        <v>548</v>
      </c>
      <c r="D5" s="276" t="s">
        <v>525</v>
      </c>
      <c r="E5" s="276" t="s">
        <v>88</v>
      </c>
      <c r="F5" s="276" t="s">
        <v>98</v>
      </c>
      <c r="G5" s="276" t="s">
        <v>189</v>
      </c>
      <c r="H5" s="277">
        <v>44256.0</v>
      </c>
      <c r="I5" s="278">
        <f>IFERROR(__xludf.DUMMYFUNCTION("countif(FILTER(FILTER(Shiftplan!D$7:BJ$67,Shiftplan!$A$7:$A$67&lt;=Shiftplan!$A$67),Shiftplan!$D$6:$BJ$6=A5),""&gt;0"")"),45.0)</f>
        <v>45</v>
      </c>
      <c r="J5" s="276">
        <f>VLOOKUP(A5,'Shiftplan SoS'!A:F,6,false)</f>
        <v>82</v>
      </c>
      <c r="K5" s="278">
        <f t="shared" si="1"/>
        <v>127</v>
      </c>
      <c r="L5" s="276" t="s">
        <v>526</v>
      </c>
      <c r="M5" s="279" t="str">
        <f t="shared" si="2"/>
        <v>#N/A</v>
      </c>
      <c r="N5" s="280" t="str">
        <f t="shared" si="3"/>
        <v>#N/A</v>
      </c>
      <c r="O5" s="276" t="str">
        <f t="shared" si="4"/>
        <v>#N/A</v>
      </c>
      <c r="P5" s="276" t="str">
        <f t="shared" si="5"/>
        <v>#N/A</v>
      </c>
      <c r="Q5" s="276" t="str">
        <f t="shared" si="6"/>
        <v>#N/A</v>
      </c>
      <c r="R5" s="276" t="s">
        <v>527</v>
      </c>
      <c r="S5" s="281" t="s">
        <v>528</v>
      </c>
      <c r="T5" s="281" t="s">
        <v>549</v>
      </c>
      <c r="U5" s="281" t="s">
        <v>550</v>
      </c>
      <c r="V5" s="276" t="s">
        <v>527</v>
      </c>
      <c r="W5" s="281" t="s">
        <v>527</v>
      </c>
      <c r="X5" s="276" t="s">
        <v>527</v>
      </c>
      <c r="Y5" s="276" t="s">
        <v>551</v>
      </c>
      <c r="Z5" s="276" t="s">
        <v>552</v>
      </c>
      <c r="AA5" s="276">
        <v>645.0</v>
      </c>
      <c r="AB5" s="276">
        <v>3.018475888125E12</v>
      </c>
      <c r="AC5" s="284"/>
      <c r="AD5" s="274"/>
      <c r="AE5" s="274"/>
      <c r="AF5" s="274"/>
      <c r="AG5" s="274"/>
      <c r="AH5" s="274"/>
      <c r="AI5" s="274"/>
      <c r="AJ5" s="274"/>
      <c r="AK5" s="274"/>
      <c r="AL5" s="274"/>
      <c r="AM5" s="274"/>
      <c r="AN5" s="274"/>
      <c r="AO5" s="276" t="s">
        <v>553</v>
      </c>
      <c r="AP5" s="276" t="s">
        <v>554</v>
      </c>
      <c r="AQ5" s="276" t="s">
        <v>190</v>
      </c>
    </row>
    <row r="6" outlineLevel="1">
      <c r="A6" s="273" t="s">
        <v>119</v>
      </c>
      <c r="B6" s="266" t="s">
        <v>434</v>
      </c>
      <c r="C6" s="111" t="s">
        <v>555</v>
      </c>
      <c r="D6" s="111" t="s">
        <v>525</v>
      </c>
      <c r="E6" s="111" t="s">
        <v>88</v>
      </c>
      <c r="F6" s="111" t="s">
        <v>192</v>
      </c>
      <c r="G6" s="111" t="s">
        <v>199</v>
      </c>
      <c r="H6" s="267">
        <v>44256.0</v>
      </c>
      <c r="I6" s="268">
        <f>IFERROR(__xludf.DUMMYFUNCTION("countif(FILTER(FILTER(Shiftplan!D$7:BJ$67,Shiftplan!$A$7:$A$67&lt;=Shiftplan!$A$67),Shiftplan!$D$6:$BJ$6=A6),""&gt;0"")"),20.0)</f>
        <v>20</v>
      </c>
      <c r="J6" s="111">
        <f>VLOOKUP(A6,'Shiftplan SoS'!A:F,6,false)</f>
        <v>80</v>
      </c>
      <c r="K6" s="268">
        <f t="shared" si="1"/>
        <v>100</v>
      </c>
      <c r="L6" s="111" t="s">
        <v>526</v>
      </c>
      <c r="M6" s="269" t="str">
        <f t="shared" si="2"/>
        <v>8</v>
      </c>
      <c r="N6" s="270" t="str">
        <f t="shared" si="3"/>
        <v>60</v>
      </c>
      <c r="O6" s="111" t="str">
        <f t="shared" si="4"/>
        <v>0</v>
      </c>
      <c r="P6" s="111" t="str">
        <f t="shared" si="5"/>
        <v>0</v>
      </c>
      <c r="Q6" s="111" t="str">
        <f t="shared" si="6"/>
        <v>10</v>
      </c>
      <c r="R6" s="111" t="s">
        <v>527</v>
      </c>
      <c r="S6" s="271" t="s">
        <v>528</v>
      </c>
      <c r="T6" s="271" t="s">
        <v>556</v>
      </c>
      <c r="U6" s="271" t="s">
        <v>557</v>
      </c>
      <c r="V6" s="111" t="s">
        <v>527</v>
      </c>
      <c r="W6" s="271" t="s">
        <v>527</v>
      </c>
      <c r="X6" s="111" t="s">
        <v>527</v>
      </c>
      <c r="Y6" s="111" t="s">
        <v>558</v>
      </c>
      <c r="Z6" s="111" t="s">
        <v>559</v>
      </c>
      <c r="AA6" s="111">
        <v>645.0</v>
      </c>
      <c r="AB6" s="111">
        <v>3.014975920019E12</v>
      </c>
      <c r="AC6" s="272"/>
      <c r="AD6" s="273"/>
      <c r="AE6" s="273"/>
      <c r="AF6" s="273"/>
      <c r="AG6" s="273"/>
      <c r="AH6" s="273"/>
      <c r="AI6" s="273"/>
      <c r="AJ6" s="273"/>
      <c r="AK6" s="273"/>
      <c r="AL6" s="273"/>
      <c r="AM6" s="273"/>
      <c r="AN6" s="273"/>
      <c r="AO6" s="111" t="s">
        <v>560</v>
      </c>
      <c r="AP6" s="111" t="s">
        <v>554</v>
      </c>
      <c r="AQ6" s="111" t="s">
        <v>561</v>
      </c>
    </row>
    <row r="7" outlineLevel="1">
      <c r="A7" s="274" t="s">
        <v>120</v>
      </c>
      <c r="B7" s="275" t="s">
        <v>436</v>
      </c>
      <c r="C7" s="276" t="s">
        <v>562</v>
      </c>
      <c r="D7" s="276" t="s">
        <v>525</v>
      </c>
      <c r="E7" s="276" t="s">
        <v>88</v>
      </c>
      <c r="F7" s="276" t="s">
        <v>192</v>
      </c>
      <c r="G7" s="276" t="s">
        <v>105</v>
      </c>
      <c r="H7" s="277">
        <v>44256.0</v>
      </c>
      <c r="I7" s="278">
        <f>IFERROR(__xludf.DUMMYFUNCTION("countif(FILTER(FILTER(Shiftplan!D$7:BJ$67,Shiftplan!$A$7:$A$67&lt;=Shiftplan!$A$67),Shiftplan!$D$6:$BJ$6=A7),""&gt;0"")"),19.0)</f>
        <v>19</v>
      </c>
      <c r="J7" s="276">
        <f>VLOOKUP(A7,'Shiftplan SoS'!A:F,6,false)</f>
        <v>39</v>
      </c>
      <c r="K7" s="278">
        <f t="shared" si="1"/>
        <v>58</v>
      </c>
      <c r="L7" s="276" t="s">
        <v>526</v>
      </c>
      <c r="M7" s="279" t="str">
        <f t="shared" si="2"/>
        <v>6</v>
      </c>
      <c r="N7" s="280" t="str">
        <f t="shared" si="3"/>
        <v>50</v>
      </c>
      <c r="O7" s="276" t="str">
        <f t="shared" si="4"/>
        <v>5</v>
      </c>
      <c r="P7" s="276" t="str">
        <f t="shared" si="5"/>
        <v>0</v>
      </c>
      <c r="Q7" s="276" t="str">
        <f t="shared" si="6"/>
        <v>20</v>
      </c>
      <c r="R7" s="276" t="s">
        <v>527</v>
      </c>
      <c r="S7" s="281" t="s">
        <v>528</v>
      </c>
      <c r="T7" s="281" t="s">
        <v>563</v>
      </c>
      <c r="U7" s="281" t="s">
        <v>564</v>
      </c>
      <c r="V7" s="276" t="s">
        <v>527</v>
      </c>
      <c r="W7" s="281" t="s">
        <v>527</v>
      </c>
      <c r="X7" s="276" t="s">
        <v>527</v>
      </c>
      <c r="Y7" s="276" t="s">
        <v>565</v>
      </c>
      <c r="Z7" s="276" t="s">
        <v>566</v>
      </c>
      <c r="AA7" s="276">
        <v>645.0</v>
      </c>
      <c r="AB7" s="276">
        <v>3.013575877524E12</v>
      </c>
      <c r="AC7" s="284"/>
      <c r="AD7" s="274"/>
      <c r="AE7" s="274"/>
      <c r="AF7" s="274"/>
      <c r="AG7" s="274"/>
      <c r="AH7" s="274"/>
      <c r="AI7" s="274"/>
      <c r="AJ7" s="274"/>
      <c r="AK7" s="274"/>
      <c r="AL7" s="274"/>
      <c r="AM7" s="274"/>
      <c r="AN7" s="274"/>
      <c r="AO7" s="276" t="s">
        <v>546</v>
      </c>
      <c r="AP7" s="276" t="s">
        <v>542</v>
      </c>
      <c r="AQ7" s="276" t="s">
        <v>206</v>
      </c>
    </row>
    <row r="8" outlineLevel="1">
      <c r="A8" s="273" t="s">
        <v>109</v>
      </c>
      <c r="B8" s="266" t="s">
        <v>441</v>
      </c>
      <c r="C8" s="111" t="s">
        <v>567</v>
      </c>
      <c r="D8" s="111" t="s">
        <v>525</v>
      </c>
      <c r="E8" s="111" t="s">
        <v>88</v>
      </c>
      <c r="F8" s="111" t="s">
        <v>98</v>
      </c>
      <c r="G8" s="111" t="s">
        <v>189</v>
      </c>
      <c r="H8" s="267">
        <v>44256.0</v>
      </c>
      <c r="I8" s="268">
        <f>IFERROR(__xludf.DUMMYFUNCTION("countif(FILTER(FILTER(Shiftplan!D$7:BJ$67,Shiftplan!$A$7:$A$67&lt;=Shiftplan!$A$67),Shiftplan!$D$6:$BJ$6=A8),""&gt;0"")"),45.0)</f>
        <v>45</v>
      </c>
      <c r="J8" s="285" t="str">
        <f>VLOOKUP(A8,'Shiftplan SoS'!A:F,6,false)</f>
        <v/>
      </c>
      <c r="K8" s="268">
        <f t="shared" si="1"/>
        <v>45</v>
      </c>
      <c r="L8" s="111" t="s">
        <v>526</v>
      </c>
      <c r="M8" s="269" t="str">
        <f t="shared" si="2"/>
        <v>6</v>
      </c>
      <c r="N8" s="270" t="str">
        <f t="shared" si="3"/>
        <v>50</v>
      </c>
      <c r="O8" s="111" t="str">
        <f t="shared" si="4"/>
        <v>5</v>
      </c>
      <c r="P8" s="111" t="str">
        <f t="shared" si="5"/>
        <v>0</v>
      </c>
      <c r="Q8" s="111" t="str">
        <f t="shared" si="6"/>
        <v>20</v>
      </c>
      <c r="R8" s="111" t="s">
        <v>527</v>
      </c>
      <c r="S8" s="271" t="s">
        <v>528</v>
      </c>
      <c r="T8" s="271" t="s">
        <v>568</v>
      </c>
      <c r="U8" s="271" t="s">
        <v>569</v>
      </c>
      <c r="V8" s="111" t="s">
        <v>527</v>
      </c>
      <c r="W8" s="271" t="s">
        <v>527</v>
      </c>
      <c r="X8" s="111" t="s">
        <v>527</v>
      </c>
      <c r="Y8" s="111" t="s">
        <v>570</v>
      </c>
      <c r="Z8" s="111" t="s">
        <v>571</v>
      </c>
      <c r="AA8" s="111">
        <v>645.0</v>
      </c>
      <c r="AB8" s="111">
        <v>3.011375914723E12</v>
      </c>
      <c r="AC8" s="286" t="s">
        <v>572</v>
      </c>
      <c r="AD8" s="273"/>
      <c r="AE8" s="273"/>
      <c r="AF8" s="273"/>
      <c r="AG8" s="273"/>
      <c r="AH8" s="273"/>
      <c r="AI8" s="273"/>
      <c r="AJ8" s="273"/>
      <c r="AK8" s="273"/>
      <c r="AL8" s="273"/>
      <c r="AM8" s="273"/>
      <c r="AN8" s="273"/>
      <c r="AO8" s="111" t="s">
        <v>541</v>
      </c>
      <c r="AP8" s="111" t="s">
        <v>542</v>
      </c>
      <c r="AQ8" s="111"/>
    </row>
    <row r="9" outlineLevel="1">
      <c r="A9" s="276" t="s">
        <v>113</v>
      </c>
      <c r="B9" s="275" t="s">
        <v>415</v>
      </c>
      <c r="C9" s="276" t="s">
        <v>415</v>
      </c>
      <c r="D9" s="276" t="s">
        <v>525</v>
      </c>
      <c r="E9" s="276" t="s">
        <v>88</v>
      </c>
      <c r="F9" s="276" t="s">
        <v>98</v>
      </c>
      <c r="G9" s="276" t="s">
        <v>199</v>
      </c>
      <c r="H9" s="277">
        <v>44256.0</v>
      </c>
      <c r="I9" s="278">
        <f>IFERROR(__xludf.DUMMYFUNCTION("countif(FILTER(FILTER(Shiftplan!D$7:BJ$67,Shiftplan!$A$7:$A$67&lt;=Shiftplan!$A$67),Shiftplan!$D$6:$BJ$6=A9),""&gt;0"")"),45.0)</f>
        <v>45</v>
      </c>
      <c r="J9" s="276">
        <f>VLOOKUP(A9,'Shiftplan SoS'!A:F,6,false)</f>
        <v>83</v>
      </c>
      <c r="K9" s="278">
        <f t="shared" si="1"/>
        <v>128</v>
      </c>
      <c r="L9" s="276" t="s">
        <v>526</v>
      </c>
      <c r="M9" s="279" t="str">
        <f t="shared" si="2"/>
        <v>#N/A</v>
      </c>
      <c r="N9" s="280" t="str">
        <f t="shared" si="3"/>
        <v>#N/A</v>
      </c>
      <c r="O9" s="276" t="str">
        <f t="shared" si="4"/>
        <v>#N/A</v>
      </c>
      <c r="P9" s="276" t="str">
        <f t="shared" si="5"/>
        <v>#N/A</v>
      </c>
      <c r="Q9" s="276" t="str">
        <f t="shared" si="6"/>
        <v>#N/A</v>
      </c>
      <c r="R9" s="276" t="s">
        <v>527</v>
      </c>
      <c r="S9" s="281" t="s">
        <v>528</v>
      </c>
      <c r="T9" s="281" t="s">
        <v>573</v>
      </c>
      <c r="U9" s="281" t="s">
        <v>574</v>
      </c>
      <c r="V9" s="276" t="s">
        <v>527</v>
      </c>
      <c r="W9" s="281" t="s">
        <v>527</v>
      </c>
      <c r="X9" s="276" t="s">
        <v>527</v>
      </c>
      <c r="Y9" s="276" t="s">
        <v>575</v>
      </c>
      <c r="Z9" s="276" t="s">
        <v>574</v>
      </c>
      <c r="AA9" s="276">
        <v>645.0</v>
      </c>
      <c r="AB9" s="276">
        <v>3.015277025809E12</v>
      </c>
      <c r="AC9" s="284"/>
      <c r="AD9" s="274"/>
      <c r="AE9" s="274"/>
      <c r="AF9" s="274"/>
      <c r="AG9" s="274"/>
      <c r="AH9" s="274"/>
      <c r="AI9" s="274"/>
      <c r="AJ9" s="274"/>
      <c r="AK9" s="274"/>
      <c r="AL9" s="274"/>
      <c r="AM9" s="274"/>
      <c r="AN9" s="274"/>
      <c r="AO9" s="276" t="s">
        <v>553</v>
      </c>
      <c r="AP9" s="276" t="s">
        <v>576</v>
      </c>
      <c r="AQ9" s="276" t="s">
        <v>200</v>
      </c>
    </row>
    <row r="10" outlineLevel="1">
      <c r="A10" s="273" t="s">
        <v>116</v>
      </c>
      <c r="B10" s="266" t="s">
        <v>461</v>
      </c>
      <c r="C10" s="111" t="s">
        <v>461</v>
      </c>
      <c r="D10" s="111" t="s">
        <v>525</v>
      </c>
      <c r="E10" s="111" t="s">
        <v>88</v>
      </c>
      <c r="F10" s="111" t="s">
        <v>192</v>
      </c>
      <c r="G10" s="111" t="s">
        <v>199</v>
      </c>
      <c r="H10" s="267">
        <v>44256.0</v>
      </c>
      <c r="I10" s="268">
        <f>IFERROR(__xludf.DUMMYFUNCTION("countif(FILTER(FILTER(Shiftplan!D$7:BJ$67,Shiftplan!$A$7:$A$67&lt;=Shiftplan!$A$67),Shiftplan!$D$6:$BJ$6=A10),""&gt;0"")"),16.0)</f>
        <v>16</v>
      </c>
      <c r="J10" s="111">
        <f>VLOOKUP(A10,'Shiftplan SoS'!A:F,6,false)</f>
        <v>82</v>
      </c>
      <c r="K10" s="268">
        <f t="shared" si="1"/>
        <v>98</v>
      </c>
      <c r="L10" s="111" t="s">
        <v>526</v>
      </c>
      <c r="M10" s="269" t="str">
        <f t="shared" si="2"/>
        <v>8</v>
      </c>
      <c r="N10" s="270" t="str">
        <f t="shared" si="3"/>
        <v>60</v>
      </c>
      <c r="O10" s="111" t="str">
        <f t="shared" si="4"/>
        <v>0</v>
      </c>
      <c r="P10" s="111" t="str">
        <f t="shared" si="5"/>
        <v>0</v>
      </c>
      <c r="Q10" s="111" t="str">
        <f t="shared" si="6"/>
        <v>10</v>
      </c>
      <c r="R10" s="111" t="s">
        <v>527</v>
      </c>
      <c r="S10" s="271" t="s">
        <v>528</v>
      </c>
      <c r="T10" s="271" t="s">
        <v>577</v>
      </c>
      <c r="U10" s="271" t="s">
        <v>578</v>
      </c>
      <c r="V10" s="111" t="s">
        <v>527</v>
      </c>
      <c r="W10" s="271" t="s">
        <v>527</v>
      </c>
      <c r="X10" s="111" t="s">
        <v>527</v>
      </c>
      <c r="Y10" s="111" t="s">
        <v>579</v>
      </c>
      <c r="Z10" s="111" t="s">
        <v>578</v>
      </c>
      <c r="AA10" s="111">
        <v>645.0</v>
      </c>
      <c r="AB10" s="111">
        <v>3.011075895983E12</v>
      </c>
      <c r="AC10" s="272"/>
      <c r="AD10" s="273"/>
      <c r="AE10" s="273"/>
      <c r="AF10" s="273"/>
      <c r="AG10" s="273"/>
      <c r="AH10" s="273"/>
      <c r="AI10" s="273"/>
      <c r="AJ10" s="273"/>
      <c r="AK10" s="273"/>
      <c r="AL10" s="273"/>
      <c r="AM10" s="273"/>
      <c r="AN10" s="273"/>
      <c r="AO10" s="111" t="s">
        <v>546</v>
      </c>
      <c r="AP10" s="111" t="s">
        <v>547</v>
      </c>
      <c r="AQ10" s="111" t="s">
        <v>200</v>
      </c>
    </row>
    <row r="11" outlineLevel="1">
      <c r="A11" s="274" t="s">
        <v>117</v>
      </c>
      <c r="B11" s="275" t="s">
        <v>462</v>
      </c>
      <c r="C11" s="276" t="s">
        <v>580</v>
      </c>
      <c r="D11" s="276" t="s">
        <v>525</v>
      </c>
      <c r="E11" s="276" t="s">
        <v>88</v>
      </c>
      <c r="F11" s="276" t="s">
        <v>192</v>
      </c>
      <c r="G11" s="276" t="s">
        <v>105</v>
      </c>
      <c r="H11" s="277">
        <v>44256.0</v>
      </c>
      <c r="I11" s="278">
        <f>IFERROR(__xludf.DUMMYFUNCTION("countif(FILTER(FILTER(Shiftplan!D$7:BJ$67,Shiftplan!$A$7:$A$67&lt;=Shiftplan!$A$67),Shiftplan!$D$6:$BJ$6=A11),""&gt;0"")"),20.0)</f>
        <v>20</v>
      </c>
      <c r="J11" s="276">
        <f>VLOOKUP(A11,'Shiftplan SoS'!A:F,6,false)</f>
        <v>85</v>
      </c>
      <c r="K11" s="278">
        <f t="shared" si="1"/>
        <v>105</v>
      </c>
      <c r="L11" s="276" t="s">
        <v>526</v>
      </c>
      <c r="M11" s="279" t="str">
        <f t="shared" si="2"/>
        <v>9</v>
      </c>
      <c r="N11" s="280" t="str">
        <f t="shared" si="3"/>
        <v>60</v>
      </c>
      <c r="O11" s="276" t="str">
        <f t="shared" si="4"/>
        <v>0</v>
      </c>
      <c r="P11" s="276" t="str">
        <f t="shared" si="5"/>
        <v>0</v>
      </c>
      <c r="Q11" s="276" t="str">
        <f t="shared" si="6"/>
        <v>5</v>
      </c>
      <c r="R11" s="276" t="s">
        <v>527</v>
      </c>
      <c r="S11" s="281" t="s">
        <v>528</v>
      </c>
      <c r="T11" s="281" t="s">
        <v>581</v>
      </c>
      <c r="U11" s="281" t="s">
        <v>582</v>
      </c>
      <c r="V11" s="276" t="s">
        <v>527</v>
      </c>
      <c r="W11" s="281" t="s">
        <v>527</v>
      </c>
      <c r="X11" s="276" t="s">
        <v>527</v>
      </c>
      <c r="Y11" s="276" t="s">
        <v>583</v>
      </c>
      <c r="Z11" s="276" t="s">
        <v>584</v>
      </c>
      <c r="AA11" s="276">
        <v>645.0</v>
      </c>
      <c r="AB11" s="276">
        <v>3.017975926976E12</v>
      </c>
      <c r="AC11" s="284"/>
      <c r="AD11" s="274"/>
      <c r="AE11" s="274"/>
      <c r="AF11" s="274"/>
      <c r="AG11" s="274"/>
      <c r="AH11" s="274"/>
      <c r="AI11" s="274"/>
      <c r="AJ11" s="274"/>
      <c r="AK11" s="274"/>
      <c r="AL11" s="274"/>
      <c r="AM11" s="274"/>
      <c r="AN11" s="274"/>
      <c r="AO11" s="276" t="s">
        <v>546</v>
      </c>
      <c r="AP11" s="276" t="s">
        <v>542</v>
      </c>
      <c r="AQ11" s="276" t="s">
        <v>206</v>
      </c>
    </row>
    <row r="12" outlineLevel="1">
      <c r="A12" s="273" t="s">
        <v>112</v>
      </c>
      <c r="B12" s="266" t="s">
        <v>469</v>
      </c>
      <c r="C12" s="111" t="s">
        <v>585</v>
      </c>
      <c r="D12" s="111" t="s">
        <v>525</v>
      </c>
      <c r="E12" s="111" t="s">
        <v>88</v>
      </c>
      <c r="F12" s="111" t="s">
        <v>98</v>
      </c>
      <c r="G12" s="111" t="s">
        <v>105</v>
      </c>
      <c r="H12" s="267">
        <v>44256.0</v>
      </c>
      <c r="I12" s="268">
        <f>IFERROR(__xludf.DUMMYFUNCTION("countif(FILTER(FILTER(Shiftplan!D$7:BJ$67,Shiftplan!$A$7:$A$67&lt;=Shiftplan!$A$67),Shiftplan!$D$6:$BJ$6=A12),""&gt;0"")"),40.0)</f>
        <v>40</v>
      </c>
      <c r="J12" s="111">
        <f>VLOOKUP(A12,'Shiftplan SoS'!A:F,6,false)</f>
        <v>85</v>
      </c>
      <c r="K12" s="268">
        <f t="shared" si="1"/>
        <v>125</v>
      </c>
      <c r="L12" s="111" t="s">
        <v>526</v>
      </c>
      <c r="M12" s="269" t="str">
        <f t="shared" si="2"/>
        <v>#N/A</v>
      </c>
      <c r="N12" s="270" t="str">
        <f t="shared" si="3"/>
        <v>#N/A</v>
      </c>
      <c r="O12" s="111" t="str">
        <f t="shared" si="4"/>
        <v>#N/A</v>
      </c>
      <c r="P12" s="111" t="str">
        <f t="shared" si="5"/>
        <v>#N/A</v>
      </c>
      <c r="Q12" s="111" t="str">
        <f t="shared" si="6"/>
        <v>#N/A</v>
      </c>
      <c r="R12" s="111" t="s">
        <v>527</v>
      </c>
      <c r="S12" s="271" t="s">
        <v>528</v>
      </c>
      <c r="T12" s="271" t="s">
        <v>586</v>
      </c>
      <c r="U12" s="271" t="s">
        <v>587</v>
      </c>
      <c r="V12" s="111" t="s">
        <v>527</v>
      </c>
      <c r="W12" s="271" t="s">
        <v>527</v>
      </c>
      <c r="X12" s="111" t="s">
        <v>527</v>
      </c>
      <c r="Y12" s="111" t="s">
        <v>588</v>
      </c>
      <c r="Z12" s="111" t="s">
        <v>587</v>
      </c>
      <c r="AA12" s="111">
        <v>659.0</v>
      </c>
      <c r="AB12" s="111">
        <v>3.013675878327E12</v>
      </c>
      <c r="AC12" s="272"/>
      <c r="AD12" s="111" t="s">
        <v>527</v>
      </c>
      <c r="AE12" s="111" t="s">
        <v>527</v>
      </c>
      <c r="AF12" s="111" t="s">
        <v>527</v>
      </c>
      <c r="AG12" s="111" t="s">
        <v>527</v>
      </c>
      <c r="AH12" s="273"/>
      <c r="AI12" s="273"/>
      <c r="AJ12" s="273"/>
      <c r="AK12" s="273"/>
      <c r="AL12" s="273"/>
      <c r="AM12" s="273"/>
      <c r="AN12" s="273"/>
      <c r="AO12" s="111" t="s">
        <v>533</v>
      </c>
      <c r="AP12" s="111" t="s">
        <v>542</v>
      </c>
      <c r="AQ12" s="111" t="s">
        <v>589</v>
      </c>
    </row>
    <row r="13" outlineLevel="1">
      <c r="A13" s="287" t="s">
        <v>114</v>
      </c>
      <c r="B13" s="288" t="s">
        <v>590</v>
      </c>
      <c r="C13" s="287" t="s">
        <v>591</v>
      </c>
      <c r="D13" s="287" t="s">
        <v>525</v>
      </c>
      <c r="E13" s="287" t="s">
        <v>88</v>
      </c>
      <c r="F13" s="287" t="s">
        <v>98</v>
      </c>
      <c r="G13" s="287" t="s">
        <v>199</v>
      </c>
      <c r="H13" s="289">
        <v>44256.0</v>
      </c>
      <c r="I13" s="278">
        <f>IFERROR(__xludf.DUMMYFUNCTION("countif(FILTER(FILTER(Shiftplan!D$7:BJ$67,Shiftplan!$A$7:$A$67&lt;=Shiftplan!$A$67),Shiftplan!$D$6:$BJ$6=A13),""&gt;0"")"),38.0)</f>
        <v>38</v>
      </c>
      <c r="J13" s="287">
        <f>VLOOKUP(A13,'Shiftplan SoS'!A:F,6,false)</f>
        <v>12</v>
      </c>
      <c r="K13" s="290">
        <f t="shared" si="1"/>
        <v>50</v>
      </c>
      <c r="L13" s="287" t="s">
        <v>592</v>
      </c>
      <c r="M13" s="291" t="str">
        <f t="shared" si="2"/>
        <v>6</v>
      </c>
      <c r="N13" s="292" t="str">
        <f t="shared" si="3"/>
        <v>50</v>
      </c>
      <c r="O13" s="287" t="str">
        <f t="shared" si="4"/>
        <v>5</v>
      </c>
      <c r="P13" s="287" t="str">
        <f t="shared" si="5"/>
        <v>0</v>
      </c>
      <c r="Q13" s="287" t="str">
        <f t="shared" si="6"/>
        <v>20</v>
      </c>
      <c r="R13" s="287" t="s">
        <v>527</v>
      </c>
      <c r="S13" s="293" t="s">
        <v>593</v>
      </c>
      <c r="T13" s="293" t="s">
        <v>594</v>
      </c>
      <c r="U13" s="293"/>
      <c r="V13" s="287" t="s">
        <v>527</v>
      </c>
      <c r="W13" s="293" t="s">
        <v>527</v>
      </c>
      <c r="X13" s="287" t="s">
        <v>527</v>
      </c>
      <c r="Y13" s="287" t="s">
        <v>595</v>
      </c>
      <c r="Z13" s="287" t="s">
        <v>596</v>
      </c>
      <c r="AA13" s="287">
        <v>646.0</v>
      </c>
      <c r="AB13" s="287">
        <v>3.019374213854E12</v>
      </c>
      <c r="AC13" s="294"/>
      <c r="AD13" s="295"/>
      <c r="AE13" s="295"/>
      <c r="AF13" s="295"/>
      <c r="AG13" s="295"/>
      <c r="AH13" s="295"/>
      <c r="AI13" s="295"/>
      <c r="AJ13" s="295"/>
      <c r="AK13" s="295"/>
      <c r="AL13" s="295"/>
      <c r="AM13" s="295"/>
      <c r="AN13" s="295"/>
      <c r="AO13" s="287" t="s">
        <v>546</v>
      </c>
      <c r="AP13" s="276" t="s">
        <v>547</v>
      </c>
      <c r="AQ13" s="276" t="s">
        <v>200</v>
      </c>
    </row>
    <row r="14" outlineLevel="1">
      <c r="A14" s="111" t="s">
        <v>123</v>
      </c>
      <c r="B14" s="266" t="s">
        <v>418</v>
      </c>
      <c r="C14" s="111" t="s">
        <v>418</v>
      </c>
      <c r="D14" s="111" t="s">
        <v>525</v>
      </c>
      <c r="E14" s="111" t="s">
        <v>90</v>
      </c>
      <c r="F14" s="111" t="s">
        <v>98</v>
      </c>
      <c r="G14" s="111" t="s">
        <v>103</v>
      </c>
      <c r="H14" s="267">
        <v>44263.0</v>
      </c>
      <c r="I14" s="268">
        <f>IFERROR(__xludf.DUMMYFUNCTION("countif(FILTER(FILTER(Shiftplan!D$7:BJ$67,Shiftplan!$A$7:$A$67&lt;=Shiftplan!$A$67),Shiftplan!$D$6:$BJ$6=A14),""&gt;0"")"),40.0)</f>
        <v>40</v>
      </c>
      <c r="J14" s="111">
        <f>VLOOKUP(A14,'Shiftplan SoS'!A:F,6,false)</f>
        <v>87</v>
      </c>
      <c r="K14" s="268">
        <f t="shared" si="1"/>
        <v>127</v>
      </c>
      <c r="L14" s="111" t="s">
        <v>526</v>
      </c>
      <c r="M14" s="269" t="str">
        <f t="shared" si="2"/>
        <v>#N/A</v>
      </c>
      <c r="N14" s="270" t="str">
        <f t="shared" si="3"/>
        <v>#N/A</v>
      </c>
      <c r="O14" s="111" t="str">
        <f t="shared" si="4"/>
        <v>#N/A</v>
      </c>
      <c r="P14" s="111" t="str">
        <f t="shared" si="5"/>
        <v>#N/A</v>
      </c>
      <c r="Q14" s="111" t="str">
        <f t="shared" si="6"/>
        <v>#N/A</v>
      </c>
      <c r="R14" s="111" t="s">
        <v>527</v>
      </c>
      <c r="S14" s="271" t="s">
        <v>528</v>
      </c>
      <c r="T14" s="271" t="s">
        <v>597</v>
      </c>
      <c r="U14" s="271" t="s">
        <v>598</v>
      </c>
      <c r="V14" s="111" t="s">
        <v>527</v>
      </c>
      <c r="W14" s="271" t="s">
        <v>527</v>
      </c>
      <c r="X14" s="111" t="s">
        <v>527</v>
      </c>
      <c r="Y14" s="111" t="s">
        <v>599</v>
      </c>
      <c r="Z14" s="111" t="s">
        <v>600</v>
      </c>
      <c r="AA14" s="111">
        <v>645.0</v>
      </c>
      <c r="AB14" s="111">
        <v>3.016677022369E12</v>
      </c>
      <c r="AC14" s="286" t="s">
        <v>572</v>
      </c>
      <c r="AD14" s="111" t="s">
        <v>527</v>
      </c>
      <c r="AE14" s="111" t="s">
        <v>527</v>
      </c>
      <c r="AF14" s="111" t="s">
        <v>527</v>
      </c>
      <c r="AG14" s="111" t="s">
        <v>527</v>
      </c>
      <c r="AH14" s="273"/>
      <c r="AI14" s="273"/>
      <c r="AJ14" s="273"/>
      <c r="AK14" s="273"/>
      <c r="AL14" s="273"/>
      <c r="AM14" s="273"/>
      <c r="AN14" s="273"/>
      <c r="AO14" s="111" t="s">
        <v>533</v>
      </c>
      <c r="AP14" s="111" t="s">
        <v>542</v>
      </c>
      <c r="AQ14" s="111" t="s">
        <v>561</v>
      </c>
    </row>
    <row r="15" outlineLevel="1">
      <c r="A15" s="287" t="s">
        <v>601</v>
      </c>
      <c r="B15" s="296" t="s">
        <v>602</v>
      </c>
      <c r="C15" s="287" t="s">
        <v>603</v>
      </c>
      <c r="D15" s="287"/>
      <c r="E15" s="287" t="s">
        <v>89</v>
      </c>
      <c r="F15" s="287" t="s">
        <v>98</v>
      </c>
      <c r="G15" s="287" t="s">
        <v>103</v>
      </c>
      <c r="H15" s="289">
        <v>44263.0</v>
      </c>
      <c r="I15" s="278">
        <f>IFERROR(__xludf.DUMMYFUNCTION("countif(FILTER(FILTER(Shiftplan!D$7:BJ$67,Shiftplan!$A$7:$A$67&lt;=Shiftplan!$A$67),Shiftplan!$D$6:$BJ$6=A15),""&gt;0"")"),0.0)</f>
        <v>0</v>
      </c>
      <c r="J15" s="287"/>
      <c r="K15" s="287"/>
      <c r="L15" s="287" t="s">
        <v>592</v>
      </c>
      <c r="M15" s="291" t="str">
        <f t="shared" ref="M15:M16" si="7">ifs(I15&lt;3, "0",I15&lt;6, "1",I15&lt;10, "2",I15&lt;15, "3",I15&lt;20, "4",I15&lt;41, "5",I15&lt;62, "6",I15&lt;83, "7",I15&lt;104, "8",I15&lt;125, "9")</f>
        <v>0</v>
      </c>
      <c r="N15" s="292" t="str">
        <f t="shared" si="3"/>
        <v>0</v>
      </c>
      <c r="O15" s="287" t="str">
        <f t="shared" si="4"/>
        <v>-</v>
      </c>
      <c r="P15" s="287" t="str">
        <f t="shared" si="5"/>
        <v>-</v>
      </c>
      <c r="Q15" s="287" t="str">
        <f t="shared" si="6"/>
        <v>-</v>
      </c>
      <c r="R15" s="287" t="s">
        <v>527</v>
      </c>
      <c r="S15" s="293" t="s">
        <v>593</v>
      </c>
      <c r="T15" s="293" t="s">
        <v>604</v>
      </c>
      <c r="U15" s="293"/>
      <c r="V15" s="287" t="s">
        <v>527</v>
      </c>
      <c r="W15" s="293" t="s">
        <v>527</v>
      </c>
      <c r="X15" s="287" t="s">
        <v>527</v>
      </c>
      <c r="Y15" s="287" t="s">
        <v>605</v>
      </c>
      <c r="Z15" s="287" t="s">
        <v>606</v>
      </c>
      <c r="AA15" s="287">
        <v>645.0</v>
      </c>
      <c r="AB15" s="287">
        <v>3.011174095459E12</v>
      </c>
      <c r="AC15" s="294"/>
      <c r="AD15" s="295"/>
      <c r="AE15" s="295"/>
      <c r="AF15" s="295"/>
      <c r="AG15" s="295"/>
      <c r="AH15" s="295"/>
      <c r="AI15" s="295"/>
      <c r="AJ15" s="295"/>
      <c r="AK15" s="295"/>
      <c r="AL15" s="295"/>
      <c r="AM15" s="295"/>
      <c r="AN15" s="295"/>
      <c r="AO15" s="287"/>
      <c r="AP15" s="276" t="s">
        <v>607</v>
      </c>
      <c r="AQ15" s="276" t="s">
        <v>608</v>
      </c>
    </row>
    <row r="16" outlineLevel="1">
      <c r="A16" s="297" t="s">
        <v>609</v>
      </c>
      <c r="B16" s="186" t="s">
        <v>610</v>
      </c>
      <c r="C16" s="186" t="s">
        <v>610</v>
      </c>
      <c r="D16" s="186"/>
      <c r="E16" s="186" t="s">
        <v>88</v>
      </c>
      <c r="F16" s="186" t="s">
        <v>97</v>
      </c>
      <c r="G16" s="186" t="s">
        <v>189</v>
      </c>
      <c r="H16" s="298">
        <v>44263.0</v>
      </c>
      <c r="I16" s="268">
        <f>IFERROR(__xludf.DUMMYFUNCTION("countif(FILTER(FILTER(Shiftplan!D$7:BJ$67,Shiftplan!$A$7:$A$67&lt;=Shiftplan!$A$67),Shiftplan!$D$6:$BJ$6=A16),""&gt;0"")"),0.0)</f>
        <v>0</v>
      </c>
      <c r="J16" s="186"/>
      <c r="K16" s="186"/>
      <c r="L16" s="186" t="s">
        <v>592</v>
      </c>
      <c r="M16" s="299" t="str">
        <f t="shared" si="7"/>
        <v>0</v>
      </c>
      <c r="N16" s="300" t="str">
        <f t="shared" si="3"/>
        <v>0</v>
      </c>
      <c r="O16" s="186" t="str">
        <f t="shared" si="4"/>
        <v>-</v>
      </c>
      <c r="P16" s="186" t="str">
        <f t="shared" si="5"/>
        <v>-</v>
      </c>
      <c r="Q16" s="186" t="str">
        <f t="shared" si="6"/>
        <v>-</v>
      </c>
      <c r="R16" s="186" t="s">
        <v>527</v>
      </c>
      <c r="S16" s="301" t="s">
        <v>593</v>
      </c>
      <c r="T16" s="301" t="s">
        <v>611</v>
      </c>
      <c r="U16" s="301"/>
      <c r="V16" s="186" t="s">
        <v>527</v>
      </c>
      <c r="W16" s="301" t="s">
        <v>527</v>
      </c>
      <c r="X16" s="186" t="s">
        <v>527</v>
      </c>
      <c r="Y16" s="186" t="s">
        <v>612</v>
      </c>
      <c r="Z16" s="186" t="s">
        <v>613</v>
      </c>
      <c r="AA16" s="186">
        <v>645.0</v>
      </c>
      <c r="AB16" s="186">
        <v>3.018577013589E12</v>
      </c>
      <c r="AC16" s="302"/>
      <c r="AD16" s="181"/>
      <c r="AE16" s="181"/>
      <c r="AF16" s="181"/>
      <c r="AG16" s="181"/>
      <c r="AH16" s="181"/>
      <c r="AI16" s="181"/>
      <c r="AJ16" s="181"/>
      <c r="AK16" s="181"/>
      <c r="AL16" s="181"/>
      <c r="AM16" s="181"/>
      <c r="AN16" s="181"/>
      <c r="AO16" s="181"/>
      <c r="AP16" s="111" t="s">
        <v>542</v>
      </c>
      <c r="AQ16" s="111" t="s">
        <v>206</v>
      </c>
    </row>
    <row r="17" outlineLevel="1">
      <c r="A17" s="276" t="s">
        <v>128</v>
      </c>
      <c r="B17" s="275" t="s">
        <v>456</v>
      </c>
      <c r="C17" s="276" t="s">
        <v>456</v>
      </c>
      <c r="D17" s="276" t="s">
        <v>525</v>
      </c>
      <c r="E17" s="276" t="s">
        <v>89</v>
      </c>
      <c r="F17" s="276" t="s">
        <v>98</v>
      </c>
      <c r="G17" s="276" t="s">
        <v>105</v>
      </c>
      <c r="H17" s="277">
        <v>44273.0</v>
      </c>
      <c r="I17" s="278">
        <f>IFERROR(__xludf.DUMMYFUNCTION("countif(FILTER(FILTER(Shiftplan!D$7:BJ$67,Shiftplan!$A$7:$A$67&lt;=Shiftplan!$A$67),Shiftplan!$D$6:$BJ$6=A17),""&gt;0"")"),18.0)</f>
        <v>18</v>
      </c>
      <c r="J17" s="276">
        <f>VLOOKUP(A17,'Shiftplan SoS'!A:F,6,false)</f>
        <v>64</v>
      </c>
      <c r="K17" s="278">
        <f t="shared" ref="K17:K19" si="8">sum(I17:J17)</f>
        <v>82</v>
      </c>
      <c r="L17" s="276" t="s">
        <v>526</v>
      </c>
      <c r="M17" s="279" t="str">
        <f t="shared" ref="M17:M19" si="9">ifs(K17&lt;3, "0",K17&lt;6, "1",K17&lt;10, "2",K17&lt;15, "3",K17&lt;20, "4",K17&lt;41, "5",K17&lt;62, "6",K17&lt;83, "7",K17&lt;104, "8",K17&lt;125, "9")</f>
        <v>7</v>
      </c>
      <c r="N17" s="280" t="str">
        <f t="shared" si="3"/>
        <v>60</v>
      </c>
      <c r="O17" s="276" t="str">
        <f t="shared" si="4"/>
        <v>0</v>
      </c>
      <c r="P17" s="276" t="str">
        <f t="shared" si="5"/>
        <v>0</v>
      </c>
      <c r="Q17" s="276" t="str">
        <f t="shared" si="6"/>
        <v>15</v>
      </c>
      <c r="R17" s="276" t="s">
        <v>527</v>
      </c>
      <c r="S17" s="281" t="s">
        <v>528</v>
      </c>
      <c r="T17" s="281" t="s">
        <v>614</v>
      </c>
      <c r="U17" s="281" t="s">
        <v>615</v>
      </c>
      <c r="V17" s="276" t="s">
        <v>527</v>
      </c>
      <c r="W17" s="281" t="s">
        <v>527</v>
      </c>
      <c r="X17" s="276" t="s">
        <v>527</v>
      </c>
      <c r="Y17" s="281" t="s">
        <v>616</v>
      </c>
      <c r="Z17" s="276" t="s">
        <v>617</v>
      </c>
      <c r="AA17" s="276">
        <v>645.0</v>
      </c>
      <c r="AB17" s="276">
        <v>3.019278605685E12</v>
      </c>
      <c r="AC17" s="282" t="s">
        <v>618</v>
      </c>
      <c r="AD17" s="274"/>
      <c r="AE17" s="274"/>
      <c r="AF17" s="274"/>
      <c r="AG17" s="274"/>
      <c r="AH17" s="274"/>
      <c r="AI17" s="274"/>
      <c r="AJ17" s="274"/>
      <c r="AK17" s="274"/>
      <c r="AL17" s="274"/>
      <c r="AM17" s="274"/>
      <c r="AN17" s="274"/>
      <c r="AO17" s="276" t="s">
        <v>546</v>
      </c>
      <c r="AP17" s="276" t="s">
        <v>554</v>
      </c>
      <c r="AQ17" s="276" t="s">
        <v>206</v>
      </c>
    </row>
    <row r="18" outlineLevel="1">
      <c r="A18" s="111" t="s">
        <v>125</v>
      </c>
      <c r="B18" s="266" t="s">
        <v>433</v>
      </c>
      <c r="C18" s="111" t="s">
        <v>433</v>
      </c>
      <c r="D18" s="111" t="s">
        <v>525</v>
      </c>
      <c r="E18" s="111" t="s">
        <v>89</v>
      </c>
      <c r="F18" s="111" t="s">
        <v>98</v>
      </c>
      <c r="G18" s="111" t="s">
        <v>199</v>
      </c>
      <c r="H18" s="267">
        <v>44279.0</v>
      </c>
      <c r="I18" s="268">
        <f>IFERROR(__xludf.DUMMYFUNCTION("countif(FILTER(FILTER(Shiftplan!D$7:BJ$67,Shiftplan!$A$7:$A$67&lt;=Shiftplan!$A$67),Shiftplan!$D$6:$BJ$6=A18),""&gt;0"")"),16.0)</f>
        <v>16</v>
      </c>
      <c r="J18" s="111">
        <f>VLOOKUP(A18,'Shiftplan SoS'!A:F,6,false)</f>
        <v>79</v>
      </c>
      <c r="K18" s="268">
        <f t="shared" si="8"/>
        <v>95</v>
      </c>
      <c r="L18" s="111" t="s">
        <v>526</v>
      </c>
      <c r="M18" s="269" t="str">
        <f t="shared" si="9"/>
        <v>8</v>
      </c>
      <c r="N18" s="270" t="str">
        <f t="shared" si="3"/>
        <v>60</v>
      </c>
      <c r="O18" s="111" t="str">
        <f t="shared" si="4"/>
        <v>0</v>
      </c>
      <c r="P18" s="111" t="str">
        <f t="shared" si="5"/>
        <v>0</v>
      </c>
      <c r="Q18" s="111" t="str">
        <f t="shared" si="6"/>
        <v>10</v>
      </c>
      <c r="R18" s="111" t="s">
        <v>527</v>
      </c>
      <c r="S18" s="271" t="s">
        <v>528</v>
      </c>
      <c r="T18" s="271" t="s">
        <v>619</v>
      </c>
      <c r="U18" s="271" t="s">
        <v>620</v>
      </c>
      <c r="V18" s="111" t="s">
        <v>527</v>
      </c>
      <c r="W18" s="271" t="s">
        <v>527</v>
      </c>
      <c r="X18" s="111" t="s">
        <v>527</v>
      </c>
      <c r="Y18" s="271" t="s">
        <v>621</v>
      </c>
      <c r="Z18" s="111" t="s">
        <v>622</v>
      </c>
      <c r="AA18" s="111">
        <v>645.0</v>
      </c>
      <c r="AB18" s="111">
        <v>3.019079579852E12</v>
      </c>
      <c r="AC18" s="286" t="s">
        <v>623</v>
      </c>
      <c r="AD18" s="273"/>
      <c r="AE18" s="273"/>
      <c r="AF18" s="273"/>
      <c r="AG18" s="273"/>
      <c r="AH18" s="273"/>
      <c r="AI18" s="273"/>
      <c r="AJ18" s="273"/>
      <c r="AK18" s="273"/>
      <c r="AL18" s="273"/>
      <c r="AM18" s="273"/>
      <c r="AN18" s="273"/>
      <c r="AO18" s="111" t="s">
        <v>546</v>
      </c>
      <c r="AP18" s="111" t="s">
        <v>624</v>
      </c>
      <c r="AQ18" s="111" t="s">
        <v>200</v>
      </c>
    </row>
    <row r="19" outlineLevel="1">
      <c r="A19" s="276" t="s">
        <v>135</v>
      </c>
      <c r="B19" s="275" t="s">
        <v>395</v>
      </c>
      <c r="C19" s="276" t="s">
        <v>625</v>
      </c>
      <c r="D19" s="276" t="s">
        <v>525</v>
      </c>
      <c r="E19" s="276" t="s">
        <v>90</v>
      </c>
      <c r="F19" s="276" t="s">
        <v>192</v>
      </c>
      <c r="G19" s="276" t="s">
        <v>105</v>
      </c>
      <c r="H19" s="277">
        <v>44279.0</v>
      </c>
      <c r="I19" s="278">
        <f>IFERROR(__xludf.DUMMYFUNCTION("countif(FILTER(FILTER(Shiftplan!D$7:BJ$67,Shiftplan!$A$7:$A$67&lt;=Shiftplan!$A$67),Shiftplan!$D$6:$BJ$6=A19),""&gt;0"")"),13.0)</f>
        <v>13</v>
      </c>
      <c r="J19" s="276">
        <f>VLOOKUP(A19,'Shiftplan SoS'!A:F,6,false)</f>
        <v>81</v>
      </c>
      <c r="K19" s="278">
        <f t="shared" si="8"/>
        <v>94</v>
      </c>
      <c r="L19" s="276" t="s">
        <v>526</v>
      </c>
      <c r="M19" s="279" t="str">
        <f t="shared" si="9"/>
        <v>8</v>
      </c>
      <c r="N19" s="280" t="str">
        <f t="shared" si="3"/>
        <v>60</v>
      </c>
      <c r="O19" s="276" t="str">
        <f t="shared" si="4"/>
        <v>0</v>
      </c>
      <c r="P19" s="276" t="str">
        <f t="shared" si="5"/>
        <v>0</v>
      </c>
      <c r="Q19" s="276" t="str">
        <f t="shared" si="6"/>
        <v>10</v>
      </c>
      <c r="R19" s="276" t="s">
        <v>527</v>
      </c>
      <c r="S19" s="281" t="s">
        <v>528</v>
      </c>
      <c r="T19" s="281" t="s">
        <v>626</v>
      </c>
      <c r="U19" s="281" t="s">
        <v>627</v>
      </c>
      <c r="V19" s="276" t="s">
        <v>527</v>
      </c>
      <c r="W19" s="281" t="s">
        <v>527</v>
      </c>
      <c r="X19" s="276" t="s">
        <v>527</v>
      </c>
      <c r="Y19" s="281" t="s">
        <v>628</v>
      </c>
      <c r="Z19" s="276" t="s">
        <v>627</v>
      </c>
      <c r="AA19" s="276">
        <v>645.0</v>
      </c>
      <c r="AB19" s="276">
        <v>3.012979540997E12</v>
      </c>
      <c r="AC19" s="284"/>
      <c r="AD19" s="274"/>
      <c r="AE19" s="274"/>
      <c r="AF19" s="274"/>
      <c r="AG19" s="274"/>
      <c r="AH19" s="274"/>
      <c r="AI19" s="274"/>
      <c r="AJ19" s="274"/>
      <c r="AK19" s="274"/>
      <c r="AL19" s="274"/>
      <c r="AM19" s="274"/>
      <c r="AN19" s="274"/>
      <c r="AO19" s="276" t="s">
        <v>546</v>
      </c>
      <c r="AP19" s="276" t="s">
        <v>542</v>
      </c>
      <c r="AQ19" s="276" t="s">
        <v>206</v>
      </c>
    </row>
    <row r="20" outlineLevel="1">
      <c r="A20" s="186" t="s">
        <v>126</v>
      </c>
      <c r="B20" s="186" t="s">
        <v>629</v>
      </c>
      <c r="C20" s="186" t="s">
        <v>629</v>
      </c>
      <c r="D20" s="186"/>
      <c r="E20" s="186" t="s">
        <v>90</v>
      </c>
      <c r="F20" s="186" t="s">
        <v>98</v>
      </c>
      <c r="G20" s="186" t="s">
        <v>189</v>
      </c>
      <c r="H20" s="298">
        <v>44279.0</v>
      </c>
      <c r="I20" s="268">
        <f>IFERROR(__xludf.DUMMYFUNCTION("countif(FILTER(FILTER(Shiftplan!D$7:BJ$67,Shiftplan!$A$7:$A$67&lt;=Shiftplan!$A$67),Shiftplan!$D$6:$BJ$6=A20),""&gt;0"")"),13.0)</f>
        <v>13</v>
      </c>
      <c r="J20" s="186"/>
      <c r="K20" s="186"/>
      <c r="L20" s="186" t="s">
        <v>592</v>
      </c>
      <c r="M20" s="181" t="str">
        <f t="shared" ref="M20:M21" si="10">ifs(I20&lt;3, "0",I20&lt;6, "1",I20&lt;10, "2",I20&lt;15, "3",I20&lt;20, "4",I20&lt;41, "5",I20&lt;62, "6",I20&lt;83, "7",I20&lt;104, "8",I20&lt;125, "9")</f>
        <v>3</v>
      </c>
      <c r="N20" s="186"/>
      <c r="O20" s="186"/>
      <c r="P20" s="186"/>
      <c r="Q20" s="186"/>
      <c r="R20" s="186" t="s">
        <v>527</v>
      </c>
      <c r="S20" s="301" t="s">
        <v>593</v>
      </c>
      <c r="T20" s="301" t="s">
        <v>630</v>
      </c>
      <c r="U20" s="301"/>
      <c r="V20" s="301" t="s">
        <v>527</v>
      </c>
      <c r="W20" s="186" t="s">
        <v>631</v>
      </c>
      <c r="X20" s="186" t="s">
        <v>527</v>
      </c>
      <c r="Y20" s="301" t="s">
        <v>632</v>
      </c>
      <c r="Z20" s="186" t="s">
        <v>633</v>
      </c>
      <c r="AA20" s="186" t="s">
        <v>166</v>
      </c>
      <c r="AB20" s="186">
        <v>3.019279527943E12</v>
      </c>
      <c r="AC20" s="181"/>
      <c r="AD20" s="181"/>
      <c r="AE20" s="181"/>
      <c r="AF20" s="181"/>
      <c r="AG20" s="181"/>
      <c r="AH20" s="181"/>
      <c r="AI20" s="181"/>
      <c r="AJ20" s="181"/>
      <c r="AK20" s="181"/>
      <c r="AL20" s="181"/>
      <c r="AM20" s="181"/>
      <c r="AN20" s="181"/>
      <c r="AO20" s="181"/>
      <c r="AP20" s="111" t="s">
        <v>554</v>
      </c>
      <c r="AQ20" s="111" t="s">
        <v>200</v>
      </c>
    </row>
    <row r="21" outlineLevel="1">
      <c r="A21" s="287" t="s">
        <v>634</v>
      </c>
      <c r="B21" s="287" t="s">
        <v>635</v>
      </c>
      <c r="C21" s="287" t="s">
        <v>636</v>
      </c>
      <c r="D21" s="287"/>
      <c r="E21" s="287" t="s">
        <v>637</v>
      </c>
      <c r="F21" s="287" t="s">
        <v>97</v>
      </c>
      <c r="G21" s="287" t="s">
        <v>103</v>
      </c>
      <c r="H21" s="289">
        <v>44279.0</v>
      </c>
      <c r="I21" s="278">
        <f>IFERROR(__xludf.DUMMYFUNCTION("countif(FILTER(FILTER(Shiftplan!D$7:BJ$67,Shiftplan!$A$7:$A$67&lt;=Shiftplan!$A$67),Shiftplan!$D$6:$BJ$6=A21),""&gt;0"")"),0.0)</f>
        <v>0</v>
      </c>
      <c r="J21" s="287"/>
      <c r="K21" s="287"/>
      <c r="L21" s="287" t="s">
        <v>592</v>
      </c>
      <c r="M21" s="274" t="str">
        <f t="shared" si="10"/>
        <v>0</v>
      </c>
      <c r="N21" s="287"/>
      <c r="O21" s="287"/>
      <c r="P21" s="287"/>
      <c r="Q21" s="287"/>
      <c r="R21" s="287" t="s">
        <v>527</v>
      </c>
      <c r="S21" s="293" t="s">
        <v>593</v>
      </c>
      <c r="T21" s="293" t="s">
        <v>638</v>
      </c>
      <c r="U21" s="293"/>
      <c r="V21" s="293" t="s">
        <v>527</v>
      </c>
      <c r="W21" s="287" t="s">
        <v>631</v>
      </c>
      <c r="X21" s="287" t="s">
        <v>527</v>
      </c>
      <c r="Y21" s="293" t="s">
        <v>639</v>
      </c>
      <c r="Z21" s="287" t="s">
        <v>640</v>
      </c>
      <c r="AA21" s="287" t="s">
        <v>166</v>
      </c>
      <c r="AB21" s="287" t="s">
        <v>166</v>
      </c>
      <c r="AC21" s="274"/>
      <c r="AD21" s="295"/>
      <c r="AE21" s="295"/>
      <c r="AF21" s="295"/>
      <c r="AG21" s="295"/>
      <c r="AH21" s="295"/>
      <c r="AI21" s="295"/>
      <c r="AJ21" s="295"/>
      <c r="AK21" s="295"/>
      <c r="AL21" s="295"/>
      <c r="AM21" s="295"/>
      <c r="AN21" s="295"/>
      <c r="AO21" s="295"/>
      <c r="AP21" s="276" t="s">
        <v>554</v>
      </c>
      <c r="AQ21" s="276" t="s">
        <v>200</v>
      </c>
    </row>
    <row r="22" outlineLevel="1">
      <c r="A22" s="111" t="s">
        <v>272</v>
      </c>
      <c r="B22" s="266" t="s">
        <v>422</v>
      </c>
      <c r="C22" s="111" t="s">
        <v>422</v>
      </c>
      <c r="D22" s="111" t="s">
        <v>525</v>
      </c>
      <c r="E22" s="111" t="s">
        <v>90</v>
      </c>
      <c r="F22" s="111" t="s">
        <v>97</v>
      </c>
      <c r="G22" s="111" t="s">
        <v>103</v>
      </c>
      <c r="H22" s="267">
        <v>44287.0</v>
      </c>
      <c r="I22" s="268">
        <f>IFERROR(__xludf.DUMMYFUNCTION("countif(FILTER(FILTER(Shiftplan!D$7:BJ$67,Shiftplan!$A$7:$A$67&lt;=Shiftplan!$A$67),Shiftplan!$D$6:$BJ$6=A22),""&gt;0"")"),0.0)</f>
        <v>0</v>
      </c>
      <c r="J22" s="111">
        <f>VLOOKUP(A22,'Shiftplan SoS'!A:F,6,false)</f>
        <v>36</v>
      </c>
      <c r="K22" s="268">
        <f t="shared" ref="K22:K153" si="11">sum(I22:J22)</f>
        <v>36</v>
      </c>
      <c r="L22" s="111" t="s">
        <v>526</v>
      </c>
      <c r="M22" s="269" t="str">
        <f t="shared" ref="M22:M51" si="12">ifs(K22&lt;3, "0",K22&lt;6, "1",K22&lt;10, "2",K22&lt;15, "3",K22&lt;20, "4",K22&lt;41, "5",K22&lt;62, "6",K22&lt;83, "7",K22&lt;104, "8",K22&lt;125, "9")</f>
        <v>5</v>
      </c>
      <c r="N22" s="270" t="str">
        <f t="shared" ref="N22:N51" si="13">ifs(M22="0", "0",M22="1", "10",M22="2", "20",M22="3", "25",M22="4", "30",M22="5", "40",M22="6", "50",M22&gt;6, "60")</f>
        <v>40</v>
      </c>
      <c r="O22" s="111" t="str">
        <f t="shared" ref="O22:O51" si="14">ifs(M22="0", "-",M22="1", "-",M22="2", "20",M22="3", "20",M22="4", "15",M22="5", "10",M22="6", "5",M22&gt;6, "0")</f>
        <v>10</v>
      </c>
      <c r="P22" s="111" t="str">
        <f t="shared" ref="P22:P51" si="15">ifs(M22="0", "-",M22="1", "-",M22="2", "10",M22="3", "10",M22="4", "10",M22="5", "5",M22&gt;5, "0")</f>
        <v>5</v>
      </c>
      <c r="Q22" s="111" t="str">
        <f t="shared" ref="Q22:Q51" si="16">ifs(M22="0", "-",M22="1", "-",M22="2", "30",M22="3", "30",M22="4", "30",M22="5", "25",M22="6", "20",M22="7", "15",M22="8", "10",M22="9", "5")</f>
        <v>25</v>
      </c>
      <c r="R22" s="111" t="s">
        <v>527</v>
      </c>
      <c r="S22" s="271" t="s">
        <v>528</v>
      </c>
      <c r="T22" s="271" t="s">
        <v>641</v>
      </c>
      <c r="U22" s="271" t="s">
        <v>642</v>
      </c>
      <c r="V22" s="111" t="s">
        <v>527</v>
      </c>
      <c r="W22" s="271" t="s">
        <v>527</v>
      </c>
      <c r="X22" s="111" t="s">
        <v>527</v>
      </c>
      <c r="Y22" s="111" t="s">
        <v>643</v>
      </c>
      <c r="Z22" s="111" t="s">
        <v>642</v>
      </c>
      <c r="AA22" s="111">
        <v>645.0</v>
      </c>
      <c r="AB22" s="111">
        <v>3.012380827555E12</v>
      </c>
      <c r="AC22" s="272"/>
      <c r="AD22" s="273"/>
      <c r="AE22" s="273"/>
      <c r="AF22" s="273"/>
      <c r="AG22" s="273"/>
      <c r="AH22" s="273"/>
      <c r="AI22" s="273"/>
      <c r="AJ22" s="273"/>
      <c r="AK22" s="273"/>
      <c r="AL22" s="273"/>
      <c r="AM22" s="273"/>
      <c r="AN22" s="273"/>
      <c r="AO22" s="111" t="s">
        <v>546</v>
      </c>
      <c r="AP22" s="111" t="s">
        <v>576</v>
      </c>
      <c r="AQ22" s="111" t="s">
        <v>200</v>
      </c>
    </row>
    <row r="23" outlineLevel="1">
      <c r="A23" s="303" t="s">
        <v>134</v>
      </c>
      <c r="B23" s="288" t="s">
        <v>644</v>
      </c>
      <c r="C23" s="287" t="s">
        <v>644</v>
      </c>
      <c r="D23" s="287" t="s">
        <v>525</v>
      </c>
      <c r="E23" s="287" t="s">
        <v>90</v>
      </c>
      <c r="F23" s="287" t="s">
        <v>97</v>
      </c>
      <c r="G23" s="287" t="s">
        <v>189</v>
      </c>
      <c r="H23" s="289">
        <v>44287.0</v>
      </c>
      <c r="I23" s="278">
        <f>IFERROR(__xludf.DUMMYFUNCTION("countif(FILTER(FILTER(Shiftplan!D$7:BJ$67,Shiftplan!$A$7:$A$67&lt;=Shiftplan!$A$67),Shiftplan!$D$6:$BJ$6=A23),""&gt;0"")"),5.0)</f>
        <v>5</v>
      </c>
      <c r="J23" s="287">
        <f>VLOOKUP(A23,'Shiftplan SoS'!A:F,6,false)</f>
        <v>0</v>
      </c>
      <c r="K23" s="290">
        <f t="shared" si="11"/>
        <v>5</v>
      </c>
      <c r="L23" s="287" t="s">
        <v>592</v>
      </c>
      <c r="M23" s="291" t="str">
        <f t="shared" si="12"/>
        <v>1</v>
      </c>
      <c r="N23" s="292" t="str">
        <f t="shared" si="13"/>
        <v>10</v>
      </c>
      <c r="O23" s="287" t="str">
        <f t="shared" si="14"/>
        <v>-</v>
      </c>
      <c r="P23" s="287" t="str">
        <f t="shared" si="15"/>
        <v>-</v>
      </c>
      <c r="Q23" s="287" t="str">
        <f t="shared" si="16"/>
        <v>-</v>
      </c>
      <c r="R23" s="287" t="s">
        <v>527</v>
      </c>
      <c r="S23" s="293" t="s">
        <v>593</v>
      </c>
      <c r="T23" s="293" t="s">
        <v>645</v>
      </c>
      <c r="U23" s="293"/>
      <c r="V23" s="287" t="s">
        <v>527</v>
      </c>
      <c r="W23" s="293" t="s">
        <v>527</v>
      </c>
      <c r="X23" s="287" t="s">
        <v>527</v>
      </c>
      <c r="Y23" s="287" t="s">
        <v>646</v>
      </c>
      <c r="Z23" s="287" t="s">
        <v>647</v>
      </c>
      <c r="AA23" s="287">
        <v>645.0</v>
      </c>
      <c r="AB23" s="287">
        <v>3.017580870388E12</v>
      </c>
      <c r="AC23" s="294"/>
      <c r="AD23" s="295"/>
      <c r="AE23" s="295"/>
      <c r="AF23" s="295"/>
      <c r="AG23" s="295"/>
      <c r="AH23" s="295"/>
      <c r="AI23" s="295"/>
      <c r="AJ23" s="295"/>
      <c r="AK23" s="295"/>
      <c r="AL23" s="295"/>
      <c r="AM23" s="295"/>
      <c r="AN23" s="295"/>
      <c r="AO23" s="287" t="s">
        <v>546</v>
      </c>
      <c r="AP23" s="225" t="s">
        <v>648</v>
      </c>
      <c r="AQ23" s="225"/>
    </row>
    <row r="24" outlineLevel="1">
      <c r="A24" s="304" t="s">
        <v>360</v>
      </c>
      <c r="B24" s="305" t="s">
        <v>649</v>
      </c>
      <c r="C24" s="186" t="s">
        <v>649</v>
      </c>
      <c r="D24" s="186" t="s">
        <v>525</v>
      </c>
      <c r="E24" s="186" t="s">
        <v>91</v>
      </c>
      <c r="F24" s="186" t="s">
        <v>98</v>
      </c>
      <c r="G24" s="186" t="s">
        <v>103</v>
      </c>
      <c r="H24" s="298">
        <v>44287.0</v>
      </c>
      <c r="I24" s="268">
        <f>IFERROR(__xludf.DUMMYFUNCTION("countif(FILTER(FILTER(Shiftplan!D$7:BJ$67,Shiftplan!$A$7:$A$67&lt;=Shiftplan!$A$67),Shiftplan!$D$6:$BJ$6=A24),""&gt;0"")"),0.0)</f>
        <v>0</v>
      </c>
      <c r="J24" s="186">
        <f>VLOOKUP(A24,'Shiftplan SoS'!A:F,6,false)</f>
        <v>0</v>
      </c>
      <c r="K24" s="306">
        <f t="shared" si="11"/>
        <v>0</v>
      </c>
      <c r="L24" s="186" t="s">
        <v>592</v>
      </c>
      <c r="M24" s="299" t="str">
        <f t="shared" si="12"/>
        <v>0</v>
      </c>
      <c r="N24" s="300" t="str">
        <f t="shared" si="13"/>
        <v>0</v>
      </c>
      <c r="O24" s="186" t="str">
        <f t="shared" si="14"/>
        <v>-</v>
      </c>
      <c r="P24" s="186" t="str">
        <f t="shared" si="15"/>
        <v>-</v>
      </c>
      <c r="Q24" s="186" t="str">
        <f t="shared" si="16"/>
        <v>-</v>
      </c>
      <c r="R24" s="186" t="s">
        <v>527</v>
      </c>
      <c r="S24" s="301" t="s">
        <v>528</v>
      </c>
      <c r="T24" s="301" t="s">
        <v>650</v>
      </c>
      <c r="U24" s="301"/>
      <c r="V24" s="186" t="s">
        <v>527</v>
      </c>
      <c r="W24" s="301" t="s">
        <v>527</v>
      </c>
      <c r="X24" s="186" t="s">
        <v>527</v>
      </c>
      <c r="Y24" s="186" t="s">
        <v>651</v>
      </c>
      <c r="Z24" s="186" t="s">
        <v>652</v>
      </c>
      <c r="AA24" s="186">
        <v>645.0</v>
      </c>
      <c r="AB24" s="186">
        <v>3.016080823567E12</v>
      </c>
      <c r="AC24" s="302"/>
      <c r="AD24" s="181"/>
      <c r="AE24" s="181"/>
      <c r="AF24" s="181"/>
      <c r="AG24" s="181"/>
      <c r="AH24" s="181"/>
      <c r="AI24" s="181"/>
      <c r="AJ24" s="181"/>
      <c r="AK24" s="181"/>
      <c r="AL24" s="181"/>
      <c r="AM24" s="181"/>
      <c r="AN24" s="181"/>
      <c r="AO24" s="186" t="s">
        <v>546</v>
      </c>
      <c r="AP24" s="254" t="s">
        <v>653</v>
      </c>
      <c r="AQ24" s="254"/>
    </row>
    <row r="25" outlineLevel="1">
      <c r="A25" s="287" t="s">
        <v>133</v>
      </c>
      <c r="B25" s="288" t="s">
        <v>654</v>
      </c>
      <c r="C25" s="287" t="s">
        <v>654</v>
      </c>
      <c r="D25" s="287" t="s">
        <v>525</v>
      </c>
      <c r="E25" s="287" t="s">
        <v>89</v>
      </c>
      <c r="F25" s="287" t="s">
        <v>97</v>
      </c>
      <c r="G25" s="287" t="s">
        <v>655</v>
      </c>
      <c r="H25" s="289">
        <v>44288.0</v>
      </c>
      <c r="I25" s="278">
        <f>IFERROR(__xludf.DUMMYFUNCTION("countif(FILTER(FILTER(Shiftplan!D$7:BJ$67,Shiftplan!$A$7:$A$67&lt;=Shiftplan!$A$67),Shiftplan!$D$6:$BJ$6=A25),""&gt;0"")"),10.0)</f>
        <v>10</v>
      </c>
      <c r="J25" s="287">
        <f>VLOOKUP(A25,'Shiftplan SoS'!A:F,6,false)</f>
        <v>3</v>
      </c>
      <c r="K25" s="290">
        <f t="shared" si="11"/>
        <v>13</v>
      </c>
      <c r="L25" s="287" t="s">
        <v>592</v>
      </c>
      <c r="M25" s="291" t="str">
        <f t="shared" si="12"/>
        <v>3</v>
      </c>
      <c r="N25" s="292" t="str">
        <f t="shared" si="13"/>
        <v>25</v>
      </c>
      <c r="O25" s="287" t="str">
        <f t="shared" si="14"/>
        <v>20</v>
      </c>
      <c r="P25" s="287" t="str">
        <f t="shared" si="15"/>
        <v>10</v>
      </c>
      <c r="Q25" s="287" t="str">
        <f t="shared" si="16"/>
        <v>30</v>
      </c>
      <c r="R25" s="287" t="s">
        <v>527</v>
      </c>
      <c r="S25" s="293" t="s">
        <v>593</v>
      </c>
      <c r="T25" s="293" t="s">
        <v>656</v>
      </c>
      <c r="U25" s="293"/>
      <c r="V25" s="287" t="s">
        <v>527</v>
      </c>
      <c r="W25" s="293" t="s">
        <v>527</v>
      </c>
      <c r="X25" s="287" t="s">
        <v>527</v>
      </c>
      <c r="Y25" s="287" t="s">
        <v>657</v>
      </c>
      <c r="Z25" s="287" t="s">
        <v>658</v>
      </c>
      <c r="AA25" s="287">
        <v>645.0</v>
      </c>
      <c r="AB25" s="287">
        <v>3.018781712887E12</v>
      </c>
      <c r="AC25" s="294"/>
      <c r="AD25" s="295"/>
      <c r="AE25" s="295"/>
      <c r="AF25" s="295"/>
      <c r="AG25" s="295"/>
      <c r="AH25" s="295"/>
      <c r="AI25" s="295"/>
      <c r="AJ25" s="295"/>
      <c r="AK25" s="295"/>
      <c r="AL25" s="295"/>
      <c r="AM25" s="295"/>
      <c r="AN25" s="295"/>
      <c r="AO25" s="276" t="s">
        <v>546</v>
      </c>
      <c r="AP25" s="276" t="s">
        <v>554</v>
      </c>
      <c r="AQ25" s="276" t="s">
        <v>206</v>
      </c>
    </row>
    <row r="26" outlineLevel="1">
      <c r="A26" s="111" t="s">
        <v>137</v>
      </c>
      <c r="B26" s="266" t="s">
        <v>405</v>
      </c>
      <c r="C26" s="111" t="s">
        <v>659</v>
      </c>
      <c r="D26" s="111" t="s">
        <v>525</v>
      </c>
      <c r="E26" s="111" t="s">
        <v>90</v>
      </c>
      <c r="F26" s="111" t="s">
        <v>98</v>
      </c>
      <c r="G26" s="111" t="s">
        <v>660</v>
      </c>
      <c r="H26" s="267">
        <v>44291.0</v>
      </c>
      <c r="I26" s="268">
        <f>IFERROR(__xludf.DUMMYFUNCTION("countif(FILTER(FILTER(Shiftplan!D$7:BJ$67,Shiftplan!$A$7:$A$67&lt;=Shiftplan!$A$67),Shiftplan!$D$6:$BJ$6=A26),""&gt;0"")"),20.0)</f>
        <v>20</v>
      </c>
      <c r="J26" s="111">
        <f>VLOOKUP(A26,'Shiftplan SoS'!A:F,6,false)</f>
        <v>80</v>
      </c>
      <c r="K26" s="268">
        <f t="shared" si="11"/>
        <v>100</v>
      </c>
      <c r="L26" s="111" t="s">
        <v>526</v>
      </c>
      <c r="M26" s="269" t="str">
        <f t="shared" si="12"/>
        <v>8</v>
      </c>
      <c r="N26" s="270" t="str">
        <f t="shared" si="13"/>
        <v>60</v>
      </c>
      <c r="O26" s="111" t="str">
        <f t="shared" si="14"/>
        <v>0</v>
      </c>
      <c r="P26" s="111" t="str">
        <f t="shared" si="15"/>
        <v>0</v>
      </c>
      <c r="Q26" s="111" t="str">
        <f t="shared" si="16"/>
        <v>10</v>
      </c>
      <c r="R26" s="111" t="s">
        <v>527</v>
      </c>
      <c r="S26" s="271" t="s">
        <v>528</v>
      </c>
      <c r="T26" s="271" t="s">
        <v>661</v>
      </c>
      <c r="U26" s="271" t="s">
        <v>662</v>
      </c>
      <c r="V26" s="111" t="s">
        <v>527</v>
      </c>
      <c r="W26" s="271" t="s">
        <v>527</v>
      </c>
      <c r="X26" s="111" t="s">
        <v>527</v>
      </c>
      <c r="Y26" s="111" t="s">
        <v>663</v>
      </c>
      <c r="Z26" s="111" t="s">
        <v>664</v>
      </c>
      <c r="AA26" s="111">
        <v>645.0</v>
      </c>
      <c r="AB26" s="111">
        <v>3.019281561118E12</v>
      </c>
      <c r="AC26" s="272"/>
      <c r="AD26" s="111" t="s">
        <v>527</v>
      </c>
      <c r="AE26" s="111" t="s">
        <v>527</v>
      </c>
      <c r="AF26" s="273"/>
      <c r="AG26" s="273"/>
      <c r="AH26" s="273"/>
      <c r="AI26" s="273"/>
      <c r="AJ26" s="273"/>
      <c r="AK26" s="273"/>
      <c r="AL26" s="273"/>
      <c r="AM26" s="273"/>
      <c r="AN26" s="273"/>
      <c r="AO26" s="111" t="s">
        <v>533</v>
      </c>
      <c r="AP26" s="111" t="s">
        <v>554</v>
      </c>
      <c r="AQ26" s="111" t="s">
        <v>665</v>
      </c>
    </row>
    <row r="27" outlineLevel="1">
      <c r="A27" s="276" t="s">
        <v>129</v>
      </c>
      <c r="B27" s="275" t="s">
        <v>477</v>
      </c>
      <c r="C27" s="276" t="s">
        <v>666</v>
      </c>
      <c r="D27" s="276" t="s">
        <v>525</v>
      </c>
      <c r="E27" s="276" t="s">
        <v>88</v>
      </c>
      <c r="F27" s="276" t="s">
        <v>98</v>
      </c>
      <c r="G27" s="276" t="s">
        <v>199</v>
      </c>
      <c r="H27" s="277">
        <v>44291.0</v>
      </c>
      <c r="I27" s="278">
        <f>IFERROR(__xludf.DUMMYFUNCTION("countif(FILTER(FILTER(Shiftplan!D$7:BJ$67,Shiftplan!$A$7:$A$67&lt;=Shiftplan!$A$67),Shiftplan!$D$6:$BJ$6=A27),""&gt;0"")"),20.0)</f>
        <v>20</v>
      </c>
      <c r="J27" s="276">
        <f>VLOOKUP(A27,'Shiftplan SoS'!A:F,6,false)</f>
        <v>84</v>
      </c>
      <c r="K27" s="278">
        <f t="shared" si="11"/>
        <v>104</v>
      </c>
      <c r="L27" s="276" t="s">
        <v>526</v>
      </c>
      <c r="M27" s="279" t="str">
        <f t="shared" si="12"/>
        <v>9</v>
      </c>
      <c r="N27" s="280" t="str">
        <f t="shared" si="13"/>
        <v>60</v>
      </c>
      <c r="O27" s="276" t="str">
        <f t="shared" si="14"/>
        <v>0</v>
      </c>
      <c r="P27" s="276" t="str">
        <f t="shared" si="15"/>
        <v>0</v>
      </c>
      <c r="Q27" s="276" t="str">
        <f t="shared" si="16"/>
        <v>5</v>
      </c>
      <c r="R27" s="276" t="s">
        <v>527</v>
      </c>
      <c r="S27" s="281" t="s">
        <v>528</v>
      </c>
      <c r="T27" s="281" t="s">
        <v>667</v>
      </c>
      <c r="U27" s="281" t="s">
        <v>668</v>
      </c>
      <c r="V27" s="276" t="s">
        <v>527</v>
      </c>
      <c r="W27" s="281" t="s">
        <v>527</v>
      </c>
      <c r="X27" s="276" t="s">
        <v>527</v>
      </c>
      <c r="Y27" s="276" t="s">
        <v>669</v>
      </c>
      <c r="Z27" s="276" t="s">
        <v>670</v>
      </c>
      <c r="AA27" s="276">
        <v>645.0</v>
      </c>
      <c r="AB27" s="276">
        <v>3.018181556887E12</v>
      </c>
      <c r="AC27" s="282" t="s">
        <v>671</v>
      </c>
      <c r="AD27" s="276" t="s">
        <v>527</v>
      </c>
      <c r="AE27" s="276" t="s">
        <v>527</v>
      </c>
      <c r="AF27" s="276" t="s">
        <v>527</v>
      </c>
      <c r="AG27" s="276" t="s">
        <v>527</v>
      </c>
      <c r="AH27" s="274"/>
      <c r="AI27" s="274"/>
      <c r="AJ27" s="274"/>
      <c r="AK27" s="274"/>
      <c r="AL27" s="274"/>
      <c r="AM27" s="274"/>
      <c r="AN27" s="274"/>
      <c r="AO27" s="276" t="s">
        <v>541</v>
      </c>
      <c r="AP27" s="276" t="s">
        <v>542</v>
      </c>
      <c r="AQ27" s="276"/>
    </row>
    <row r="28" outlineLevel="1">
      <c r="A28" s="186" t="s">
        <v>142</v>
      </c>
      <c r="B28" s="305" t="s">
        <v>672</v>
      </c>
      <c r="C28" s="186" t="s">
        <v>672</v>
      </c>
      <c r="D28" s="186" t="s">
        <v>525</v>
      </c>
      <c r="E28" s="186" t="s">
        <v>88</v>
      </c>
      <c r="F28" s="186" t="s">
        <v>98</v>
      </c>
      <c r="G28" s="186" t="s">
        <v>104</v>
      </c>
      <c r="H28" s="298">
        <v>44291.0</v>
      </c>
      <c r="I28" s="306">
        <f>IFERROR(__xludf.DUMMYFUNCTION("countif(FILTER(FILTER(Shiftplan!D$7:BJ$67,Shiftplan!$A$7:$A$67&lt;=Shiftplan!$A$67),Shiftplan!$D$6:$BJ$6=A28),""&gt;0"")"),20.0)</f>
        <v>20</v>
      </c>
      <c r="J28" s="186">
        <f>VLOOKUP(A28,'Shiftplan SoS'!A:F,6,false)</f>
        <v>40</v>
      </c>
      <c r="K28" s="306">
        <f t="shared" si="11"/>
        <v>60</v>
      </c>
      <c r="L28" s="186" t="s">
        <v>592</v>
      </c>
      <c r="M28" s="299" t="str">
        <f t="shared" si="12"/>
        <v>6</v>
      </c>
      <c r="N28" s="300" t="str">
        <f t="shared" si="13"/>
        <v>50</v>
      </c>
      <c r="O28" s="186" t="str">
        <f t="shared" si="14"/>
        <v>5</v>
      </c>
      <c r="P28" s="186" t="str">
        <f t="shared" si="15"/>
        <v>0</v>
      </c>
      <c r="Q28" s="186" t="str">
        <f t="shared" si="16"/>
        <v>20</v>
      </c>
      <c r="R28" s="186" t="s">
        <v>527</v>
      </c>
      <c r="S28" s="301" t="s">
        <v>528</v>
      </c>
      <c r="T28" s="301" t="s">
        <v>673</v>
      </c>
      <c r="U28" s="301" t="s">
        <v>674</v>
      </c>
      <c r="V28" s="186" t="s">
        <v>527</v>
      </c>
      <c r="W28" s="301" t="s">
        <v>527</v>
      </c>
      <c r="X28" s="186" t="s">
        <v>527</v>
      </c>
      <c r="Y28" s="186" t="s">
        <v>675</v>
      </c>
      <c r="Z28" s="186" t="s">
        <v>676</v>
      </c>
      <c r="AA28" s="186">
        <v>645.0</v>
      </c>
      <c r="AB28" s="186">
        <v>3.016781566825E12</v>
      </c>
      <c r="AC28" s="307" t="s">
        <v>677</v>
      </c>
      <c r="AD28" s="186" t="s">
        <v>527</v>
      </c>
      <c r="AE28" s="181"/>
      <c r="AF28" s="181"/>
      <c r="AG28" s="181"/>
      <c r="AH28" s="181"/>
      <c r="AI28" s="181"/>
      <c r="AJ28" s="181"/>
      <c r="AK28" s="181"/>
      <c r="AL28" s="181"/>
      <c r="AM28" s="181"/>
      <c r="AN28" s="181"/>
      <c r="AO28" s="186" t="s">
        <v>546</v>
      </c>
      <c r="AP28" s="186" t="s">
        <v>542</v>
      </c>
      <c r="AQ28" s="186" t="s">
        <v>206</v>
      </c>
    </row>
    <row r="29" outlineLevel="1">
      <c r="A29" s="308" t="s">
        <v>146</v>
      </c>
      <c r="B29" s="275" t="s">
        <v>385</v>
      </c>
      <c r="C29" s="276" t="s">
        <v>385</v>
      </c>
      <c r="D29" s="276" t="s">
        <v>525</v>
      </c>
      <c r="E29" s="276" t="s">
        <v>88</v>
      </c>
      <c r="F29" s="276" t="s">
        <v>98</v>
      </c>
      <c r="G29" s="276" t="s">
        <v>105</v>
      </c>
      <c r="H29" s="277">
        <v>44298.0</v>
      </c>
      <c r="I29" s="278">
        <f>IFERROR(__xludf.DUMMYFUNCTION("countif(FILTER(FILTER(Shiftplan!D$7:BJ$67,Shiftplan!$A$7:$A$67&lt;=Shiftplan!$A$67),Shiftplan!$D$6:$BJ$6=A29),""&gt;0"")"),14.0)</f>
        <v>14</v>
      </c>
      <c r="J29" s="276">
        <f>VLOOKUP(A29,'Shiftplan SoS'!A:F,6,false)</f>
        <v>83</v>
      </c>
      <c r="K29" s="278">
        <f t="shared" si="11"/>
        <v>97</v>
      </c>
      <c r="L29" s="276" t="s">
        <v>526</v>
      </c>
      <c r="M29" s="279" t="str">
        <f t="shared" si="12"/>
        <v>8</v>
      </c>
      <c r="N29" s="280" t="str">
        <f t="shared" si="13"/>
        <v>60</v>
      </c>
      <c r="O29" s="276" t="str">
        <f t="shared" si="14"/>
        <v>0</v>
      </c>
      <c r="P29" s="276" t="str">
        <f t="shared" si="15"/>
        <v>0</v>
      </c>
      <c r="Q29" s="276" t="str">
        <f t="shared" si="16"/>
        <v>10</v>
      </c>
      <c r="R29" s="276" t="s">
        <v>527</v>
      </c>
      <c r="S29" s="281" t="s">
        <v>528</v>
      </c>
      <c r="T29" s="281" t="s">
        <v>678</v>
      </c>
      <c r="U29" s="281" t="s">
        <v>679</v>
      </c>
      <c r="V29" s="276" t="s">
        <v>527</v>
      </c>
      <c r="W29" s="281" t="s">
        <v>527</v>
      </c>
      <c r="X29" s="276" t="s">
        <v>527</v>
      </c>
      <c r="Y29" s="276" t="s">
        <v>680</v>
      </c>
      <c r="Z29" s="276" t="s">
        <v>681</v>
      </c>
      <c r="AA29" s="276">
        <v>645.0</v>
      </c>
      <c r="AB29" s="276">
        <v>3.013382794746E12</v>
      </c>
      <c r="AC29" s="282" t="s">
        <v>682</v>
      </c>
      <c r="AD29" s="274"/>
      <c r="AE29" s="274"/>
      <c r="AF29" s="274"/>
      <c r="AG29" s="274"/>
      <c r="AH29" s="274"/>
      <c r="AI29" s="274"/>
      <c r="AJ29" s="274"/>
      <c r="AK29" s="274"/>
      <c r="AL29" s="274"/>
      <c r="AM29" s="274"/>
      <c r="AN29" s="274"/>
      <c r="AO29" s="276" t="s">
        <v>553</v>
      </c>
      <c r="AP29" s="309" t="s">
        <v>554</v>
      </c>
      <c r="AQ29" s="276" t="s">
        <v>206</v>
      </c>
    </row>
    <row r="30" outlineLevel="1">
      <c r="A30" s="310" t="s">
        <v>255</v>
      </c>
      <c r="B30" s="266" t="s">
        <v>384</v>
      </c>
      <c r="C30" s="111" t="s">
        <v>683</v>
      </c>
      <c r="D30" s="111" t="s">
        <v>525</v>
      </c>
      <c r="E30" s="111" t="s">
        <v>88</v>
      </c>
      <c r="F30" s="111" t="s">
        <v>98</v>
      </c>
      <c r="G30" s="111" t="s">
        <v>196</v>
      </c>
      <c r="H30" s="267">
        <v>44298.0</v>
      </c>
      <c r="I30" s="268">
        <f>IFERROR(__xludf.DUMMYFUNCTION("countif(FILTER(FILTER(Shiftplan!D$7:BJ$67,Shiftplan!$A$7:$A$67&lt;=Shiftplan!$A$67),Shiftplan!$D$6:$BJ$6=A30),""&gt;0"")"),0.0)</f>
        <v>0</v>
      </c>
      <c r="J30" s="111">
        <f>VLOOKUP(A30,'Shiftplan SoS'!A:F,6,false)</f>
        <v>80</v>
      </c>
      <c r="K30" s="268">
        <f t="shared" si="11"/>
        <v>80</v>
      </c>
      <c r="L30" s="111" t="s">
        <v>526</v>
      </c>
      <c r="M30" s="269" t="str">
        <f t="shared" si="12"/>
        <v>7</v>
      </c>
      <c r="N30" s="270" t="str">
        <f t="shared" si="13"/>
        <v>60</v>
      </c>
      <c r="O30" s="111" t="str">
        <f t="shared" si="14"/>
        <v>0</v>
      </c>
      <c r="P30" s="111" t="str">
        <f t="shared" si="15"/>
        <v>0</v>
      </c>
      <c r="Q30" s="111" t="str">
        <f t="shared" si="16"/>
        <v>15</v>
      </c>
      <c r="R30" s="111" t="s">
        <v>527</v>
      </c>
      <c r="S30" s="271" t="s">
        <v>528</v>
      </c>
      <c r="T30" s="271" t="s">
        <v>684</v>
      </c>
      <c r="U30" s="271" t="s">
        <v>685</v>
      </c>
      <c r="V30" s="111" t="s">
        <v>527</v>
      </c>
      <c r="W30" s="271" t="s">
        <v>527</v>
      </c>
      <c r="X30" s="111" t="s">
        <v>527</v>
      </c>
      <c r="Y30" s="111" t="s">
        <v>686</v>
      </c>
      <c r="Z30" s="111" t="s">
        <v>685</v>
      </c>
      <c r="AA30" s="111">
        <v>694.0</v>
      </c>
      <c r="AB30" s="111">
        <v>3.011780560704E12</v>
      </c>
      <c r="AC30" s="286" t="s">
        <v>687</v>
      </c>
      <c r="AD30" s="273"/>
      <c r="AE30" s="273"/>
      <c r="AF30" s="273"/>
      <c r="AG30" s="273"/>
      <c r="AH30" s="273"/>
      <c r="AI30" s="273"/>
      <c r="AJ30" s="273"/>
      <c r="AK30" s="273"/>
      <c r="AL30" s="273"/>
      <c r="AM30" s="273"/>
      <c r="AN30" s="273"/>
      <c r="AO30" s="111" t="s">
        <v>553</v>
      </c>
      <c r="AP30" s="111" t="s">
        <v>688</v>
      </c>
      <c r="AQ30" s="111" t="s">
        <v>200</v>
      </c>
    </row>
    <row r="31" outlineLevel="1">
      <c r="A31" s="276" t="s">
        <v>122</v>
      </c>
      <c r="B31" s="275" t="s">
        <v>396</v>
      </c>
      <c r="C31" s="276" t="s">
        <v>396</v>
      </c>
      <c r="D31" s="276" t="s">
        <v>525</v>
      </c>
      <c r="E31" s="276" t="s">
        <v>89</v>
      </c>
      <c r="F31" s="276" t="s">
        <v>98</v>
      </c>
      <c r="G31" s="276" t="s">
        <v>103</v>
      </c>
      <c r="H31" s="277">
        <v>44298.0</v>
      </c>
      <c r="I31" s="278">
        <f>IFERROR(__xludf.DUMMYFUNCTION("countif(FILTER(FILTER(Shiftplan!D$7:BJ$67,Shiftplan!$A$7:$A$67&lt;=Shiftplan!$A$67),Shiftplan!$D$6:$BJ$6=A31),""&gt;0"")"),15.0)</f>
        <v>15</v>
      </c>
      <c r="J31" s="276">
        <f>VLOOKUP(A31,'Shiftplan SoS'!A:F,6,false)</f>
        <v>85</v>
      </c>
      <c r="K31" s="278">
        <f t="shared" si="11"/>
        <v>100</v>
      </c>
      <c r="L31" s="276" t="s">
        <v>526</v>
      </c>
      <c r="M31" s="279" t="str">
        <f t="shared" si="12"/>
        <v>8</v>
      </c>
      <c r="N31" s="280" t="str">
        <f t="shared" si="13"/>
        <v>60</v>
      </c>
      <c r="O31" s="276" t="str">
        <f t="shared" si="14"/>
        <v>0</v>
      </c>
      <c r="P31" s="276" t="str">
        <f t="shared" si="15"/>
        <v>0</v>
      </c>
      <c r="Q31" s="276" t="str">
        <f t="shared" si="16"/>
        <v>10</v>
      </c>
      <c r="R31" s="276" t="s">
        <v>527</v>
      </c>
      <c r="S31" s="281" t="s">
        <v>528</v>
      </c>
      <c r="T31" s="281" t="s">
        <v>689</v>
      </c>
      <c r="U31" s="281" t="s">
        <v>690</v>
      </c>
      <c r="V31" s="276" t="s">
        <v>527</v>
      </c>
      <c r="W31" s="281" t="s">
        <v>527</v>
      </c>
      <c r="X31" s="276" t="s">
        <v>527</v>
      </c>
      <c r="Y31" s="276" t="s">
        <v>691</v>
      </c>
      <c r="Z31" s="276" t="s">
        <v>690</v>
      </c>
      <c r="AA31" s="311">
        <v>645.0</v>
      </c>
      <c r="AB31" s="311">
        <v>3.016882827836E12</v>
      </c>
      <c r="AC31" s="312" t="s">
        <v>623</v>
      </c>
      <c r="AD31" s="274"/>
      <c r="AE31" s="274"/>
      <c r="AF31" s="276" t="s">
        <v>527</v>
      </c>
      <c r="AG31" s="274"/>
      <c r="AH31" s="274"/>
      <c r="AI31" s="274"/>
      <c r="AJ31" s="274"/>
      <c r="AK31" s="274"/>
      <c r="AL31" s="274"/>
      <c r="AM31" s="274"/>
      <c r="AN31" s="274"/>
      <c r="AO31" s="276" t="s">
        <v>546</v>
      </c>
      <c r="AP31" s="276" t="s">
        <v>576</v>
      </c>
      <c r="AQ31" s="276" t="s">
        <v>200</v>
      </c>
    </row>
    <row r="32" outlineLevel="1">
      <c r="A32" s="111" t="s">
        <v>149</v>
      </c>
      <c r="B32" s="266" t="s">
        <v>411</v>
      </c>
      <c r="C32" s="111" t="s">
        <v>411</v>
      </c>
      <c r="D32" s="111" t="s">
        <v>525</v>
      </c>
      <c r="E32" s="111" t="s">
        <v>692</v>
      </c>
      <c r="F32" s="111" t="s">
        <v>98</v>
      </c>
      <c r="G32" s="111" t="s">
        <v>104</v>
      </c>
      <c r="H32" s="267">
        <v>44298.0</v>
      </c>
      <c r="I32" s="268">
        <f>IFERROR(__xludf.DUMMYFUNCTION("countif(FILTER(FILTER(Shiftplan!D$7:BJ$67,Shiftplan!$A$7:$A$67&lt;=Shiftplan!$A$67),Shiftplan!$D$6:$BJ$6=A32),""&gt;0"")"),14.0)</f>
        <v>14</v>
      </c>
      <c r="J32" s="111">
        <f>VLOOKUP(A32,'Shiftplan SoS'!A:F,6,false)</f>
        <v>82</v>
      </c>
      <c r="K32" s="268">
        <f t="shared" si="11"/>
        <v>96</v>
      </c>
      <c r="L32" s="111" t="s">
        <v>526</v>
      </c>
      <c r="M32" s="269" t="str">
        <f t="shared" si="12"/>
        <v>8</v>
      </c>
      <c r="N32" s="270" t="str">
        <f t="shared" si="13"/>
        <v>60</v>
      </c>
      <c r="O32" s="111" t="str">
        <f t="shared" si="14"/>
        <v>0</v>
      </c>
      <c r="P32" s="111" t="str">
        <f t="shared" si="15"/>
        <v>0</v>
      </c>
      <c r="Q32" s="111" t="str">
        <f t="shared" si="16"/>
        <v>10</v>
      </c>
      <c r="R32" s="111" t="s">
        <v>527</v>
      </c>
      <c r="S32" s="271" t="s">
        <v>528</v>
      </c>
      <c r="T32" s="271" t="s">
        <v>693</v>
      </c>
      <c r="U32" s="271" t="s">
        <v>694</v>
      </c>
      <c r="V32" s="111" t="s">
        <v>527</v>
      </c>
      <c r="W32" s="271" t="s">
        <v>527</v>
      </c>
      <c r="X32" s="111" t="s">
        <v>527</v>
      </c>
      <c r="Y32" s="111" t="s">
        <v>695</v>
      </c>
      <c r="Z32" s="111" t="s">
        <v>696</v>
      </c>
      <c r="AA32" s="111">
        <v>658.0</v>
      </c>
      <c r="AB32" s="111">
        <v>3.018575748559E12</v>
      </c>
      <c r="AC32" s="272"/>
      <c r="AD32" s="273"/>
      <c r="AE32" s="273"/>
      <c r="AF32" s="273"/>
      <c r="AG32" s="273"/>
      <c r="AH32" s="273"/>
      <c r="AI32" s="273"/>
      <c r="AJ32" s="273"/>
      <c r="AK32" s="273"/>
      <c r="AL32" s="273"/>
      <c r="AM32" s="111" t="b">
        <v>1</v>
      </c>
      <c r="AN32" s="111" t="b">
        <v>1</v>
      </c>
      <c r="AO32" s="111" t="s">
        <v>546</v>
      </c>
      <c r="AP32" s="111" t="s">
        <v>542</v>
      </c>
      <c r="AQ32" s="111" t="s">
        <v>206</v>
      </c>
    </row>
    <row r="33" outlineLevel="1">
      <c r="A33" s="276" t="s">
        <v>138</v>
      </c>
      <c r="B33" s="275" t="s">
        <v>406</v>
      </c>
      <c r="C33" s="276" t="s">
        <v>697</v>
      </c>
      <c r="D33" s="276" t="s">
        <v>525</v>
      </c>
      <c r="E33" s="276" t="s">
        <v>90</v>
      </c>
      <c r="F33" s="276" t="s">
        <v>98</v>
      </c>
      <c r="G33" s="276" t="s">
        <v>189</v>
      </c>
      <c r="H33" s="277">
        <v>44298.0</v>
      </c>
      <c r="I33" s="278">
        <f>IFERROR(__xludf.DUMMYFUNCTION("countif(FILTER(FILTER(Shiftplan!D$7:BJ$67,Shiftplan!$A$7:$A$67&lt;=Shiftplan!$A$67),Shiftplan!$D$6:$BJ$6=A33),""&gt;0"")"),15.0)</f>
        <v>15</v>
      </c>
      <c r="J33" s="276">
        <f>VLOOKUP(A33,'Shiftplan SoS'!A:F,6,false)</f>
        <v>82</v>
      </c>
      <c r="K33" s="278">
        <f t="shared" si="11"/>
        <v>97</v>
      </c>
      <c r="L33" s="276" t="s">
        <v>526</v>
      </c>
      <c r="M33" s="279" t="str">
        <f t="shared" si="12"/>
        <v>8</v>
      </c>
      <c r="N33" s="280" t="str">
        <f t="shared" si="13"/>
        <v>60</v>
      </c>
      <c r="O33" s="276" t="str">
        <f t="shared" si="14"/>
        <v>0</v>
      </c>
      <c r="P33" s="276" t="str">
        <f t="shared" si="15"/>
        <v>0</v>
      </c>
      <c r="Q33" s="276" t="str">
        <f t="shared" si="16"/>
        <v>10</v>
      </c>
      <c r="R33" s="276" t="s">
        <v>527</v>
      </c>
      <c r="S33" s="281" t="s">
        <v>528</v>
      </c>
      <c r="T33" s="281" t="s">
        <v>698</v>
      </c>
      <c r="U33" s="281" t="s">
        <v>699</v>
      </c>
      <c r="V33" s="276" t="s">
        <v>527</v>
      </c>
      <c r="W33" s="281" t="s">
        <v>527</v>
      </c>
      <c r="X33" s="276" t="s">
        <v>527</v>
      </c>
      <c r="Y33" s="276" t="s">
        <v>700</v>
      </c>
      <c r="Z33" s="276" t="s">
        <v>701</v>
      </c>
      <c r="AA33" s="276">
        <v>645.0</v>
      </c>
      <c r="AB33" s="276">
        <v>3.012183364174E12</v>
      </c>
      <c r="AC33" s="282" t="s">
        <v>540</v>
      </c>
      <c r="AD33" s="274"/>
      <c r="AE33" s="274"/>
      <c r="AF33" s="274"/>
      <c r="AG33" s="274"/>
      <c r="AH33" s="274"/>
      <c r="AI33" s="274"/>
      <c r="AJ33" s="274"/>
      <c r="AK33" s="274"/>
      <c r="AL33" s="274"/>
      <c r="AM33" s="274"/>
      <c r="AN33" s="274"/>
      <c r="AO33" s="276" t="s">
        <v>546</v>
      </c>
      <c r="AP33" s="276" t="s">
        <v>702</v>
      </c>
      <c r="AQ33" s="276" t="s">
        <v>190</v>
      </c>
    </row>
    <row r="34" outlineLevel="1">
      <c r="A34" s="111" t="s">
        <v>152</v>
      </c>
      <c r="B34" s="266" t="s">
        <v>412</v>
      </c>
      <c r="C34" s="111" t="s">
        <v>703</v>
      </c>
      <c r="D34" s="111" t="s">
        <v>525</v>
      </c>
      <c r="E34" s="111" t="s">
        <v>88</v>
      </c>
      <c r="F34" s="111" t="s">
        <v>192</v>
      </c>
      <c r="G34" s="111" t="s">
        <v>105</v>
      </c>
      <c r="H34" s="267">
        <v>44298.0</v>
      </c>
      <c r="I34" s="268">
        <f>IFERROR(__xludf.DUMMYFUNCTION("countif(FILTER(FILTER(Shiftplan!D$7:BJ$67,Shiftplan!$A$7:$A$67&lt;=Shiftplan!$A$67),Shiftplan!$D$6:$BJ$6=A34),""&gt;0"")"),10.0)</f>
        <v>10</v>
      </c>
      <c r="J34" s="111">
        <f>VLOOKUP(A34,'Shiftplan SoS'!A:F,6,false)</f>
        <v>88</v>
      </c>
      <c r="K34" s="268">
        <f t="shared" si="11"/>
        <v>98</v>
      </c>
      <c r="L34" s="111" t="s">
        <v>526</v>
      </c>
      <c r="M34" s="269" t="str">
        <f t="shared" si="12"/>
        <v>8</v>
      </c>
      <c r="N34" s="270" t="str">
        <f t="shared" si="13"/>
        <v>60</v>
      </c>
      <c r="O34" s="111" t="str">
        <f t="shared" si="14"/>
        <v>0</v>
      </c>
      <c r="P34" s="111" t="str">
        <f t="shared" si="15"/>
        <v>0</v>
      </c>
      <c r="Q34" s="111" t="str">
        <f t="shared" si="16"/>
        <v>10</v>
      </c>
      <c r="R34" s="111" t="s">
        <v>527</v>
      </c>
      <c r="S34" s="271" t="s">
        <v>528</v>
      </c>
      <c r="T34" s="271" t="s">
        <v>704</v>
      </c>
      <c r="U34" s="271" t="s">
        <v>705</v>
      </c>
      <c r="V34" s="111" t="s">
        <v>527</v>
      </c>
      <c r="W34" s="271" t="s">
        <v>527</v>
      </c>
      <c r="X34" s="111" t="s">
        <v>527</v>
      </c>
      <c r="Y34" s="111" t="s">
        <v>706</v>
      </c>
      <c r="Z34" s="111" t="s">
        <v>707</v>
      </c>
      <c r="AA34" s="111">
        <v>645.0</v>
      </c>
      <c r="AB34" s="111">
        <v>3.01833608821E11</v>
      </c>
      <c r="AC34" s="286" t="s">
        <v>708</v>
      </c>
      <c r="AD34" s="273"/>
      <c r="AE34" s="273"/>
      <c r="AF34" s="273"/>
      <c r="AG34" s="273"/>
      <c r="AH34" s="273"/>
      <c r="AI34" s="273"/>
      <c r="AJ34" s="273"/>
      <c r="AK34" s="273"/>
      <c r="AL34" s="273"/>
      <c r="AM34" s="111" t="b">
        <v>1</v>
      </c>
      <c r="AN34" s="111" t="b">
        <v>1</v>
      </c>
      <c r="AO34" s="111" t="s">
        <v>546</v>
      </c>
      <c r="AP34" s="111" t="s">
        <v>576</v>
      </c>
      <c r="AQ34" s="111" t="s">
        <v>206</v>
      </c>
    </row>
    <row r="35" outlineLevel="1">
      <c r="A35" s="276" t="s">
        <v>141</v>
      </c>
      <c r="B35" s="275" t="s">
        <v>446</v>
      </c>
      <c r="C35" s="276" t="s">
        <v>709</v>
      </c>
      <c r="D35" s="276" t="s">
        <v>525</v>
      </c>
      <c r="E35" s="276" t="s">
        <v>88</v>
      </c>
      <c r="F35" s="276" t="s">
        <v>98</v>
      </c>
      <c r="G35" s="276" t="s">
        <v>105</v>
      </c>
      <c r="H35" s="277">
        <v>44298.0</v>
      </c>
      <c r="I35" s="278">
        <f>IFERROR(__xludf.DUMMYFUNCTION("countif(FILTER(FILTER(Shiftplan!D$7:BJ$67,Shiftplan!$A$7:$A$67&lt;=Shiftplan!$A$67),Shiftplan!$D$6:$BJ$6=A35),""&gt;0"")"),14.0)</f>
        <v>14</v>
      </c>
      <c r="J35" s="276">
        <f>VLOOKUP(A35,'Shiftplan SoS'!A:F,6,false)</f>
        <v>85</v>
      </c>
      <c r="K35" s="278">
        <f t="shared" si="11"/>
        <v>99</v>
      </c>
      <c r="L35" s="276" t="s">
        <v>526</v>
      </c>
      <c r="M35" s="279" t="str">
        <f t="shared" si="12"/>
        <v>8</v>
      </c>
      <c r="N35" s="280" t="str">
        <f t="shared" si="13"/>
        <v>60</v>
      </c>
      <c r="O35" s="276" t="str">
        <f t="shared" si="14"/>
        <v>0</v>
      </c>
      <c r="P35" s="276" t="str">
        <f t="shared" si="15"/>
        <v>0</v>
      </c>
      <c r="Q35" s="276" t="str">
        <f t="shared" si="16"/>
        <v>10</v>
      </c>
      <c r="R35" s="276" t="s">
        <v>527</v>
      </c>
      <c r="S35" s="281" t="s">
        <v>528</v>
      </c>
      <c r="T35" s="281" t="s">
        <v>710</v>
      </c>
      <c r="U35" s="281" t="s">
        <v>711</v>
      </c>
      <c r="V35" s="276" t="s">
        <v>527</v>
      </c>
      <c r="W35" s="281" t="s">
        <v>527</v>
      </c>
      <c r="X35" s="276" t="s">
        <v>527</v>
      </c>
      <c r="Y35" s="276" t="s">
        <v>712</v>
      </c>
      <c r="Z35" s="276" t="s">
        <v>713</v>
      </c>
      <c r="AA35" s="276">
        <v>645.0</v>
      </c>
      <c r="AB35" s="276">
        <v>3.012282792473E12</v>
      </c>
      <c r="AC35" s="282" t="s">
        <v>714</v>
      </c>
      <c r="AD35" s="274"/>
      <c r="AE35" s="274"/>
      <c r="AF35" s="274"/>
      <c r="AG35" s="274"/>
      <c r="AH35" s="274"/>
      <c r="AI35" s="274"/>
      <c r="AJ35" s="274"/>
      <c r="AK35" s="274"/>
      <c r="AL35" s="274"/>
      <c r="AM35" s="274"/>
      <c r="AN35" s="274"/>
      <c r="AO35" s="276" t="s">
        <v>553</v>
      </c>
      <c r="AP35" s="276" t="s">
        <v>542</v>
      </c>
      <c r="AQ35" s="276" t="s">
        <v>206</v>
      </c>
    </row>
    <row r="36" outlineLevel="1">
      <c r="A36" s="111" t="s">
        <v>158</v>
      </c>
      <c r="B36" s="266" t="s">
        <v>463</v>
      </c>
      <c r="C36" s="111" t="s">
        <v>463</v>
      </c>
      <c r="D36" s="111" t="s">
        <v>525</v>
      </c>
      <c r="E36" s="111" t="s">
        <v>88</v>
      </c>
      <c r="F36" s="111" t="s">
        <v>192</v>
      </c>
      <c r="G36" s="111" t="s">
        <v>105</v>
      </c>
      <c r="H36" s="267">
        <v>44299.0</v>
      </c>
      <c r="I36" s="268">
        <f>IFERROR(__xludf.DUMMYFUNCTION("countif(FILTER(FILTER(Shiftplan!D$7:BJ$67,Shiftplan!$A$7:$A$67&lt;=Shiftplan!$A$67),Shiftplan!$D$6:$BJ$6=A36),""&gt;0"")"),8.0)</f>
        <v>8</v>
      </c>
      <c r="J36" s="111" t="str">
        <f>VLOOKUP(A36,'Shiftplan SoS'!A:F,6,false)</f>
        <v>#N/A</v>
      </c>
      <c r="K36" s="111" t="str">
        <f t="shared" si="11"/>
        <v>#N/A</v>
      </c>
      <c r="L36" s="111" t="s">
        <v>526</v>
      </c>
      <c r="M36" s="269" t="str">
        <f t="shared" si="12"/>
        <v>#N/A</v>
      </c>
      <c r="N36" s="270" t="str">
        <f t="shared" si="13"/>
        <v>#N/A</v>
      </c>
      <c r="O36" s="111" t="str">
        <f t="shared" si="14"/>
        <v>#N/A</v>
      </c>
      <c r="P36" s="111" t="str">
        <f t="shared" si="15"/>
        <v>#N/A</v>
      </c>
      <c r="Q36" s="111" t="str">
        <f t="shared" si="16"/>
        <v>#N/A</v>
      </c>
      <c r="R36" s="111" t="s">
        <v>527</v>
      </c>
      <c r="S36" s="271" t="s">
        <v>528</v>
      </c>
      <c r="T36" s="271" t="s">
        <v>715</v>
      </c>
      <c r="U36" s="271" t="s">
        <v>716</v>
      </c>
      <c r="V36" s="111" t="s">
        <v>527</v>
      </c>
      <c r="W36" s="271" t="s">
        <v>527</v>
      </c>
      <c r="X36" s="111" t="s">
        <v>527</v>
      </c>
      <c r="Y36" s="111" t="s">
        <v>717</v>
      </c>
      <c r="Z36" s="111" t="s">
        <v>718</v>
      </c>
      <c r="AA36" s="111">
        <v>645.0</v>
      </c>
      <c r="AB36" s="111">
        <v>3.015082964821E12</v>
      </c>
      <c r="AC36" s="286" t="s">
        <v>540</v>
      </c>
      <c r="AD36" s="273"/>
      <c r="AE36" s="273"/>
      <c r="AF36" s="273"/>
      <c r="AG36" s="273"/>
      <c r="AH36" s="273"/>
      <c r="AI36" s="273"/>
      <c r="AJ36" s="273"/>
      <c r="AK36" s="273"/>
      <c r="AL36" s="273"/>
      <c r="AM36" s="273"/>
      <c r="AN36" s="273"/>
      <c r="AO36" s="111" t="s">
        <v>546</v>
      </c>
      <c r="AP36" s="111" t="s">
        <v>554</v>
      </c>
      <c r="AQ36" s="111" t="s">
        <v>206</v>
      </c>
    </row>
    <row r="37" outlineLevel="1">
      <c r="A37" s="287" t="s">
        <v>366</v>
      </c>
      <c r="B37" s="288" t="s">
        <v>719</v>
      </c>
      <c r="C37" s="313" t="s">
        <v>719</v>
      </c>
      <c r="D37" s="287" t="s">
        <v>525</v>
      </c>
      <c r="E37" s="287" t="s">
        <v>88</v>
      </c>
      <c r="F37" s="287" t="s">
        <v>98</v>
      </c>
      <c r="G37" s="287" t="s">
        <v>189</v>
      </c>
      <c r="H37" s="289">
        <v>44299.0</v>
      </c>
      <c r="I37" s="278">
        <f>IFERROR(__xludf.DUMMYFUNCTION("countif(FILTER(FILTER(Shiftplan!D$7:BJ$67,Shiftplan!$A$7:$A$67&lt;=Shiftplan!$A$67),Shiftplan!$D$6:$BJ$6=A37),""&gt;0"")"),0.0)</f>
        <v>0</v>
      </c>
      <c r="J37" s="287">
        <f>VLOOKUP(A37,'Shiftplan SoS'!A:F,6,false)</f>
        <v>33</v>
      </c>
      <c r="K37" s="290">
        <f t="shared" si="11"/>
        <v>33</v>
      </c>
      <c r="L37" s="287" t="s">
        <v>592</v>
      </c>
      <c r="M37" s="291" t="str">
        <f t="shared" si="12"/>
        <v>5</v>
      </c>
      <c r="N37" s="292" t="str">
        <f t="shared" si="13"/>
        <v>40</v>
      </c>
      <c r="O37" s="287" t="str">
        <f t="shared" si="14"/>
        <v>10</v>
      </c>
      <c r="P37" s="287" t="str">
        <f t="shared" si="15"/>
        <v>5</v>
      </c>
      <c r="Q37" s="287" t="str">
        <f t="shared" si="16"/>
        <v>25</v>
      </c>
      <c r="R37" s="287" t="s">
        <v>527</v>
      </c>
      <c r="S37" s="293" t="s">
        <v>528</v>
      </c>
      <c r="T37" s="293" t="s">
        <v>720</v>
      </c>
      <c r="U37" s="293"/>
      <c r="V37" s="287" t="s">
        <v>527</v>
      </c>
      <c r="W37" s="293" t="s">
        <v>527</v>
      </c>
      <c r="X37" s="287" t="s">
        <v>527</v>
      </c>
      <c r="Y37" s="287" t="s">
        <v>721</v>
      </c>
      <c r="Z37" s="287" t="s">
        <v>722</v>
      </c>
      <c r="AA37" s="287">
        <v>645.0</v>
      </c>
      <c r="AB37" s="287">
        <v>3.012983228463E12</v>
      </c>
      <c r="AC37" s="314" t="s">
        <v>708</v>
      </c>
      <c r="AD37" s="295"/>
      <c r="AE37" s="295"/>
      <c r="AF37" s="295"/>
      <c r="AG37" s="295"/>
      <c r="AH37" s="295"/>
      <c r="AI37" s="295"/>
      <c r="AJ37" s="295"/>
      <c r="AK37" s="295"/>
      <c r="AL37" s="295"/>
      <c r="AM37" s="295"/>
      <c r="AN37" s="295"/>
      <c r="AO37" s="287" t="s">
        <v>546</v>
      </c>
      <c r="AP37" s="287" t="s">
        <v>542</v>
      </c>
      <c r="AQ37" s="276" t="s">
        <v>608</v>
      </c>
    </row>
    <row r="38" outlineLevel="1">
      <c r="A38" s="186" t="s">
        <v>132</v>
      </c>
      <c r="B38" s="305" t="s">
        <v>723</v>
      </c>
      <c r="C38" s="186" t="s">
        <v>723</v>
      </c>
      <c r="D38" s="186" t="s">
        <v>525</v>
      </c>
      <c r="E38" s="186" t="s">
        <v>91</v>
      </c>
      <c r="F38" s="186" t="s">
        <v>97</v>
      </c>
      <c r="G38" s="186" t="s">
        <v>103</v>
      </c>
      <c r="H38" s="298">
        <v>44299.0</v>
      </c>
      <c r="I38" s="268">
        <f>IFERROR(__xludf.DUMMYFUNCTION("countif(FILTER(FILTER(Shiftplan!D$7:BJ$67,Shiftplan!$A$7:$A$67&lt;=Shiftplan!$A$67),Shiftplan!$D$6:$BJ$6=A38),""&gt;0"")"),5.0)</f>
        <v>5</v>
      </c>
      <c r="J38" s="186">
        <v>0.0</v>
      </c>
      <c r="K38" s="306">
        <f t="shared" si="11"/>
        <v>5</v>
      </c>
      <c r="L38" s="186" t="s">
        <v>592</v>
      </c>
      <c r="M38" s="299" t="str">
        <f t="shared" si="12"/>
        <v>1</v>
      </c>
      <c r="N38" s="300" t="str">
        <f t="shared" si="13"/>
        <v>10</v>
      </c>
      <c r="O38" s="186" t="str">
        <f t="shared" si="14"/>
        <v>-</v>
      </c>
      <c r="P38" s="186" t="str">
        <f t="shared" si="15"/>
        <v>-</v>
      </c>
      <c r="Q38" s="186" t="str">
        <f t="shared" si="16"/>
        <v>-</v>
      </c>
      <c r="R38" s="186" t="s">
        <v>527</v>
      </c>
      <c r="S38" s="301" t="s">
        <v>593</v>
      </c>
      <c r="T38" s="301" t="s">
        <v>724</v>
      </c>
      <c r="U38" s="301"/>
      <c r="V38" s="186" t="s">
        <v>527</v>
      </c>
      <c r="W38" s="301" t="s">
        <v>527</v>
      </c>
      <c r="X38" s="186" t="s">
        <v>527</v>
      </c>
      <c r="Y38" s="186" t="s">
        <v>725</v>
      </c>
      <c r="Z38" s="186" t="s">
        <v>726</v>
      </c>
      <c r="AA38" s="186">
        <v>645.0</v>
      </c>
      <c r="AB38" s="186">
        <v>3.017682980562E12</v>
      </c>
      <c r="AC38" s="302"/>
      <c r="AD38" s="181"/>
      <c r="AE38" s="181"/>
      <c r="AF38" s="181"/>
      <c r="AG38" s="181"/>
      <c r="AH38" s="181"/>
      <c r="AI38" s="181"/>
      <c r="AJ38" s="181"/>
      <c r="AK38" s="181"/>
      <c r="AL38" s="181"/>
      <c r="AM38" s="181"/>
      <c r="AN38" s="181"/>
      <c r="AO38" s="181"/>
      <c r="AP38" s="111" t="s">
        <v>554</v>
      </c>
      <c r="AQ38" s="111"/>
    </row>
    <row r="39" outlineLevel="1">
      <c r="A39" s="276" t="s">
        <v>156</v>
      </c>
      <c r="B39" s="275" t="s">
        <v>383</v>
      </c>
      <c r="C39" s="276" t="s">
        <v>383</v>
      </c>
      <c r="D39" s="276" t="s">
        <v>525</v>
      </c>
      <c r="E39" s="276" t="s">
        <v>88</v>
      </c>
      <c r="F39" s="276" t="s">
        <v>192</v>
      </c>
      <c r="G39" s="276" t="s">
        <v>189</v>
      </c>
      <c r="H39" s="277">
        <v>44301.0</v>
      </c>
      <c r="I39" s="278">
        <f>IFERROR(__xludf.DUMMYFUNCTION("countif(FILTER(FILTER(Shiftplan!D$7:BJ$67,Shiftplan!$A$7:$A$67&lt;=Shiftplan!$A$67),Shiftplan!$D$6:$BJ$6=A39),""&gt;0"")"),7.0)</f>
        <v>7</v>
      </c>
      <c r="J39" s="276">
        <f>VLOOKUP(A39,'Shiftplan SoS'!A:F,6,false)</f>
        <v>77</v>
      </c>
      <c r="K39" s="278">
        <f t="shared" si="11"/>
        <v>84</v>
      </c>
      <c r="L39" s="276" t="s">
        <v>526</v>
      </c>
      <c r="M39" s="279" t="str">
        <f t="shared" si="12"/>
        <v>8</v>
      </c>
      <c r="N39" s="280" t="str">
        <f t="shared" si="13"/>
        <v>60</v>
      </c>
      <c r="O39" s="276" t="str">
        <f t="shared" si="14"/>
        <v>0</v>
      </c>
      <c r="P39" s="276" t="str">
        <f t="shared" si="15"/>
        <v>0</v>
      </c>
      <c r="Q39" s="276" t="str">
        <f t="shared" si="16"/>
        <v>10</v>
      </c>
      <c r="R39" s="276" t="s">
        <v>527</v>
      </c>
      <c r="S39" s="281" t="s">
        <v>528</v>
      </c>
      <c r="T39" s="281" t="s">
        <v>727</v>
      </c>
      <c r="U39" s="281" t="s">
        <v>728</v>
      </c>
      <c r="V39" s="276" t="s">
        <v>527</v>
      </c>
      <c r="W39" s="281" t="s">
        <v>527</v>
      </c>
      <c r="X39" s="276" t="s">
        <v>527</v>
      </c>
      <c r="Y39" s="276" t="s">
        <v>729</v>
      </c>
      <c r="Z39" s="276" t="s">
        <v>730</v>
      </c>
      <c r="AA39" s="276">
        <v>645.0</v>
      </c>
      <c r="AB39" s="276">
        <v>3.017083347788E12</v>
      </c>
      <c r="AC39" s="282" t="s">
        <v>731</v>
      </c>
      <c r="AD39" s="274"/>
      <c r="AE39" s="274"/>
      <c r="AF39" s="274"/>
      <c r="AG39" s="274"/>
      <c r="AH39" s="274"/>
      <c r="AI39" s="274"/>
      <c r="AJ39" s="274"/>
      <c r="AK39" s="274"/>
      <c r="AL39" s="274"/>
      <c r="AM39" s="274"/>
      <c r="AN39" s="274"/>
      <c r="AO39" s="276" t="s">
        <v>546</v>
      </c>
      <c r="AP39" s="276" t="s">
        <v>576</v>
      </c>
      <c r="AQ39" s="276" t="s">
        <v>190</v>
      </c>
    </row>
    <row r="40" outlineLevel="1">
      <c r="A40" s="315" t="s">
        <v>271</v>
      </c>
      <c r="B40" s="266" t="s">
        <v>414</v>
      </c>
      <c r="C40" s="111" t="s">
        <v>414</v>
      </c>
      <c r="D40" s="111" t="s">
        <v>525</v>
      </c>
      <c r="E40" s="111" t="s">
        <v>88</v>
      </c>
      <c r="F40" s="316" t="s">
        <v>192</v>
      </c>
      <c r="G40" s="111" t="s">
        <v>189</v>
      </c>
      <c r="H40" s="267">
        <v>44301.0</v>
      </c>
      <c r="I40" s="268">
        <f>IFERROR(__xludf.DUMMYFUNCTION("countif(FILTER(FILTER(Shiftplan!D$7:BJ$67,Shiftplan!$A$7:$A$67&lt;=Shiftplan!$A$67),Shiftplan!$D$6:$BJ$6=A40),""&gt;0"")"),0.0)</f>
        <v>0</v>
      </c>
      <c r="J40" s="111">
        <f>VLOOKUP(A40,'Shiftplan SoS'!A:F,6,false)</f>
        <v>76</v>
      </c>
      <c r="K40" s="268">
        <f t="shared" si="11"/>
        <v>76</v>
      </c>
      <c r="L40" s="111" t="s">
        <v>526</v>
      </c>
      <c r="M40" s="269" t="str">
        <f t="shared" si="12"/>
        <v>7</v>
      </c>
      <c r="N40" s="270" t="str">
        <f t="shared" si="13"/>
        <v>60</v>
      </c>
      <c r="O40" s="111" t="str">
        <f t="shared" si="14"/>
        <v>0</v>
      </c>
      <c r="P40" s="111" t="str">
        <f t="shared" si="15"/>
        <v>0</v>
      </c>
      <c r="Q40" s="111" t="str">
        <f t="shared" si="16"/>
        <v>15</v>
      </c>
      <c r="R40" s="111" t="s">
        <v>527</v>
      </c>
      <c r="S40" s="271" t="s">
        <v>528</v>
      </c>
      <c r="T40" s="271" t="s">
        <v>732</v>
      </c>
      <c r="U40" s="271" t="s">
        <v>733</v>
      </c>
      <c r="V40" s="111" t="s">
        <v>527</v>
      </c>
      <c r="W40" s="271" t="s">
        <v>527</v>
      </c>
      <c r="X40" s="111" t="s">
        <v>527</v>
      </c>
      <c r="Y40" s="317" t="s">
        <v>734</v>
      </c>
      <c r="Z40" s="111" t="s">
        <v>735</v>
      </c>
      <c r="AA40" s="111">
        <v>645.0</v>
      </c>
      <c r="AB40" s="111">
        <v>3.019983364119E12</v>
      </c>
      <c r="AC40" s="272"/>
      <c r="AD40" s="273"/>
      <c r="AE40" s="273"/>
      <c r="AF40" s="273"/>
      <c r="AG40" s="273"/>
      <c r="AH40" s="273"/>
      <c r="AI40" s="273"/>
      <c r="AJ40" s="273"/>
      <c r="AK40" s="273"/>
      <c r="AL40" s="273"/>
      <c r="AM40" s="273"/>
      <c r="AN40" s="273"/>
      <c r="AO40" s="111" t="s">
        <v>546</v>
      </c>
      <c r="AP40" s="111" t="s">
        <v>547</v>
      </c>
      <c r="AQ40" s="111" t="s">
        <v>190</v>
      </c>
    </row>
    <row r="41" outlineLevel="1">
      <c r="A41" s="276" t="s">
        <v>153</v>
      </c>
      <c r="B41" s="275" t="s">
        <v>420</v>
      </c>
      <c r="C41" s="276" t="s">
        <v>420</v>
      </c>
      <c r="D41" s="276" t="s">
        <v>525</v>
      </c>
      <c r="E41" s="276" t="s">
        <v>88</v>
      </c>
      <c r="F41" s="276" t="s">
        <v>192</v>
      </c>
      <c r="G41" s="276" t="s">
        <v>189</v>
      </c>
      <c r="H41" s="277">
        <v>44301.0</v>
      </c>
      <c r="I41" s="278">
        <f>IFERROR(__xludf.DUMMYFUNCTION("countif(FILTER(FILTER(Shiftplan!D$7:BJ$67,Shiftplan!$A$7:$A$67&lt;=Shiftplan!$A$67),Shiftplan!$D$6:$BJ$6=A41),""&gt;0"")"),7.0)</f>
        <v>7</v>
      </c>
      <c r="J41" s="276">
        <f>VLOOKUP(A41,'Shiftplan SoS'!A:F,6,false)</f>
        <v>80</v>
      </c>
      <c r="K41" s="278">
        <f t="shared" si="11"/>
        <v>87</v>
      </c>
      <c r="L41" s="276" t="s">
        <v>526</v>
      </c>
      <c r="M41" s="279" t="str">
        <f t="shared" si="12"/>
        <v>8</v>
      </c>
      <c r="N41" s="280" t="str">
        <f t="shared" si="13"/>
        <v>60</v>
      </c>
      <c r="O41" s="276" t="str">
        <f t="shared" si="14"/>
        <v>0</v>
      </c>
      <c r="P41" s="276" t="str">
        <f t="shared" si="15"/>
        <v>0</v>
      </c>
      <c r="Q41" s="276" t="str">
        <f t="shared" si="16"/>
        <v>10</v>
      </c>
      <c r="R41" s="276" t="s">
        <v>527</v>
      </c>
      <c r="S41" s="281" t="s">
        <v>528</v>
      </c>
      <c r="T41" s="281" t="s">
        <v>736</v>
      </c>
      <c r="U41" s="281" t="s">
        <v>737</v>
      </c>
      <c r="V41" s="276" t="s">
        <v>527</v>
      </c>
      <c r="W41" s="281" t="s">
        <v>527</v>
      </c>
      <c r="X41" s="276" t="s">
        <v>527</v>
      </c>
      <c r="Y41" s="276" t="s">
        <v>738</v>
      </c>
      <c r="Z41" s="276" t="s">
        <v>739</v>
      </c>
      <c r="AA41" s="276">
        <v>645.0</v>
      </c>
      <c r="AB41" s="276">
        <v>3.016783348208E12</v>
      </c>
      <c r="AC41" s="284"/>
      <c r="AD41" s="274"/>
      <c r="AE41" s="274"/>
      <c r="AF41" s="274"/>
      <c r="AG41" s="274"/>
      <c r="AH41" s="274"/>
      <c r="AI41" s="274"/>
      <c r="AJ41" s="274"/>
      <c r="AK41" s="274"/>
      <c r="AL41" s="274"/>
      <c r="AM41" s="274"/>
      <c r="AN41" s="274"/>
      <c r="AO41" s="276" t="s">
        <v>553</v>
      </c>
      <c r="AP41" s="276" t="s">
        <v>740</v>
      </c>
      <c r="AQ41" s="276" t="s">
        <v>190</v>
      </c>
    </row>
    <row r="42" outlineLevel="1">
      <c r="A42" s="111" t="s">
        <v>155</v>
      </c>
      <c r="B42" s="266" t="s">
        <v>443</v>
      </c>
      <c r="C42" s="111" t="s">
        <v>443</v>
      </c>
      <c r="D42" s="111" t="s">
        <v>525</v>
      </c>
      <c r="E42" s="111" t="s">
        <v>88</v>
      </c>
      <c r="F42" s="111" t="s">
        <v>192</v>
      </c>
      <c r="G42" s="111" t="s">
        <v>105</v>
      </c>
      <c r="H42" s="267">
        <v>44301.0</v>
      </c>
      <c r="I42" s="268">
        <f>IFERROR(__xludf.DUMMYFUNCTION("countif(FILTER(FILTER(Shiftplan!D$7:BJ$67,Shiftplan!$A$7:$A$67&lt;=Shiftplan!$A$67),Shiftplan!$D$6:$BJ$6=A42),""&gt;0"")"),7.0)</f>
        <v>7</v>
      </c>
      <c r="J42" s="111">
        <f>VLOOKUP(A42,'Shiftplan SoS'!A:F,6,false)</f>
        <v>36</v>
      </c>
      <c r="K42" s="268">
        <f t="shared" si="11"/>
        <v>43</v>
      </c>
      <c r="L42" s="111" t="s">
        <v>526</v>
      </c>
      <c r="M42" s="269" t="str">
        <f t="shared" si="12"/>
        <v>6</v>
      </c>
      <c r="N42" s="270" t="str">
        <f t="shared" si="13"/>
        <v>50</v>
      </c>
      <c r="O42" s="111" t="str">
        <f t="shared" si="14"/>
        <v>5</v>
      </c>
      <c r="P42" s="111" t="str">
        <f t="shared" si="15"/>
        <v>0</v>
      </c>
      <c r="Q42" s="111" t="str">
        <f t="shared" si="16"/>
        <v>20</v>
      </c>
      <c r="R42" s="111" t="s">
        <v>527</v>
      </c>
      <c r="S42" s="271" t="s">
        <v>528</v>
      </c>
      <c r="T42" s="271" t="s">
        <v>741</v>
      </c>
      <c r="U42" s="271" t="s">
        <v>742</v>
      </c>
      <c r="V42" s="111" t="s">
        <v>527</v>
      </c>
      <c r="W42" s="271" t="s">
        <v>527</v>
      </c>
      <c r="X42" s="111" t="s">
        <v>527</v>
      </c>
      <c r="Y42" s="111" t="s">
        <v>743</v>
      </c>
      <c r="Z42" s="111" t="s">
        <v>744</v>
      </c>
      <c r="AA42" s="111">
        <v>645.0</v>
      </c>
      <c r="AB42" s="111">
        <v>3.011583558364E12</v>
      </c>
      <c r="AC42" s="272"/>
      <c r="AD42" s="273"/>
      <c r="AE42" s="273"/>
      <c r="AF42" s="273"/>
      <c r="AG42" s="273"/>
      <c r="AH42" s="273"/>
      <c r="AI42" s="273"/>
      <c r="AJ42" s="273"/>
      <c r="AK42" s="273"/>
      <c r="AL42" s="273"/>
      <c r="AM42" s="273"/>
      <c r="AN42" s="273"/>
      <c r="AO42" s="111" t="s">
        <v>546</v>
      </c>
      <c r="AP42" s="111" t="s">
        <v>554</v>
      </c>
      <c r="AQ42" s="111" t="s">
        <v>206</v>
      </c>
    </row>
    <row r="43" outlineLevel="1">
      <c r="A43" s="276" t="s">
        <v>147</v>
      </c>
      <c r="B43" s="275" t="s">
        <v>452</v>
      </c>
      <c r="C43" s="276" t="s">
        <v>452</v>
      </c>
      <c r="D43" s="276" t="s">
        <v>525</v>
      </c>
      <c r="E43" s="276" t="s">
        <v>88</v>
      </c>
      <c r="F43" s="318" t="s">
        <v>192</v>
      </c>
      <c r="G43" s="318" t="s">
        <v>105</v>
      </c>
      <c r="H43" s="277">
        <v>44301.0</v>
      </c>
      <c r="I43" s="278">
        <f>IFERROR(__xludf.DUMMYFUNCTION("countif(FILTER(FILTER(Shiftplan!D$7:BJ$67,Shiftplan!$A$7:$A$67&lt;=Shiftplan!$A$67),Shiftplan!$D$6:$BJ$6=A43),""&gt;0"")"),12.0)</f>
        <v>12</v>
      </c>
      <c r="J43" s="276">
        <f>VLOOKUP(A43,'Shiftplan SoS'!A:F,6,false)</f>
        <v>85</v>
      </c>
      <c r="K43" s="278">
        <f t="shared" si="11"/>
        <v>97</v>
      </c>
      <c r="L43" s="276" t="s">
        <v>526</v>
      </c>
      <c r="M43" s="279" t="str">
        <f t="shared" si="12"/>
        <v>8</v>
      </c>
      <c r="N43" s="280" t="str">
        <f t="shared" si="13"/>
        <v>60</v>
      </c>
      <c r="O43" s="276" t="str">
        <f t="shared" si="14"/>
        <v>0</v>
      </c>
      <c r="P43" s="276" t="str">
        <f t="shared" si="15"/>
        <v>0</v>
      </c>
      <c r="Q43" s="276" t="str">
        <f t="shared" si="16"/>
        <v>10</v>
      </c>
      <c r="R43" s="276" t="s">
        <v>527</v>
      </c>
      <c r="S43" s="281" t="s">
        <v>528</v>
      </c>
      <c r="T43" s="281" t="s">
        <v>745</v>
      </c>
      <c r="U43" s="281" t="s">
        <v>746</v>
      </c>
      <c r="V43" s="276" t="s">
        <v>527</v>
      </c>
      <c r="W43" s="281" t="s">
        <v>527</v>
      </c>
      <c r="X43" s="276" t="s">
        <v>527</v>
      </c>
      <c r="Y43" s="276" t="s">
        <v>747</v>
      </c>
      <c r="Z43" s="276" t="s">
        <v>748</v>
      </c>
      <c r="AA43" s="276">
        <v>645.0</v>
      </c>
      <c r="AB43" s="276">
        <v>3.019483341621E12</v>
      </c>
      <c r="AC43" s="284"/>
      <c r="AD43" s="274"/>
      <c r="AE43" s="274"/>
      <c r="AF43" s="274"/>
      <c r="AG43" s="274"/>
      <c r="AH43" s="274"/>
      <c r="AI43" s="274"/>
      <c r="AJ43" s="274"/>
      <c r="AK43" s="274"/>
      <c r="AL43" s="274"/>
      <c r="AM43" s="274"/>
      <c r="AN43" s="274"/>
      <c r="AO43" s="276" t="s">
        <v>560</v>
      </c>
      <c r="AP43" s="309" t="s">
        <v>749</v>
      </c>
      <c r="AQ43" s="276" t="s">
        <v>589</v>
      </c>
    </row>
    <row r="44" outlineLevel="1">
      <c r="A44" s="184" t="s">
        <v>154</v>
      </c>
      <c r="B44" s="305" t="s">
        <v>417</v>
      </c>
      <c r="C44" s="186" t="s">
        <v>750</v>
      </c>
      <c r="D44" s="186" t="s">
        <v>525</v>
      </c>
      <c r="E44" s="186" t="s">
        <v>88</v>
      </c>
      <c r="F44" s="186" t="s">
        <v>97</v>
      </c>
      <c r="G44" s="186" t="s">
        <v>199</v>
      </c>
      <c r="H44" s="298">
        <v>44301.0</v>
      </c>
      <c r="I44" s="306">
        <f>IFERROR(__xludf.DUMMYFUNCTION("countif(FILTER(FILTER(Shiftplan!D$7:BJ$67,Shiftplan!$A$7:$A$67&lt;=Shiftplan!$A$67),Shiftplan!$D$6:$BJ$6=A44),""&gt;0"")"),9.0)</f>
        <v>9</v>
      </c>
      <c r="J44" s="186">
        <f>VLOOKUP(A44,'Shiftplan SoS'!A:F,6,false)</f>
        <v>31</v>
      </c>
      <c r="K44" s="306">
        <f t="shared" si="11"/>
        <v>40</v>
      </c>
      <c r="L44" s="186" t="s">
        <v>592</v>
      </c>
      <c r="M44" s="299" t="str">
        <f t="shared" si="12"/>
        <v>5</v>
      </c>
      <c r="N44" s="300" t="str">
        <f t="shared" si="13"/>
        <v>40</v>
      </c>
      <c r="O44" s="186" t="str">
        <f t="shared" si="14"/>
        <v>10</v>
      </c>
      <c r="P44" s="186" t="str">
        <f t="shared" si="15"/>
        <v>5</v>
      </c>
      <c r="Q44" s="186" t="str">
        <f t="shared" si="16"/>
        <v>25</v>
      </c>
      <c r="R44" s="186" t="s">
        <v>527</v>
      </c>
      <c r="S44" s="301" t="s">
        <v>528</v>
      </c>
      <c r="T44" s="301" t="s">
        <v>751</v>
      </c>
      <c r="U44" s="301" t="s">
        <v>752</v>
      </c>
      <c r="V44" s="186" t="s">
        <v>527</v>
      </c>
      <c r="W44" s="301" t="s">
        <v>527</v>
      </c>
      <c r="X44" s="186" t="s">
        <v>527</v>
      </c>
      <c r="Y44" s="186" t="s">
        <v>753</v>
      </c>
      <c r="Z44" s="186" t="s">
        <v>754</v>
      </c>
      <c r="AA44" s="186">
        <v>710.0</v>
      </c>
      <c r="AB44" s="186">
        <v>3.017083074555E12</v>
      </c>
      <c r="AC44" s="302"/>
      <c r="AD44" s="181"/>
      <c r="AE44" s="181"/>
      <c r="AF44" s="181"/>
      <c r="AG44" s="181"/>
      <c r="AH44" s="181"/>
      <c r="AI44" s="181"/>
      <c r="AJ44" s="181"/>
      <c r="AK44" s="181"/>
      <c r="AL44" s="181"/>
      <c r="AM44" s="181"/>
      <c r="AN44" s="181"/>
      <c r="AO44" s="186" t="s">
        <v>546</v>
      </c>
      <c r="AP44" s="186" t="s">
        <v>576</v>
      </c>
      <c r="AQ44" s="186" t="s">
        <v>200</v>
      </c>
    </row>
    <row r="45" outlineLevel="1">
      <c r="A45" s="276" t="s">
        <v>159</v>
      </c>
      <c r="B45" s="275" t="s">
        <v>402</v>
      </c>
      <c r="C45" s="276" t="s">
        <v>402</v>
      </c>
      <c r="D45" s="276" t="s">
        <v>525</v>
      </c>
      <c r="E45" s="276" t="s">
        <v>755</v>
      </c>
      <c r="F45" s="276" t="s">
        <v>98</v>
      </c>
      <c r="G45" s="276" t="s">
        <v>199</v>
      </c>
      <c r="H45" s="277">
        <v>44312.0</v>
      </c>
      <c r="I45" s="278">
        <f>IFERROR(__xludf.DUMMYFUNCTION("countif(FILTER(FILTER(Shiftplan!D$7:BJ$67,Shiftplan!$A$7:$A$67&lt;=Shiftplan!$A$67),Shiftplan!$D$6:$BJ$6=A45),""&gt;0"")"),5.0)</f>
        <v>5</v>
      </c>
      <c r="J45" s="276">
        <f>VLOOKUP(A45,'Shiftplan SoS'!A:F,6,false)</f>
        <v>75</v>
      </c>
      <c r="K45" s="278">
        <f t="shared" si="11"/>
        <v>80</v>
      </c>
      <c r="L45" s="276" t="s">
        <v>526</v>
      </c>
      <c r="M45" s="279" t="str">
        <f t="shared" si="12"/>
        <v>7</v>
      </c>
      <c r="N45" s="280" t="str">
        <f t="shared" si="13"/>
        <v>60</v>
      </c>
      <c r="O45" s="276" t="str">
        <f t="shared" si="14"/>
        <v>0</v>
      </c>
      <c r="P45" s="276" t="str">
        <f t="shared" si="15"/>
        <v>0</v>
      </c>
      <c r="Q45" s="276" t="str">
        <f t="shared" si="16"/>
        <v>15</v>
      </c>
      <c r="R45" s="276" t="s">
        <v>527</v>
      </c>
      <c r="S45" s="281" t="s">
        <v>528</v>
      </c>
      <c r="T45" s="281" t="s">
        <v>756</v>
      </c>
      <c r="U45" s="281" t="s">
        <v>757</v>
      </c>
      <c r="V45" s="276" t="s">
        <v>527</v>
      </c>
      <c r="W45" s="281" t="s">
        <v>527</v>
      </c>
      <c r="X45" s="276" t="s">
        <v>527</v>
      </c>
      <c r="Y45" s="276" t="s">
        <v>758</v>
      </c>
      <c r="Z45" s="276" t="s">
        <v>159</v>
      </c>
      <c r="AA45" s="276">
        <v>645.0</v>
      </c>
      <c r="AB45" s="276">
        <v>3.011285394825E12</v>
      </c>
      <c r="AC45" s="284"/>
      <c r="AD45" s="274"/>
      <c r="AE45" s="274"/>
      <c r="AF45" s="274"/>
      <c r="AG45" s="274"/>
      <c r="AH45" s="274"/>
      <c r="AI45" s="274"/>
      <c r="AJ45" s="274"/>
      <c r="AK45" s="274"/>
      <c r="AL45" s="274"/>
      <c r="AM45" s="274"/>
      <c r="AN45" s="274"/>
      <c r="AO45" s="276" t="s">
        <v>546</v>
      </c>
      <c r="AP45" s="276" t="s">
        <v>542</v>
      </c>
      <c r="AQ45" s="276" t="s">
        <v>200</v>
      </c>
    </row>
    <row r="46" outlineLevel="1">
      <c r="A46" s="111" t="s">
        <v>266</v>
      </c>
      <c r="B46" s="266" t="s">
        <v>410</v>
      </c>
      <c r="C46" s="319" t="s">
        <v>410</v>
      </c>
      <c r="D46" s="111" t="s">
        <v>525</v>
      </c>
      <c r="E46" s="111" t="s">
        <v>94</v>
      </c>
      <c r="F46" s="111" t="s">
        <v>192</v>
      </c>
      <c r="G46" s="111" t="s">
        <v>199</v>
      </c>
      <c r="H46" s="267">
        <v>44312.0</v>
      </c>
      <c r="I46" s="268">
        <f>IFERROR(__xludf.DUMMYFUNCTION("countif(FILTER(FILTER(Shiftplan!D$7:BJ$67,Shiftplan!$A$7:$A$67&lt;=Shiftplan!$A$67),Shiftplan!$D$6:$BJ$6=A46),""&gt;0"")"),0.0)</f>
        <v>0</v>
      </c>
      <c r="J46" s="111">
        <f>VLOOKUP(A46,'Shiftplan SoS'!A:F,6,false)</f>
        <v>81</v>
      </c>
      <c r="K46" s="268">
        <f t="shared" si="11"/>
        <v>81</v>
      </c>
      <c r="L46" s="111" t="s">
        <v>526</v>
      </c>
      <c r="M46" s="269" t="str">
        <f t="shared" si="12"/>
        <v>7</v>
      </c>
      <c r="N46" s="270" t="str">
        <f t="shared" si="13"/>
        <v>60</v>
      </c>
      <c r="O46" s="111" t="str">
        <f t="shared" si="14"/>
        <v>0</v>
      </c>
      <c r="P46" s="111" t="str">
        <f t="shared" si="15"/>
        <v>0</v>
      </c>
      <c r="Q46" s="111" t="str">
        <f t="shared" si="16"/>
        <v>15</v>
      </c>
      <c r="R46" s="111" t="s">
        <v>527</v>
      </c>
      <c r="S46" s="271" t="s">
        <v>528</v>
      </c>
      <c r="T46" s="271" t="s">
        <v>759</v>
      </c>
      <c r="U46" s="271" t="s">
        <v>760</v>
      </c>
      <c r="V46" s="111" t="s">
        <v>527</v>
      </c>
      <c r="W46" s="271" t="s">
        <v>527</v>
      </c>
      <c r="X46" s="111" t="s">
        <v>527</v>
      </c>
      <c r="Y46" s="111" t="s">
        <v>761</v>
      </c>
      <c r="Z46" s="111" t="s">
        <v>762</v>
      </c>
      <c r="AA46" s="111">
        <v>645.0</v>
      </c>
      <c r="AB46" s="111">
        <v>3.019985391176E12</v>
      </c>
      <c r="AC46" s="272"/>
      <c r="AD46" s="273"/>
      <c r="AE46" s="273"/>
      <c r="AF46" s="273"/>
      <c r="AG46" s="273"/>
      <c r="AH46" s="273"/>
      <c r="AI46" s="273"/>
      <c r="AJ46" s="273"/>
      <c r="AK46" s="273"/>
      <c r="AL46" s="273" t="b">
        <v>0</v>
      </c>
      <c r="AM46" s="111" t="b">
        <v>1</v>
      </c>
      <c r="AN46" s="111" t="b">
        <v>1</v>
      </c>
      <c r="AO46" s="111" t="s">
        <v>546</v>
      </c>
      <c r="AP46" s="111" t="s">
        <v>763</v>
      </c>
      <c r="AQ46" s="111" t="s">
        <v>200</v>
      </c>
    </row>
    <row r="47" outlineLevel="1">
      <c r="A47" s="276" t="s">
        <v>253</v>
      </c>
      <c r="B47" s="275" t="s">
        <v>473</v>
      </c>
      <c r="C47" s="276" t="s">
        <v>473</v>
      </c>
      <c r="D47" s="276" t="s">
        <v>525</v>
      </c>
      <c r="E47" s="276" t="s">
        <v>92</v>
      </c>
      <c r="F47" s="276" t="s">
        <v>98</v>
      </c>
      <c r="G47" s="276" t="s">
        <v>189</v>
      </c>
      <c r="H47" s="277">
        <v>44312.0</v>
      </c>
      <c r="I47" s="278">
        <f>IFERROR(__xludf.DUMMYFUNCTION("countif(FILTER(FILTER(Shiftplan!D$7:BJ$67,Shiftplan!$A$7:$A$67&lt;=Shiftplan!$A$67),Shiftplan!$D$6:$BJ$6=A47),""&gt;0"")"),0.0)</f>
        <v>0</v>
      </c>
      <c r="J47" s="276">
        <f>VLOOKUP(A47,'Shiftplan SoS'!A:F,6,false)</f>
        <v>87</v>
      </c>
      <c r="K47" s="278">
        <f t="shared" si="11"/>
        <v>87</v>
      </c>
      <c r="L47" s="276" t="s">
        <v>526</v>
      </c>
      <c r="M47" s="279" t="str">
        <f t="shared" si="12"/>
        <v>8</v>
      </c>
      <c r="N47" s="280" t="str">
        <f t="shared" si="13"/>
        <v>60</v>
      </c>
      <c r="O47" s="276" t="str">
        <f t="shared" si="14"/>
        <v>0</v>
      </c>
      <c r="P47" s="276" t="str">
        <f t="shared" si="15"/>
        <v>0</v>
      </c>
      <c r="Q47" s="276" t="str">
        <f t="shared" si="16"/>
        <v>10</v>
      </c>
      <c r="R47" s="276" t="s">
        <v>527</v>
      </c>
      <c r="S47" s="281" t="s">
        <v>528</v>
      </c>
      <c r="T47" s="281" t="s">
        <v>764</v>
      </c>
      <c r="U47" s="281" t="s">
        <v>765</v>
      </c>
      <c r="V47" s="276" t="s">
        <v>527</v>
      </c>
      <c r="W47" s="281" t="s">
        <v>527</v>
      </c>
      <c r="X47" s="276" t="s">
        <v>527</v>
      </c>
      <c r="Y47" s="276" t="s">
        <v>766</v>
      </c>
      <c r="Z47" s="276" t="s">
        <v>767</v>
      </c>
      <c r="AA47" s="276">
        <v>645.0</v>
      </c>
      <c r="AB47" s="276">
        <v>3.013885388406E12</v>
      </c>
      <c r="AC47" s="284"/>
      <c r="AD47" s="274"/>
      <c r="AE47" s="274"/>
      <c r="AF47" s="274"/>
      <c r="AG47" s="274"/>
      <c r="AH47" s="274"/>
      <c r="AI47" s="274"/>
      <c r="AJ47" s="274"/>
      <c r="AK47" s="274"/>
      <c r="AL47" s="274"/>
      <c r="AM47" s="274"/>
      <c r="AN47" s="274"/>
      <c r="AO47" s="276" t="s">
        <v>560</v>
      </c>
      <c r="AP47" s="276" t="s">
        <v>768</v>
      </c>
      <c r="AQ47" s="276" t="s">
        <v>665</v>
      </c>
    </row>
    <row r="48" outlineLevel="1">
      <c r="A48" s="186" t="s">
        <v>160</v>
      </c>
      <c r="B48" s="305" t="s">
        <v>769</v>
      </c>
      <c r="C48" s="186" t="s">
        <v>770</v>
      </c>
      <c r="D48" s="186" t="s">
        <v>525</v>
      </c>
      <c r="E48" s="186" t="s">
        <v>91</v>
      </c>
      <c r="F48" s="186" t="s">
        <v>98</v>
      </c>
      <c r="G48" s="186" t="s">
        <v>199</v>
      </c>
      <c r="H48" s="298">
        <v>44312.0</v>
      </c>
      <c r="I48" s="306">
        <f>IFERROR(__xludf.DUMMYFUNCTION("countif(FILTER(FILTER(Shiftplan!D$7:BJ$67,Shiftplan!$A$7:$A$67&lt;=Shiftplan!$A$67),Shiftplan!$D$6:$BJ$6=A48),""&gt;0"")"),5.0)</f>
        <v>5</v>
      </c>
      <c r="J48" s="186">
        <f>VLOOKUP(A48,'Shiftplan SoS'!A:F,6,false)</f>
        <v>45</v>
      </c>
      <c r="K48" s="306">
        <f t="shared" si="11"/>
        <v>50</v>
      </c>
      <c r="L48" s="186" t="s">
        <v>592</v>
      </c>
      <c r="M48" s="299" t="str">
        <f t="shared" si="12"/>
        <v>6</v>
      </c>
      <c r="N48" s="300" t="str">
        <f t="shared" si="13"/>
        <v>50</v>
      </c>
      <c r="O48" s="186" t="str">
        <f t="shared" si="14"/>
        <v>5</v>
      </c>
      <c r="P48" s="186" t="str">
        <f t="shared" si="15"/>
        <v>0</v>
      </c>
      <c r="Q48" s="186" t="str">
        <f t="shared" si="16"/>
        <v>20</v>
      </c>
      <c r="R48" s="186" t="s">
        <v>527</v>
      </c>
      <c r="S48" s="301" t="s">
        <v>528</v>
      </c>
      <c r="T48" s="301" t="s">
        <v>771</v>
      </c>
      <c r="U48" s="301" t="s">
        <v>772</v>
      </c>
      <c r="V48" s="186" t="s">
        <v>527</v>
      </c>
      <c r="W48" s="301" t="s">
        <v>527</v>
      </c>
      <c r="X48" s="186" t="s">
        <v>527</v>
      </c>
      <c r="Y48" s="186" t="s">
        <v>773</v>
      </c>
      <c r="Z48" s="186" t="s">
        <v>774</v>
      </c>
      <c r="AA48" s="186">
        <v>645.0</v>
      </c>
      <c r="AB48" s="186">
        <v>3.013885663907E12</v>
      </c>
      <c r="AC48" s="302"/>
      <c r="AD48" s="181"/>
      <c r="AE48" s="181"/>
      <c r="AF48" s="181"/>
      <c r="AG48" s="181"/>
      <c r="AH48" s="181"/>
      <c r="AI48" s="181"/>
      <c r="AJ48" s="181"/>
      <c r="AK48" s="181"/>
      <c r="AL48" s="181"/>
      <c r="AM48" s="181"/>
      <c r="AN48" s="181"/>
      <c r="AO48" s="186" t="s">
        <v>546</v>
      </c>
      <c r="AP48" s="186" t="s">
        <v>775</v>
      </c>
      <c r="AQ48" s="186" t="s">
        <v>200</v>
      </c>
    </row>
    <row r="49" outlineLevel="1">
      <c r="A49" s="287" t="s">
        <v>151</v>
      </c>
      <c r="B49" s="288" t="s">
        <v>474</v>
      </c>
      <c r="C49" s="320" t="s">
        <v>474</v>
      </c>
      <c r="D49" s="287" t="s">
        <v>525</v>
      </c>
      <c r="E49" s="287" t="s">
        <v>88</v>
      </c>
      <c r="F49" s="287" t="s">
        <v>97</v>
      </c>
      <c r="G49" s="287" t="s">
        <v>199</v>
      </c>
      <c r="H49" s="289">
        <v>44312.0</v>
      </c>
      <c r="I49" s="290">
        <f>IFERROR(__xludf.DUMMYFUNCTION("countif(FILTER(FILTER(Shiftplan!D$7:BJ$67,Shiftplan!$A$7:$A$67&lt;=Shiftplan!$A$67),Shiftplan!$D$6:$BJ$6=A49),""&gt;0"")"),5.0)</f>
        <v>5</v>
      </c>
      <c r="J49" s="287">
        <f>VLOOKUP(A49,'Shiftplan SoS'!A:F,6,false)</f>
        <v>28</v>
      </c>
      <c r="K49" s="290">
        <f t="shared" si="11"/>
        <v>33</v>
      </c>
      <c r="L49" s="287" t="s">
        <v>592</v>
      </c>
      <c r="M49" s="291" t="str">
        <f t="shared" si="12"/>
        <v>5</v>
      </c>
      <c r="N49" s="292" t="str">
        <f t="shared" si="13"/>
        <v>40</v>
      </c>
      <c r="O49" s="287" t="str">
        <f t="shared" si="14"/>
        <v>10</v>
      </c>
      <c r="P49" s="287" t="str">
        <f t="shared" si="15"/>
        <v>5</v>
      </c>
      <c r="Q49" s="287" t="str">
        <f t="shared" si="16"/>
        <v>25</v>
      </c>
      <c r="R49" s="287" t="s">
        <v>527</v>
      </c>
      <c r="S49" s="293" t="s">
        <v>528</v>
      </c>
      <c r="T49" s="293" t="s">
        <v>776</v>
      </c>
      <c r="U49" s="293" t="s">
        <v>777</v>
      </c>
      <c r="V49" s="287" t="s">
        <v>527</v>
      </c>
      <c r="W49" s="293" t="s">
        <v>527</v>
      </c>
      <c r="X49" s="287" t="s">
        <v>527</v>
      </c>
      <c r="Y49" s="287" t="s">
        <v>778</v>
      </c>
      <c r="Z49" s="287" t="s">
        <v>779</v>
      </c>
      <c r="AA49" s="287">
        <v>645.0</v>
      </c>
      <c r="AB49" s="287">
        <v>3.01798537846E12</v>
      </c>
      <c r="AC49" s="294"/>
      <c r="AD49" s="295"/>
      <c r="AE49" s="295"/>
      <c r="AF49" s="295"/>
      <c r="AG49" s="295"/>
      <c r="AH49" s="295"/>
      <c r="AI49" s="295"/>
      <c r="AJ49" s="295"/>
      <c r="AK49" s="295"/>
      <c r="AL49" s="295"/>
      <c r="AM49" s="295"/>
      <c r="AN49" s="295"/>
      <c r="AO49" s="287" t="s">
        <v>546</v>
      </c>
      <c r="AP49" s="287" t="s">
        <v>542</v>
      </c>
      <c r="AQ49" s="287" t="s">
        <v>200</v>
      </c>
    </row>
    <row r="50" outlineLevel="1">
      <c r="A50" s="111" t="s">
        <v>372</v>
      </c>
      <c r="B50" s="266" t="s">
        <v>424</v>
      </c>
      <c r="C50" s="111" t="s">
        <v>424</v>
      </c>
      <c r="D50" s="111" t="s">
        <v>525</v>
      </c>
      <c r="E50" s="111" t="s">
        <v>94</v>
      </c>
      <c r="F50" s="316" t="s">
        <v>192</v>
      </c>
      <c r="G50" s="111" t="s">
        <v>105</v>
      </c>
      <c r="H50" s="267">
        <v>44313.0</v>
      </c>
      <c r="I50" s="268">
        <f>IFERROR(__xludf.DUMMYFUNCTION("countif(FILTER(FILTER(Shiftplan!D$7:BJ$67,Shiftplan!$A$7:$A$67&lt;=Shiftplan!$A$67),Shiftplan!$D$6:$BJ$6=A50),""&gt;0"")"),0.0)</f>
        <v>0</v>
      </c>
      <c r="J50" s="111">
        <f>VLOOKUP(A50,'Shiftplan SoS'!A:F,6,false)+VLOOKUP("Kamil Pabin",'Shiftplan SoS'!A:F,6,false)</f>
        <v>58</v>
      </c>
      <c r="K50" s="268">
        <f t="shared" si="11"/>
        <v>58</v>
      </c>
      <c r="L50" s="111" t="s">
        <v>526</v>
      </c>
      <c r="M50" s="269" t="str">
        <f t="shared" si="12"/>
        <v>6</v>
      </c>
      <c r="N50" s="270" t="str">
        <f t="shared" si="13"/>
        <v>50</v>
      </c>
      <c r="O50" s="111" t="str">
        <f t="shared" si="14"/>
        <v>5</v>
      </c>
      <c r="P50" s="111" t="str">
        <f t="shared" si="15"/>
        <v>0</v>
      </c>
      <c r="Q50" s="111" t="str">
        <f t="shared" si="16"/>
        <v>20</v>
      </c>
      <c r="R50" s="111" t="s">
        <v>527</v>
      </c>
      <c r="S50" s="271" t="s">
        <v>528</v>
      </c>
      <c r="T50" s="271" t="s">
        <v>780</v>
      </c>
      <c r="U50" s="271" t="s">
        <v>781</v>
      </c>
      <c r="V50" s="111" t="s">
        <v>527</v>
      </c>
      <c r="W50" s="271" t="s">
        <v>527</v>
      </c>
      <c r="X50" s="111" t="s">
        <v>527</v>
      </c>
      <c r="Y50" s="111" t="s">
        <v>782</v>
      </c>
      <c r="Z50" s="111" t="s">
        <v>783</v>
      </c>
      <c r="AA50" s="111">
        <v>645.0</v>
      </c>
      <c r="AB50" s="111">
        <v>3.014085406482E12</v>
      </c>
      <c r="AC50" s="272"/>
      <c r="AD50" s="273"/>
      <c r="AE50" s="273"/>
      <c r="AF50" s="273"/>
      <c r="AG50" s="273"/>
      <c r="AH50" s="273"/>
      <c r="AI50" s="273"/>
      <c r="AJ50" s="273"/>
      <c r="AK50" s="273"/>
      <c r="AL50" s="273"/>
      <c r="AM50" s="273"/>
      <c r="AN50" s="273"/>
      <c r="AO50" s="111" t="s">
        <v>546</v>
      </c>
      <c r="AP50" s="111" t="s">
        <v>784</v>
      </c>
      <c r="AQ50" s="111" t="s">
        <v>206</v>
      </c>
    </row>
    <row r="51" outlineLevel="1">
      <c r="A51" s="276" t="s">
        <v>161</v>
      </c>
      <c r="B51" s="275" t="s">
        <v>437</v>
      </c>
      <c r="C51" s="276" t="s">
        <v>437</v>
      </c>
      <c r="D51" s="276" t="s">
        <v>525</v>
      </c>
      <c r="E51" s="276" t="s">
        <v>93</v>
      </c>
      <c r="F51" s="276" t="s">
        <v>98</v>
      </c>
      <c r="G51" s="276" t="s">
        <v>199</v>
      </c>
      <c r="H51" s="277">
        <v>44313.0</v>
      </c>
      <c r="I51" s="278">
        <f>IFERROR(__xludf.DUMMYFUNCTION("countif(FILTER(FILTER(Shiftplan!D$7:BJ$67,Shiftplan!$A$7:$A$67&lt;=Shiftplan!$A$67),Shiftplan!$D$6:$BJ$6=A51),""&gt;0"")"),3.0)</f>
        <v>3</v>
      </c>
      <c r="J51" s="276">
        <f>VLOOKUP(A51,'Shiftplan SoS'!A:F,6,false)</f>
        <v>85</v>
      </c>
      <c r="K51" s="278">
        <f t="shared" si="11"/>
        <v>88</v>
      </c>
      <c r="L51" s="276" t="s">
        <v>526</v>
      </c>
      <c r="M51" s="279" t="str">
        <f t="shared" si="12"/>
        <v>8</v>
      </c>
      <c r="N51" s="280" t="str">
        <f t="shared" si="13"/>
        <v>60</v>
      </c>
      <c r="O51" s="276" t="str">
        <f t="shared" si="14"/>
        <v>0</v>
      </c>
      <c r="P51" s="276" t="str">
        <f t="shared" si="15"/>
        <v>0</v>
      </c>
      <c r="Q51" s="276" t="str">
        <f t="shared" si="16"/>
        <v>10</v>
      </c>
      <c r="R51" s="276" t="s">
        <v>527</v>
      </c>
      <c r="S51" s="281" t="s">
        <v>528</v>
      </c>
      <c r="T51" s="281" t="s">
        <v>785</v>
      </c>
      <c r="U51" s="281" t="s">
        <v>786</v>
      </c>
      <c r="V51" s="276" t="s">
        <v>527</v>
      </c>
      <c r="W51" s="281" t="s">
        <v>527</v>
      </c>
      <c r="X51" s="276" t="s">
        <v>527</v>
      </c>
      <c r="Y51" s="276" t="s">
        <v>787</v>
      </c>
      <c r="Z51" s="276" t="s">
        <v>786</v>
      </c>
      <c r="AA51" s="276">
        <v>645.0</v>
      </c>
      <c r="AB51" s="276">
        <v>3.019485564179E12</v>
      </c>
      <c r="AC51" s="284"/>
      <c r="AD51" s="274"/>
      <c r="AE51" s="274"/>
      <c r="AF51" s="274"/>
      <c r="AG51" s="274"/>
      <c r="AH51" s="274"/>
      <c r="AI51" s="274"/>
      <c r="AJ51" s="274"/>
      <c r="AK51" s="274"/>
      <c r="AL51" s="274"/>
      <c r="AM51" s="274"/>
      <c r="AN51" s="274"/>
      <c r="AO51" s="276" t="s">
        <v>546</v>
      </c>
      <c r="AP51" s="276" t="s">
        <v>542</v>
      </c>
      <c r="AQ51" s="276" t="s">
        <v>200</v>
      </c>
    </row>
    <row r="52" outlineLevel="1">
      <c r="A52" s="111" t="s">
        <v>143</v>
      </c>
      <c r="B52" s="266" t="s">
        <v>444</v>
      </c>
      <c r="C52" s="111" t="s">
        <v>788</v>
      </c>
      <c r="D52" s="111" t="s">
        <v>525</v>
      </c>
      <c r="E52" s="111" t="s">
        <v>93</v>
      </c>
      <c r="F52" s="111" t="s">
        <v>98</v>
      </c>
      <c r="G52" s="111" t="s">
        <v>199</v>
      </c>
      <c r="H52" s="267">
        <v>44313.0</v>
      </c>
      <c r="I52" s="268">
        <f>IFERROR(__xludf.DUMMYFUNCTION("countif(FILTER(FILTER(Shiftplan!D$7:BJ$67,Shiftplan!$A$7:$A$67&lt;=Shiftplan!$A$67),Shiftplan!$D$6:$BJ$6=A52),""&gt;0"")"),4.0)</f>
        <v>4</v>
      </c>
      <c r="J52" s="111">
        <f>VLOOKUP(A52,'Shiftplan SoS'!A:F,6,false)</f>
        <v>80</v>
      </c>
      <c r="K52" s="268">
        <f t="shared" si="11"/>
        <v>84</v>
      </c>
      <c r="L52" s="111" t="s">
        <v>526</v>
      </c>
      <c r="M52" s="269" t="s">
        <v>210</v>
      </c>
      <c r="N52" s="270" t="s">
        <v>789</v>
      </c>
      <c r="O52" s="111" t="s">
        <v>790</v>
      </c>
      <c r="P52" s="111" t="s">
        <v>210</v>
      </c>
      <c r="Q52" s="111" t="s">
        <v>791</v>
      </c>
      <c r="R52" s="111" t="s">
        <v>527</v>
      </c>
      <c r="S52" s="271" t="s">
        <v>528</v>
      </c>
      <c r="T52" s="271" t="s">
        <v>792</v>
      </c>
      <c r="U52" s="271" t="s">
        <v>793</v>
      </c>
      <c r="V52" s="111" t="s">
        <v>527</v>
      </c>
      <c r="W52" s="271" t="s">
        <v>527</v>
      </c>
      <c r="X52" s="111" t="s">
        <v>527</v>
      </c>
      <c r="Y52" s="111" t="s">
        <v>794</v>
      </c>
      <c r="Z52" s="111" t="s">
        <v>143</v>
      </c>
      <c r="AA52" s="111">
        <v>645.0</v>
      </c>
      <c r="AB52" s="111">
        <v>3.017485565708E12</v>
      </c>
      <c r="AC52" s="286"/>
      <c r="AD52" s="273"/>
      <c r="AE52" s="273"/>
      <c r="AF52" s="273"/>
      <c r="AG52" s="273"/>
      <c r="AH52" s="273"/>
      <c r="AI52" s="273"/>
      <c r="AJ52" s="273"/>
      <c r="AK52" s="273"/>
      <c r="AL52" s="273"/>
      <c r="AM52" s="273"/>
      <c r="AN52" s="273"/>
      <c r="AO52" s="111" t="s">
        <v>546</v>
      </c>
      <c r="AP52" s="111" t="s">
        <v>576</v>
      </c>
      <c r="AQ52" s="111" t="s">
        <v>200</v>
      </c>
    </row>
    <row r="53" outlineLevel="1">
      <c r="A53" s="287" t="s">
        <v>148</v>
      </c>
      <c r="B53" s="287" t="s">
        <v>795</v>
      </c>
      <c r="C53" s="287" t="s">
        <v>796</v>
      </c>
      <c r="D53" s="287" t="s">
        <v>525</v>
      </c>
      <c r="E53" s="287" t="s">
        <v>91</v>
      </c>
      <c r="F53" s="287" t="s">
        <v>98</v>
      </c>
      <c r="G53" s="287" t="s">
        <v>199</v>
      </c>
      <c r="H53" s="289">
        <v>44313.0</v>
      </c>
      <c r="I53" s="278">
        <f>IFERROR(__xludf.DUMMYFUNCTION("countif(FILTER(FILTER(Shiftplan!D$7:BJ$67,Shiftplan!$A$7:$A$67&lt;=Shiftplan!$A$67),Shiftplan!$D$6:$BJ$6=A53),""&gt;0"")"),2.0)</f>
        <v>2</v>
      </c>
      <c r="J53" s="287">
        <v>0.0</v>
      </c>
      <c r="K53" s="290">
        <f t="shared" si="11"/>
        <v>2</v>
      </c>
      <c r="L53" s="287" t="s">
        <v>592</v>
      </c>
      <c r="M53" s="291" t="str">
        <f t="shared" ref="M53:M131" si="17">ifs(K53&lt;3, "0",K53&lt;6, "1",K53&lt;10, "2",K53&lt;15, "3",K53&lt;20, "4",K53&lt;41, "5",K53&lt;62, "6",K53&lt;83, "7",K53&lt;104, "8",K53&lt;125, "9")</f>
        <v>0</v>
      </c>
      <c r="N53" s="292" t="str">
        <f t="shared" ref="N53:N128" si="18">ifs(M53="0", "0",M53="1", "10",M53="2", "20",M53="3", "25",M53="4", "30",M53="5", "40",M53="6", "50",M53&gt;6, "60")</f>
        <v>0</v>
      </c>
      <c r="O53" s="287" t="str">
        <f t="shared" ref="O53:O131" si="19">ifs(M53="0", "-",M53="1", "-",M53="2", "20",M53="3", "20",M53="4", "15",M53="5", "10",M53="6", "5",M53&gt;6, "0")</f>
        <v>-</v>
      </c>
      <c r="P53" s="287" t="str">
        <f t="shared" ref="P53:P131" si="20">ifs(M53="0", "-",M53="1", "-",M53="2", "10",M53="3", "10",M53="4", "10",M53="5", "5",M53&gt;5, "0")</f>
        <v>-</v>
      </c>
      <c r="Q53" s="287" t="str">
        <f t="shared" ref="Q53:Q131" si="21">ifs(M53="0", "-",M53="1", "-",M53="2", "30",M53="3", "30",M53="4", "30",M53="5", "25",M53="6", "20",M53="7", "15",M53="8", "10",M53="9", "5")</f>
        <v>-</v>
      </c>
      <c r="R53" s="287" t="s">
        <v>527</v>
      </c>
      <c r="S53" s="293" t="s">
        <v>593</v>
      </c>
      <c r="T53" s="293" t="s">
        <v>797</v>
      </c>
      <c r="U53" s="293"/>
      <c r="V53" s="287" t="s">
        <v>527</v>
      </c>
      <c r="W53" s="293" t="s">
        <v>527</v>
      </c>
      <c r="X53" s="287" t="s">
        <v>527</v>
      </c>
      <c r="Y53" s="287" t="s">
        <v>798</v>
      </c>
      <c r="Z53" s="287" t="s">
        <v>799</v>
      </c>
      <c r="AA53" s="287" t="s">
        <v>166</v>
      </c>
      <c r="AB53" s="287">
        <v>3.016185570579E12</v>
      </c>
      <c r="AC53" s="294"/>
      <c r="AD53" s="295"/>
      <c r="AE53" s="295"/>
      <c r="AF53" s="295"/>
      <c r="AG53" s="295"/>
      <c r="AH53" s="295"/>
      <c r="AI53" s="295"/>
      <c r="AJ53" s="295"/>
      <c r="AK53" s="295"/>
      <c r="AL53" s="295"/>
      <c r="AM53" s="295"/>
      <c r="AN53" s="295"/>
      <c r="AO53" s="295"/>
      <c r="AP53" s="276" t="s">
        <v>542</v>
      </c>
      <c r="AQ53" s="276" t="s">
        <v>200</v>
      </c>
    </row>
    <row r="54" outlineLevel="1">
      <c r="A54" s="186" t="s">
        <v>145</v>
      </c>
      <c r="B54" s="186" t="s">
        <v>800</v>
      </c>
      <c r="C54" s="186" t="s">
        <v>800</v>
      </c>
      <c r="D54" s="186" t="s">
        <v>525</v>
      </c>
      <c r="E54" s="186" t="s">
        <v>90</v>
      </c>
      <c r="F54" s="186" t="s">
        <v>98</v>
      </c>
      <c r="G54" s="186" t="s">
        <v>103</v>
      </c>
      <c r="H54" s="298">
        <v>44313.0</v>
      </c>
      <c r="I54" s="306">
        <f>IFERROR(__xludf.DUMMYFUNCTION("countif(FILTER(FILTER(Shiftplan!D$7:BJ$67,Shiftplan!$A$7:$A$67&lt;=Shiftplan!$A$67),Shiftplan!$D$6:$BJ$6=A54),""&gt;0"")"),4.0)</f>
        <v>4</v>
      </c>
      <c r="J54" s="186">
        <f>VLOOKUP(A54,'Shiftplan SoS'!A:F,6,false)</f>
        <v>35</v>
      </c>
      <c r="K54" s="306">
        <f t="shared" si="11"/>
        <v>39</v>
      </c>
      <c r="L54" s="186" t="s">
        <v>592</v>
      </c>
      <c r="M54" s="299" t="str">
        <f t="shared" si="17"/>
        <v>5</v>
      </c>
      <c r="N54" s="300" t="str">
        <f t="shared" si="18"/>
        <v>40</v>
      </c>
      <c r="O54" s="186" t="str">
        <f t="shared" si="19"/>
        <v>10</v>
      </c>
      <c r="P54" s="186" t="str">
        <f t="shared" si="20"/>
        <v>5</v>
      </c>
      <c r="Q54" s="186" t="str">
        <f t="shared" si="21"/>
        <v>25</v>
      </c>
      <c r="R54" s="186" t="s">
        <v>527</v>
      </c>
      <c r="S54" s="301" t="s">
        <v>528</v>
      </c>
      <c r="T54" s="301" t="s">
        <v>801</v>
      </c>
      <c r="U54" s="301" t="s">
        <v>802</v>
      </c>
      <c r="V54" s="186" t="s">
        <v>527</v>
      </c>
      <c r="W54" s="301" t="s">
        <v>527</v>
      </c>
      <c r="X54" s="186" t="s">
        <v>527</v>
      </c>
      <c r="Y54" s="186" t="s">
        <v>803</v>
      </c>
      <c r="Z54" s="186" t="s">
        <v>804</v>
      </c>
      <c r="AA54" s="186">
        <v>645.0</v>
      </c>
      <c r="AB54" s="186">
        <v>3.013585573427E12</v>
      </c>
      <c r="AC54" s="302"/>
      <c r="AD54" s="181"/>
      <c r="AE54" s="181"/>
      <c r="AF54" s="181"/>
      <c r="AG54" s="181"/>
      <c r="AH54" s="186" t="b">
        <v>1</v>
      </c>
      <c r="AI54" s="186" t="b">
        <v>1</v>
      </c>
      <c r="AJ54" s="186" t="b">
        <v>1</v>
      </c>
      <c r="AK54" s="186" t="b">
        <v>1</v>
      </c>
      <c r="AL54" s="186" t="b">
        <v>1</v>
      </c>
      <c r="AM54" s="186" t="b">
        <v>1</v>
      </c>
      <c r="AN54" s="186" t="b">
        <v>1</v>
      </c>
      <c r="AO54" s="186" t="s">
        <v>553</v>
      </c>
      <c r="AP54" s="186" t="s">
        <v>542</v>
      </c>
      <c r="AQ54" s="186" t="s">
        <v>200</v>
      </c>
    </row>
    <row r="55" outlineLevel="1">
      <c r="A55" s="287" t="s">
        <v>162</v>
      </c>
      <c r="B55" s="288" t="s">
        <v>805</v>
      </c>
      <c r="C55" s="287" t="s">
        <v>806</v>
      </c>
      <c r="D55" s="287" t="s">
        <v>525</v>
      </c>
      <c r="E55" s="287" t="s">
        <v>91</v>
      </c>
      <c r="F55" s="287" t="s">
        <v>98</v>
      </c>
      <c r="G55" s="287" t="s">
        <v>199</v>
      </c>
      <c r="H55" s="289">
        <v>44313.0</v>
      </c>
      <c r="I55" s="278">
        <f>IFERROR(__xludf.DUMMYFUNCTION("countif(FILTER(FILTER(Shiftplan!D$7:BJ$67,Shiftplan!$A$7:$A$67&lt;=Shiftplan!$A$67),Shiftplan!$D$6:$BJ$6=A55),""&gt;0"")"),1.0)</f>
        <v>1</v>
      </c>
      <c r="J55" s="287">
        <f>VLOOKUP(A55,'Shiftplan SoS'!A:F,6,false)</f>
        <v>20</v>
      </c>
      <c r="K55" s="290">
        <f t="shared" si="11"/>
        <v>21</v>
      </c>
      <c r="L55" s="287" t="s">
        <v>592</v>
      </c>
      <c r="M55" s="291" t="str">
        <f t="shared" si="17"/>
        <v>5</v>
      </c>
      <c r="N55" s="292" t="str">
        <f t="shared" si="18"/>
        <v>40</v>
      </c>
      <c r="O55" s="287" t="str">
        <f t="shared" si="19"/>
        <v>10</v>
      </c>
      <c r="P55" s="287" t="str">
        <f t="shared" si="20"/>
        <v>5</v>
      </c>
      <c r="Q55" s="287" t="str">
        <f t="shared" si="21"/>
        <v>25</v>
      </c>
      <c r="R55" s="287" t="s">
        <v>527</v>
      </c>
      <c r="S55" s="293" t="s">
        <v>528</v>
      </c>
      <c r="T55" s="321" t="s">
        <v>807</v>
      </c>
      <c r="U55" s="321"/>
      <c r="V55" s="287" t="s">
        <v>527</v>
      </c>
      <c r="W55" s="293" t="s">
        <v>527</v>
      </c>
      <c r="X55" s="287" t="s">
        <v>527</v>
      </c>
      <c r="Y55" s="287" t="s">
        <v>808</v>
      </c>
      <c r="Z55" s="287" t="s">
        <v>809</v>
      </c>
      <c r="AA55" s="287">
        <v>67.0</v>
      </c>
      <c r="AB55" s="287">
        <v>3.014486708587E12</v>
      </c>
      <c r="AC55" s="314"/>
      <c r="AD55" s="295"/>
      <c r="AE55" s="295"/>
      <c r="AF55" s="295"/>
      <c r="AG55" s="295"/>
      <c r="AH55" s="287" t="b">
        <v>1</v>
      </c>
      <c r="AI55" s="287" t="b">
        <v>1</v>
      </c>
      <c r="AJ55" s="287" t="b">
        <v>1</v>
      </c>
      <c r="AK55" s="287" t="b">
        <v>1</v>
      </c>
      <c r="AL55" s="287" t="b">
        <v>1</v>
      </c>
      <c r="AM55" s="287" t="b">
        <v>1</v>
      </c>
      <c r="AN55" s="295" t="b">
        <v>0</v>
      </c>
      <c r="AO55" s="287" t="s">
        <v>546</v>
      </c>
      <c r="AP55" s="276" t="s">
        <v>810</v>
      </c>
      <c r="AQ55" s="276" t="s">
        <v>200</v>
      </c>
    </row>
    <row r="56" outlineLevel="1">
      <c r="A56" s="186" t="s">
        <v>256</v>
      </c>
      <c r="B56" s="305" t="s">
        <v>389</v>
      </c>
      <c r="C56" s="186" t="s">
        <v>389</v>
      </c>
      <c r="D56" s="186" t="s">
        <v>525</v>
      </c>
      <c r="E56" s="186" t="s">
        <v>89</v>
      </c>
      <c r="F56" s="186" t="s">
        <v>98</v>
      </c>
      <c r="G56" s="186" t="s">
        <v>103</v>
      </c>
      <c r="H56" s="298">
        <v>44319.0</v>
      </c>
      <c r="I56" s="306">
        <f>IFERROR(__xludf.DUMMYFUNCTION("countif(FILTER(FILTER(Shiftplan!D$7:BJ$67,Shiftplan!$A$7:$A$67&lt;=Shiftplan!$A$67),Shiftplan!$D$6:$BJ$6=A56),""&gt;0"")"),0.0)</f>
        <v>0</v>
      </c>
      <c r="J56" s="186">
        <f>VLOOKUP(A56,'Shiftplan SoS'!A:F,6,false)</f>
        <v>70</v>
      </c>
      <c r="K56" s="306">
        <f t="shared" si="11"/>
        <v>70</v>
      </c>
      <c r="L56" s="186" t="s">
        <v>592</v>
      </c>
      <c r="M56" s="299" t="str">
        <f t="shared" si="17"/>
        <v>7</v>
      </c>
      <c r="N56" s="300" t="str">
        <f t="shared" si="18"/>
        <v>60</v>
      </c>
      <c r="O56" s="186" t="str">
        <f t="shared" si="19"/>
        <v>0</v>
      </c>
      <c r="P56" s="186" t="str">
        <f t="shared" si="20"/>
        <v>0</v>
      </c>
      <c r="Q56" s="186" t="str">
        <f t="shared" si="21"/>
        <v>15</v>
      </c>
      <c r="R56" s="186" t="s">
        <v>527</v>
      </c>
      <c r="S56" s="301" t="s">
        <v>528</v>
      </c>
      <c r="T56" s="301" t="s">
        <v>811</v>
      </c>
      <c r="U56" s="301" t="s">
        <v>812</v>
      </c>
      <c r="V56" s="186" t="s">
        <v>527</v>
      </c>
      <c r="W56" s="301" t="s">
        <v>813</v>
      </c>
      <c r="X56" s="186" t="s">
        <v>527</v>
      </c>
      <c r="Y56" s="186" t="s">
        <v>814</v>
      </c>
      <c r="Z56" s="186" t="s">
        <v>815</v>
      </c>
      <c r="AA56" s="186">
        <v>13.0</v>
      </c>
      <c r="AB56" s="186">
        <v>3.017786694301E12</v>
      </c>
      <c r="AC56" s="302"/>
      <c r="AD56" s="181"/>
      <c r="AE56" s="181"/>
      <c r="AF56" s="181"/>
      <c r="AG56" s="181"/>
      <c r="AH56" s="186" t="b">
        <v>1</v>
      </c>
      <c r="AI56" s="186" t="b">
        <v>1</v>
      </c>
      <c r="AJ56" s="186" t="b">
        <v>1</v>
      </c>
      <c r="AK56" s="186" t="b">
        <v>1</v>
      </c>
      <c r="AL56" s="186" t="b">
        <v>1</v>
      </c>
      <c r="AM56" s="186" t="b">
        <v>0</v>
      </c>
      <c r="AN56" s="181" t="b">
        <v>0</v>
      </c>
      <c r="AO56" s="186" t="s">
        <v>546</v>
      </c>
      <c r="AP56" s="242" t="s">
        <v>554</v>
      </c>
      <c r="AQ56" s="186" t="s">
        <v>200</v>
      </c>
    </row>
    <row r="57" outlineLevel="1">
      <c r="A57" s="276" t="s">
        <v>268</v>
      </c>
      <c r="B57" s="275" t="s">
        <v>426</v>
      </c>
      <c r="C57" s="276" t="s">
        <v>426</v>
      </c>
      <c r="D57" s="276" t="s">
        <v>525</v>
      </c>
      <c r="E57" s="276" t="s">
        <v>88</v>
      </c>
      <c r="F57" s="276" t="s">
        <v>97</v>
      </c>
      <c r="G57" s="276" t="s">
        <v>199</v>
      </c>
      <c r="H57" s="277">
        <v>44319.0</v>
      </c>
      <c r="I57" s="278">
        <f>IFERROR(__xludf.DUMMYFUNCTION("countif(FILTER(FILTER(Shiftplan!D$7:BJ$67,Shiftplan!$A$7:$A$67&lt;=Shiftplan!$A$67),Shiftplan!$D$6:$BJ$6=A57),""&gt;0"")"),0.0)</f>
        <v>0</v>
      </c>
      <c r="J57" s="276">
        <f>VLOOKUP(A57,'Shiftplan SoS'!A:F,6,false)</f>
        <v>36</v>
      </c>
      <c r="K57" s="278">
        <f t="shared" si="11"/>
        <v>36</v>
      </c>
      <c r="L57" s="276" t="s">
        <v>526</v>
      </c>
      <c r="M57" s="279" t="str">
        <f t="shared" si="17"/>
        <v>5</v>
      </c>
      <c r="N57" s="280" t="str">
        <f t="shared" si="18"/>
        <v>40</v>
      </c>
      <c r="O57" s="276" t="str">
        <f t="shared" si="19"/>
        <v>10</v>
      </c>
      <c r="P57" s="276" t="str">
        <f t="shared" si="20"/>
        <v>5</v>
      </c>
      <c r="Q57" s="276" t="str">
        <f t="shared" si="21"/>
        <v>25</v>
      </c>
      <c r="R57" s="276" t="s">
        <v>527</v>
      </c>
      <c r="S57" s="281" t="s">
        <v>528</v>
      </c>
      <c r="T57" s="281" t="s">
        <v>816</v>
      </c>
      <c r="U57" s="281" t="s">
        <v>817</v>
      </c>
      <c r="V57" s="276" t="s">
        <v>527</v>
      </c>
      <c r="W57" s="281" t="s">
        <v>813</v>
      </c>
      <c r="X57" s="276" t="s">
        <v>527</v>
      </c>
      <c r="Y57" s="276" t="s">
        <v>818</v>
      </c>
      <c r="Z57" s="276" t="s">
        <v>819</v>
      </c>
      <c r="AA57" s="276">
        <v>29.0</v>
      </c>
      <c r="AB57" s="276">
        <v>3.016386698444E12</v>
      </c>
      <c r="AC57" s="284"/>
      <c r="AD57" s="274"/>
      <c r="AE57" s="274"/>
      <c r="AF57" s="274"/>
      <c r="AG57" s="274"/>
      <c r="AH57" s="276" t="b">
        <v>1</v>
      </c>
      <c r="AI57" s="276" t="b">
        <v>1</v>
      </c>
      <c r="AJ57" s="276" t="b">
        <v>1</v>
      </c>
      <c r="AK57" s="276" t="b">
        <v>1</v>
      </c>
      <c r="AL57" s="276" t="b">
        <v>1</v>
      </c>
      <c r="AM57" s="276" t="b">
        <v>1</v>
      </c>
      <c r="AN57" s="276" t="b">
        <v>1</v>
      </c>
      <c r="AO57" s="276" t="s">
        <v>546</v>
      </c>
      <c r="AP57" s="276" t="s">
        <v>542</v>
      </c>
      <c r="AQ57" s="276" t="s">
        <v>200</v>
      </c>
    </row>
    <row r="58" outlineLevel="1">
      <c r="A58" s="111" t="s">
        <v>246</v>
      </c>
      <c r="B58" s="266" t="s">
        <v>428</v>
      </c>
      <c r="C58" s="111" t="s">
        <v>428</v>
      </c>
      <c r="D58" s="111" t="s">
        <v>525</v>
      </c>
      <c r="E58" s="111" t="s">
        <v>92</v>
      </c>
      <c r="F58" s="111" t="s">
        <v>98</v>
      </c>
      <c r="G58" s="111" t="s">
        <v>189</v>
      </c>
      <c r="H58" s="267">
        <v>44319.0</v>
      </c>
      <c r="I58" s="268">
        <f>IFERROR(__xludf.DUMMYFUNCTION("countif(FILTER(FILTER(Shiftplan!D$7:BJ$67,Shiftplan!$A$7:$A$67&lt;=Shiftplan!$A$67),Shiftplan!$D$6:$BJ$6=A58),""&gt;0"")"),0.0)</f>
        <v>0</v>
      </c>
      <c r="J58" s="111">
        <f>VLOOKUP(A58,'Shiftplan SoS'!A:F,6,false)</f>
        <v>86</v>
      </c>
      <c r="K58" s="268">
        <f t="shared" si="11"/>
        <v>86</v>
      </c>
      <c r="L58" s="111" t="s">
        <v>526</v>
      </c>
      <c r="M58" s="269" t="str">
        <f t="shared" si="17"/>
        <v>8</v>
      </c>
      <c r="N58" s="270" t="str">
        <f t="shared" si="18"/>
        <v>60</v>
      </c>
      <c r="O58" s="111" t="str">
        <f t="shared" si="19"/>
        <v>0</v>
      </c>
      <c r="P58" s="111" t="str">
        <f t="shared" si="20"/>
        <v>0</v>
      </c>
      <c r="Q58" s="111" t="str">
        <f t="shared" si="21"/>
        <v>10</v>
      </c>
      <c r="R58" s="111" t="s">
        <v>527</v>
      </c>
      <c r="S58" s="271" t="s">
        <v>528</v>
      </c>
      <c r="T58" s="271" t="s">
        <v>820</v>
      </c>
      <c r="U58" s="271" t="s">
        <v>821</v>
      </c>
      <c r="V58" s="111" t="s">
        <v>527</v>
      </c>
      <c r="W58" s="271" t="s">
        <v>813</v>
      </c>
      <c r="X58" s="111" t="s">
        <v>527</v>
      </c>
      <c r="Y58" s="111" t="s">
        <v>822</v>
      </c>
      <c r="Z58" s="111" t="s">
        <v>823</v>
      </c>
      <c r="AA58" s="111">
        <v>62.0</v>
      </c>
      <c r="AB58" s="111">
        <v>3.015186705766E12</v>
      </c>
      <c r="AC58" s="272"/>
      <c r="AD58" s="273"/>
      <c r="AE58" s="273"/>
      <c r="AF58" s="273"/>
      <c r="AG58" s="273"/>
      <c r="AH58" s="111" t="b">
        <v>1</v>
      </c>
      <c r="AI58" s="111" t="b">
        <v>1</v>
      </c>
      <c r="AJ58" s="111" t="b">
        <v>1</v>
      </c>
      <c r="AK58" s="111" t="b">
        <v>1</v>
      </c>
      <c r="AL58" s="111" t="b">
        <v>1</v>
      </c>
      <c r="AM58" s="111" t="b">
        <v>1</v>
      </c>
      <c r="AN58" s="111" t="b">
        <v>1</v>
      </c>
      <c r="AO58" s="111" t="s">
        <v>546</v>
      </c>
      <c r="AP58" s="111" t="s">
        <v>554</v>
      </c>
      <c r="AQ58" s="111" t="s">
        <v>190</v>
      </c>
    </row>
    <row r="59" outlineLevel="1">
      <c r="A59" s="276" t="s">
        <v>251</v>
      </c>
      <c r="B59" s="275" t="s">
        <v>435</v>
      </c>
      <c r="C59" s="276" t="s">
        <v>824</v>
      </c>
      <c r="D59" s="276" t="s">
        <v>525</v>
      </c>
      <c r="E59" s="276" t="s">
        <v>88</v>
      </c>
      <c r="F59" s="276" t="s">
        <v>98</v>
      </c>
      <c r="G59" s="276" t="s">
        <v>105</v>
      </c>
      <c r="H59" s="277">
        <v>44319.0</v>
      </c>
      <c r="I59" s="278">
        <f>IFERROR(__xludf.DUMMYFUNCTION("countif(FILTER(FILTER(Shiftplan!D$7:BJ$67,Shiftplan!$A$7:$A$67&lt;=Shiftplan!$A$67),Shiftplan!$D$6:$BJ$6=A59),""&gt;0"")"),0.0)</f>
        <v>0</v>
      </c>
      <c r="J59" s="276">
        <f>VLOOKUP(A59,'Shiftplan SoS'!A:F,6,false)</f>
        <v>86</v>
      </c>
      <c r="K59" s="278">
        <f t="shared" si="11"/>
        <v>86</v>
      </c>
      <c r="L59" s="276" t="s">
        <v>526</v>
      </c>
      <c r="M59" s="279" t="str">
        <f t="shared" si="17"/>
        <v>8</v>
      </c>
      <c r="N59" s="280" t="str">
        <f t="shared" si="18"/>
        <v>60</v>
      </c>
      <c r="O59" s="276" t="str">
        <f t="shared" si="19"/>
        <v>0</v>
      </c>
      <c r="P59" s="276" t="str">
        <f t="shared" si="20"/>
        <v>0</v>
      </c>
      <c r="Q59" s="276" t="str">
        <f t="shared" si="21"/>
        <v>10</v>
      </c>
      <c r="R59" s="276" t="s">
        <v>527</v>
      </c>
      <c r="S59" s="281" t="s">
        <v>528</v>
      </c>
      <c r="T59" s="281" t="s">
        <v>825</v>
      </c>
      <c r="U59" s="281" t="s">
        <v>826</v>
      </c>
      <c r="V59" s="276" t="s">
        <v>527</v>
      </c>
      <c r="W59" s="281" t="s">
        <v>813</v>
      </c>
      <c r="X59" s="276" t="s">
        <v>527</v>
      </c>
      <c r="Y59" s="276" t="s">
        <v>827</v>
      </c>
      <c r="Z59" s="276" t="s">
        <v>828</v>
      </c>
      <c r="AA59" s="276">
        <v>42.0</v>
      </c>
      <c r="AB59" s="276">
        <v>3.016186693648E12</v>
      </c>
      <c r="AC59" s="284"/>
      <c r="AD59" s="274"/>
      <c r="AE59" s="274"/>
      <c r="AF59" s="274"/>
      <c r="AG59" s="274"/>
      <c r="AH59" s="276" t="b">
        <v>1</v>
      </c>
      <c r="AI59" s="276" t="b">
        <v>1</v>
      </c>
      <c r="AJ59" s="276" t="b">
        <v>1</v>
      </c>
      <c r="AK59" s="276" t="b">
        <v>1</v>
      </c>
      <c r="AL59" s="276" t="b">
        <v>1</v>
      </c>
      <c r="AM59" s="276" t="b">
        <v>1</v>
      </c>
      <c r="AN59" s="276" t="b">
        <v>1</v>
      </c>
      <c r="AO59" s="276" t="s">
        <v>546</v>
      </c>
      <c r="AP59" s="276" t="s">
        <v>763</v>
      </c>
      <c r="AQ59" s="276" t="s">
        <v>206</v>
      </c>
    </row>
    <row r="60" outlineLevel="1">
      <c r="A60" s="186" t="s">
        <v>362</v>
      </c>
      <c r="B60" s="305" t="s">
        <v>829</v>
      </c>
      <c r="C60" s="186" t="s">
        <v>829</v>
      </c>
      <c r="D60" s="186" t="s">
        <v>525</v>
      </c>
      <c r="E60" s="186" t="s">
        <v>91</v>
      </c>
      <c r="F60" s="186" t="s">
        <v>97</v>
      </c>
      <c r="G60" s="186" t="s">
        <v>199</v>
      </c>
      <c r="H60" s="298">
        <v>44319.0</v>
      </c>
      <c r="I60" s="306">
        <f>IFERROR(__xludf.DUMMYFUNCTION("countif(FILTER(FILTER(Shiftplan!D$7:BJ$67,Shiftplan!$A$7:$A$67&lt;=Shiftplan!$A$67),Shiftplan!$D$6:$BJ$6=A60),""&gt;0"")"),0.0)</f>
        <v>0</v>
      </c>
      <c r="J60" s="186">
        <f>VLOOKUP(A60,'Shiftplan SoS'!A:F,6,false)</f>
        <v>15</v>
      </c>
      <c r="K60" s="306">
        <f t="shared" si="11"/>
        <v>15</v>
      </c>
      <c r="L60" s="186" t="s">
        <v>592</v>
      </c>
      <c r="M60" s="299" t="str">
        <f t="shared" si="17"/>
        <v>4</v>
      </c>
      <c r="N60" s="300" t="str">
        <f t="shared" si="18"/>
        <v>30</v>
      </c>
      <c r="O60" s="186" t="str">
        <f t="shared" si="19"/>
        <v>15</v>
      </c>
      <c r="P60" s="186" t="str">
        <f t="shared" si="20"/>
        <v>10</v>
      </c>
      <c r="Q60" s="186" t="str">
        <f t="shared" si="21"/>
        <v>30</v>
      </c>
      <c r="R60" s="186" t="s">
        <v>527</v>
      </c>
      <c r="S60" s="301" t="s">
        <v>528</v>
      </c>
      <c r="T60" s="301" t="s">
        <v>830</v>
      </c>
      <c r="U60" s="301" t="s">
        <v>362</v>
      </c>
      <c r="V60" s="186" t="s">
        <v>527</v>
      </c>
      <c r="W60" s="301" t="s">
        <v>813</v>
      </c>
      <c r="X60" s="186" t="s">
        <v>527</v>
      </c>
      <c r="Y60" s="186" t="s">
        <v>831</v>
      </c>
      <c r="Z60" s="186" t="s">
        <v>832</v>
      </c>
      <c r="AA60" s="186">
        <v>20.0</v>
      </c>
      <c r="AB60" s="186">
        <v>3.011686695993E12</v>
      </c>
      <c r="AC60" s="302"/>
      <c r="AD60" s="181"/>
      <c r="AE60" s="181"/>
      <c r="AF60" s="181"/>
      <c r="AG60" s="181"/>
      <c r="AH60" s="186" t="b">
        <v>1</v>
      </c>
      <c r="AI60" s="186" t="b">
        <v>1</v>
      </c>
      <c r="AJ60" s="186" t="b">
        <v>1</v>
      </c>
      <c r="AK60" s="186" t="b">
        <v>1</v>
      </c>
      <c r="AL60" s="186" t="b">
        <v>1</v>
      </c>
      <c r="AM60" s="186" t="b">
        <v>1</v>
      </c>
      <c r="AN60" s="186" t="b">
        <v>1</v>
      </c>
      <c r="AO60" s="186" t="s">
        <v>546</v>
      </c>
      <c r="AP60" s="186" t="s">
        <v>763</v>
      </c>
      <c r="AQ60" s="186" t="s">
        <v>200</v>
      </c>
    </row>
    <row r="61" outlineLevel="1">
      <c r="A61" s="287" t="s">
        <v>359</v>
      </c>
      <c r="B61" s="288" t="s">
        <v>833</v>
      </c>
      <c r="C61" s="287" t="s">
        <v>833</v>
      </c>
      <c r="D61" s="287" t="s">
        <v>525</v>
      </c>
      <c r="E61" s="287" t="s">
        <v>88</v>
      </c>
      <c r="F61" s="287" t="s">
        <v>192</v>
      </c>
      <c r="G61" s="287" t="s">
        <v>189</v>
      </c>
      <c r="H61" s="289">
        <v>44319.0</v>
      </c>
      <c r="I61" s="278">
        <f>IFERROR(__xludf.DUMMYFUNCTION("countif(FILTER(FILTER(Shiftplan!D$7:BJ$67,Shiftplan!$A$7:$A$67&lt;=Shiftplan!$A$67),Shiftplan!$D$6:$BJ$6=A61),""&gt;0"")"),0.0)</f>
        <v>0</v>
      </c>
      <c r="J61" s="287">
        <f>VLOOKUP(A61,'Shiftplan SoS'!A:F,6,false)</f>
        <v>11</v>
      </c>
      <c r="K61" s="290">
        <f t="shared" si="11"/>
        <v>11</v>
      </c>
      <c r="L61" s="287" t="s">
        <v>592</v>
      </c>
      <c r="M61" s="291" t="str">
        <f t="shared" si="17"/>
        <v>3</v>
      </c>
      <c r="N61" s="292" t="str">
        <f t="shared" si="18"/>
        <v>25</v>
      </c>
      <c r="O61" s="287" t="str">
        <f t="shared" si="19"/>
        <v>20</v>
      </c>
      <c r="P61" s="287" t="str">
        <f t="shared" si="20"/>
        <v>10</v>
      </c>
      <c r="Q61" s="287" t="str">
        <f t="shared" si="21"/>
        <v>30</v>
      </c>
      <c r="R61" s="287" t="s">
        <v>527</v>
      </c>
      <c r="S61" s="293" t="s">
        <v>593</v>
      </c>
      <c r="T61" s="293" t="s">
        <v>834</v>
      </c>
      <c r="U61" s="293"/>
      <c r="V61" s="287" t="s">
        <v>527</v>
      </c>
      <c r="W61" s="293" t="s">
        <v>813</v>
      </c>
      <c r="X61" s="293" t="s">
        <v>527</v>
      </c>
      <c r="Y61" s="287" t="s">
        <v>835</v>
      </c>
      <c r="Z61" s="287" t="s">
        <v>836</v>
      </c>
      <c r="AA61" s="287">
        <v>4.0</v>
      </c>
      <c r="AB61" s="287">
        <v>3.017086710606E12</v>
      </c>
      <c r="AC61" s="294"/>
      <c r="AD61" s="295"/>
      <c r="AE61" s="295"/>
      <c r="AF61" s="295"/>
      <c r="AG61" s="295"/>
      <c r="AH61" s="287" t="b">
        <v>1</v>
      </c>
      <c r="AI61" s="287" t="b">
        <v>1</v>
      </c>
      <c r="AJ61" s="287" t="b">
        <v>1</v>
      </c>
      <c r="AK61" s="287" t="b">
        <v>1</v>
      </c>
      <c r="AL61" s="287" t="b">
        <v>1</v>
      </c>
      <c r="AM61" s="287" t="b">
        <v>1</v>
      </c>
      <c r="AN61" s="287" t="b">
        <v>1</v>
      </c>
      <c r="AO61" s="287" t="s">
        <v>546</v>
      </c>
      <c r="AP61" s="276" t="s">
        <v>554</v>
      </c>
      <c r="AQ61" s="276" t="s">
        <v>200</v>
      </c>
    </row>
    <row r="62" outlineLevel="1">
      <c r="A62" s="186" t="s">
        <v>334</v>
      </c>
      <c r="B62" s="305" t="s">
        <v>837</v>
      </c>
      <c r="C62" s="186" t="s">
        <v>837</v>
      </c>
      <c r="D62" s="186" t="s">
        <v>525</v>
      </c>
      <c r="E62" s="186" t="s">
        <v>88</v>
      </c>
      <c r="F62" s="186" t="s">
        <v>98</v>
      </c>
      <c r="G62" s="186" t="s">
        <v>189</v>
      </c>
      <c r="H62" s="298">
        <v>44319.0</v>
      </c>
      <c r="I62" s="268">
        <f>IFERROR(__xludf.DUMMYFUNCTION("countif(FILTER(FILTER(Shiftplan!D$7:BJ$67,Shiftplan!$A$7:$A$67&lt;=Shiftplan!$A$67),Shiftplan!$D$6:$BJ$6=A62),""&gt;0"")"),0.0)</f>
        <v>0</v>
      </c>
      <c r="J62" s="186">
        <f>VLOOKUP(A62,'Shiftplan SoS'!A:F,6,false)</f>
        <v>34</v>
      </c>
      <c r="K62" s="306">
        <f t="shared" si="11"/>
        <v>34</v>
      </c>
      <c r="L62" s="186" t="s">
        <v>592</v>
      </c>
      <c r="M62" s="299" t="str">
        <f t="shared" si="17"/>
        <v>5</v>
      </c>
      <c r="N62" s="300" t="str">
        <f t="shared" si="18"/>
        <v>40</v>
      </c>
      <c r="O62" s="186" t="str">
        <f t="shared" si="19"/>
        <v>10</v>
      </c>
      <c r="P62" s="186" t="str">
        <f t="shared" si="20"/>
        <v>5</v>
      </c>
      <c r="Q62" s="186" t="str">
        <f t="shared" si="21"/>
        <v>25</v>
      </c>
      <c r="R62" s="186" t="s">
        <v>527</v>
      </c>
      <c r="S62" s="301" t="s">
        <v>528</v>
      </c>
      <c r="T62" s="301" t="s">
        <v>838</v>
      </c>
      <c r="U62" s="301"/>
      <c r="V62" s="186" t="s">
        <v>527</v>
      </c>
      <c r="W62" s="301" t="s">
        <v>813</v>
      </c>
      <c r="X62" s="186" t="s">
        <v>527</v>
      </c>
      <c r="Y62" s="186" t="s">
        <v>839</v>
      </c>
      <c r="Z62" s="186" t="s">
        <v>840</v>
      </c>
      <c r="AA62" s="186">
        <v>1.0</v>
      </c>
      <c r="AB62" s="186">
        <v>3.016086715026E12</v>
      </c>
      <c r="AC62" s="302"/>
      <c r="AD62" s="181"/>
      <c r="AE62" s="181"/>
      <c r="AF62" s="181"/>
      <c r="AG62" s="181"/>
      <c r="AH62" s="186" t="b">
        <v>1</v>
      </c>
      <c r="AI62" s="186" t="b">
        <v>1</v>
      </c>
      <c r="AJ62" s="186" t="b">
        <v>1</v>
      </c>
      <c r="AK62" s="186" t="b">
        <v>1</v>
      </c>
      <c r="AL62" s="186" t="b">
        <v>1</v>
      </c>
      <c r="AM62" s="186" t="b">
        <v>1</v>
      </c>
      <c r="AN62" s="186" t="b">
        <v>1</v>
      </c>
      <c r="AO62" s="186" t="s">
        <v>546</v>
      </c>
      <c r="AP62" s="186" t="s">
        <v>576</v>
      </c>
      <c r="AQ62" s="111" t="s">
        <v>200</v>
      </c>
    </row>
    <row r="63" outlineLevel="1">
      <c r="A63" s="322" t="s">
        <v>365</v>
      </c>
      <c r="B63" s="323" t="s">
        <v>454</v>
      </c>
      <c r="C63" s="322" t="s">
        <v>454</v>
      </c>
      <c r="D63" s="322" t="s">
        <v>525</v>
      </c>
      <c r="E63" s="322" t="s">
        <v>88</v>
      </c>
      <c r="F63" s="322" t="s">
        <v>98</v>
      </c>
      <c r="G63" s="322" t="s">
        <v>199</v>
      </c>
      <c r="H63" s="324">
        <v>44319.0</v>
      </c>
      <c r="I63" s="325">
        <f>IFERROR(__xludf.DUMMYFUNCTION("countif(FILTER(FILTER(Shiftplan!D$7:BJ$67,Shiftplan!$A$7:$A$67&lt;=Shiftplan!$A$67),Shiftplan!$D$6:$BJ$6=A63),""&gt;0"")"),0.0)</f>
        <v>0</v>
      </c>
      <c r="J63" s="322">
        <f>VLOOKUP(A63,'Shiftplan SoS'!A:F,6,false)</f>
        <v>62</v>
      </c>
      <c r="K63" s="325">
        <f t="shared" si="11"/>
        <v>62</v>
      </c>
      <c r="L63" s="287" t="s">
        <v>592</v>
      </c>
      <c r="M63" s="326" t="str">
        <f t="shared" si="17"/>
        <v>7</v>
      </c>
      <c r="N63" s="327" t="str">
        <f t="shared" si="18"/>
        <v>60</v>
      </c>
      <c r="O63" s="322" t="str">
        <f t="shared" si="19"/>
        <v>0</v>
      </c>
      <c r="P63" s="322" t="str">
        <f t="shared" si="20"/>
        <v>0</v>
      </c>
      <c r="Q63" s="322" t="str">
        <f t="shared" si="21"/>
        <v>15</v>
      </c>
      <c r="R63" s="322" t="s">
        <v>527</v>
      </c>
      <c r="S63" s="322" t="s">
        <v>528</v>
      </c>
      <c r="T63" s="293" t="s">
        <v>841</v>
      </c>
      <c r="U63" s="293" t="s">
        <v>842</v>
      </c>
      <c r="V63" s="322" t="s">
        <v>527</v>
      </c>
      <c r="W63" s="322" t="s">
        <v>813</v>
      </c>
      <c r="X63" s="322" t="s">
        <v>527</v>
      </c>
      <c r="Y63" s="322" t="s">
        <v>843</v>
      </c>
      <c r="Z63" s="322" t="s">
        <v>844</v>
      </c>
      <c r="AA63" s="322">
        <v>1.0</v>
      </c>
      <c r="AB63" s="322">
        <v>3.013986694367E12</v>
      </c>
      <c r="AC63" s="328"/>
      <c r="AD63" s="329"/>
      <c r="AE63" s="329"/>
      <c r="AF63" s="329"/>
      <c r="AG63" s="329"/>
      <c r="AH63" s="322" t="b">
        <v>1</v>
      </c>
      <c r="AI63" s="322" t="b">
        <v>1</v>
      </c>
      <c r="AJ63" s="322" t="b">
        <v>1</v>
      </c>
      <c r="AK63" s="322" t="b">
        <v>1</v>
      </c>
      <c r="AL63" s="322" t="b">
        <v>1</v>
      </c>
      <c r="AM63" s="322" t="b">
        <v>1</v>
      </c>
      <c r="AN63" s="322" t="b">
        <v>1</v>
      </c>
      <c r="AO63" s="322" t="s">
        <v>553</v>
      </c>
      <c r="AP63" s="322" t="s">
        <v>775</v>
      </c>
      <c r="AQ63" s="322" t="s">
        <v>200</v>
      </c>
    </row>
    <row r="64" outlineLevel="1">
      <c r="A64" s="111" t="s">
        <v>127</v>
      </c>
      <c r="B64" s="266" t="s">
        <v>378</v>
      </c>
      <c r="C64" s="111" t="s">
        <v>378</v>
      </c>
      <c r="D64" s="111" t="s">
        <v>525</v>
      </c>
      <c r="E64" s="111" t="s">
        <v>91</v>
      </c>
      <c r="F64" s="111" t="s">
        <v>845</v>
      </c>
      <c r="G64" s="111" t="s">
        <v>196</v>
      </c>
      <c r="H64" s="267">
        <v>44320.0</v>
      </c>
      <c r="I64" s="268">
        <f>IFERROR(__xludf.DUMMYFUNCTION("countif(FILTER(FILTER(Shiftplan!D$7:BJ$67,Shiftplan!$A$7:$A$67&lt;=Shiftplan!$A$67),Shiftplan!$D$6:$BJ$6=A64),""&gt;0"")"),0.0)</f>
        <v>0</v>
      </c>
      <c r="J64" s="111">
        <f>VLOOKUP(A64,'Shiftplan SoS'!A:F,6,false)</f>
        <v>81</v>
      </c>
      <c r="K64" s="268">
        <f t="shared" si="11"/>
        <v>81</v>
      </c>
      <c r="L64" s="111" t="s">
        <v>526</v>
      </c>
      <c r="M64" s="269" t="str">
        <f t="shared" si="17"/>
        <v>7</v>
      </c>
      <c r="N64" s="270" t="str">
        <f t="shared" si="18"/>
        <v>60</v>
      </c>
      <c r="O64" s="111" t="str">
        <f t="shared" si="19"/>
        <v>0</v>
      </c>
      <c r="P64" s="111" t="str">
        <f t="shared" si="20"/>
        <v>0</v>
      </c>
      <c r="Q64" s="111" t="str">
        <f t="shared" si="21"/>
        <v>15</v>
      </c>
      <c r="R64" s="111" t="s">
        <v>527</v>
      </c>
      <c r="S64" s="271" t="s">
        <v>528</v>
      </c>
      <c r="T64" s="271" t="s">
        <v>846</v>
      </c>
      <c r="U64" s="271" t="s">
        <v>847</v>
      </c>
      <c r="V64" s="111" t="s">
        <v>527</v>
      </c>
      <c r="W64" s="271" t="s">
        <v>813</v>
      </c>
      <c r="X64" s="111" t="s">
        <v>527</v>
      </c>
      <c r="Y64" s="111" t="s">
        <v>848</v>
      </c>
      <c r="Z64" s="111" t="s">
        <v>849</v>
      </c>
      <c r="AA64" s="111">
        <v>2.0</v>
      </c>
      <c r="AB64" s="111">
        <v>3.018986879004E12</v>
      </c>
      <c r="AC64" s="272"/>
      <c r="AD64" s="273"/>
      <c r="AE64" s="273"/>
      <c r="AF64" s="273"/>
      <c r="AG64" s="273"/>
      <c r="AH64" s="111" t="b">
        <v>1</v>
      </c>
      <c r="AI64" s="111" t="b">
        <v>1</v>
      </c>
      <c r="AJ64" s="111" t="b">
        <v>1</v>
      </c>
      <c r="AK64" s="111" t="b">
        <v>1</v>
      </c>
      <c r="AL64" s="111" t="b">
        <v>1</v>
      </c>
      <c r="AM64" s="111" t="b">
        <v>1</v>
      </c>
      <c r="AN64" s="111" t="b">
        <v>1</v>
      </c>
      <c r="AO64" s="111" t="s">
        <v>560</v>
      </c>
      <c r="AP64" s="111" t="s">
        <v>542</v>
      </c>
      <c r="AQ64" s="111" t="s">
        <v>561</v>
      </c>
    </row>
    <row r="65" outlineLevel="1">
      <c r="A65" s="276" t="s">
        <v>259</v>
      </c>
      <c r="B65" s="275" t="s">
        <v>438</v>
      </c>
      <c r="C65" s="276" t="s">
        <v>850</v>
      </c>
      <c r="D65" s="276" t="s">
        <v>525</v>
      </c>
      <c r="E65" s="276" t="s">
        <v>88</v>
      </c>
      <c r="F65" s="276" t="s">
        <v>192</v>
      </c>
      <c r="G65" s="276" t="s">
        <v>103</v>
      </c>
      <c r="H65" s="277">
        <v>44321.0</v>
      </c>
      <c r="I65" s="278">
        <f>IFERROR(__xludf.DUMMYFUNCTION("countif(FILTER(FILTER(Shiftplan!D$7:BJ$67,Shiftplan!$A$7:$A$67&lt;=Shiftplan!$A$67),Shiftplan!$D$6:$BJ$6=A65),""&gt;0"")"),0.0)</f>
        <v>0</v>
      </c>
      <c r="J65" s="276">
        <f>VLOOKUP(A65,'Shiftplan SoS'!A:F,6,false)</f>
        <v>76</v>
      </c>
      <c r="K65" s="278">
        <f t="shared" si="11"/>
        <v>76</v>
      </c>
      <c r="L65" s="276" t="s">
        <v>526</v>
      </c>
      <c r="M65" s="279" t="str">
        <f t="shared" si="17"/>
        <v>7</v>
      </c>
      <c r="N65" s="280" t="str">
        <f t="shared" si="18"/>
        <v>60</v>
      </c>
      <c r="O65" s="276" t="str">
        <f t="shared" si="19"/>
        <v>0</v>
      </c>
      <c r="P65" s="276" t="str">
        <f t="shared" si="20"/>
        <v>0</v>
      </c>
      <c r="Q65" s="276" t="str">
        <f t="shared" si="21"/>
        <v>15</v>
      </c>
      <c r="R65" s="276" t="s">
        <v>527</v>
      </c>
      <c r="S65" s="281" t="s">
        <v>528</v>
      </c>
      <c r="T65" s="330" t="s">
        <v>851</v>
      </c>
      <c r="U65" s="281" t="s">
        <v>852</v>
      </c>
      <c r="V65" s="276" t="s">
        <v>527</v>
      </c>
      <c r="W65" s="281" t="s">
        <v>813</v>
      </c>
      <c r="X65" s="276" t="s">
        <v>527</v>
      </c>
      <c r="Y65" s="276" t="s">
        <v>853</v>
      </c>
      <c r="Z65" s="276" t="s">
        <v>854</v>
      </c>
      <c r="AA65" s="276">
        <v>15.0</v>
      </c>
      <c r="AB65" s="276">
        <v>3.017587091668E12</v>
      </c>
      <c r="AC65" s="284"/>
      <c r="AD65" s="274"/>
      <c r="AE65" s="274"/>
      <c r="AF65" s="274"/>
      <c r="AG65" s="274"/>
      <c r="AH65" s="276" t="b">
        <v>1</v>
      </c>
      <c r="AI65" s="276" t="b">
        <v>1</v>
      </c>
      <c r="AJ65" s="276" t="b">
        <v>1</v>
      </c>
      <c r="AK65" s="276" t="b">
        <v>1</v>
      </c>
      <c r="AL65" s="276" t="b">
        <v>1</v>
      </c>
      <c r="AM65" s="276" t="b">
        <v>1</v>
      </c>
      <c r="AN65" s="276" t="b">
        <v>1</v>
      </c>
      <c r="AO65" s="276" t="s">
        <v>546</v>
      </c>
      <c r="AP65" s="276" t="s">
        <v>775</v>
      </c>
      <c r="AQ65" s="276" t="s">
        <v>200</v>
      </c>
    </row>
    <row r="66" outlineLevel="1">
      <c r="A66" s="111" t="s">
        <v>257</v>
      </c>
      <c r="B66" s="266" t="s">
        <v>388</v>
      </c>
      <c r="C66" s="111" t="s">
        <v>855</v>
      </c>
      <c r="D66" s="111" t="s">
        <v>525</v>
      </c>
      <c r="E66" s="111" t="s">
        <v>856</v>
      </c>
      <c r="F66" s="111" t="s">
        <v>192</v>
      </c>
      <c r="G66" s="111" t="s">
        <v>204</v>
      </c>
      <c r="H66" s="267">
        <v>44321.0</v>
      </c>
      <c r="I66" s="268">
        <f>IFERROR(__xludf.DUMMYFUNCTION("countif(FILTER(FILTER(Shiftplan!D$7:BJ$67,Shiftplan!$A$7:$A$67&lt;=Shiftplan!$A$67),Shiftplan!$D$6:$BJ$6=A66),""&gt;0"")"),0.0)</f>
        <v>0</v>
      </c>
      <c r="J66" s="111">
        <f>VLOOKUP(A66,'Shiftplan SoS'!A:F,6,false)</f>
        <v>85</v>
      </c>
      <c r="K66" s="268">
        <f t="shared" si="11"/>
        <v>85</v>
      </c>
      <c r="L66" s="111" t="s">
        <v>526</v>
      </c>
      <c r="M66" s="269" t="str">
        <f t="shared" si="17"/>
        <v>8</v>
      </c>
      <c r="N66" s="270" t="str">
        <f t="shared" si="18"/>
        <v>60</v>
      </c>
      <c r="O66" s="111" t="str">
        <f t="shared" si="19"/>
        <v>0</v>
      </c>
      <c r="P66" s="111" t="str">
        <f t="shared" si="20"/>
        <v>0</v>
      </c>
      <c r="Q66" s="111" t="str">
        <f t="shared" si="21"/>
        <v>10</v>
      </c>
      <c r="R66" s="111" t="s">
        <v>527</v>
      </c>
      <c r="S66" s="271" t="s">
        <v>528</v>
      </c>
      <c r="T66" s="331" t="s">
        <v>857</v>
      </c>
      <c r="U66" s="271" t="s">
        <v>858</v>
      </c>
      <c r="V66" s="111" t="s">
        <v>527</v>
      </c>
      <c r="W66" s="271" t="s">
        <v>813</v>
      </c>
      <c r="X66" s="111" t="s">
        <v>527</v>
      </c>
      <c r="Y66" s="111" t="s">
        <v>859</v>
      </c>
      <c r="Z66" s="111" t="s">
        <v>860</v>
      </c>
      <c r="AA66" s="111">
        <v>1.0</v>
      </c>
      <c r="AB66" s="111">
        <v>3.012787141688E12</v>
      </c>
      <c r="AC66" s="272"/>
      <c r="AD66" s="273"/>
      <c r="AE66" s="273"/>
      <c r="AF66" s="273"/>
      <c r="AG66" s="273"/>
      <c r="AH66" s="111" t="b">
        <v>1</v>
      </c>
      <c r="AI66" s="111" t="b">
        <v>1</v>
      </c>
      <c r="AJ66" s="111" t="b">
        <v>1</v>
      </c>
      <c r="AK66" s="111" t="b">
        <v>1</v>
      </c>
      <c r="AL66" s="111" t="b">
        <v>1</v>
      </c>
      <c r="AM66" s="111" t="b">
        <v>1</v>
      </c>
      <c r="AN66" s="111" t="b">
        <v>1</v>
      </c>
      <c r="AO66" s="111" t="s">
        <v>546</v>
      </c>
      <c r="AP66" s="111" t="s">
        <v>542</v>
      </c>
      <c r="AQ66" s="111" t="s">
        <v>206</v>
      </c>
    </row>
    <row r="67" outlineLevel="1">
      <c r="A67" s="276" t="s">
        <v>258</v>
      </c>
      <c r="B67" s="275" t="s">
        <v>394</v>
      </c>
      <c r="C67" s="276" t="s">
        <v>394</v>
      </c>
      <c r="D67" s="276" t="s">
        <v>525</v>
      </c>
      <c r="E67" s="276" t="s">
        <v>91</v>
      </c>
      <c r="F67" s="276" t="s">
        <v>98</v>
      </c>
      <c r="G67" s="274" t="s">
        <v>199</v>
      </c>
      <c r="H67" s="277">
        <v>44321.0</v>
      </c>
      <c r="I67" s="278">
        <f>IFERROR(__xludf.DUMMYFUNCTION("countif(FILTER(FILTER(Shiftplan!D$7:BJ$67,Shiftplan!$A$7:$A$67&lt;=Shiftplan!$A$67),Shiftplan!$D$6:$BJ$6=A67),""&gt;0"")"),0.0)</f>
        <v>0</v>
      </c>
      <c r="J67" s="276">
        <f>VLOOKUP(A67,'Shiftplan SoS'!A:F,6,false)</f>
        <v>85</v>
      </c>
      <c r="K67" s="278">
        <f t="shared" si="11"/>
        <v>85</v>
      </c>
      <c r="L67" s="276" t="s">
        <v>526</v>
      </c>
      <c r="M67" s="279" t="str">
        <f t="shared" si="17"/>
        <v>8</v>
      </c>
      <c r="N67" s="280" t="str">
        <f t="shared" si="18"/>
        <v>60</v>
      </c>
      <c r="O67" s="276" t="str">
        <f t="shared" si="19"/>
        <v>0</v>
      </c>
      <c r="P67" s="276" t="str">
        <f t="shared" si="20"/>
        <v>0</v>
      </c>
      <c r="Q67" s="276" t="str">
        <f t="shared" si="21"/>
        <v>10</v>
      </c>
      <c r="R67" s="276" t="s">
        <v>527</v>
      </c>
      <c r="S67" s="281" t="s">
        <v>528</v>
      </c>
      <c r="T67" s="330" t="s">
        <v>861</v>
      </c>
      <c r="U67" s="281" t="s">
        <v>862</v>
      </c>
      <c r="V67" s="276" t="s">
        <v>527</v>
      </c>
      <c r="W67" s="281" t="s">
        <v>813</v>
      </c>
      <c r="X67" s="276" t="s">
        <v>527</v>
      </c>
      <c r="Y67" s="276" t="s">
        <v>863</v>
      </c>
      <c r="Z67" s="276" t="s">
        <v>862</v>
      </c>
      <c r="AA67" s="276">
        <v>8.0</v>
      </c>
      <c r="AB67" s="276">
        <v>3.011787073427E12</v>
      </c>
      <c r="AC67" s="284"/>
      <c r="AD67" s="274"/>
      <c r="AE67" s="274"/>
      <c r="AF67" s="274"/>
      <c r="AG67" s="274"/>
      <c r="AH67" s="276" t="b">
        <v>1</v>
      </c>
      <c r="AI67" s="276" t="b">
        <v>1</v>
      </c>
      <c r="AJ67" s="276" t="b">
        <v>1</v>
      </c>
      <c r="AK67" s="276" t="b">
        <v>1</v>
      </c>
      <c r="AL67" s="276" t="b">
        <v>1</v>
      </c>
      <c r="AM67" s="276" t="b">
        <v>1</v>
      </c>
      <c r="AN67" s="276" t="b">
        <v>1</v>
      </c>
      <c r="AO67" s="276" t="s">
        <v>546</v>
      </c>
      <c r="AP67" s="276" t="s">
        <v>542</v>
      </c>
      <c r="AQ67" s="276" t="s">
        <v>200</v>
      </c>
    </row>
    <row r="68" outlineLevel="1">
      <c r="A68" s="186" t="s">
        <v>364</v>
      </c>
      <c r="B68" s="305" t="s">
        <v>864</v>
      </c>
      <c r="C68" s="186" t="s">
        <v>864</v>
      </c>
      <c r="D68" s="186" t="s">
        <v>525</v>
      </c>
      <c r="E68" s="186" t="s">
        <v>856</v>
      </c>
      <c r="F68" s="186" t="s">
        <v>98</v>
      </c>
      <c r="G68" s="186" t="s">
        <v>204</v>
      </c>
      <c r="H68" s="298">
        <v>44321.0</v>
      </c>
      <c r="I68" s="306">
        <f>IFERROR(__xludf.DUMMYFUNCTION("countif(FILTER(FILTER(Shiftplan!D$7:BJ$67,Shiftplan!$A$7:$A$67&lt;=Shiftplan!$A$67),Shiftplan!$D$6:$BJ$6=A68),""&gt;0"")"),0.0)</f>
        <v>0</v>
      </c>
      <c r="J68" s="186">
        <f>VLOOKUP(A68,'Shiftplan SoS'!A:F,6,false)</f>
        <v>39</v>
      </c>
      <c r="K68" s="306">
        <f t="shared" si="11"/>
        <v>39</v>
      </c>
      <c r="L68" s="186" t="s">
        <v>592</v>
      </c>
      <c r="M68" s="299" t="str">
        <f t="shared" si="17"/>
        <v>5</v>
      </c>
      <c r="N68" s="300" t="str">
        <f t="shared" si="18"/>
        <v>40</v>
      </c>
      <c r="O68" s="186" t="str">
        <f t="shared" si="19"/>
        <v>10</v>
      </c>
      <c r="P68" s="186" t="str">
        <f t="shared" si="20"/>
        <v>5</v>
      </c>
      <c r="Q68" s="186" t="str">
        <f t="shared" si="21"/>
        <v>25</v>
      </c>
      <c r="R68" s="186" t="s">
        <v>527</v>
      </c>
      <c r="S68" s="301" t="s">
        <v>528</v>
      </c>
      <c r="T68" s="332" t="s">
        <v>865</v>
      </c>
      <c r="U68" s="301" t="s">
        <v>866</v>
      </c>
      <c r="V68" s="186" t="s">
        <v>527</v>
      </c>
      <c r="W68" s="301" t="s">
        <v>813</v>
      </c>
      <c r="X68" s="186" t="s">
        <v>527</v>
      </c>
      <c r="Y68" s="186" t="s">
        <v>867</v>
      </c>
      <c r="Z68" s="186" t="s">
        <v>868</v>
      </c>
      <c r="AA68" s="186">
        <v>7.0</v>
      </c>
      <c r="AB68" s="186">
        <v>3.017587101122E12</v>
      </c>
      <c r="AC68" s="302"/>
      <c r="AD68" s="181"/>
      <c r="AE68" s="181"/>
      <c r="AF68" s="181"/>
      <c r="AG68" s="181"/>
      <c r="AH68" s="186" t="b">
        <v>1</v>
      </c>
      <c r="AI68" s="186" t="b">
        <v>1</v>
      </c>
      <c r="AJ68" s="186" t="b">
        <v>1</v>
      </c>
      <c r="AK68" s="186" t="b">
        <v>1</v>
      </c>
      <c r="AL68" s="181" t="b">
        <v>0</v>
      </c>
      <c r="AM68" s="181" t="b">
        <v>0</v>
      </c>
      <c r="AN68" s="181" t="b">
        <v>0</v>
      </c>
      <c r="AO68" s="186" t="s">
        <v>546</v>
      </c>
      <c r="AP68" s="186" t="s">
        <v>576</v>
      </c>
      <c r="AQ68" s="186" t="s">
        <v>206</v>
      </c>
    </row>
    <row r="69" outlineLevel="1">
      <c r="A69" s="287" t="s">
        <v>869</v>
      </c>
      <c r="B69" s="288" t="s">
        <v>870</v>
      </c>
      <c r="C69" s="287" t="s">
        <v>870</v>
      </c>
      <c r="D69" s="287" t="s">
        <v>525</v>
      </c>
      <c r="E69" s="287" t="s">
        <v>88</v>
      </c>
      <c r="F69" s="287" t="s">
        <v>871</v>
      </c>
      <c r="G69" s="287" t="s">
        <v>872</v>
      </c>
      <c r="H69" s="289">
        <v>44323.0</v>
      </c>
      <c r="I69" s="278">
        <f>IFERROR(__xludf.DUMMYFUNCTION("countif(FILTER(FILTER(Shiftplan!D$7:BJ$67,Shiftplan!$A$7:$A$67&lt;=Shiftplan!$A$67),Shiftplan!$D$6:$BJ$6=A69),""&gt;0"")"),0.0)</f>
        <v>0</v>
      </c>
      <c r="J69" s="287" t="str">
        <f>VLOOKUP(A69,'Shiftplan SoS'!A:F,6,false)</f>
        <v>#N/A</v>
      </c>
      <c r="K69" s="287" t="str">
        <f t="shared" si="11"/>
        <v>#N/A</v>
      </c>
      <c r="L69" s="287" t="s">
        <v>592</v>
      </c>
      <c r="M69" s="291" t="str">
        <f t="shared" si="17"/>
        <v>#N/A</v>
      </c>
      <c r="N69" s="292" t="str">
        <f t="shared" si="18"/>
        <v>#N/A</v>
      </c>
      <c r="O69" s="287" t="str">
        <f t="shared" si="19"/>
        <v>#N/A</v>
      </c>
      <c r="P69" s="287" t="str">
        <f t="shared" si="20"/>
        <v>#N/A</v>
      </c>
      <c r="Q69" s="287" t="str">
        <f t="shared" si="21"/>
        <v>#N/A</v>
      </c>
      <c r="R69" s="287" t="s">
        <v>527</v>
      </c>
      <c r="S69" s="293" t="s">
        <v>593</v>
      </c>
      <c r="T69" s="293" t="s">
        <v>873</v>
      </c>
      <c r="U69" s="293"/>
      <c r="V69" s="287" t="s">
        <v>527</v>
      </c>
      <c r="W69" s="293" t="s">
        <v>874</v>
      </c>
      <c r="X69" s="293" t="s">
        <v>527</v>
      </c>
      <c r="Y69" s="287" t="s">
        <v>875</v>
      </c>
      <c r="Z69" s="287" t="s">
        <v>876</v>
      </c>
      <c r="AA69" s="287">
        <v>744.0</v>
      </c>
      <c r="AB69" s="287">
        <v>3.038187374515E12</v>
      </c>
      <c r="AC69" s="294"/>
      <c r="AD69" s="295"/>
      <c r="AE69" s="295"/>
      <c r="AF69" s="295"/>
      <c r="AG69" s="295"/>
      <c r="AH69" s="287" t="b">
        <v>1</v>
      </c>
      <c r="AI69" s="287" t="b">
        <v>1</v>
      </c>
      <c r="AJ69" s="287" t="b">
        <v>1</v>
      </c>
      <c r="AK69" s="287" t="b">
        <v>1</v>
      </c>
      <c r="AL69" s="295" t="b">
        <v>0</v>
      </c>
      <c r="AM69" s="295" t="b">
        <v>0</v>
      </c>
      <c r="AN69" s="295" t="b">
        <v>0</v>
      </c>
      <c r="AO69" s="287" t="s">
        <v>541</v>
      </c>
      <c r="AP69" s="276" t="s">
        <v>542</v>
      </c>
      <c r="AQ69" s="276" t="s">
        <v>608</v>
      </c>
    </row>
    <row r="70" outlineLevel="1">
      <c r="A70" s="111" t="s">
        <v>260</v>
      </c>
      <c r="B70" s="266" t="s">
        <v>381</v>
      </c>
      <c r="C70" s="111" t="s">
        <v>381</v>
      </c>
      <c r="D70" s="111" t="s">
        <v>525</v>
      </c>
      <c r="E70" s="111" t="s">
        <v>88</v>
      </c>
      <c r="F70" s="111" t="s">
        <v>192</v>
      </c>
      <c r="G70" s="111" t="s">
        <v>199</v>
      </c>
      <c r="H70" s="267">
        <v>44326.0</v>
      </c>
      <c r="I70" s="268">
        <f>IFERROR(__xludf.DUMMYFUNCTION("countif(FILTER(FILTER(Shiftplan!D$7:BJ$67,Shiftplan!$A$7:$A$67&lt;=Shiftplan!$A$67),Shiftplan!$D$6:$BJ$6=A70),""&gt;0"")"),0.0)</f>
        <v>0</v>
      </c>
      <c r="J70" s="111">
        <f>VLOOKUP(A70,'Shiftplan SoS'!A:F,6,false)</f>
        <v>80</v>
      </c>
      <c r="K70" s="268">
        <f t="shared" si="11"/>
        <v>80</v>
      </c>
      <c r="L70" s="111" t="s">
        <v>526</v>
      </c>
      <c r="M70" s="269" t="str">
        <f t="shared" si="17"/>
        <v>7</v>
      </c>
      <c r="N70" s="270" t="str">
        <f t="shared" si="18"/>
        <v>60</v>
      </c>
      <c r="O70" s="111" t="str">
        <f t="shared" si="19"/>
        <v>0</v>
      </c>
      <c r="P70" s="111" t="str">
        <f t="shared" si="20"/>
        <v>0</v>
      </c>
      <c r="Q70" s="111" t="str">
        <f t="shared" si="21"/>
        <v>15</v>
      </c>
      <c r="R70" s="111" t="s">
        <v>527</v>
      </c>
      <c r="S70" s="271" t="s">
        <v>528</v>
      </c>
      <c r="T70" s="333" t="s">
        <v>877</v>
      </c>
      <c r="U70" s="333" t="s">
        <v>878</v>
      </c>
      <c r="V70" s="111" t="s">
        <v>527</v>
      </c>
      <c r="W70" s="271" t="s">
        <v>874</v>
      </c>
      <c r="X70" s="111" t="s">
        <v>527</v>
      </c>
      <c r="Y70" s="334" t="s">
        <v>879</v>
      </c>
      <c r="Z70" s="111" t="s">
        <v>880</v>
      </c>
      <c r="AA70" s="111">
        <v>10.0</v>
      </c>
      <c r="AB70" s="111">
        <v>3.013387944534E12</v>
      </c>
      <c r="AC70" s="272"/>
      <c r="AD70" s="273"/>
      <c r="AE70" s="273"/>
      <c r="AF70" s="273"/>
      <c r="AG70" s="273"/>
      <c r="AH70" s="111" t="b">
        <v>1</v>
      </c>
      <c r="AI70" s="111" t="b">
        <v>1</v>
      </c>
      <c r="AJ70" s="111" t="b">
        <v>1</v>
      </c>
      <c r="AK70" s="111" t="b">
        <v>1</v>
      </c>
      <c r="AL70" s="111" t="b">
        <v>1</v>
      </c>
      <c r="AM70" s="111" t="b">
        <v>1</v>
      </c>
      <c r="AN70" s="111" t="b">
        <v>1</v>
      </c>
      <c r="AO70" s="111" t="s">
        <v>546</v>
      </c>
      <c r="AP70" s="111" t="s">
        <v>542</v>
      </c>
      <c r="AQ70" s="111" t="s">
        <v>200</v>
      </c>
    </row>
    <row r="71" outlineLevel="1">
      <c r="A71" s="335" t="s">
        <v>261</v>
      </c>
      <c r="B71" s="336" t="s">
        <v>404</v>
      </c>
      <c r="C71" s="335" t="s">
        <v>404</v>
      </c>
      <c r="D71" s="276" t="s">
        <v>525</v>
      </c>
      <c r="E71" s="276" t="s">
        <v>91</v>
      </c>
      <c r="F71" s="276" t="s">
        <v>192</v>
      </c>
      <c r="G71" s="274" t="s">
        <v>199</v>
      </c>
      <c r="H71" s="277">
        <v>44326.0</v>
      </c>
      <c r="I71" s="278">
        <f>IFERROR(__xludf.DUMMYFUNCTION("countif(FILTER(FILTER(Shiftplan!D$7:BJ$67,Shiftplan!$A$7:$A$67&lt;=Shiftplan!$A$67),Shiftplan!$D$6:$BJ$6=A71),""&gt;0"")"),0.0)</f>
        <v>0</v>
      </c>
      <c r="J71" s="276">
        <f>VLOOKUP(A71,'Shiftplan SoS'!A:F,6,false)</f>
        <v>82</v>
      </c>
      <c r="K71" s="278">
        <f t="shared" si="11"/>
        <v>82</v>
      </c>
      <c r="L71" s="276" t="s">
        <v>526</v>
      </c>
      <c r="M71" s="279" t="str">
        <f t="shared" si="17"/>
        <v>7</v>
      </c>
      <c r="N71" s="280" t="str">
        <f t="shared" si="18"/>
        <v>60</v>
      </c>
      <c r="O71" s="276" t="str">
        <f t="shared" si="19"/>
        <v>0</v>
      </c>
      <c r="P71" s="276" t="str">
        <f t="shared" si="20"/>
        <v>0</v>
      </c>
      <c r="Q71" s="276" t="str">
        <f t="shared" si="21"/>
        <v>15</v>
      </c>
      <c r="R71" s="276" t="s">
        <v>527</v>
      </c>
      <c r="S71" s="281" t="s">
        <v>528</v>
      </c>
      <c r="T71" s="337" t="s">
        <v>881</v>
      </c>
      <c r="U71" s="337" t="s">
        <v>882</v>
      </c>
      <c r="V71" s="276" t="s">
        <v>527</v>
      </c>
      <c r="W71" s="281" t="s">
        <v>874</v>
      </c>
      <c r="X71" s="276" t="s">
        <v>527</v>
      </c>
      <c r="Y71" s="338" t="s">
        <v>883</v>
      </c>
      <c r="Z71" s="276" t="s">
        <v>884</v>
      </c>
      <c r="AA71" s="276">
        <v>8.0</v>
      </c>
      <c r="AB71" s="276">
        <v>3.019287957936E12</v>
      </c>
      <c r="AC71" s="284"/>
      <c r="AD71" s="274"/>
      <c r="AE71" s="274"/>
      <c r="AF71" s="274"/>
      <c r="AG71" s="274"/>
      <c r="AH71" s="276" t="b">
        <v>1</v>
      </c>
      <c r="AI71" s="276" t="b">
        <v>1</v>
      </c>
      <c r="AJ71" s="276" t="b">
        <v>1</v>
      </c>
      <c r="AK71" s="276" t="b">
        <v>1</v>
      </c>
      <c r="AL71" s="276" t="b">
        <v>1</v>
      </c>
      <c r="AM71" s="276" t="b">
        <v>1</v>
      </c>
      <c r="AN71" s="276" t="b">
        <v>1</v>
      </c>
      <c r="AO71" s="276" t="s">
        <v>546</v>
      </c>
      <c r="AP71" s="276" t="s">
        <v>542</v>
      </c>
      <c r="AQ71" s="276" t="s">
        <v>200</v>
      </c>
    </row>
    <row r="72" outlineLevel="1">
      <c r="A72" s="111" t="s">
        <v>264</v>
      </c>
      <c r="B72" s="266" t="s">
        <v>377</v>
      </c>
      <c r="C72" s="111" t="s">
        <v>885</v>
      </c>
      <c r="D72" s="111" t="s">
        <v>525</v>
      </c>
      <c r="E72" s="111" t="s">
        <v>91</v>
      </c>
      <c r="F72" s="111" t="s">
        <v>98</v>
      </c>
      <c r="G72" s="111" t="s">
        <v>872</v>
      </c>
      <c r="H72" s="267">
        <v>44327.0</v>
      </c>
      <c r="I72" s="268">
        <f>IFERROR(__xludf.DUMMYFUNCTION("countif(FILTER(FILTER(Shiftplan!D$7:BJ$67,Shiftplan!$A$7:$A$67&lt;=Shiftplan!$A$67),Shiftplan!$D$6:$BJ$6=A72),""&gt;0"")"),0.0)</f>
        <v>0</v>
      </c>
      <c r="J72" s="111">
        <f>VLOOKUP(A72,'Shiftplan SoS'!A:F,6,false)</f>
        <v>81</v>
      </c>
      <c r="K72" s="268">
        <f t="shared" si="11"/>
        <v>81</v>
      </c>
      <c r="L72" s="111" t="s">
        <v>526</v>
      </c>
      <c r="M72" s="269" t="str">
        <f t="shared" si="17"/>
        <v>7</v>
      </c>
      <c r="N72" s="270" t="str">
        <f t="shared" si="18"/>
        <v>60</v>
      </c>
      <c r="O72" s="111" t="str">
        <f t="shared" si="19"/>
        <v>0</v>
      </c>
      <c r="P72" s="111" t="str">
        <f t="shared" si="20"/>
        <v>0</v>
      </c>
      <c r="Q72" s="111" t="str">
        <f t="shared" si="21"/>
        <v>15</v>
      </c>
      <c r="R72" s="111" t="s">
        <v>527</v>
      </c>
      <c r="S72" s="271" t="s">
        <v>528</v>
      </c>
      <c r="T72" s="271" t="s">
        <v>886</v>
      </c>
      <c r="U72" s="271" t="s">
        <v>887</v>
      </c>
      <c r="V72" s="111" t="s">
        <v>527</v>
      </c>
      <c r="W72" s="271" t="s">
        <v>874</v>
      </c>
      <c r="X72" s="111" t="s">
        <v>527</v>
      </c>
      <c r="Y72" s="334" t="s">
        <v>888</v>
      </c>
      <c r="Z72" s="111" t="s">
        <v>889</v>
      </c>
      <c r="AA72" s="111">
        <v>645.0</v>
      </c>
      <c r="AB72" s="111">
        <v>3.013687976931E12</v>
      </c>
      <c r="AC72" s="272"/>
      <c r="AD72" s="273"/>
      <c r="AE72" s="273"/>
      <c r="AF72" s="273"/>
      <c r="AG72" s="273"/>
      <c r="AH72" s="111" t="b">
        <v>1</v>
      </c>
      <c r="AI72" s="111" t="b">
        <v>1</v>
      </c>
      <c r="AJ72" s="111" t="b">
        <v>1</v>
      </c>
      <c r="AK72" s="111" t="b">
        <v>1</v>
      </c>
      <c r="AL72" s="111" t="b">
        <v>1</v>
      </c>
      <c r="AM72" s="111" t="b">
        <v>1</v>
      </c>
      <c r="AN72" s="111" t="b">
        <v>1</v>
      </c>
      <c r="AO72" s="111" t="s">
        <v>560</v>
      </c>
      <c r="AP72" s="111" t="s">
        <v>542</v>
      </c>
      <c r="AQ72" s="111" t="s">
        <v>665</v>
      </c>
    </row>
    <row r="73" outlineLevel="1">
      <c r="A73" s="276" t="s">
        <v>262</v>
      </c>
      <c r="B73" s="336" t="s">
        <v>466</v>
      </c>
      <c r="C73" s="335" t="s">
        <v>890</v>
      </c>
      <c r="D73" s="276" t="s">
        <v>525</v>
      </c>
      <c r="E73" s="276" t="s">
        <v>93</v>
      </c>
      <c r="F73" s="276" t="s">
        <v>98</v>
      </c>
      <c r="G73" s="274" t="s">
        <v>199</v>
      </c>
      <c r="H73" s="277">
        <v>44327.0</v>
      </c>
      <c r="I73" s="278">
        <f>IFERROR(__xludf.DUMMYFUNCTION("countif(FILTER(FILTER(Shiftplan!D$7:BJ$67,Shiftplan!$A$7:$A$67&lt;=Shiftplan!$A$67),Shiftplan!$D$6:$BJ$6=A73),""&gt;0"")"),0.0)</f>
        <v>0</v>
      </c>
      <c r="J73" s="276">
        <f>VLOOKUP(A73,'Shiftplan SoS'!A:F,6,false)</f>
        <v>72</v>
      </c>
      <c r="K73" s="278">
        <f t="shared" si="11"/>
        <v>72</v>
      </c>
      <c r="L73" s="276" t="s">
        <v>526</v>
      </c>
      <c r="M73" s="279" t="str">
        <f t="shared" si="17"/>
        <v>7</v>
      </c>
      <c r="N73" s="280" t="str">
        <f t="shared" si="18"/>
        <v>60</v>
      </c>
      <c r="O73" s="276" t="str">
        <f t="shared" si="19"/>
        <v>0</v>
      </c>
      <c r="P73" s="276" t="str">
        <f t="shared" si="20"/>
        <v>0</v>
      </c>
      <c r="Q73" s="276" t="str">
        <f t="shared" si="21"/>
        <v>15</v>
      </c>
      <c r="R73" s="276" t="s">
        <v>527</v>
      </c>
      <c r="S73" s="281" t="s">
        <v>528</v>
      </c>
      <c r="T73" s="281" t="s">
        <v>891</v>
      </c>
      <c r="U73" s="281" t="s">
        <v>892</v>
      </c>
      <c r="V73" s="276" t="s">
        <v>527</v>
      </c>
      <c r="W73" s="281" t="s">
        <v>874</v>
      </c>
      <c r="X73" s="276" t="s">
        <v>527</v>
      </c>
      <c r="Y73" s="338" t="s">
        <v>893</v>
      </c>
      <c r="Z73" s="276" t="s">
        <v>892</v>
      </c>
      <c r="AA73" s="276">
        <v>1.0</v>
      </c>
      <c r="AB73" s="276">
        <v>3.018688101064E12</v>
      </c>
      <c r="AC73" s="284"/>
      <c r="AD73" s="274"/>
      <c r="AE73" s="274"/>
      <c r="AF73" s="274"/>
      <c r="AG73" s="274"/>
      <c r="AH73" s="276" t="b">
        <v>1</v>
      </c>
      <c r="AI73" s="276" t="b">
        <v>1</v>
      </c>
      <c r="AJ73" s="276" t="b">
        <v>1</v>
      </c>
      <c r="AK73" s="276" t="b">
        <v>1</v>
      </c>
      <c r="AL73" s="276" t="b">
        <v>1</v>
      </c>
      <c r="AM73" s="276" t="b">
        <v>1</v>
      </c>
      <c r="AN73" s="276" t="b">
        <v>1</v>
      </c>
      <c r="AO73" s="276" t="s">
        <v>546</v>
      </c>
      <c r="AP73" s="287" t="s">
        <v>542</v>
      </c>
      <c r="AQ73" s="276" t="s">
        <v>200</v>
      </c>
    </row>
    <row r="74" outlineLevel="1">
      <c r="A74" s="111" t="s">
        <v>263</v>
      </c>
      <c r="B74" s="266" t="s">
        <v>465</v>
      </c>
      <c r="C74" s="111" t="s">
        <v>894</v>
      </c>
      <c r="D74" s="111" t="s">
        <v>525</v>
      </c>
      <c r="E74" s="111" t="s">
        <v>90</v>
      </c>
      <c r="F74" s="316" t="s">
        <v>192</v>
      </c>
      <c r="G74" s="111" t="s">
        <v>105</v>
      </c>
      <c r="H74" s="267">
        <v>44327.0</v>
      </c>
      <c r="I74" s="268">
        <f>IFERROR(__xludf.DUMMYFUNCTION("countif(FILTER(FILTER(Shiftplan!D$7:BJ$67,Shiftplan!$A$7:$A$67&lt;=Shiftplan!$A$67),Shiftplan!$D$6:$BJ$6=A74),""&gt;0"")"),0.0)</f>
        <v>0</v>
      </c>
      <c r="J74" s="111">
        <f>VLOOKUP(A74,'Shiftplan SoS'!A:F,6,false)</f>
        <v>81</v>
      </c>
      <c r="K74" s="268">
        <f t="shared" si="11"/>
        <v>81</v>
      </c>
      <c r="L74" s="111" t="s">
        <v>526</v>
      </c>
      <c r="M74" s="269" t="str">
        <f t="shared" si="17"/>
        <v>7</v>
      </c>
      <c r="N74" s="270" t="str">
        <f t="shared" si="18"/>
        <v>60</v>
      </c>
      <c r="O74" s="111" t="str">
        <f t="shared" si="19"/>
        <v>0</v>
      </c>
      <c r="P74" s="111" t="str">
        <f t="shared" si="20"/>
        <v>0</v>
      </c>
      <c r="Q74" s="111" t="str">
        <f t="shared" si="21"/>
        <v>15</v>
      </c>
      <c r="R74" s="111" t="s">
        <v>527</v>
      </c>
      <c r="S74" s="271" t="s">
        <v>528</v>
      </c>
      <c r="T74" s="331" t="s">
        <v>895</v>
      </c>
      <c r="U74" s="271" t="s">
        <v>896</v>
      </c>
      <c r="V74" s="111" t="s">
        <v>527</v>
      </c>
      <c r="W74" s="271" t="s">
        <v>874</v>
      </c>
      <c r="X74" s="111" t="s">
        <v>527</v>
      </c>
      <c r="Y74" s="334" t="s">
        <v>897</v>
      </c>
      <c r="Z74" s="111" t="s">
        <v>898</v>
      </c>
      <c r="AA74" s="111">
        <v>645.0</v>
      </c>
      <c r="AB74" s="111">
        <v>3.016988163443E12</v>
      </c>
      <c r="AC74" s="272"/>
      <c r="AD74" s="273"/>
      <c r="AE74" s="273"/>
      <c r="AF74" s="273"/>
      <c r="AG74" s="273"/>
      <c r="AH74" s="111" t="b">
        <v>1</v>
      </c>
      <c r="AI74" s="111" t="b">
        <v>1</v>
      </c>
      <c r="AJ74" s="111" t="b">
        <v>1</v>
      </c>
      <c r="AK74" s="111" t="b">
        <v>1</v>
      </c>
      <c r="AL74" s="111" t="b">
        <v>1</v>
      </c>
      <c r="AM74" s="111" t="b">
        <v>1</v>
      </c>
      <c r="AN74" s="111" t="b">
        <v>1</v>
      </c>
      <c r="AO74" s="111" t="s">
        <v>546</v>
      </c>
      <c r="AP74" s="111" t="s">
        <v>576</v>
      </c>
      <c r="AQ74" s="111" t="s">
        <v>206</v>
      </c>
    </row>
    <row r="75" outlineLevel="1">
      <c r="A75" s="276" t="s">
        <v>267</v>
      </c>
      <c r="B75" s="335" t="s">
        <v>375</v>
      </c>
      <c r="C75" s="335" t="s">
        <v>375</v>
      </c>
      <c r="D75" s="276" t="s">
        <v>525</v>
      </c>
      <c r="E75" s="276" t="s">
        <v>88</v>
      </c>
      <c r="F75" s="276" t="s">
        <v>98</v>
      </c>
      <c r="G75" s="276" t="s">
        <v>103</v>
      </c>
      <c r="H75" s="277">
        <v>44328.0</v>
      </c>
      <c r="I75" s="278">
        <f>IFERROR(__xludf.DUMMYFUNCTION("countif(FILTER(FILTER(Shiftplan!D$7:BJ$67,Shiftplan!$A$7:$A$67&lt;=Shiftplan!$A$67),Shiftplan!$D$6:$BJ$6=A75),""&gt;0"")"),0.0)</f>
        <v>0</v>
      </c>
      <c r="J75" s="276">
        <f>VLOOKUP(A75,'Shiftplan SoS'!A:F,6,false)</f>
        <v>68</v>
      </c>
      <c r="K75" s="278">
        <f t="shared" si="11"/>
        <v>68</v>
      </c>
      <c r="L75" s="276" t="s">
        <v>526</v>
      </c>
      <c r="M75" s="279" t="str">
        <f t="shared" si="17"/>
        <v>7</v>
      </c>
      <c r="N75" s="280" t="str">
        <f t="shared" si="18"/>
        <v>60</v>
      </c>
      <c r="O75" s="276" t="str">
        <f t="shared" si="19"/>
        <v>0</v>
      </c>
      <c r="P75" s="276" t="str">
        <f t="shared" si="20"/>
        <v>0</v>
      </c>
      <c r="Q75" s="276" t="str">
        <f t="shared" si="21"/>
        <v>15</v>
      </c>
      <c r="R75" s="276" t="s">
        <v>527</v>
      </c>
      <c r="S75" s="281" t="s">
        <v>528</v>
      </c>
      <c r="T75" s="330" t="s">
        <v>899</v>
      </c>
      <c r="U75" s="281" t="s">
        <v>900</v>
      </c>
      <c r="V75" s="276" t="s">
        <v>527</v>
      </c>
      <c r="W75" s="281" t="s">
        <v>527</v>
      </c>
      <c r="X75" s="276" t="s">
        <v>527</v>
      </c>
      <c r="Y75" s="338" t="s">
        <v>901</v>
      </c>
      <c r="Z75" s="276" t="s">
        <v>900</v>
      </c>
      <c r="AA75" s="276">
        <v>5.0</v>
      </c>
      <c r="AB75" s="276">
        <v>3.017588283578E12</v>
      </c>
      <c r="AC75" s="284"/>
      <c r="AD75" s="274"/>
      <c r="AE75" s="274"/>
      <c r="AF75" s="274"/>
      <c r="AG75" s="274"/>
      <c r="AH75" s="276" t="b">
        <v>1</v>
      </c>
      <c r="AI75" s="276" t="b">
        <v>1</v>
      </c>
      <c r="AJ75" s="276" t="b">
        <v>1</v>
      </c>
      <c r="AK75" s="276" t="b">
        <v>1</v>
      </c>
      <c r="AL75" s="276" t="b">
        <v>1</v>
      </c>
      <c r="AM75" s="276" t="b">
        <v>1</v>
      </c>
      <c r="AN75" s="276" t="b">
        <v>1</v>
      </c>
      <c r="AO75" s="276" t="s">
        <v>546</v>
      </c>
      <c r="AP75" s="276" t="s">
        <v>542</v>
      </c>
      <c r="AQ75" s="276" t="s">
        <v>200</v>
      </c>
    </row>
    <row r="76" outlineLevel="1">
      <c r="A76" s="111" t="s">
        <v>270</v>
      </c>
      <c r="B76" s="266" t="s">
        <v>397</v>
      </c>
      <c r="C76" s="266" t="s">
        <v>397</v>
      </c>
      <c r="D76" s="111" t="s">
        <v>525</v>
      </c>
      <c r="E76" s="111" t="s">
        <v>88</v>
      </c>
      <c r="F76" s="111" t="s">
        <v>98</v>
      </c>
      <c r="G76" s="111" t="s">
        <v>103</v>
      </c>
      <c r="H76" s="267">
        <v>44328.0</v>
      </c>
      <c r="I76" s="268">
        <f>IFERROR(__xludf.DUMMYFUNCTION("countif(FILTER(FILTER(Shiftplan!D$7:BJ$67,Shiftplan!$A$7:$A$67&lt;=Shiftplan!$A$67),Shiftplan!$D$6:$BJ$6=A76),""&gt;0"")"),0.0)</f>
        <v>0</v>
      </c>
      <c r="J76" s="111">
        <f>VLOOKUP(A76,'Shiftplan SoS'!A:F,6,false)</f>
        <v>72</v>
      </c>
      <c r="K76" s="268">
        <f t="shared" si="11"/>
        <v>72</v>
      </c>
      <c r="L76" s="111" t="s">
        <v>526</v>
      </c>
      <c r="M76" s="269" t="str">
        <f t="shared" si="17"/>
        <v>7</v>
      </c>
      <c r="N76" s="270" t="str">
        <f t="shared" si="18"/>
        <v>60</v>
      </c>
      <c r="O76" s="111" t="str">
        <f t="shared" si="19"/>
        <v>0</v>
      </c>
      <c r="P76" s="111" t="str">
        <f t="shared" si="20"/>
        <v>0</v>
      </c>
      <c r="Q76" s="111" t="str">
        <f t="shared" si="21"/>
        <v>15</v>
      </c>
      <c r="R76" s="111" t="s">
        <v>527</v>
      </c>
      <c r="S76" s="271" t="s">
        <v>528</v>
      </c>
      <c r="T76" s="331" t="s">
        <v>902</v>
      </c>
      <c r="U76" s="271" t="s">
        <v>903</v>
      </c>
      <c r="V76" s="111" t="s">
        <v>527</v>
      </c>
      <c r="W76" s="271" t="s">
        <v>527</v>
      </c>
      <c r="X76" s="111" t="s">
        <v>527</v>
      </c>
      <c r="Y76" s="111" t="s">
        <v>904</v>
      </c>
      <c r="Z76" s="319" t="s">
        <v>905</v>
      </c>
      <c r="AA76" s="111">
        <v>22.0</v>
      </c>
      <c r="AB76" s="111">
        <v>3.016188267933E12</v>
      </c>
      <c r="AC76" s="272"/>
      <c r="AD76" s="273"/>
      <c r="AE76" s="273"/>
      <c r="AF76" s="273"/>
      <c r="AG76" s="273"/>
      <c r="AH76" s="111" t="b">
        <v>1</v>
      </c>
      <c r="AI76" s="111" t="b">
        <v>1</v>
      </c>
      <c r="AJ76" s="111" t="b">
        <v>1</v>
      </c>
      <c r="AK76" s="111" t="b">
        <v>1</v>
      </c>
      <c r="AL76" s="111" t="b">
        <v>1</v>
      </c>
      <c r="AM76" s="111" t="b">
        <v>1</v>
      </c>
      <c r="AN76" s="111" t="b">
        <v>1</v>
      </c>
      <c r="AO76" s="111" t="s">
        <v>546</v>
      </c>
      <c r="AP76" s="111" t="s">
        <v>542</v>
      </c>
      <c r="AQ76" s="111" t="s">
        <v>200</v>
      </c>
    </row>
    <row r="77" outlineLevel="1">
      <c r="A77" s="287" t="s">
        <v>353</v>
      </c>
      <c r="B77" s="320" t="s">
        <v>906</v>
      </c>
      <c r="C77" s="287" t="s">
        <v>907</v>
      </c>
      <c r="D77" s="287" t="s">
        <v>525</v>
      </c>
      <c r="E77" s="287" t="s">
        <v>692</v>
      </c>
      <c r="F77" s="339" t="s">
        <v>192</v>
      </c>
      <c r="G77" s="287" t="s">
        <v>105</v>
      </c>
      <c r="H77" s="289">
        <v>44328.0</v>
      </c>
      <c r="I77" s="290">
        <f>IFERROR(__xludf.DUMMYFUNCTION("countif(FILTER(FILTER(Shiftplan!D$7:BJ$67,Shiftplan!$A$7:$A$67&lt;=Shiftplan!$A$67),Shiftplan!$D$6:$BJ$6=A77),""&gt;0"")"),0.0)</f>
        <v>0</v>
      </c>
      <c r="J77" s="287">
        <f>VLOOKUP(A77,'Shiftplan SoS'!A:F,6,false)</f>
        <v>35</v>
      </c>
      <c r="K77" s="290">
        <f t="shared" si="11"/>
        <v>35</v>
      </c>
      <c r="L77" s="287" t="s">
        <v>592</v>
      </c>
      <c r="M77" s="291" t="str">
        <f t="shared" si="17"/>
        <v>5</v>
      </c>
      <c r="N77" s="292" t="str">
        <f t="shared" si="18"/>
        <v>40</v>
      </c>
      <c r="O77" s="287" t="str">
        <f t="shared" si="19"/>
        <v>10</v>
      </c>
      <c r="P77" s="287" t="str">
        <f t="shared" si="20"/>
        <v>5</v>
      </c>
      <c r="Q77" s="287" t="str">
        <f t="shared" si="21"/>
        <v>25</v>
      </c>
      <c r="R77" s="287" t="s">
        <v>527</v>
      </c>
      <c r="S77" s="293" t="s">
        <v>528</v>
      </c>
      <c r="T77" s="321" t="s">
        <v>908</v>
      </c>
      <c r="U77" s="293" t="s">
        <v>909</v>
      </c>
      <c r="V77" s="287" t="s">
        <v>527</v>
      </c>
      <c r="W77" s="293" t="s">
        <v>910</v>
      </c>
      <c r="X77" s="287" t="s">
        <v>527</v>
      </c>
      <c r="Y77" s="340" t="s">
        <v>911</v>
      </c>
      <c r="Z77" s="320" t="s">
        <v>912</v>
      </c>
      <c r="AA77" s="287">
        <v>11.0</v>
      </c>
      <c r="AB77" s="287">
        <v>3.011388303423E12</v>
      </c>
      <c r="AC77" s="294"/>
      <c r="AD77" s="295"/>
      <c r="AE77" s="295"/>
      <c r="AF77" s="295"/>
      <c r="AG77" s="295"/>
      <c r="AH77" s="287" t="b">
        <v>1</v>
      </c>
      <c r="AI77" s="287" t="b">
        <v>1</v>
      </c>
      <c r="AJ77" s="287" t="b">
        <v>1</v>
      </c>
      <c r="AK77" s="287" t="b">
        <v>1</v>
      </c>
      <c r="AL77" s="287" t="b">
        <v>1</v>
      </c>
      <c r="AM77" s="287" t="b">
        <v>1</v>
      </c>
      <c r="AN77" s="287" t="b">
        <v>1</v>
      </c>
      <c r="AO77" s="287" t="s">
        <v>546</v>
      </c>
      <c r="AP77" s="287" t="s">
        <v>554</v>
      </c>
      <c r="AQ77" s="287" t="s">
        <v>206</v>
      </c>
    </row>
    <row r="78" outlineLevel="1">
      <c r="A78" s="186" t="s">
        <v>361</v>
      </c>
      <c r="B78" s="305" t="s">
        <v>458</v>
      </c>
      <c r="C78" s="186" t="s">
        <v>458</v>
      </c>
      <c r="D78" s="186" t="s">
        <v>525</v>
      </c>
      <c r="E78" s="186" t="s">
        <v>88</v>
      </c>
      <c r="F78" s="186" t="s">
        <v>192</v>
      </c>
      <c r="G78" s="186" t="s">
        <v>189</v>
      </c>
      <c r="H78" s="298">
        <v>44328.0</v>
      </c>
      <c r="I78" s="306">
        <f>IFERROR(__xludf.DUMMYFUNCTION("countif(FILTER(FILTER(Shiftplan!D$7:BJ$67,Shiftplan!$A$7:$A$67&lt;=Shiftplan!$A$67),Shiftplan!$D$6:$BJ$6=A78),""&gt;0"")"),0.0)</f>
        <v>0</v>
      </c>
      <c r="J78" s="186">
        <f>VLOOKUP(A78,'Shiftplan SoS'!A:F,6,false)</f>
        <v>62</v>
      </c>
      <c r="K78" s="306">
        <f t="shared" si="11"/>
        <v>62</v>
      </c>
      <c r="L78" s="186" t="s">
        <v>592</v>
      </c>
      <c r="M78" s="299" t="str">
        <f t="shared" si="17"/>
        <v>7</v>
      </c>
      <c r="N78" s="300" t="str">
        <f t="shared" si="18"/>
        <v>60</v>
      </c>
      <c r="O78" s="186" t="str">
        <f t="shared" si="19"/>
        <v>0</v>
      </c>
      <c r="P78" s="186" t="str">
        <f t="shared" si="20"/>
        <v>0</v>
      </c>
      <c r="Q78" s="186" t="str">
        <f t="shared" si="21"/>
        <v>15</v>
      </c>
      <c r="R78" s="186" t="s">
        <v>527</v>
      </c>
      <c r="S78" s="301" t="s">
        <v>528</v>
      </c>
      <c r="T78" s="301" t="s">
        <v>913</v>
      </c>
      <c r="U78" s="301" t="s">
        <v>914</v>
      </c>
      <c r="V78" s="186" t="s">
        <v>527</v>
      </c>
      <c r="W78" s="301" t="s">
        <v>874</v>
      </c>
      <c r="X78" s="186" t="s">
        <v>527</v>
      </c>
      <c r="Y78" s="341" t="s">
        <v>915</v>
      </c>
      <c r="Z78" s="186" t="s">
        <v>916</v>
      </c>
      <c r="AA78" s="186">
        <v>34.0</v>
      </c>
      <c r="AB78" s="186">
        <v>3.014788270579E12</v>
      </c>
      <c r="AC78" s="302"/>
      <c r="AD78" s="181"/>
      <c r="AE78" s="181"/>
      <c r="AF78" s="181"/>
      <c r="AG78" s="181"/>
      <c r="AH78" s="186" t="b">
        <v>1</v>
      </c>
      <c r="AI78" s="186" t="b">
        <v>1</v>
      </c>
      <c r="AJ78" s="186" t="b">
        <v>1</v>
      </c>
      <c r="AK78" s="186" t="b">
        <v>1</v>
      </c>
      <c r="AL78" s="186" t="b">
        <v>1</v>
      </c>
      <c r="AM78" s="186" t="b">
        <v>1</v>
      </c>
      <c r="AN78" s="186" t="b">
        <v>1</v>
      </c>
      <c r="AO78" s="342" t="s">
        <v>546</v>
      </c>
      <c r="AP78" s="186" t="s">
        <v>542</v>
      </c>
      <c r="AQ78" s="186" t="s">
        <v>190</v>
      </c>
    </row>
    <row r="79" outlineLevel="1">
      <c r="A79" s="287" t="s">
        <v>368</v>
      </c>
      <c r="B79" s="288" t="s">
        <v>917</v>
      </c>
      <c r="C79" s="288" t="s">
        <v>917</v>
      </c>
      <c r="D79" s="287" t="s">
        <v>525</v>
      </c>
      <c r="E79" s="287" t="s">
        <v>88</v>
      </c>
      <c r="F79" s="339" t="s">
        <v>192</v>
      </c>
      <c r="G79" s="287" t="s">
        <v>105</v>
      </c>
      <c r="H79" s="289">
        <v>44329.0</v>
      </c>
      <c r="I79" s="290">
        <f>IFERROR(__xludf.DUMMYFUNCTION("countif(FILTER(FILTER(Shiftplan!D$7:BJ$67,Shiftplan!$A$7:$A$67&lt;=Shiftplan!$A$67),Shiftplan!$D$6:$BJ$6=A79),""&gt;0"")"),0.0)</f>
        <v>0</v>
      </c>
      <c r="J79" s="287">
        <f>VLOOKUP(A79,'Shiftplan SoS'!A:F,6,false)</f>
        <v>28</v>
      </c>
      <c r="K79" s="290">
        <f t="shared" si="11"/>
        <v>28</v>
      </c>
      <c r="L79" s="287" t="s">
        <v>592</v>
      </c>
      <c r="M79" s="279" t="str">
        <f t="shared" si="17"/>
        <v>5</v>
      </c>
      <c r="N79" s="280" t="str">
        <f t="shared" si="18"/>
        <v>40</v>
      </c>
      <c r="O79" s="276" t="str">
        <f t="shared" si="19"/>
        <v>10</v>
      </c>
      <c r="P79" s="276" t="str">
        <f t="shared" si="20"/>
        <v>5</v>
      </c>
      <c r="Q79" s="276" t="str">
        <f t="shared" si="21"/>
        <v>25</v>
      </c>
      <c r="R79" s="287" t="s">
        <v>527</v>
      </c>
      <c r="S79" s="293" t="s">
        <v>528</v>
      </c>
      <c r="T79" s="293" t="s">
        <v>918</v>
      </c>
      <c r="U79" s="293" t="s">
        <v>919</v>
      </c>
      <c r="V79" s="287" t="s">
        <v>527</v>
      </c>
      <c r="W79" s="293" t="s">
        <v>874</v>
      </c>
      <c r="X79" s="287" t="s">
        <v>527</v>
      </c>
      <c r="Y79" s="343" t="s">
        <v>920</v>
      </c>
      <c r="Z79" s="287" t="s">
        <v>921</v>
      </c>
      <c r="AA79" s="287">
        <v>11.0</v>
      </c>
      <c r="AB79" s="287">
        <v>3.011788413303E12</v>
      </c>
      <c r="AC79" s="294"/>
      <c r="AD79" s="295"/>
      <c r="AE79" s="295"/>
      <c r="AF79" s="295"/>
      <c r="AG79" s="295"/>
      <c r="AH79" s="287" t="b">
        <v>1</v>
      </c>
      <c r="AI79" s="287" t="b">
        <v>1</v>
      </c>
      <c r="AJ79" s="287" t="b">
        <v>1</v>
      </c>
      <c r="AK79" s="287" t="b">
        <v>1</v>
      </c>
      <c r="AL79" s="287" t="b">
        <v>1</v>
      </c>
      <c r="AM79" s="287" t="b">
        <v>1</v>
      </c>
      <c r="AN79" s="287" t="b">
        <v>1</v>
      </c>
      <c r="AO79" s="287" t="s">
        <v>546</v>
      </c>
      <c r="AP79" s="276" t="s">
        <v>763</v>
      </c>
      <c r="AQ79" s="287" t="s">
        <v>206</v>
      </c>
    </row>
    <row r="80" outlineLevel="1">
      <c r="A80" s="111" t="s">
        <v>274</v>
      </c>
      <c r="B80" s="266" t="s">
        <v>451</v>
      </c>
      <c r="C80" s="111" t="s">
        <v>922</v>
      </c>
      <c r="D80" s="111" t="s">
        <v>525</v>
      </c>
      <c r="E80" s="111" t="s">
        <v>91</v>
      </c>
      <c r="F80" s="344" t="s">
        <v>97</v>
      </c>
      <c r="G80" s="344" t="s">
        <v>199</v>
      </c>
      <c r="H80" s="267">
        <v>44331.0</v>
      </c>
      <c r="I80" s="268">
        <f>IFERROR(__xludf.DUMMYFUNCTION("countif(FILTER(FILTER(Shiftplan!D$7:BJ$67,Shiftplan!$A$7:$A$67&lt;=Shiftplan!$A$67),Shiftplan!$D$6:$BJ$6=A80),""&gt;0"")"),0.0)</f>
        <v>0</v>
      </c>
      <c r="J80" s="111">
        <f>VLOOKUP(A80,'Shiftplan SoS'!A:F,6,false)</f>
        <v>35</v>
      </c>
      <c r="K80" s="268">
        <f t="shared" si="11"/>
        <v>35</v>
      </c>
      <c r="L80" s="111" t="s">
        <v>526</v>
      </c>
      <c r="M80" s="269" t="str">
        <f t="shared" si="17"/>
        <v>5</v>
      </c>
      <c r="N80" s="270" t="str">
        <f t="shared" si="18"/>
        <v>40</v>
      </c>
      <c r="O80" s="111" t="str">
        <f t="shared" si="19"/>
        <v>10</v>
      </c>
      <c r="P80" s="111" t="str">
        <f t="shared" si="20"/>
        <v>5</v>
      </c>
      <c r="Q80" s="111" t="str">
        <f t="shared" si="21"/>
        <v>25</v>
      </c>
      <c r="R80" s="111" t="s">
        <v>527</v>
      </c>
      <c r="S80" s="271" t="s">
        <v>528</v>
      </c>
      <c r="T80" s="271" t="s">
        <v>923</v>
      </c>
      <c r="U80" s="271" t="s">
        <v>924</v>
      </c>
      <c r="V80" s="111" t="s">
        <v>527</v>
      </c>
      <c r="W80" s="271" t="s">
        <v>925</v>
      </c>
      <c r="X80" s="111" t="s">
        <v>527</v>
      </c>
      <c r="Y80" s="111" t="s">
        <v>926</v>
      </c>
      <c r="Z80" s="111" t="s">
        <v>927</v>
      </c>
      <c r="AA80" s="111">
        <v>1.0</v>
      </c>
      <c r="AB80" s="111">
        <v>3.011088637316E12</v>
      </c>
      <c r="AC80" s="272"/>
      <c r="AD80" s="273"/>
      <c r="AE80" s="273"/>
      <c r="AF80" s="273"/>
      <c r="AG80" s="273"/>
      <c r="AH80" s="111" t="b">
        <v>1</v>
      </c>
      <c r="AI80" s="111" t="b">
        <v>1</v>
      </c>
      <c r="AJ80" s="111" t="b">
        <v>1</v>
      </c>
      <c r="AK80" s="111" t="b">
        <v>1</v>
      </c>
      <c r="AL80" s="111" t="b">
        <v>1</v>
      </c>
      <c r="AM80" s="111" t="b">
        <v>1</v>
      </c>
      <c r="AN80" s="111" t="b">
        <v>1</v>
      </c>
      <c r="AO80" s="111" t="s">
        <v>546</v>
      </c>
      <c r="AP80" s="111" t="s">
        <v>542</v>
      </c>
      <c r="AQ80" s="111" t="s">
        <v>200</v>
      </c>
    </row>
    <row r="81" outlineLevel="1">
      <c r="A81" s="276" t="s">
        <v>275</v>
      </c>
      <c r="B81" s="275" t="s">
        <v>379</v>
      </c>
      <c r="C81" s="275" t="s">
        <v>379</v>
      </c>
      <c r="D81" s="276" t="s">
        <v>525</v>
      </c>
      <c r="E81" s="276" t="s">
        <v>91</v>
      </c>
      <c r="F81" s="345" t="s">
        <v>192</v>
      </c>
      <c r="G81" s="345" t="s">
        <v>199</v>
      </c>
      <c r="H81" s="277">
        <v>44333.0</v>
      </c>
      <c r="I81" s="278">
        <f>IFERROR(__xludf.DUMMYFUNCTION("countif(FILTER(FILTER(Shiftplan!D$7:BJ$67,Shiftplan!$A$7:$A$67&lt;=Shiftplan!$A$67),Shiftplan!$D$6:$BJ$6=A81),""&gt;0"")"),0.0)</f>
        <v>0</v>
      </c>
      <c r="J81" s="276">
        <f>VLOOKUP(A81,'Shiftplan SoS'!A:F,6,false)</f>
        <v>75</v>
      </c>
      <c r="K81" s="278">
        <f t="shared" si="11"/>
        <v>75</v>
      </c>
      <c r="L81" s="276" t="s">
        <v>526</v>
      </c>
      <c r="M81" s="279" t="str">
        <f t="shared" si="17"/>
        <v>7</v>
      </c>
      <c r="N81" s="280" t="str">
        <f t="shared" si="18"/>
        <v>60</v>
      </c>
      <c r="O81" s="276" t="str">
        <f t="shared" si="19"/>
        <v>0</v>
      </c>
      <c r="P81" s="276" t="str">
        <f t="shared" si="20"/>
        <v>0</v>
      </c>
      <c r="Q81" s="276" t="str">
        <f t="shared" si="21"/>
        <v>15</v>
      </c>
      <c r="R81" s="276" t="s">
        <v>527</v>
      </c>
      <c r="S81" s="281" t="s">
        <v>528</v>
      </c>
      <c r="T81" s="281" t="s">
        <v>928</v>
      </c>
      <c r="U81" s="281" t="s">
        <v>929</v>
      </c>
      <c r="V81" s="281" t="s">
        <v>527</v>
      </c>
      <c r="W81" s="281" t="s">
        <v>874</v>
      </c>
      <c r="X81" s="276" t="s">
        <v>527</v>
      </c>
      <c r="Y81" s="276" t="s">
        <v>930</v>
      </c>
      <c r="Z81" s="276" t="s">
        <v>931</v>
      </c>
      <c r="AA81" s="276">
        <v>2.0</v>
      </c>
      <c r="AB81" s="276">
        <v>3.017388875441E12</v>
      </c>
      <c r="AC81" s="284"/>
      <c r="AD81" s="274"/>
      <c r="AE81" s="274"/>
      <c r="AF81" s="274"/>
      <c r="AG81" s="274"/>
      <c r="AH81" s="276" t="b">
        <v>1</v>
      </c>
      <c r="AI81" s="276" t="b">
        <v>1</v>
      </c>
      <c r="AJ81" s="276" t="b">
        <v>1</v>
      </c>
      <c r="AK81" s="276" t="b">
        <v>1</v>
      </c>
      <c r="AL81" s="276" t="b">
        <v>1</v>
      </c>
      <c r="AM81" s="276" t="b">
        <v>1</v>
      </c>
      <c r="AN81" s="276" t="b">
        <v>1</v>
      </c>
      <c r="AO81" s="276" t="s">
        <v>546</v>
      </c>
      <c r="AP81" s="276" t="s">
        <v>542</v>
      </c>
      <c r="AQ81" s="276" t="s">
        <v>200</v>
      </c>
    </row>
    <row r="82" outlineLevel="1">
      <c r="A82" s="111" t="s">
        <v>273</v>
      </c>
      <c r="B82" s="266" t="s">
        <v>430</v>
      </c>
      <c r="C82" s="266" t="s">
        <v>430</v>
      </c>
      <c r="D82" s="111" t="s">
        <v>525</v>
      </c>
      <c r="E82" s="111" t="s">
        <v>692</v>
      </c>
      <c r="F82" s="111" t="s">
        <v>98</v>
      </c>
      <c r="G82" s="344" t="s">
        <v>199</v>
      </c>
      <c r="H82" s="267">
        <v>44333.0</v>
      </c>
      <c r="I82" s="268">
        <f>IFERROR(__xludf.DUMMYFUNCTION("countif(FILTER(FILTER(Shiftplan!D$7:BJ$67,Shiftplan!$A$7:$A$67&lt;=Shiftplan!$A$67),Shiftplan!$D$6:$BJ$6=A82),""&gt;0"")"),0.0)</f>
        <v>0</v>
      </c>
      <c r="J82" s="111">
        <f>VLOOKUP(A82,'Shiftplan SoS'!A:F,6,false)</f>
        <v>75</v>
      </c>
      <c r="K82" s="268">
        <f t="shared" si="11"/>
        <v>75</v>
      </c>
      <c r="L82" s="111" t="s">
        <v>526</v>
      </c>
      <c r="M82" s="269" t="str">
        <f t="shared" si="17"/>
        <v>7</v>
      </c>
      <c r="N82" s="270" t="str">
        <f t="shared" si="18"/>
        <v>60</v>
      </c>
      <c r="O82" s="111" t="str">
        <f t="shared" si="19"/>
        <v>0</v>
      </c>
      <c r="P82" s="111" t="str">
        <f t="shared" si="20"/>
        <v>0</v>
      </c>
      <c r="Q82" s="111" t="str">
        <f t="shared" si="21"/>
        <v>15</v>
      </c>
      <c r="R82" s="111" t="s">
        <v>527</v>
      </c>
      <c r="S82" s="271" t="s">
        <v>528</v>
      </c>
      <c r="T82" s="271" t="s">
        <v>932</v>
      </c>
      <c r="U82" s="271" t="s">
        <v>933</v>
      </c>
      <c r="V82" s="111" t="s">
        <v>527</v>
      </c>
      <c r="W82" s="271" t="s">
        <v>874</v>
      </c>
      <c r="X82" s="111" t="s">
        <v>527</v>
      </c>
      <c r="Y82" s="111" t="s">
        <v>934</v>
      </c>
      <c r="Z82" s="111" t="s">
        <v>935</v>
      </c>
      <c r="AA82" s="111">
        <v>60.0</v>
      </c>
      <c r="AB82" s="111">
        <v>3.017688871098E12</v>
      </c>
      <c r="AC82" s="272"/>
      <c r="AD82" s="273"/>
      <c r="AE82" s="273"/>
      <c r="AF82" s="273"/>
      <c r="AG82" s="273"/>
      <c r="AH82" s="111" t="b">
        <v>1</v>
      </c>
      <c r="AI82" s="111" t="b">
        <v>1</v>
      </c>
      <c r="AJ82" s="111" t="b">
        <v>1</v>
      </c>
      <c r="AK82" s="111" t="b">
        <v>1</v>
      </c>
      <c r="AL82" s="111" t="b">
        <v>1</v>
      </c>
      <c r="AM82" s="111" t="b">
        <v>1</v>
      </c>
      <c r="AN82" s="111" t="b">
        <v>1</v>
      </c>
      <c r="AO82" s="111" t="s">
        <v>546</v>
      </c>
      <c r="AP82" s="111" t="s">
        <v>547</v>
      </c>
      <c r="AQ82" s="111" t="s">
        <v>200</v>
      </c>
    </row>
    <row r="83" outlineLevel="1">
      <c r="A83" s="276" t="s">
        <v>276</v>
      </c>
      <c r="B83" s="275" t="s">
        <v>460</v>
      </c>
      <c r="C83" s="276" t="s">
        <v>460</v>
      </c>
      <c r="D83" s="276" t="s">
        <v>525</v>
      </c>
      <c r="E83" s="276" t="s">
        <v>936</v>
      </c>
      <c r="F83" s="318" t="s">
        <v>97</v>
      </c>
      <c r="G83" s="276" t="s">
        <v>105</v>
      </c>
      <c r="H83" s="277">
        <v>44333.0</v>
      </c>
      <c r="I83" s="278">
        <f>IFERROR(__xludf.DUMMYFUNCTION("countif(FILTER(FILTER(Shiftplan!D$7:BJ$67,Shiftplan!$A$7:$A$67&lt;=Shiftplan!$A$67),Shiftplan!$D$6:$BJ$6=A83),""&gt;0"")"),0.0)</f>
        <v>0</v>
      </c>
      <c r="J83" s="276">
        <f>VLOOKUP(A83,'Shiftplan SoS'!A:F,6,false)</f>
        <v>35</v>
      </c>
      <c r="K83" s="278">
        <f t="shared" si="11"/>
        <v>35</v>
      </c>
      <c r="L83" s="276" t="s">
        <v>526</v>
      </c>
      <c r="M83" s="279" t="str">
        <f t="shared" si="17"/>
        <v>5</v>
      </c>
      <c r="N83" s="280" t="str">
        <f t="shared" si="18"/>
        <v>40</v>
      </c>
      <c r="O83" s="276" t="str">
        <f t="shared" si="19"/>
        <v>10</v>
      </c>
      <c r="P83" s="276" t="str">
        <f t="shared" si="20"/>
        <v>5</v>
      </c>
      <c r="Q83" s="276" t="str">
        <f t="shared" si="21"/>
        <v>25</v>
      </c>
      <c r="R83" s="276" t="s">
        <v>527</v>
      </c>
      <c r="S83" s="281" t="s">
        <v>528</v>
      </c>
      <c r="T83" s="281" t="s">
        <v>937</v>
      </c>
      <c r="U83" s="281" t="s">
        <v>938</v>
      </c>
      <c r="V83" s="276" t="s">
        <v>527</v>
      </c>
      <c r="W83" s="281" t="s">
        <v>527</v>
      </c>
      <c r="X83" s="276" t="s">
        <v>527</v>
      </c>
      <c r="Y83" s="276" t="s">
        <v>939</v>
      </c>
      <c r="Z83" s="276" t="s">
        <v>940</v>
      </c>
      <c r="AA83" s="276">
        <v>1.0</v>
      </c>
      <c r="AB83" s="276">
        <v>3.018888946131E12</v>
      </c>
      <c r="AC83" s="284"/>
      <c r="AD83" s="274"/>
      <c r="AE83" s="274"/>
      <c r="AF83" s="274"/>
      <c r="AG83" s="274"/>
      <c r="AH83" s="276" t="b">
        <v>1</v>
      </c>
      <c r="AI83" s="276" t="b">
        <v>1</v>
      </c>
      <c r="AJ83" s="276" t="b">
        <v>1</v>
      </c>
      <c r="AK83" s="276" t="b">
        <v>1</v>
      </c>
      <c r="AL83" s="276" t="b">
        <v>1</v>
      </c>
      <c r="AM83" s="276" t="b">
        <v>1</v>
      </c>
      <c r="AN83" s="276" t="b">
        <v>1</v>
      </c>
      <c r="AO83" s="276" t="s">
        <v>546</v>
      </c>
      <c r="AP83" s="276" t="s">
        <v>542</v>
      </c>
      <c r="AQ83" s="276" t="s">
        <v>206</v>
      </c>
    </row>
    <row r="84" outlineLevel="1">
      <c r="A84" s="111" t="s">
        <v>280</v>
      </c>
      <c r="B84" s="266" t="s">
        <v>472</v>
      </c>
      <c r="C84" s="111" t="s">
        <v>941</v>
      </c>
      <c r="D84" s="111" t="s">
        <v>525</v>
      </c>
      <c r="E84" s="111" t="s">
        <v>90</v>
      </c>
      <c r="F84" s="111" t="s">
        <v>192</v>
      </c>
      <c r="G84" s="111" t="s">
        <v>189</v>
      </c>
      <c r="H84" s="267">
        <v>44333.0</v>
      </c>
      <c r="I84" s="268">
        <f>IFERROR(__xludf.DUMMYFUNCTION("countif(FILTER(FILTER(Shiftplan!D$7:BJ$67,Shiftplan!$A$7:$A$67&lt;=Shiftplan!$A$67),Shiftplan!$D$6:$BJ$6=A84),""&gt;0"")"),0.0)</f>
        <v>0</v>
      </c>
      <c r="J84" s="111">
        <f>VLOOKUP(A84,'Shiftplan SoS'!A:F,6,false)</f>
        <v>78</v>
      </c>
      <c r="K84" s="268">
        <f t="shared" si="11"/>
        <v>78</v>
      </c>
      <c r="L84" s="111" t="s">
        <v>526</v>
      </c>
      <c r="M84" s="269" t="str">
        <f t="shared" si="17"/>
        <v>7</v>
      </c>
      <c r="N84" s="270" t="str">
        <f t="shared" si="18"/>
        <v>60</v>
      </c>
      <c r="O84" s="111" t="str">
        <f t="shared" si="19"/>
        <v>0</v>
      </c>
      <c r="P84" s="111" t="str">
        <f t="shared" si="20"/>
        <v>0</v>
      </c>
      <c r="Q84" s="111" t="str">
        <f t="shared" si="21"/>
        <v>15</v>
      </c>
      <c r="R84" s="111" t="s">
        <v>527</v>
      </c>
      <c r="S84" s="271" t="s">
        <v>528</v>
      </c>
      <c r="T84" s="271" t="s">
        <v>942</v>
      </c>
      <c r="U84" s="271" t="s">
        <v>943</v>
      </c>
      <c r="V84" s="271" t="s">
        <v>527</v>
      </c>
      <c r="W84" s="271" t="s">
        <v>874</v>
      </c>
      <c r="X84" s="111" t="s">
        <v>527</v>
      </c>
      <c r="Y84" s="111" t="s">
        <v>944</v>
      </c>
      <c r="Z84" s="111" t="s">
        <v>945</v>
      </c>
      <c r="AA84" s="111">
        <v>9.0</v>
      </c>
      <c r="AB84" s="111">
        <v>3.015988895717E12</v>
      </c>
      <c r="AC84" s="272"/>
      <c r="AD84" s="273"/>
      <c r="AE84" s="273"/>
      <c r="AF84" s="273"/>
      <c r="AG84" s="273"/>
      <c r="AH84" s="111" t="b">
        <v>1</v>
      </c>
      <c r="AI84" s="111" t="b">
        <v>1</v>
      </c>
      <c r="AJ84" s="111" t="b">
        <v>1</v>
      </c>
      <c r="AK84" s="111" t="b">
        <v>1</v>
      </c>
      <c r="AL84" s="111" t="b">
        <v>1</v>
      </c>
      <c r="AM84" s="111" t="b">
        <v>1</v>
      </c>
      <c r="AN84" s="111" t="b">
        <v>1</v>
      </c>
      <c r="AO84" s="111" t="s">
        <v>546</v>
      </c>
      <c r="AP84" s="254" t="s">
        <v>946</v>
      </c>
      <c r="AQ84" s="111" t="s">
        <v>190</v>
      </c>
    </row>
    <row r="85" outlineLevel="1">
      <c r="A85" s="287" t="s">
        <v>370</v>
      </c>
      <c r="B85" s="288" t="s">
        <v>408</v>
      </c>
      <c r="C85" s="287" t="s">
        <v>947</v>
      </c>
      <c r="D85" s="287" t="s">
        <v>525</v>
      </c>
      <c r="E85" s="287" t="s">
        <v>89</v>
      </c>
      <c r="F85" s="339" t="s">
        <v>192</v>
      </c>
      <c r="G85" s="346" t="s">
        <v>199</v>
      </c>
      <c r="H85" s="289">
        <v>44333.0</v>
      </c>
      <c r="I85" s="290">
        <f>IFERROR(__xludf.DUMMYFUNCTION("countif(FILTER(FILTER(Shiftplan!D$7:BJ$67,Shiftplan!$A$7:$A$67&lt;=Shiftplan!$A$67),Shiftplan!$D$6:$BJ$6=A85),""&gt;0"")"),0.0)</f>
        <v>0</v>
      </c>
      <c r="J85" s="287">
        <f>VLOOKUP(A85,'Shiftplan SoS'!A:F,6,false)</f>
        <v>31</v>
      </c>
      <c r="K85" s="290">
        <f t="shared" si="11"/>
        <v>31</v>
      </c>
      <c r="L85" s="287" t="s">
        <v>592</v>
      </c>
      <c r="M85" s="291" t="str">
        <f t="shared" si="17"/>
        <v>5</v>
      </c>
      <c r="N85" s="292" t="str">
        <f t="shared" si="18"/>
        <v>40</v>
      </c>
      <c r="O85" s="287" t="str">
        <f t="shared" si="19"/>
        <v>10</v>
      </c>
      <c r="P85" s="287" t="str">
        <f t="shared" si="20"/>
        <v>5</v>
      </c>
      <c r="Q85" s="287" t="str">
        <f t="shared" si="21"/>
        <v>25</v>
      </c>
      <c r="R85" s="287" t="s">
        <v>527</v>
      </c>
      <c r="S85" s="293" t="s">
        <v>528</v>
      </c>
      <c r="T85" s="293" t="s">
        <v>948</v>
      </c>
      <c r="U85" s="293" t="s">
        <v>949</v>
      </c>
      <c r="V85" s="293" t="s">
        <v>527</v>
      </c>
      <c r="W85" s="293" t="s">
        <v>874</v>
      </c>
      <c r="X85" s="287" t="s">
        <v>527</v>
      </c>
      <c r="Y85" s="287" t="s">
        <v>950</v>
      </c>
      <c r="Z85" s="287" t="s">
        <v>951</v>
      </c>
      <c r="AA85" s="287">
        <v>1.0</v>
      </c>
      <c r="AB85" s="287">
        <v>3.018388877297E12</v>
      </c>
      <c r="AC85" s="294"/>
      <c r="AD85" s="295"/>
      <c r="AE85" s="295"/>
      <c r="AF85" s="295"/>
      <c r="AG85" s="295"/>
      <c r="AH85" s="287" t="b">
        <v>1</v>
      </c>
      <c r="AI85" s="287" t="b">
        <v>1</v>
      </c>
      <c r="AJ85" s="287" t="b">
        <v>1</v>
      </c>
      <c r="AK85" s="287" t="b">
        <v>1</v>
      </c>
      <c r="AL85" s="287" t="b">
        <v>1</v>
      </c>
      <c r="AM85" s="287" t="b">
        <v>1</v>
      </c>
      <c r="AN85" s="287" t="b">
        <v>1</v>
      </c>
      <c r="AO85" s="287" t="s">
        <v>546</v>
      </c>
      <c r="AP85" s="287" t="s">
        <v>542</v>
      </c>
      <c r="AQ85" s="287" t="s">
        <v>200</v>
      </c>
    </row>
    <row r="86" outlineLevel="1">
      <c r="A86" s="111" t="s">
        <v>351</v>
      </c>
      <c r="B86" s="266" t="s">
        <v>425</v>
      </c>
      <c r="C86" s="111" t="s">
        <v>425</v>
      </c>
      <c r="D86" s="111" t="s">
        <v>525</v>
      </c>
      <c r="E86" s="111" t="s">
        <v>88</v>
      </c>
      <c r="F86" s="344" t="s">
        <v>192</v>
      </c>
      <c r="G86" s="344" t="s">
        <v>199</v>
      </c>
      <c r="H86" s="267">
        <v>44333.0</v>
      </c>
      <c r="I86" s="268">
        <f>IFERROR(__xludf.DUMMYFUNCTION("countif(FILTER(FILTER(Shiftplan!D$7:BJ$67,Shiftplan!$A$7:$A$67&lt;=Shiftplan!$A$67),Shiftplan!$D$6:$BJ$6=A86),""&gt;0"")"),0.0)</f>
        <v>0</v>
      </c>
      <c r="J86" s="111">
        <f>VLOOKUP(A86,'Shiftplan SoS'!A:F,6,false)</f>
        <v>60</v>
      </c>
      <c r="K86" s="268">
        <f t="shared" si="11"/>
        <v>60</v>
      </c>
      <c r="L86" s="186" t="s">
        <v>592</v>
      </c>
      <c r="M86" s="269" t="str">
        <f t="shared" si="17"/>
        <v>6</v>
      </c>
      <c r="N86" s="270" t="str">
        <f t="shared" si="18"/>
        <v>50</v>
      </c>
      <c r="O86" s="111" t="str">
        <f t="shared" si="19"/>
        <v>5</v>
      </c>
      <c r="P86" s="111" t="str">
        <f t="shared" si="20"/>
        <v>0</v>
      </c>
      <c r="Q86" s="111" t="str">
        <f t="shared" si="21"/>
        <v>20</v>
      </c>
      <c r="R86" s="111" t="s">
        <v>527</v>
      </c>
      <c r="S86" s="271" t="s">
        <v>528</v>
      </c>
      <c r="T86" s="271" t="s">
        <v>952</v>
      </c>
      <c r="U86" s="271" t="s">
        <v>953</v>
      </c>
      <c r="V86" s="111" t="s">
        <v>527</v>
      </c>
      <c r="W86" s="271" t="s">
        <v>874</v>
      </c>
      <c r="X86" s="111" t="s">
        <v>527</v>
      </c>
      <c r="Y86" s="111" t="s">
        <v>954</v>
      </c>
      <c r="Z86" s="111" t="s">
        <v>955</v>
      </c>
      <c r="AA86" s="111">
        <v>34.0</v>
      </c>
      <c r="AB86" s="111">
        <v>3.01948887409E12</v>
      </c>
      <c r="AC86" s="272"/>
      <c r="AD86" s="273"/>
      <c r="AE86" s="273"/>
      <c r="AF86" s="273"/>
      <c r="AG86" s="273"/>
      <c r="AH86" s="111" t="b">
        <v>1</v>
      </c>
      <c r="AI86" s="111" t="b">
        <v>1</v>
      </c>
      <c r="AJ86" s="111" t="b">
        <v>1</v>
      </c>
      <c r="AK86" s="111" t="b">
        <v>1</v>
      </c>
      <c r="AL86" s="111" t="b">
        <v>1</v>
      </c>
      <c r="AM86" s="111" t="b">
        <v>1</v>
      </c>
      <c r="AN86" s="111" t="b">
        <v>1</v>
      </c>
      <c r="AO86" s="111" t="s">
        <v>553</v>
      </c>
      <c r="AP86" s="111" t="s">
        <v>554</v>
      </c>
      <c r="AQ86" s="111" t="s">
        <v>200</v>
      </c>
    </row>
    <row r="87" outlineLevel="1">
      <c r="A87" s="287" t="s">
        <v>357</v>
      </c>
      <c r="B87" s="288" t="s">
        <v>448</v>
      </c>
      <c r="C87" s="287" t="s">
        <v>448</v>
      </c>
      <c r="D87" s="287" t="s">
        <v>525</v>
      </c>
      <c r="E87" s="287" t="s">
        <v>88</v>
      </c>
      <c r="F87" s="339" t="s">
        <v>192</v>
      </c>
      <c r="G87" s="287" t="s">
        <v>105</v>
      </c>
      <c r="H87" s="289">
        <v>44333.0</v>
      </c>
      <c r="I87" s="290">
        <f>IFERROR(__xludf.DUMMYFUNCTION("countif(FILTER(FILTER(Shiftplan!D$7:BJ$67,Shiftplan!$A$7:$A$67&lt;=Shiftplan!$A$67),Shiftplan!$D$6:$BJ$6=A87),""&gt;0"")"),0.0)</f>
        <v>0</v>
      </c>
      <c r="J87" s="287">
        <f>VLOOKUP(A87,'Shiftplan SoS'!A:F,6,false)</f>
        <v>36</v>
      </c>
      <c r="K87" s="290">
        <f t="shared" si="11"/>
        <v>36</v>
      </c>
      <c r="L87" s="287" t="s">
        <v>592</v>
      </c>
      <c r="M87" s="291" t="str">
        <f t="shared" si="17"/>
        <v>5</v>
      </c>
      <c r="N87" s="292" t="str">
        <f t="shared" si="18"/>
        <v>40</v>
      </c>
      <c r="O87" s="287" t="str">
        <f t="shared" si="19"/>
        <v>10</v>
      </c>
      <c r="P87" s="287" t="str">
        <f t="shared" si="20"/>
        <v>5</v>
      </c>
      <c r="Q87" s="287" t="str">
        <f t="shared" si="21"/>
        <v>25</v>
      </c>
      <c r="R87" s="287" t="s">
        <v>527</v>
      </c>
      <c r="S87" s="293" t="s">
        <v>528</v>
      </c>
      <c r="T87" s="293" t="s">
        <v>956</v>
      </c>
      <c r="U87" s="293" t="s">
        <v>957</v>
      </c>
      <c r="V87" s="287" t="s">
        <v>527</v>
      </c>
      <c r="W87" s="293" t="s">
        <v>874</v>
      </c>
      <c r="X87" s="287" t="s">
        <v>527</v>
      </c>
      <c r="Y87" s="287" t="s">
        <v>958</v>
      </c>
      <c r="Z87" s="287" t="s">
        <v>959</v>
      </c>
      <c r="AA87" s="287">
        <v>11.0</v>
      </c>
      <c r="AB87" s="287">
        <v>3.018988890207E12</v>
      </c>
      <c r="AC87" s="294"/>
      <c r="AD87" s="295"/>
      <c r="AE87" s="295"/>
      <c r="AF87" s="295"/>
      <c r="AG87" s="295"/>
      <c r="AH87" s="287" t="b">
        <v>1</v>
      </c>
      <c r="AI87" s="287" t="b">
        <v>1</v>
      </c>
      <c r="AJ87" s="287" t="b">
        <v>1</v>
      </c>
      <c r="AK87" s="287" t="b">
        <v>1</v>
      </c>
      <c r="AL87" s="287" t="b">
        <v>1</v>
      </c>
      <c r="AM87" s="287" t="b">
        <v>1</v>
      </c>
      <c r="AN87" s="287" t="b">
        <v>1</v>
      </c>
      <c r="AO87" s="287" t="s">
        <v>553</v>
      </c>
      <c r="AP87" s="287" t="s">
        <v>547</v>
      </c>
      <c r="AQ87" s="287" t="s">
        <v>206</v>
      </c>
    </row>
    <row r="88" outlineLevel="1">
      <c r="A88" s="186" t="s">
        <v>352</v>
      </c>
      <c r="B88" s="305" t="s">
        <v>960</v>
      </c>
      <c r="C88" s="305" t="s">
        <v>960</v>
      </c>
      <c r="D88" s="186" t="s">
        <v>525</v>
      </c>
      <c r="E88" s="186" t="s">
        <v>88</v>
      </c>
      <c r="F88" s="347" t="s">
        <v>192</v>
      </c>
      <c r="G88" s="347" t="s">
        <v>199</v>
      </c>
      <c r="H88" s="298">
        <v>44333.0</v>
      </c>
      <c r="I88" s="306">
        <f>IFERROR(__xludf.DUMMYFUNCTION("countif(FILTER(FILTER(Shiftplan!D$7:BJ$67,Shiftplan!$A$7:$A$67&lt;=Shiftplan!$A$67),Shiftplan!$D$6:$BJ$6=A88),""&gt;0"")"),0.0)</f>
        <v>0</v>
      </c>
      <c r="J88" s="186">
        <f>VLOOKUP(A88,'Shiftplan SoS'!A:F,6,false)</f>
        <v>36</v>
      </c>
      <c r="K88" s="306">
        <f t="shared" si="11"/>
        <v>36</v>
      </c>
      <c r="L88" s="186" t="s">
        <v>592</v>
      </c>
      <c r="M88" s="299" t="str">
        <f t="shared" si="17"/>
        <v>5</v>
      </c>
      <c r="N88" s="300" t="str">
        <f t="shared" si="18"/>
        <v>40</v>
      </c>
      <c r="O88" s="186" t="str">
        <f t="shared" si="19"/>
        <v>10</v>
      </c>
      <c r="P88" s="186" t="str">
        <f t="shared" si="20"/>
        <v>5</v>
      </c>
      <c r="Q88" s="186" t="str">
        <f t="shared" si="21"/>
        <v>25</v>
      </c>
      <c r="R88" s="186" t="s">
        <v>527</v>
      </c>
      <c r="S88" s="301" t="s">
        <v>528</v>
      </c>
      <c r="T88" s="301" t="s">
        <v>961</v>
      </c>
      <c r="U88" s="301" t="s">
        <v>962</v>
      </c>
      <c r="V88" s="186" t="s">
        <v>527</v>
      </c>
      <c r="W88" s="301" t="s">
        <v>874</v>
      </c>
      <c r="X88" s="186" t="s">
        <v>527</v>
      </c>
      <c r="Y88" s="186" t="s">
        <v>963</v>
      </c>
      <c r="Z88" s="186" t="s">
        <v>964</v>
      </c>
      <c r="AA88" s="186">
        <v>710.0</v>
      </c>
      <c r="AB88" s="186">
        <v>3.011482903927E12</v>
      </c>
      <c r="AC88" s="302"/>
      <c r="AD88" s="181"/>
      <c r="AE88" s="181"/>
      <c r="AF88" s="181"/>
      <c r="AG88" s="181"/>
      <c r="AH88" s="186" t="b">
        <v>1</v>
      </c>
      <c r="AI88" s="186" t="b">
        <v>1</v>
      </c>
      <c r="AJ88" s="186" t="b">
        <v>1</v>
      </c>
      <c r="AK88" s="186" t="b">
        <v>1</v>
      </c>
      <c r="AL88" s="186" t="b">
        <v>1</v>
      </c>
      <c r="AM88" s="186" t="b">
        <v>1</v>
      </c>
      <c r="AN88" s="186" t="b">
        <v>1</v>
      </c>
      <c r="AO88" s="186" t="s">
        <v>560</v>
      </c>
      <c r="AP88" s="186" t="s">
        <v>542</v>
      </c>
      <c r="AQ88" s="186" t="s">
        <v>200</v>
      </c>
    </row>
    <row r="89" outlineLevel="1">
      <c r="A89" s="287" t="s">
        <v>358</v>
      </c>
      <c r="B89" s="288" t="s">
        <v>965</v>
      </c>
      <c r="C89" s="287" t="s">
        <v>965</v>
      </c>
      <c r="D89" s="287" t="s">
        <v>525</v>
      </c>
      <c r="E89" s="287" t="s">
        <v>88</v>
      </c>
      <c r="F89" s="287" t="s">
        <v>98</v>
      </c>
      <c r="G89" s="287" t="s">
        <v>189</v>
      </c>
      <c r="H89" s="289">
        <v>44333.0</v>
      </c>
      <c r="I89" s="278">
        <f>IFERROR(__xludf.DUMMYFUNCTION("countif(FILTER(FILTER(Shiftplan!D$7:BJ$67,Shiftplan!$A$7:$A$67&lt;=Shiftplan!$A$67),Shiftplan!$D$6:$BJ$6=A89),""&gt;0"")"),0.0)</f>
        <v>0</v>
      </c>
      <c r="J89" s="287">
        <f>VLOOKUP(A89,'Shiftplan SoS'!A:F,6,false)</f>
        <v>11</v>
      </c>
      <c r="K89" s="290">
        <f t="shared" si="11"/>
        <v>11</v>
      </c>
      <c r="L89" s="287" t="s">
        <v>592</v>
      </c>
      <c r="M89" s="291" t="str">
        <f t="shared" si="17"/>
        <v>3</v>
      </c>
      <c r="N89" s="292" t="str">
        <f t="shared" si="18"/>
        <v>25</v>
      </c>
      <c r="O89" s="287" t="str">
        <f t="shared" si="19"/>
        <v>20</v>
      </c>
      <c r="P89" s="287" t="str">
        <f t="shared" si="20"/>
        <v>10</v>
      </c>
      <c r="Q89" s="287" t="str">
        <f t="shared" si="21"/>
        <v>30</v>
      </c>
      <c r="R89" s="287" t="s">
        <v>527</v>
      </c>
      <c r="S89" s="293" t="s">
        <v>528</v>
      </c>
      <c r="T89" s="293" t="s">
        <v>966</v>
      </c>
      <c r="U89" s="293"/>
      <c r="V89" s="287" t="s">
        <v>527</v>
      </c>
      <c r="W89" s="321" t="s">
        <v>925</v>
      </c>
      <c r="X89" s="287" t="s">
        <v>527</v>
      </c>
      <c r="Y89" s="287" t="s">
        <v>967</v>
      </c>
      <c r="Z89" s="287" t="s">
        <v>968</v>
      </c>
      <c r="AA89" s="287">
        <v>42.0</v>
      </c>
      <c r="AB89" s="287">
        <v>3.018388990942E12</v>
      </c>
      <c r="AC89" s="294"/>
      <c r="AD89" s="295"/>
      <c r="AE89" s="295"/>
      <c r="AF89" s="295"/>
      <c r="AG89" s="295"/>
      <c r="AH89" s="287" t="b">
        <v>1</v>
      </c>
      <c r="AI89" s="287" t="b">
        <v>1</v>
      </c>
      <c r="AJ89" s="287" t="b">
        <v>1</v>
      </c>
      <c r="AK89" s="287" t="b">
        <v>1</v>
      </c>
      <c r="AL89" s="287" t="b">
        <v>1</v>
      </c>
      <c r="AM89" s="287" t="b">
        <v>1</v>
      </c>
      <c r="AN89" s="287" t="b">
        <v>1</v>
      </c>
      <c r="AO89" s="287" t="s">
        <v>546</v>
      </c>
      <c r="AP89" s="276" t="s">
        <v>542</v>
      </c>
      <c r="AQ89" s="276" t="s">
        <v>206</v>
      </c>
    </row>
    <row r="90" outlineLevel="1">
      <c r="A90" s="111" t="s">
        <v>277</v>
      </c>
      <c r="B90" s="266" t="s">
        <v>447</v>
      </c>
      <c r="C90" s="266" t="s">
        <v>447</v>
      </c>
      <c r="D90" s="111" t="s">
        <v>525</v>
      </c>
      <c r="E90" s="111" t="s">
        <v>969</v>
      </c>
      <c r="F90" s="344" t="s">
        <v>98</v>
      </c>
      <c r="G90" s="344" t="s">
        <v>199</v>
      </c>
      <c r="H90" s="267">
        <v>44334.0</v>
      </c>
      <c r="I90" s="268">
        <f>IFERROR(__xludf.DUMMYFUNCTION("countif(FILTER(FILTER(Shiftplan!D$7:BJ$67,Shiftplan!$A$7:$A$67&lt;=Shiftplan!$A$67),Shiftplan!$D$6:$BJ$6=A90),""&gt;0"")"),0.0)</f>
        <v>0</v>
      </c>
      <c r="J90" s="111">
        <f>VLOOKUP(A90,'Shiftplan SoS'!A:F,6,false)</f>
        <v>76</v>
      </c>
      <c r="K90" s="268">
        <f t="shared" si="11"/>
        <v>76</v>
      </c>
      <c r="L90" s="111" t="s">
        <v>526</v>
      </c>
      <c r="M90" s="269" t="str">
        <f t="shared" si="17"/>
        <v>7</v>
      </c>
      <c r="N90" s="270" t="str">
        <f t="shared" si="18"/>
        <v>60</v>
      </c>
      <c r="O90" s="111" t="str">
        <f t="shared" si="19"/>
        <v>0</v>
      </c>
      <c r="P90" s="111" t="str">
        <f t="shared" si="20"/>
        <v>0</v>
      </c>
      <c r="Q90" s="111" t="str">
        <f t="shared" si="21"/>
        <v>15</v>
      </c>
      <c r="R90" s="111" t="s">
        <v>527</v>
      </c>
      <c r="S90" s="271" t="s">
        <v>528</v>
      </c>
      <c r="T90" s="271" t="s">
        <v>970</v>
      </c>
      <c r="U90" s="271" t="s">
        <v>971</v>
      </c>
      <c r="V90" s="111" t="s">
        <v>527</v>
      </c>
      <c r="W90" s="271" t="s">
        <v>527</v>
      </c>
      <c r="X90" s="111" t="s">
        <v>527</v>
      </c>
      <c r="Y90" s="111" t="s">
        <v>972</v>
      </c>
      <c r="Z90" s="111" t="s">
        <v>973</v>
      </c>
      <c r="AA90" s="111">
        <v>7.0</v>
      </c>
      <c r="AB90" s="111">
        <v>3.017688968592E12</v>
      </c>
      <c r="AC90" s="272"/>
      <c r="AD90" s="273"/>
      <c r="AE90" s="273"/>
      <c r="AF90" s="273"/>
      <c r="AG90" s="273"/>
      <c r="AH90" s="111" t="b">
        <v>1</v>
      </c>
      <c r="AI90" s="111" t="b">
        <v>1</v>
      </c>
      <c r="AJ90" s="111" t="b">
        <v>1</v>
      </c>
      <c r="AK90" s="111" t="b">
        <v>1</v>
      </c>
      <c r="AL90" s="111" t="b">
        <v>1</v>
      </c>
      <c r="AM90" s="111" t="b">
        <v>1</v>
      </c>
      <c r="AN90" s="111" t="b">
        <v>1</v>
      </c>
      <c r="AO90" s="111" t="s">
        <v>546</v>
      </c>
      <c r="AP90" s="111" t="s">
        <v>542</v>
      </c>
      <c r="AQ90" s="111" t="s">
        <v>200</v>
      </c>
    </row>
    <row r="91" outlineLevel="1">
      <c r="A91" s="276" t="s">
        <v>278</v>
      </c>
      <c r="B91" s="275" t="s">
        <v>380</v>
      </c>
      <c r="C91" s="275" t="s">
        <v>380</v>
      </c>
      <c r="D91" s="276" t="s">
        <v>525</v>
      </c>
      <c r="E91" s="276" t="s">
        <v>88</v>
      </c>
      <c r="F91" s="318" t="s">
        <v>192</v>
      </c>
      <c r="G91" s="276" t="s">
        <v>199</v>
      </c>
      <c r="H91" s="277">
        <v>44335.0</v>
      </c>
      <c r="I91" s="278">
        <f>IFERROR(__xludf.DUMMYFUNCTION("countif(FILTER(FILTER(Shiftplan!D$7:BJ$67,Shiftplan!$A$7:$A$67&lt;=Shiftplan!$A$67),Shiftplan!$D$6:$BJ$6=A91),""&gt;0"")"),0.0)</f>
        <v>0</v>
      </c>
      <c r="J91" s="276">
        <f>VLOOKUP(A91,'Shiftplan SoS'!A:F,6,false)</f>
        <v>70</v>
      </c>
      <c r="K91" s="278">
        <f t="shared" si="11"/>
        <v>70</v>
      </c>
      <c r="L91" s="276" t="s">
        <v>526</v>
      </c>
      <c r="M91" s="279" t="str">
        <f t="shared" si="17"/>
        <v>7</v>
      </c>
      <c r="N91" s="280" t="str">
        <f t="shared" si="18"/>
        <v>60</v>
      </c>
      <c r="O91" s="276" t="str">
        <f t="shared" si="19"/>
        <v>0</v>
      </c>
      <c r="P91" s="276" t="str">
        <f t="shared" si="20"/>
        <v>0</v>
      </c>
      <c r="Q91" s="276" t="str">
        <f t="shared" si="21"/>
        <v>15</v>
      </c>
      <c r="R91" s="276" t="s">
        <v>527</v>
      </c>
      <c r="S91" s="281" t="s">
        <v>528</v>
      </c>
      <c r="T91" s="281" t="s">
        <v>974</v>
      </c>
      <c r="U91" s="281" t="s">
        <v>924</v>
      </c>
      <c r="V91" s="281" t="s">
        <v>527</v>
      </c>
      <c r="W91" s="281" t="s">
        <v>874</v>
      </c>
      <c r="X91" s="276" t="s">
        <v>527</v>
      </c>
      <c r="Y91" s="276" t="s">
        <v>975</v>
      </c>
      <c r="Z91" s="276" t="s">
        <v>976</v>
      </c>
      <c r="AA91" s="276">
        <v>710.0</v>
      </c>
      <c r="AB91" s="276">
        <v>3.013982862207E12</v>
      </c>
      <c r="AC91" s="284"/>
      <c r="AD91" s="276"/>
      <c r="AE91" s="274"/>
      <c r="AF91" s="274"/>
      <c r="AG91" s="274"/>
      <c r="AH91" s="276" t="b">
        <v>1</v>
      </c>
      <c r="AI91" s="276" t="b">
        <v>1</v>
      </c>
      <c r="AJ91" s="276" t="b">
        <v>1</v>
      </c>
      <c r="AK91" s="276" t="b">
        <v>1</v>
      </c>
      <c r="AL91" s="276" t="b">
        <v>1</v>
      </c>
      <c r="AM91" s="276" t="b">
        <v>1</v>
      </c>
      <c r="AN91" s="276" t="b">
        <v>1</v>
      </c>
      <c r="AO91" s="276" t="s">
        <v>553</v>
      </c>
      <c r="AP91" s="276" t="s">
        <v>547</v>
      </c>
      <c r="AQ91" s="276" t="s">
        <v>200</v>
      </c>
    </row>
    <row r="92" outlineLevel="1">
      <c r="A92" s="111" t="s">
        <v>281</v>
      </c>
      <c r="B92" s="266" t="s">
        <v>392</v>
      </c>
      <c r="C92" s="111" t="s">
        <v>392</v>
      </c>
      <c r="D92" s="111" t="s">
        <v>525</v>
      </c>
      <c r="E92" s="273" t="s">
        <v>88</v>
      </c>
      <c r="F92" s="316" t="s">
        <v>192</v>
      </c>
      <c r="G92" s="111" t="s">
        <v>105</v>
      </c>
      <c r="H92" s="267">
        <v>44335.0</v>
      </c>
      <c r="I92" s="268">
        <f>IFERROR(__xludf.DUMMYFUNCTION("countif(FILTER(FILTER(Shiftplan!D$7:BJ$67,Shiftplan!$A$7:$A$67&lt;=Shiftplan!$A$67),Shiftplan!$D$6:$BJ$6=A92),""&gt;0"")"),0.0)</f>
        <v>0</v>
      </c>
      <c r="J92" s="111">
        <f>VLOOKUP(A92,'Shiftplan SoS'!A:F,6,false)</f>
        <v>77</v>
      </c>
      <c r="K92" s="268">
        <f t="shared" si="11"/>
        <v>77</v>
      </c>
      <c r="L92" s="111" t="s">
        <v>526</v>
      </c>
      <c r="M92" s="269" t="str">
        <f t="shared" si="17"/>
        <v>7</v>
      </c>
      <c r="N92" s="270" t="str">
        <f t="shared" si="18"/>
        <v>60</v>
      </c>
      <c r="O92" s="111" t="str">
        <f t="shared" si="19"/>
        <v>0</v>
      </c>
      <c r="P92" s="111" t="str">
        <f t="shared" si="20"/>
        <v>0</v>
      </c>
      <c r="Q92" s="111" t="str">
        <f t="shared" si="21"/>
        <v>15</v>
      </c>
      <c r="R92" s="111" t="s">
        <v>527</v>
      </c>
      <c r="S92" s="271" t="s">
        <v>528</v>
      </c>
      <c r="T92" s="271" t="s">
        <v>977</v>
      </c>
      <c r="U92" s="271" t="s">
        <v>978</v>
      </c>
      <c r="V92" s="111" t="s">
        <v>527</v>
      </c>
      <c r="W92" s="271" t="s">
        <v>874</v>
      </c>
      <c r="X92" s="111" t="s">
        <v>527</v>
      </c>
      <c r="Y92" s="111" t="s">
        <v>979</v>
      </c>
      <c r="Z92" s="111" t="s">
        <v>980</v>
      </c>
      <c r="AA92" s="111">
        <v>11.0</v>
      </c>
      <c r="AB92" s="111">
        <v>3.014389065186E12</v>
      </c>
      <c r="AC92" s="272"/>
      <c r="AD92" s="273"/>
      <c r="AE92" s="273"/>
      <c r="AF92" s="273"/>
      <c r="AG92" s="273"/>
      <c r="AH92" s="111" t="b">
        <v>1</v>
      </c>
      <c r="AI92" s="111" t="b">
        <v>1</v>
      </c>
      <c r="AJ92" s="111" t="b">
        <v>1</v>
      </c>
      <c r="AK92" s="111" t="b">
        <v>1</v>
      </c>
      <c r="AL92" s="111" t="b">
        <v>1</v>
      </c>
      <c r="AM92" s="111" t="b">
        <v>1</v>
      </c>
      <c r="AN92" s="111" t="b">
        <v>1</v>
      </c>
      <c r="AO92" s="111" t="s">
        <v>553</v>
      </c>
      <c r="AP92" s="111" t="s">
        <v>542</v>
      </c>
      <c r="AQ92" s="111" t="s">
        <v>206</v>
      </c>
    </row>
    <row r="93" outlineLevel="1">
      <c r="A93" s="287" t="s">
        <v>349</v>
      </c>
      <c r="B93" s="288" t="s">
        <v>401</v>
      </c>
      <c r="C93" s="287" t="s">
        <v>401</v>
      </c>
      <c r="D93" s="287" t="s">
        <v>525</v>
      </c>
      <c r="E93" s="287" t="s">
        <v>88</v>
      </c>
      <c r="F93" s="339" t="s">
        <v>192</v>
      </c>
      <c r="G93" s="287" t="s">
        <v>199</v>
      </c>
      <c r="H93" s="289">
        <v>44335.0</v>
      </c>
      <c r="I93" s="290">
        <f>IFERROR(__xludf.DUMMYFUNCTION("countif(FILTER(FILTER(Shiftplan!D$7:BJ$67,Shiftplan!$A$7:$A$67&lt;=Shiftplan!$A$67),Shiftplan!$D$6:$BJ$6=A93),""&gt;0"")"),0.0)</f>
        <v>0</v>
      </c>
      <c r="J93" s="287">
        <f>VLOOKUP(A93,'Shiftplan SoS'!A:F,6,false)</f>
        <v>52</v>
      </c>
      <c r="K93" s="290">
        <f t="shared" si="11"/>
        <v>52</v>
      </c>
      <c r="L93" s="287" t="s">
        <v>592</v>
      </c>
      <c r="M93" s="291" t="str">
        <f t="shared" si="17"/>
        <v>6</v>
      </c>
      <c r="N93" s="292" t="str">
        <f t="shared" si="18"/>
        <v>50</v>
      </c>
      <c r="O93" s="287" t="str">
        <f t="shared" si="19"/>
        <v>5</v>
      </c>
      <c r="P93" s="287" t="str">
        <f t="shared" si="20"/>
        <v>0</v>
      </c>
      <c r="Q93" s="287" t="str">
        <f t="shared" si="21"/>
        <v>20</v>
      </c>
      <c r="R93" s="287" t="s">
        <v>527</v>
      </c>
      <c r="S93" s="293" t="s">
        <v>528</v>
      </c>
      <c r="T93" s="293" t="s">
        <v>981</v>
      </c>
      <c r="U93" s="293" t="s">
        <v>982</v>
      </c>
      <c r="V93" s="287" t="s">
        <v>527</v>
      </c>
      <c r="W93" s="293" t="s">
        <v>874</v>
      </c>
      <c r="X93" s="287" t="s">
        <v>527</v>
      </c>
      <c r="Y93" s="287" t="s">
        <v>983</v>
      </c>
      <c r="Z93" s="287" t="s">
        <v>984</v>
      </c>
      <c r="AA93" s="287">
        <v>462.0</v>
      </c>
      <c r="AB93" s="287">
        <v>3.011489066467E12</v>
      </c>
      <c r="AC93" s="294"/>
      <c r="AD93" s="295"/>
      <c r="AE93" s="295"/>
      <c r="AF93" s="295"/>
      <c r="AG93" s="295"/>
      <c r="AH93" s="287" t="b">
        <v>1</v>
      </c>
      <c r="AI93" s="287" t="b">
        <v>1</v>
      </c>
      <c r="AJ93" s="287" t="b">
        <v>1</v>
      </c>
      <c r="AK93" s="287" t="b">
        <v>1</v>
      </c>
      <c r="AL93" s="287" t="b">
        <v>1</v>
      </c>
      <c r="AM93" s="287" t="b">
        <v>1</v>
      </c>
      <c r="AN93" s="287" t="b">
        <v>1</v>
      </c>
      <c r="AO93" s="287" t="s">
        <v>553</v>
      </c>
      <c r="AP93" s="287" t="s">
        <v>542</v>
      </c>
      <c r="AQ93" s="287" t="s">
        <v>200</v>
      </c>
    </row>
    <row r="94" outlineLevel="1">
      <c r="A94" s="186" t="s">
        <v>350</v>
      </c>
      <c r="B94" s="305" t="s">
        <v>985</v>
      </c>
      <c r="C94" s="186" t="s">
        <v>985</v>
      </c>
      <c r="D94" s="186" t="s">
        <v>525</v>
      </c>
      <c r="E94" s="186" t="s">
        <v>88</v>
      </c>
      <c r="F94" s="186" t="s">
        <v>871</v>
      </c>
      <c r="G94" s="186" t="s">
        <v>199</v>
      </c>
      <c r="H94" s="298">
        <v>44335.0</v>
      </c>
      <c r="I94" s="268">
        <f>IFERROR(__xludf.DUMMYFUNCTION("countif(FILTER(FILTER(Shiftplan!D$7:BJ$67,Shiftplan!$A$7:$A$67&lt;=Shiftplan!$A$67),Shiftplan!$D$6:$BJ$6=A94),""&gt;0"")"),0.0)</f>
        <v>0</v>
      </c>
      <c r="J94" s="186">
        <f>VLOOKUP(A94,'Shiftplan SoS'!A:F,6,false)</f>
        <v>7</v>
      </c>
      <c r="K94" s="306">
        <f t="shared" si="11"/>
        <v>7</v>
      </c>
      <c r="L94" s="186" t="s">
        <v>592</v>
      </c>
      <c r="M94" s="299" t="str">
        <f t="shared" si="17"/>
        <v>2</v>
      </c>
      <c r="N94" s="300" t="str">
        <f t="shared" si="18"/>
        <v>20</v>
      </c>
      <c r="O94" s="186" t="str">
        <f t="shared" si="19"/>
        <v>20</v>
      </c>
      <c r="P94" s="186" t="str">
        <f t="shared" si="20"/>
        <v>10</v>
      </c>
      <c r="Q94" s="186" t="str">
        <f t="shared" si="21"/>
        <v>30</v>
      </c>
      <c r="R94" s="186" t="s">
        <v>527</v>
      </c>
      <c r="S94" s="301" t="s">
        <v>593</v>
      </c>
      <c r="T94" s="301" t="s">
        <v>986</v>
      </c>
      <c r="U94" s="301"/>
      <c r="V94" s="301" t="s">
        <v>527</v>
      </c>
      <c r="W94" s="301" t="s">
        <v>874</v>
      </c>
      <c r="X94" s="301" t="s">
        <v>925</v>
      </c>
      <c r="Y94" s="181"/>
      <c r="Z94" s="186" t="s">
        <v>987</v>
      </c>
      <c r="AA94" s="186">
        <v>40.0</v>
      </c>
      <c r="AB94" s="186">
        <v>3.012489064943E12</v>
      </c>
      <c r="AC94" s="302"/>
      <c r="AD94" s="181"/>
      <c r="AE94" s="181"/>
      <c r="AF94" s="181"/>
      <c r="AG94" s="181"/>
      <c r="AH94" s="186" t="b">
        <v>1</v>
      </c>
      <c r="AI94" s="186" t="b">
        <v>1</v>
      </c>
      <c r="AJ94" s="186" t="b">
        <v>1</v>
      </c>
      <c r="AK94" s="186" t="b">
        <v>1</v>
      </c>
      <c r="AL94" s="186" t="b">
        <v>1</v>
      </c>
      <c r="AM94" s="186" t="b">
        <v>1</v>
      </c>
      <c r="AN94" s="186" t="b">
        <v>1</v>
      </c>
      <c r="AO94" s="186" t="s">
        <v>546</v>
      </c>
      <c r="AP94" s="111" t="s">
        <v>988</v>
      </c>
      <c r="AQ94" s="111" t="s">
        <v>206</v>
      </c>
    </row>
    <row r="95" outlineLevel="1">
      <c r="A95" s="276" t="s">
        <v>282</v>
      </c>
      <c r="B95" s="275" t="s">
        <v>393</v>
      </c>
      <c r="C95" s="275" t="s">
        <v>393</v>
      </c>
      <c r="D95" s="276" t="s">
        <v>525</v>
      </c>
      <c r="E95" s="276" t="s">
        <v>91</v>
      </c>
      <c r="F95" s="276" t="s">
        <v>192</v>
      </c>
      <c r="G95" s="276" t="s">
        <v>199</v>
      </c>
      <c r="H95" s="277">
        <v>44336.0</v>
      </c>
      <c r="I95" s="278">
        <f>IFERROR(__xludf.DUMMYFUNCTION("countif(FILTER(FILTER(Shiftplan!D$7:BJ$67,Shiftplan!$A$7:$A$67&lt;=Shiftplan!$A$67),Shiftplan!$D$6:$BJ$6=A95),""&gt;0"")"),0.0)</f>
        <v>0</v>
      </c>
      <c r="J95" s="276">
        <f>VLOOKUP(A95,'Shiftplan SoS'!A:F,6,false)</f>
        <v>58</v>
      </c>
      <c r="K95" s="278">
        <f t="shared" si="11"/>
        <v>58</v>
      </c>
      <c r="L95" s="276" t="s">
        <v>526</v>
      </c>
      <c r="M95" s="279" t="str">
        <f t="shared" si="17"/>
        <v>6</v>
      </c>
      <c r="N95" s="280" t="str">
        <f t="shared" si="18"/>
        <v>50</v>
      </c>
      <c r="O95" s="276" t="str">
        <f t="shared" si="19"/>
        <v>5</v>
      </c>
      <c r="P95" s="276" t="str">
        <f t="shared" si="20"/>
        <v>0</v>
      </c>
      <c r="Q95" s="276" t="str">
        <f t="shared" si="21"/>
        <v>20</v>
      </c>
      <c r="R95" s="276" t="s">
        <v>527</v>
      </c>
      <c r="S95" s="281" t="s">
        <v>528</v>
      </c>
      <c r="T95" s="281" t="s">
        <v>989</v>
      </c>
      <c r="U95" s="281" t="s">
        <v>990</v>
      </c>
      <c r="V95" s="276" t="s">
        <v>527</v>
      </c>
      <c r="W95" s="281" t="s">
        <v>991</v>
      </c>
      <c r="X95" s="276" t="s">
        <v>527</v>
      </c>
      <c r="Y95" s="276" t="s">
        <v>992</v>
      </c>
      <c r="Z95" s="276" t="s">
        <v>993</v>
      </c>
      <c r="AA95" s="276">
        <v>742.0</v>
      </c>
      <c r="AB95" s="276">
        <v>3.016287213756E12</v>
      </c>
      <c r="AC95" s="284"/>
      <c r="AD95" s="274"/>
      <c r="AE95" s="274"/>
      <c r="AF95" s="274"/>
      <c r="AG95" s="274"/>
      <c r="AH95" s="276" t="b">
        <v>1</v>
      </c>
      <c r="AI95" s="276" t="b">
        <v>1</v>
      </c>
      <c r="AJ95" s="276" t="b">
        <v>1</v>
      </c>
      <c r="AK95" s="276" t="b">
        <v>1</v>
      </c>
      <c r="AL95" s="276" t="b">
        <v>1</v>
      </c>
      <c r="AM95" s="276" t="b">
        <v>1</v>
      </c>
      <c r="AN95" s="276" t="b">
        <v>1</v>
      </c>
      <c r="AO95" s="276" t="s">
        <v>546</v>
      </c>
      <c r="AP95" s="276" t="s">
        <v>775</v>
      </c>
      <c r="AQ95" s="276" t="s">
        <v>200</v>
      </c>
    </row>
    <row r="96" outlineLevel="1">
      <c r="A96" s="111" t="s">
        <v>283</v>
      </c>
      <c r="B96" s="266" t="s">
        <v>459</v>
      </c>
      <c r="C96" s="111" t="s">
        <v>459</v>
      </c>
      <c r="D96" s="111" t="s">
        <v>525</v>
      </c>
      <c r="E96" s="273" t="s">
        <v>88</v>
      </c>
      <c r="F96" s="316" t="s">
        <v>192</v>
      </c>
      <c r="G96" s="111" t="s">
        <v>199</v>
      </c>
      <c r="H96" s="267">
        <v>44337.0</v>
      </c>
      <c r="I96" s="268">
        <f>IFERROR(__xludf.DUMMYFUNCTION("countif(FILTER(FILTER(Shiftplan!D$7:BJ$67,Shiftplan!$A$7:$A$67&lt;=Shiftplan!$A$67),Shiftplan!$D$6:$BJ$6=A96),""&gt;0"")"),0.0)</f>
        <v>0</v>
      </c>
      <c r="J96" s="111">
        <f>VLOOKUP(A96,'Shiftplan SoS'!A:F,6,false)</f>
        <v>74</v>
      </c>
      <c r="K96" s="268">
        <f t="shared" si="11"/>
        <v>74</v>
      </c>
      <c r="L96" s="111" t="s">
        <v>526</v>
      </c>
      <c r="M96" s="269" t="str">
        <f t="shared" si="17"/>
        <v>7</v>
      </c>
      <c r="N96" s="270" t="str">
        <f t="shared" si="18"/>
        <v>60</v>
      </c>
      <c r="O96" s="111" t="str">
        <f t="shared" si="19"/>
        <v>0</v>
      </c>
      <c r="P96" s="111" t="str">
        <f t="shared" si="20"/>
        <v>0</v>
      </c>
      <c r="Q96" s="111" t="str">
        <f t="shared" si="21"/>
        <v>15</v>
      </c>
      <c r="R96" s="111" t="s">
        <v>527</v>
      </c>
      <c r="S96" s="271" t="s">
        <v>528</v>
      </c>
      <c r="T96" s="271" t="s">
        <v>994</v>
      </c>
      <c r="U96" s="271" t="s">
        <v>995</v>
      </c>
      <c r="V96" s="271" t="s">
        <v>527</v>
      </c>
      <c r="W96" s="271" t="s">
        <v>874</v>
      </c>
      <c r="X96" s="111" t="s">
        <v>527</v>
      </c>
      <c r="Y96" s="111" t="s">
        <v>996</v>
      </c>
      <c r="Z96" s="111" t="s">
        <v>995</v>
      </c>
      <c r="AA96" s="111">
        <v>754.0</v>
      </c>
      <c r="AB96" s="111">
        <v>3.019089062222E12</v>
      </c>
      <c r="AC96" s="272"/>
      <c r="AD96" s="273"/>
      <c r="AE96" s="273"/>
      <c r="AF96" s="273"/>
      <c r="AG96" s="273"/>
      <c r="AH96" s="111" t="b">
        <v>1</v>
      </c>
      <c r="AI96" s="111" t="b">
        <v>1</v>
      </c>
      <c r="AJ96" s="111" t="b">
        <v>1</v>
      </c>
      <c r="AK96" s="111" t="b">
        <v>0</v>
      </c>
      <c r="AL96" s="111" t="b">
        <v>1</v>
      </c>
      <c r="AM96" s="111" t="b">
        <v>1</v>
      </c>
      <c r="AN96" s="273" t="b">
        <v>0</v>
      </c>
      <c r="AO96" s="111" t="s">
        <v>546</v>
      </c>
      <c r="AP96" s="111" t="s">
        <v>241</v>
      </c>
      <c r="AQ96" s="111" t="s">
        <v>200</v>
      </c>
    </row>
    <row r="97" outlineLevel="1">
      <c r="A97" s="276" t="s">
        <v>287</v>
      </c>
      <c r="B97" s="275" t="s">
        <v>409</v>
      </c>
      <c r="C97" s="276" t="s">
        <v>409</v>
      </c>
      <c r="D97" s="276" t="s">
        <v>525</v>
      </c>
      <c r="E97" s="276" t="s">
        <v>88</v>
      </c>
      <c r="F97" s="318" t="s">
        <v>192</v>
      </c>
      <c r="G97" s="276" t="s">
        <v>105</v>
      </c>
      <c r="H97" s="277">
        <v>44340.0</v>
      </c>
      <c r="I97" s="278">
        <f>IFERROR(__xludf.DUMMYFUNCTION("countif(FILTER(FILTER(Shiftplan!D$7:BJ$67,Shiftplan!$A$7:$A$67&lt;=Shiftplan!$A$67),Shiftplan!$D$6:$BJ$6=A97),""&gt;0"")"),0.0)</f>
        <v>0</v>
      </c>
      <c r="J97" s="276">
        <f>VLOOKUP(A97,'Shiftplan SoS'!A:F,6,false)</f>
        <v>71</v>
      </c>
      <c r="K97" s="278">
        <f t="shared" si="11"/>
        <v>71</v>
      </c>
      <c r="L97" s="276" t="s">
        <v>526</v>
      </c>
      <c r="M97" s="279" t="str">
        <f t="shared" si="17"/>
        <v>7</v>
      </c>
      <c r="N97" s="280" t="str">
        <f t="shared" si="18"/>
        <v>60</v>
      </c>
      <c r="O97" s="276" t="str">
        <f t="shared" si="19"/>
        <v>0</v>
      </c>
      <c r="P97" s="276" t="str">
        <f t="shared" si="20"/>
        <v>0</v>
      </c>
      <c r="Q97" s="276" t="str">
        <f t="shared" si="21"/>
        <v>15</v>
      </c>
      <c r="R97" s="276" t="s">
        <v>527</v>
      </c>
      <c r="S97" s="281" t="s">
        <v>528</v>
      </c>
      <c r="T97" s="281" t="s">
        <v>997</v>
      </c>
      <c r="U97" s="281" t="s">
        <v>998</v>
      </c>
      <c r="V97" s="276" t="s">
        <v>527</v>
      </c>
      <c r="W97" s="281" t="s">
        <v>874</v>
      </c>
      <c r="X97" s="276" t="s">
        <v>527</v>
      </c>
      <c r="Y97" s="276" t="s">
        <v>999</v>
      </c>
      <c r="Z97" s="276" t="s">
        <v>1000</v>
      </c>
      <c r="AA97" s="276">
        <v>11.0</v>
      </c>
      <c r="AB97" s="276">
        <v>3.015899766814E12</v>
      </c>
      <c r="AC97" s="284"/>
      <c r="AD97" s="274"/>
      <c r="AE97" s="274"/>
      <c r="AF97" s="274"/>
      <c r="AG97" s="274"/>
      <c r="AH97" s="276" t="b">
        <v>1</v>
      </c>
      <c r="AI97" s="276" t="b">
        <v>1</v>
      </c>
      <c r="AJ97" s="276" t="b">
        <v>1</v>
      </c>
      <c r="AK97" s="276" t="b">
        <v>1</v>
      </c>
      <c r="AL97" s="276" t="b">
        <v>1</v>
      </c>
      <c r="AM97" s="276" t="b">
        <v>1</v>
      </c>
      <c r="AN97" s="276" t="b">
        <v>1</v>
      </c>
      <c r="AO97" s="276" t="s">
        <v>553</v>
      </c>
      <c r="AP97" s="287" t="s">
        <v>542</v>
      </c>
      <c r="AQ97" s="276" t="s">
        <v>206</v>
      </c>
    </row>
    <row r="98" outlineLevel="1">
      <c r="A98" s="254" t="s">
        <v>288</v>
      </c>
      <c r="B98" s="254" t="s">
        <v>386</v>
      </c>
      <c r="C98" s="254" t="s">
        <v>1001</v>
      </c>
      <c r="D98" s="111" t="s">
        <v>525</v>
      </c>
      <c r="E98" s="254" t="s">
        <v>88</v>
      </c>
      <c r="F98" s="316" t="s">
        <v>192</v>
      </c>
      <c r="G98" s="316" t="s">
        <v>199</v>
      </c>
      <c r="H98" s="267">
        <v>44340.0</v>
      </c>
      <c r="I98" s="268">
        <f>IFERROR(__xludf.DUMMYFUNCTION("countif(FILTER(FILTER(Shiftplan!D$7:BJ$67,Shiftplan!$A$7:$A$67&lt;=Shiftplan!$A$67),Shiftplan!$D$6:$BJ$6=A98),""&gt;0"")"),0.0)</f>
        <v>0</v>
      </c>
      <c r="J98" s="111">
        <f>VLOOKUP(A98,'Shiftplan SoS'!A:F,6,false)</f>
        <v>31</v>
      </c>
      <c r="K98" s="268">
        <f t="shared" si="11"/>
        <v>31</v>
      </c>
      <c r="L98" s="111" t="s">
        <v>526</v>
      </c>
      <c r="M98" s="269" t="str">
        <f t="shared" si="17"/>
        <v>5</v>
      </c>
      <c r="N98" s="270" t="str">
        <f t="shared" si="18"/>
        <v>40</v>
      </c>
      <c r="O98" s="111" t="str">
        <f t="shared" si="19"/>
        <v>10</v>
      </c>
      <c r="P98" s="111" t="str">
        <f t="shared" si="20"/>
        <v>5</v>
      </c>
      <c r="Q98" s="111" t="str">
        <f t="shared" si="21"/>
        <v>25</v>
      </c>
      <c r="R98" s="254" t="s">
        <v>527</v>
      </c>
      <c r="S98" s="271" t="s">
        <v>528</v>
      </c>
      <c r="T98" s="348" t="s">
        <v>1002</v>
      </c>
      <c r="U98" s="348" t="s">
        <v>1003</v>
      </c>
      <c r="V98" s="111" t="s">
        <v>527</v>
      </c>
      <c r="W98" s="271" t="s">
        <v>874</v>
      </c>
      <c r="X98" s="111" t="s">
        <v>527</v>
      </c>
      <c r="Y98" s="254" t="s">
        <v>1004</v>
      </c>
      <c r="Z98" s="254" t="s">
        <v>1005</v>
      </c>
      <c r="AA98" s="316">
        <v>7.0</v>
      </c>
      <c r="AB98" s="254">
        <v>3.013289654035E12</v>
      </c>
      <c r="AC98" s="167"/>
      <c r="AD98" s="349"/>
      <c r="AE98" s="349"/>
      <c r="AF98" s="349"/>
      <c r="AG98" s="349"/>
      <c r="AH98" s="111" t="b">
        <v>1</v>
      </c>
      <c r="AI98" s="111" t="b">
        <v>1</v>
      </c>
      <c r="AJ98" s="111" t="b">
        <v>1</v>
      </c>
      <c r="AK98" s="111" t="b">
        <v>1</v>
      </c>
      <c r="AL98" s="111" t="b">
        <v>1</v>
      </c>
      <c r="AM98" s="111" t="b">
        <v>1</v>
      </c>
      <c r="AN98" s="273" t="b">
        <v>0</v>
      </c>
      <c r="AO98" s="349" t="s">
        <v>546</v>
      </c>
      <c r="AP98" s="111" t="s">
        <v>542</v>
      </c>
      <c r="AQ98" s="111" t="s">
        <v>200</v>
      </c>
    </row>
    <row r="99" outlineLevel="1">
      <c r="A99" s="276" t="s">
        <v>285</v>
      </c>
      <c r="B99" s="275" t="s">
        <v>391</v>
      </c>
      <c r="C99" s="275" t="s">
        <v>391</v>
      </c>
      <c r="D99" s="276" t="s">
        <v>525</v>
      </c>
      <c r="E99" s="276" t="s">
        <v>88</v>
      </c>
      <c r="F99" s="276" t="s">
        <v>98</v>
      </c>
      <c r="G99" s="276" t="s">
        <v>189</v>
      </c>
      <c r="H99" s="277">
        <v>44340.0</v>
      </c>
      <c r="I99" s="278">
        <f>IFERROR(__xludf.DUMMYFUNCTION("countif(FILTER(FILTER(Shiftplan!D$7:BJ$67,Shiftplan!$A$7:$A$67&lt;=Shiftplan!$A$67),Shiftplan!$D$6:$BJ$6=A99),""&gt;0"")"),0.0)</f>
        <v>0</v>
      </c>
      <c r="J99" s="276">
        <f>VLOOKUP(A99,'Shiftplan SoS'!A:F,6,false)</f>
        <v>68</v>
      </c>
      <c r="K99" s="278">
        <f t="shared" si="11"/>
        <v>68</v>
      </c>
      <c r="L99" s="276" t="s">
        <v>526</v>
      </c>
      <c r="M99" s="279" t="str">
        <f t="shared" si="17"/>
        <v>7</v>
      </c>
      <c r="N99" s="280" t="str">
        <f t="shared" si="18"/>
        <v>60</v>
      </c>
      <c r="O99" s="276" t="str">
        <f t="shared" si="19"/>
        <v>0</v>
      </c>
      <c r="P99" s="276" t="str">
        <f t="shared" si="20"/>
        <v>0</v>
      </c>
      <c r="Q99" s="276" t="str">
        <f t="shared" si="21"/>
        <v>15</v>
      </c>
      <c r="R99" s="276" t="s">
        <v>527</v>
      </c>
      <c r="S99" s="281" t="s">
        <v>528</v>
      </c>
      <c r="T99" s="281" t="s">
        <v>1006</v>
      </c>
      <c r="U99" s="281" t="s">
        <v>1007</v>
      </c>
      <c r="V99" s="276" t="s">
        <v>527</v>
      </c>
      <c r="W99" s="281" t="s">
        <v>874</v>
      </c>
      <c r="X99" s="276" t="s">
        <v>527</v>
      </c>
      <c r="Y99" s="276" t="s">
        <v>1008</v>
      </c>
      <c r="Z99" s="276" t="s">
        <v>1009</v>
      </c>
      <c r="AA99" s="276">
        <v>42.0</v>
      </c>
      <c r="AB99" s="276">
        <v>3.018989651358E12</v>
      </c>
      <c r="AC99" s="284"/>
      <c r="AD99" s="274"/>
      <c r="AE99" s="274"/>
      <c r="AF99" s="274"/>
      <c r="AG99" s="274"/>
      <c r="AH99" s="276" t="b">
        <v>1</v>
      </c>
      <c r="AI99" s="276" t="b">
        <v>1</v>
      </c>
      <c r="AJ99" s="276" t="b">
        <v>1</v>
      </c>
      <c r="AK99" s="276" t="b">
        <v>1</v>
      </c>
      <c r="AL99" s="276" t="b">
        <v>1</v>
      </c>
      <c r="AM99" s="276" t="b">
        <v>1</v>
      </c>
      <c r="AN99" s="274" t="b">
        <v>0</v>
      </c>
      <c r="AO99" s="276" t="s">
        <v>546</v>
      </c>
      <c r="AP99" s="276" t="s">
        <v>542</v>
      </c>
      <c r="AQ99" s="276" t="s">
        <v>190</v>
      </c>
    </row>
    <row r="100" outlineLevel="1">
      <c r="A100" s="111" t="s">
        <v>289</v>
      </c>
      <c r="B100" s="266" t="s">
        <v>399</v>
      </c>
      <c r="C100" s="111" t="s">
        <v>1010</v>
      </c>
      <c r="D100" s="111" t="s">
        <v>525</v>
      </c>
      <c r="E100" s="111" t="s">
        <v>88</v>
      </c>
      <c r="F100" s="111" t="s">
        <v>192</v>
      </c>
      <c r="G100" s="111" t="s">
        <v>105</v>
      </c>
      <c r="H100" s="267">
        <v>44340.0</v>
      </c>
      <c r="I100" s="268">
        <f>IFERROR(__xludf.DUMMYFUNCTION("countif(FILTER(FILTER(Shiftplan!D$7:BJ$67,Shiftplan!$A$7:$A$67&lt;=Shiftplan!$A$67),Shiftplan!$D$6:$BJ$6=A100),""&gt;0"")"),0.0)</f>
        <v>0</v>
      </c>
      <c r="J100" s="111">
        <f>VLOOKUP(A100,'Shiftplan SoS'!A:F,6,false)</f>
        <v>38</v>
      </c>
      <c r="K100" s="268">
        <f t="shared" si="11"/>
        <v>38</v>
      </c>
      <c r="L100" s="111" t="s">
        <v>526</v>
      </c>
      <c r="M100" s="269" t="str">
        <f t="shared" si="17"/>
        <v>5</v>
      </c>
      <c r="N100" s="270" t="str">
        <f t="shared" si="18"/>
        <v>40</v>
      </c>
      <c r="O100" s="111" t="str">
        <f t="shared" si="19"/>
        <v>10</v>
      </c>
      <c r="P100" s="111" t="str">
        <f t="shared" si="20"/>
        <v>5</v>
      </c>
      <c r="Q100" s="111" t="str">
        <f t="shared" si="21"/>
        <v>25</v>
      </c>
      <c r="R100" s="111" t="s">
        <v>527</v>
      </c>
      <c r="S100" s="271" t="s">
        <v>528</v>
      </c>
      <c r="T100" s="271" t="s">
        <v>1011</v>
      </c>
      <c r="U100" s="271" t="s">
        <v>1012</v>
      </c>
      <c r="V100" s="111" t="s">
        <v>527</v>
      </c>
      <c r="W100" s="271" t="s">
        <v>874</v>
      </c>
      <c r="X100" s="111" t="s">
        <v>527</v>
      </c>
      <c r="Y100" s="111" t="s">
        <v>1013</v>
      </c>
      <c r="Z100" s="111" t="s">
        <v>1014</v>
      </c>
      <c r="AA100" s="111">
        <v>7.0</v>
      </c>
      <c r="AB100" s="111">
        <v>3.016689653154E12</v>
      </c>
      <c r="AC100" s="272"/>
      <c r="AD100" s="273"/>
      <c r="AE100" s="273"/>
      <c r="AF100" s="273"/>
      <c r="AG100" s="273"/>
      <c r="AH100" s="111" t="b">
        <v>1</v>
      </c>
      <c r="AI100" s="111" t="b">
        <v>1</v>
      </c>
      <c r="AJ100" s="111" t="b">
        <v>1</v>
      </c>
      <c r="AK100" s="111" t="b">
        <v>1</v>
      </c>
      <c r="AL100" s="111" t="b">
        <v>1</v>
      </c>
      <c r="AM100" s="111" t="b">
        <v>1</v>
      </c>
      <c r="AN100" s="111" t="b">
        <v>1</v>
      </c>
      <c r="AO100" s="111" t="s">
        <v>546</v>
      </c>
      <c r="AP100" s="111" t="s">
        <v>547</v>
      </c>
      <c r="AQ100" s="111" t="s">
        <v>206</v>
      </c>
    </row>
    <row r="101" outlineLevel="1">
      <c r="A101" s="276" t="s">
        <v>284</v>
      </c>
      <c r="B101" s="275" t="s">
        <v>464</v>
      </c>
      <c r="C101" s="276" t="s">
        <v>464</v>
      </c>
      <c r="D101" s="276" t="s">
        <v>525</v>
      </c>
      <c r="E101" s="276" t="s">
        <v>88</v>
      </c>
      <c r="F101" s="276" t="s">
        <v>98</v>
      </c>
      <c r="G101" s="276" t="s">
        <v>189</v>
      </c>
      <c r="H101" s="277">
        <v>44340.0</v>
      </c>
      <c r="I101" s="278">
        <f>IFERROR(__xludf.DUMMYFUNCTION("countif(FILTER(FILTER(Shiftplan!D$7:BJ$67,Shiftplan!$A$7:$A$67&lt;=Shiftplan!$A$67),Shiftplan!$D$6:$BJ$6=A101),""&gt;0"")"),0.0)</f>
        <v>0</v>
      </c>
      <c r="J101" s="276">
        <f>VLOOKUP(A101,'Shiftplan SoS'!A:F,6,false)</f>
        <v>72</v>
      </c>
      <c r="K101" s="278">
        <f t="shared" si="11"/>
        <v>72</v>
      </c>
      <c r="L101" s="276" t="s">
        <v>526</v>
      </c>
      <c r="M101" s="279" t="str">
        <f t="shared" si="17"/>
        <v>7</v>
      </c>
      <c r="N101" s="280" t="str">
        <f t="shared" si="18"/>
        <v>60</v>
      </c>
      <c r="O101" s="276" t="str">
        <f t="shared" si="19"/>
        <v>0</v>
      </c>
      <c r="P101" s="276" t="str">
        <f t="shared" si="20"/>
        <v>0</v>
      </c>
      <c r="Q101" s="276" t="str">
        <f t="shared" si="21"/>
        <v>15</v>
      </c>
      <c r="R101" s="276" t="s">
        <v>527</v>
      </c>
      <c r="S101" s="281" t="s">
        <v>528</v>
      </c>
      <c r="T101" s="281" t="s">
        <v>1015</v>
      </c>
      <c r="U101" s="281" t="s">
        <v>1016</v>
      </c>
      <c r="V101" s="276" t="s">
        <v>527</v>
      </c>
      <c r="W101" s="281" t="s">
        <v>874</v>
      </c>
      <c r="X101" s="276" t="s">
        <v>527</v>
      </c>
      <c r="Y101" s="276" t="s">
        <v>1017</v>
      </c>
      <c r="Z101" s="276" t="s">
        <v>1018</v>
      </c>
      <c r="AA101" s="276">
        <v>2.0</v>
      </c>
      <c r="AB101" s="276">
        <v>3.018389630982E12</v>
      </c>
      <c r="AC101" s="284"/>
      <c r="AD101" s="274"/>
      <c r="AE101" s="274"/>
      <c r="AF101" s="274"/>
      <c r="AG101" s="274"/>
      <c r="AH101" s="276" t="b">
        <v>1</v>
      </c>
      <c r="AI101" s="276" t="b">
        <v>1</v>
      </c>
      <c r="AJ101" s="276" t="b">
        <v>1</v>
      </c>
      <c r="AK101" s="276" t="b">
        <v>1</v>
      </c>
      <c r="AL101" s="276" t="b">
        <v>1</v>
      </c>
      <c r="AM101" s="276" t="b">
        <v>1</v>
      </c>
      <c r="AN101" s="276" t="b">
        <v>1</v>
      </c>
      <c r="AO101" s="276" t="s">
        <v>553</v>
      </c>
      <c r="AP101" s="276" t="s">
        <v>542</v>
      </c>
      <c r="AQ101" s="276" t="s">
        <v>190</v>
      </c>
    </row>
    <row r="102" outlineLevel="1">
      <c r="A102" s="186" t="s">
        <v>347</v>
      </c>
      <c r="B102" s="305" t="s">
        <v>1019</v>
      </c>
      <c r="C102" s="186" t="s">
        <v>1020</v>
      </c>
      <c r="D102" s="186" t="s">
        <v>525</v>
      </c>
      <c r="E102" s="186" t="s">
        <v>1021</v>
      </c>
      <c r="F102" s="186" t="s">
        <v>97</v>
      </c>
      <c r="G102" s="186" t="s">
        <v>1022</v>
      </c>
      <c r="H102" s="298">
        <v>44340.0</v>
      </c>
      <c r="I102" s="268">
        <f>IFERROR(__xludf.DUMMYFUNCTION("countif(FILTER(FILTER(Shiftplan!D$7:BJ$67,Shiftplan!$A$7:$A$67&lt;=Shiftplan!$A$67),Shiftplan!$D$6:$BJ$6=A102),""&gt;0"")"),0.0)</f>
        <v>0</v>
      </c>
      <c r="J102" s="186">
        <f>VLOOKUP(A102,'Shiftplan SoS'!A:F,6,false)</f>
        <v>0</v>
      </c>
      <c r="K102" s="306">
        <f t="shared" si="11"/>
        <v>0</v>
      </c>
      <c r="L102" s="186" t="s">
        <v>592</v>
      </c>
      <c r="M102" s="299" t="str">
        <f t="shared" si="17"/>
        <v>0</v>
      </c>
      <c r="N102" s="300" t="str">
        <f t="shared" si="18"/>
        <v>0</v>
      </c>
      <c r="O102" s="186" t="str">
        <f t="shared" si="19"/>
        <v>-</v>
      </c>
      <c r="P102" s="186" t="str">
        <f t="shared" si="20"/>
        <v>-</v>
      </c>
      <c r="Q102" s="186" t="str">
        <f t="shared" si="21"/>
        <v>-</v>
      </c>
      <c r="R102" s="186" t="s">
        <v>527</v>
      </c>
      <c r="S102" s="301" t="s">
        <v>1023</v>
      </c>
      <c r="T102" s="350"/>
      <c r="U102" s="350"/>
      <c r="V102" s="301" t="s">
        <v>925</v>
      </c>
      <c r="W102" s="350"/>
      <c r="X102" s="301" t="s">
        <v>925</v>
      </c>
      <c r="Y102" s="181"/>
      <c r="Z102" s="181"/>
      <c r="AA102" s="181"/>
      <c r="AB102" s="181"/>
      <c r="AC102" s="302"/>
      <c r="AD102" s="181"/>
      <c r="AE102" s="181"/>
      <c r="AF102" s="181"/>
      <c r="AG102" s="181"/>
      <c r="AH102" s="186" t="b">
        <v>1</v>
      </c>
      <c r="AI102" s="186" t="b">
        <v>0</v>
      </c>
      <c r="AJ102" s="186" t="b">
        <v>0</v>
      </c>
      <c r="AK102" s="186" t="b">
        <v>0</v>
      </c>
      <c r="AL102" s="181" t="b">
        <v>0</v>
      </c>
      <c r="AM102" s="181" t="b">
        <v>0</v>
      </c>
      <c r="AN102" s="181" t="b">
        <v>0</v>
      </c>
      <c r="AO102" s="186" t="s">
        <v>546</v>
      </c>
      <c r="AP102" s="111" t="s">
        <v>576</v>
      </c>
      <c r="AQ102" s="111" t="s">
        <v>200</v>
      </c>
    </row>
    <row r="103" outlineLevel="1">
      <c r="A103" s="309" t="s">
        <v>286</v>
      </c>
      <c r="B103" s="2" t="s">
        <v>440</v>
      </c>
      <c r="C103" s="309" t="s">
        <v>1024</v>
      </c>
      <c r="D103" s="276" t="s">
        <v>525</v>
      </c>
      <c r="E103" s="309" t="s">
        <v>1025</v>
      </c>
      <c r="F103" s="318" t="s">
        <v>97</v>
      </c>
      <c r="G103" s="318" t="s">
        <v>199</v>
      </c>
      <c r="H103" s="277">
        <v>44341.0</v>
      </c>
      <c r="I103" s="278">
        <f>IFERROR(__xludf.DUMMYFUNCTION("countif(FILTER(FILTER(Shiftplan!D$7:BJ$67,Shiftplan!$A$7:$A$67&lt;=Shiftplan!$A$67),Shiftplan!$D$6:$BJ$6=A103),""&gt;0"")"),0.0)</f>
        <v>0</v>
      </c>
      <c r="J103" s="276">
        <f>VLOOKUP(A103,'Shiftplan SoS'!A:F,6,false)</f>
        <v>22</v>
      </c>
      <c r="K103" s="278">
        <f t="shared" si="11"/>
        <v>22</v>
      </c>
      <c r="L103" s="276" t="s">
        <v>526</v>
      </c>
      <c r="M103" s="279" t="str">
        <f t="shared" si="17"/>
        <v>5</v>
      </c>
      <c r="N103" s="280" t="str">
        <f t="shared" si="18"/>
        <v>40</v>
      </c>
      <c r="O103" s="276" t="str">
        <f t="shared" si="19"/>
        <v>10</v>
      </c>
      <c r="P103" s="276" t="str">
        <f t="shared" si="20"/>
        <v>5</v>
      </c>
      <c r="Q103" s="276" t="str">
        <f t="shared" si="21"/>
        <v>25</v>
      </c>
      <c r="R103" s="309" t="s">
        <v>527</v>
      </c>
      <c r="S103" s="281" t="s">
        <v>528</v>
      </c>
      <c r="T103" s="351" t="s">
        <v>1026</v>
      </c>
      <c r="U103" s="351" t="s">
        <v>1027</v>
      </c>
      <c r="V103" s="276" t="s">
        <v>527</v>
      </c>
      <c r="W103" s="281" t="s">
        <v>874</v>
      </c>
      <c r="X103" s="276" t="s">
        <v>527</v>
      </c>
      <c r="Y103" s="309" t="s">
        <v>1028</v>
      </c>
      <c r="Z103" s="309" t="s">
        <v>1029</v>
      </c>
      <c r="AA103" s="318">
        <v>49.0</v>
      </c>
      <c r="AB103" s="309">
        <v>3.016689791242E12</v>
      </c>
      <c r="AC103" s="352"/>
      <c r="AD103" s="353"/>
      <c r="AE103" s="353"/>
      <c r="AF103" s="353"/>
      <c r="AG103" s="353"/>
      <c r="AH103" s="276" t="b">
        <v>1</v>
      </c>
      <c r="AI103" s="276" t="b">
        <v>1</v>
      </c>
      <c r="AJ103" s="276" t="b">
        <v>1</v>
      </c>
      <c r="AK103" s="276" t="b">
        <v>1</v>
      </c>
      <c r="AL103" s="276" t="b">
        <v>1</v>
      </c>
      <c r="AM103" s="276" t="b">
        <v>1</v>
      </c>
      <c r="AN103" s="274" t="b">
        <v>0</v>
      </c>
      <c r="AO103" s="353" t="s">
        <v>546</v>
      </c>
      <c r="AP103" s="309" t="s">
        <v>653</v>
      </c>
      <c r="AQ103" s="276" t="s">
        <v>200</v>
      </c>
    </row>
    <row r="104" outlineLevel="1">
      <c r="A104" s="186" t="s">
        <v>348</v>
      </c>
      <c r="B104" s="305" t="s">
        <v>431</v>
      </c>
      <c r="C104" s="186" t="s">
        <v>431</v>
      </c>
      <c r="D104" s="186" t="s">
        <v>525</v>
      </c>
      <c r="E104" s="186" t="s">
        <v>88</v>
      </c>
      <c r="F104" s="186" t="s">
        <v>192</v>
      </c>
      <c r="G104" s="186" t="s">
        <v>189</v>
      </c>
      <c r="H104" s="298">
        <v>44342.0</v>
      </c>
      <c r="I104" s="306">
        <f>IFERROR(__xludf.DUMMYFUNCTION("countif(FILTER(FILTER(Shiftplan!D$7:BJ$67,Shiftplan!$A$7:$A$67&lt;=Shiftplan!$A$67),Shiftplan!$D$6:$BJ$6=A104),""&gt;0"")"),0.0)</f>
        <v>0</v>
      </c>
      <c r="J104" s="186">
        <f>VLOOKUP(A104,'Shiftplan SoS'!A:F,6,false)</f>
        <v>41</v>
      </c>
      <c r="K104" s="306">
        <f t="shared" si="11"/>
        <v>41</v>
      </c>
      <c r="L104" s="186" t="s">
        <v>592</v>
      </c>
      <c r="M104" s="299" t="str">
        <f t="shared" si="17"/>
        <v>6</v>
      </c>
      <c r="N104" s="300" t="str">
        <f t="shared" si="18"/>
        <v>50</v>
      </c>
      <c r="O104" s="186" t="str">
        <f t="shared" si="19"/>
        <v>5</v>
      </c>
      <c r="P104" s="186" t="str">
        <f t="shared" si="20"/>
        <v>0</v>
      </c>
      <c r="Q104" s="186" t="str">
        <f t="shared" si="21"/>
        <v>20</v>
      </c>
      <c r="R104" s="186" t="s">
        <v>527</v>
      </c>
      <c r="S104" s="301" t="s">
        <v>528</v>
      </c>
      <c r="T104" s="301" t="s">
        <v>1030</v>
      </c>
      <c r="U104" s="301" t="s">
        <v>1031</v>
      </c>
      <c r="V104" s="301" t="s">
        <v>527</v>
      </c>
      <c r="W104" s="301" t="s">
        <v>874</v>
      </c>
      <c r="X104" s="186" t="s">
        <v>527</v>
      </c>
      <c r="Y104" s="186" t="s">
        <v>1032</v>
      </c>
      <c r="Z104" s="186" t="s">
        <v>1033</v>
      </c>
      <c r="AA104" s="186">
        <v>34.0</v>
      </c>
      <c r="AB104" s="186">
        <v>3.014289875331E12</v>
      </c>
      <c r="AC104" s="302"/>
      <c r="AD104" s="181"/>
      <c r="AE104" s="181"/>
      <c r="AF104" s="181"/>
      <c r="AG104" s="181"/>
      <c r="AH104" s="186" t="b">
        <v>1</v>
      </c>
      <c r="AI104" s="186" t="b">
        <v>1</v>
      </c>
      <c r="AJ104" s="186" t="b">
        <v>1</v>
      </c>
      <c r="AK104" s="186" t="b">
        <v>1</v>
      </c>
      <c r="AL104" s="186" t="b">
        <v>1</v>
      </c>
      <c r="AM104" s="186" t="b">
        <v>1</v>
      </c>
      <c r="AN104" s="186" t="b">
        <v>1</v>
      </c>
      <c r="AO104" s="342" t="s">
        <v>546</v>
      </c>
      <c r="AP104" s="186" t="s">
        <v>534</v>
      </c>
      <c r="AQ104" s="186" t="s">
        <v>190</v>
      </c>
    </row>
    <row r="105" outlineLevel="1">
      <c r="A105" s="276" t="s">
        <v>290</v>
      </c>
      <c r="B105" s="275" t="s">
        <v>457</v>
      </c>
      <c r="C105" s="275" t="s">
        <v>457</v>
      </c>
      <c r="D105" s="276" t="s">
        <v>525</v>
      </c>
      <c r="E105" s="354" t="s">
        <v>88</v>
      </c>
      <c r="F105" s="276" t="s">
        <v>98</v>
      </c>
      <c r="G105" s="276" t="s">
        <v>105</v>
      </c>
      <c r="H105" s="277">
        <v>44343.0</v>
      </c>
      <c r="I105" s="278">
        <f>IFERROR(__xludf.DUMMYFUNCTION("countif(FILTER(FILTER(Shiftplan!D$7:BJ$67,Shiftplan!$A$7:$A$67&lt;=Shiftplan!$A$67),Shiftplan!$D$6:$BJ$6=A105),""&gt;0"")"),0.0)</f>
        <v>0</v>
      </c>
      <c r="J105" s="276">
        <f>VLOOKUP(A105,'Shiftplan SoS'!A:F,6,false)</f>
        <v>55</v>
      </c>
      <c r="K105" s="278">
        <f t="shared" si="11"/>
        <v>55</v>
      </c>
      <c r="L105" s="276" t="s">
        <v>526</v>
      </c>
      <c r="M105" s="279" t="str">
        <f t="shared" si="17"/>
        <v>6</v>
      </c>
      <c r="N105" s="280" t="str">
        <f t="shared" si="18"/>
        <v>50</v>
      </c>
      <c r="O105" s="276" t="str">
        <f t="shared" si="19"/>
        <v>5</v>
      </c>
      <c r="P105" s="276" t="str">
        <f t="shared" si="20"/>
        <v>0</v>
      </c>
      <c r="Q105" s="276" t="str">
        <f t="shared" si="21"/>
        <v>20</v>
      </c>
      <c r="R105" s="276" t="s">
        <v>527</v>
      </c>
      <c r="S105" s="281" t="s">
        <v>528</v>
      </c>
      <c r="T105" s="281" t="s">
        <v>1034</v>
      </c>
      <c r="U105" s="281" t="s">
        <v>1035</v>
      </c>
      <c r="V105" s="276" t="s">
        <v>527</v>
      </c>
      <c r="W105" s="281" t="s">
        <v>874</v>
      </c>
      <c r="X105" s="276" t="s">
        <v>527</v>
      </c>
      <c r="Y105" s="276" t="s">
        <v>1036</v>
      </c>
      <c r="Z105" s="276" t="s">
        <v>1037</v>
      </c>
      <c r="AA105" s="276">
        <v>655.0</v>
      </c>
      <c r="AB105" s="276">
        <v>3.016489995888E12</v>
      </c>
      <c r="AC105" s="284"/>
      <c r="AD105" s="274"/>
      <c r="AE105" s="274"/>
      <c r="AF105" s="274"/>
      <c r="AG105" s="274"/>
      <c r="AH105" s="276" t="b">
        <v>1</v>
      </c>
      <c r="AI105" s="276" t="b">
        <v>1</v>
      </c>
      <c r="AJ105" s="276" t="b">
        <v>1</v>
      </c>
      <c r="AK105" s="276" t="b">
        <v>1</v>
      </c>
      <c r="AL105" s="276" t="b">
        <v>1</v>
      </c>
      <c r="AM105" s="274" t="b">
        <v>0</v>
      </c>
      <c r="AN105" s="274" t="b">
        <v>0</v>
      </c>
      <c r="AO105" s="353" t="s">
        <v>546</v>
      </c>
      <c r="AP105" s="276" t="s">
        <v>1038</v>
      </c>
      <c r="AQ105" s="276" t="s">
        <v>206</v>
      </c>
    </row>
    <row r="106" outlineLevel="1">
      <c r="A106" s="186" t="s">
        <v>346</v>
      </c>
      <c r="B106" s="305" t="s">
        <v>1039</v>
      </c>
      <c r="C106" s="305" t="s">
        <v>1039</v>
      </c>
      <c r="D106" s="186" t="s">
        <v>525</v>
      </c>
      <c r="E106" s="186" t="s">
        <v>91</v>
      </c>
      <c r="F106" s="355" t="s">
        <v>97</v>
      </c>
      <c r="G106" s="355" t="s">
        <v>199</v>
      </c>
      <c r="H106" s="298">
        <v>44343.0</v>
      </c>
      <c r="I106" s="268">
        <f>IFERROR(__xludf.DUMMYFUNCTION("countif(FILTER(FILTER(Shiftplan!D$7:BJ$67,Shiftplan!$A$7:$A$67&lt;=Shiftplan!$A$67),Shiftplan!$D$6:$BJ$6=A106),""&gt;0"")"),0.0)</f>
        <v>0</v>
      </c>
      <c r="J106" s="186">
        <f>VLOOKUP(A106,'Shiftplan SoS'!A:F,6,false)</f>
        <v>3</v>
      </c>
      <c r="K106" s="306">
        <f t="shared" si="11"/>
        <v>3</v>
      </c>
      <c r="L106" s="186" t="s">
        <v>592</v>
      </c>
      <c r="M106" s="299" t="str">
        <f t="shared" si="17"/>
        <v>1</v>
      </c>
      <c r="N106" s="300" t="str">
        <f t="shared" si="18"/>
        <v>10</v>
      </c>
      <c r="O106" s="186" t="str">
        <f t="shared" si="19"/>
        <v>-</v>
      </c>
      <c r="P106" s="186" t="str">
        <f t="shared" si="20"/>
        <v>-</v>
      </c>
      <c r="Q106" s="186" t="str">
        <f t="shared" si="21"/>
        <v>-</v>
      </c>
      <c r="R106" s="186" t="s">
        <v>527</v>
      </c>
      <c r="S106" s="301" t="s">
        <v>528</v>
      </c>
      <c r="T106" s="301" t="s">
        <v>1040</v>
      </c>
      <c r="U106" s="301" t="s">
        <v>1041</v>
      </c>
      <c r="V106" s="186" t="s">
        <v>527</v>
      </c>
      <c r="W106" s="301" t="s">
        <v>874</v>
      </c>
      <c r="X106" s="186" t="s">
        <v>527</v>
      </c>
      <c r="Y106" s="186" t="s">
        <v>1042</v>
      </c>
      <c r="Z106" s="186" t="s">
        <v>1043</v>
      </c>
      <c r="AA106" s="186">
        <v>50.0</v>
      </c>
      <c r="AB106" s="186">
        <v>3.065190004062E12</v>
      </c>
      <c r="AC106" s="302"/>
      <c r="AD106" s="181"/>
      <c r="AE106" s="181"/>
      <c r="AF106" s="181"/>
      <c r="AG106" s="181"/>
      <c r="AH106" s="186" t="b">
        <v>1</v>
      </c>
      <c r="AI106" s="186" t="b">
        <v>1</v>
      </c>
      <c r="AJ106" s="186" t="b">
        <v>1</v>
      </c>
      <c r="AK106" s="186" t="b">
        <v>0</v>
      </c>
      <c r="AL106" s="181" t="b">
        <v>0</v>
      </c>
      <c r="AM106" s="181" t="b">
        <v>0</v>
      </c>
      <c r="AN106" s="181" t="b">
        <v>0</v>
      </c>
      <c r="AO106" s="342" t="s">
        <v>546</v>
      </c>
      <c r="AP106" s="186" t="s">
        <v>554</v>
      </c>
      <c r="AQ106" s="111" t="s">
        <v>608</v>
      </c>
    </row>
    <row r="107" ht="16.5" customHeight="1" outlineLevel="1">
      <c r="A107" s="356" t="s">
        <v>291</v>
      </c>
      <c r="B107" s="356" t="s">
        <v>390</v>
      </c>
      <c r="C107" s="356" t="s">
        <v>390</v>
      </c>
      <c r="D107" s="276" t="s">
        <v>525</v>
      </c>
      <c r="E107" s="276" t="s">
        <v>88</v>
      </c>
      <c r="F107" s="276" t="s">
        <v>192</v>
      </c>
      <c r="G107" s="276" t="s">
        <v>199</v>
      </c>
      <c r="H107" s="277">
        <v>44347.0</v>
      </c>
      <c r="I107" s="278">
        <f>IFERROR(__xludf.DUMMYFUNCTION("countif(FILTER(FILTER(Shiftplan!D$7:BJ$67,Shiftplan!$A$7:$A$67&lt;=Shiftplan!$A$67),Shiftplan!$D$6:$BJ$6=A107),""&gt;0"")"),0.0)</f>
        <v>0</v>
      </c>
      <c r="J107" s="276">
        <f>VLOOKUP(A107,'Shiftplan SoS'!A:F,6,false)</f>
        <v>68</v>
      </c>
      <c r="K107" s="278">
        <f t="shared" si="11"/>
        <v>68</v>
      </c>
      <c r="L107" s="276" t="s">
        <v>526</v>
      </c>
      <c r="M107" s="279" t="str">
        <f t="shared" si="17"/>
        <v>7</v>
      </c>
      <c r="N107" s="280" t="str">
        <f t="shared" si="18"/>
        <v>60</v>
      </c>
      <c r="O107" s="276" t="str">
        <f t="shared" si="19"/>
        <v>0</v>
      </c>
      <c r="P107" s="276" t="str">
        <f t="shared" si="20"/>
        <v>0</v>
      </c>
      <c r="Q107" s="276" t="str">
        <f t="shared" si="21"/>
        <v>15</v>
      </c>
      <c r="R107" s="276" t="s">
        <v>527</v>
      </c>
      <c r="S107" s="356" t="s">
        <v>528</v>
      </c>
      <c r="T107" s="357" t="s">
        <v>1044</v>
      </c>
      <c r="U107" s="357" t="s">
        <v>1045</v>
      </c>
      <c r="V107" s="276" t="s">
        <v>527</v>
      </c>
      <c r="W107" s="281" t="s">
        <v>874</v>
      </c>
      <c r="X107" s="276" t="s">
        <v>527</v>
      </c>
      <c r="Y107" s="356" t="s">
        <v>1046</v>
      </c>
      <c r="Z107" s="356" t="s">
        <v>291</v>
      </c>
      <c r="AA107" s="276">
        <v>35.0</v>
      </c>
      <c r="AB107" s="356">
        <v>3.017090524711E12</v>
      </c>
      <c r="AH107" s="276" t="b">
        <v>1</v>
      </c>
      <c r="AI107" s="276" t="b">
        <v>1</v>
      </c>
      <c r="AJ107" s="276" t="b">
        <v>1</v>
      </c>
      <c r="AK107" s="276" t="b">
        <v>0</v>
      </c>
      <c r="AL107" s="274" t="b">
        <v>0</v>
      </c>
      <c r="AM107" s="274" t="b">
        <v>0</v>
      </c>
      <c r="AN107" s="274" t="b">
        <v>0</v>
      </c>
      <c r="AO107" s="276" t="s">
        <v>546</v>
      </c>
      <c r="AP107" s="276" t="s">
        <v>576</v>
      </c>
      <c r="AQ107" s="276" t="s">
        <v>200</v>
      </c>
    </row>
    <row r="108" outlineLevel="1">
      <c r="A108" s="111" t="s">
        <v>292</v>
      </c>
      <c r="B108" s="111" t="s">
        <v>429</v>
      </c>
      <c r="C108" s="111" t="s">
        <v>429</v>
      </c>
      <c r="D108" s="111" t="s">
        <v>525</v>
      </c>
      <c r="E108" s="111" t="s">
        <v>88</v>
      </c>
      <c r="F108" s="111" t="s">
        <v>97</v>
      </c>
      <c r="G108" s="111" t="s">
        <v>189</v>
      </c>
      <c r="H108" s="267">
        <v>44347.0</v>
      </c>
      <c r="I108" s="268">
        <f>IFERROR(__xludf.DUMMYFUNCTION("countif(FILTER(FILTER(Shiftplan!D$7:BJ$67,Shiftplan!$A$7:$A$67&lt;=Shiftplan!$A$67),Shiftplan!$D$6:$BJ$6=A108),""&gt;0"")"),0.0)</f>
        <v>0</v>
      </c>
      <c r="J108" s="111">
        <f>VLOOKUP(A108,'Shiftplan SoS'!A:F,6,false)</f>
        <v>30</v>
      </c>
      <c r="K108" s="268">
        <f t="shared" si="11"/>
        <v>30</v>
      </c>
      <c r="L108" s="111" t="s">
        <v>526</v>
      </c>
      <c r="M108" s="269" t="str">
        <f t="shared" si="17"/>
        <v>5</v>
      </c>
      <c r="N108" s="270" t="str">
        <f t="shared" si="18"/>
        <v>40</v>
      </c>
      <c r="O108" s="111" t="str">
        <f t="shared" si="19"/>
        <v>10</v>
      </c>
      <c r="P108" s="111" t="str">
        <f t="shared" si="20"/>
        <v>5</v>
      </c>
      <c r="Q108" s="111" t="str">
        <f t="shared" si="21"/>
        <v>25</v>
      </c>
      <c r="R108" s="111" t="s">
        <v>527</v>
      </c>
      <c r="S108" s="358" t="s">
        <v>528</v>
      </c>
      <c r="T108" s="271" t="s">
        <v>1047</v>
      </c>
      <c r="U108" s="271" t="s">
        <v>1048</v>
      </c>
      <c r="V108" s="111" t="s">
        <v>527</v>
      </c>
      <c r="W108" s="271" t="s">
        <v>874</v>
      </c>
      <c r="X108" s="111" t="s">
        <v>527</v>
      </c>
      <c r="Y108" s="111" t="s">
        <v>1049</v>
      </c>
      <c r="Z108" s="254" t="s">
        <v>1050</v>
      </c>
      <c r="AA108" s="316">
        <v>10.0</v>
      </c>
      <c r="AB108" s="254">
        <v>3.011690527985E12</v>
      </c>
      <c r="AC108" s="272"/>
      <c r="AD108" s="273"/>
      <c r="AE108" s="273"/>
      <c r="AF108" s="273"/>
      <c r="AG108" s="273"/>
      <c r="AH108" s="111" t="b">
        <v>1</v>
      </c>
      <c r="AI108" s="111" t="b">
        <v>1</v>
      </c>
      <c r="AJ108" s="111" t="b">
        <v>1</v>
      </c>
      <c r="AK108" s="111" t="b">
        <v>0</v>
      </c>
      <c r="AL108" s="273" t="b">
        <v>0</v>
      </c>
      <c r="AM108" s="111" t="b">
        <v>1</v>
      </c>
      <c r="AN108" s="273" t="b">
        <v>0</v>
      </c>
      <c r="AO108" s="111" t="s">
        <v>546</v>
      </c>
      <c r="AP108" s="111" t="s">
        <v>554</v>
      </c>
      <c r="AQ108" s="111" t="s">
        <v>190</v>
      </c>
    </row>
    <row r="109" outlineLevel="1">
      <c r="A109" s="309" t="s">
        <v>294</v>
      </c>
      <c r="B109" s="309" t="s">
        <v>453</v>
      </c>
      <c r="C109" s="309" t="s">
        <v>453</v>
      </c>
      <c r="D109" s="276" t="s">
        <v>525</v>
      </c>
      <c r="E109" s="309" t="s">
        <v>88</v>
      </c>
      <c r="F109" s="309" t="s">
        <v>192</v>
      </c>
      <c r="G109" s="318" t="s">
        <v>105</v>
      </c>
      <c r="H109" s="277">
        <v>44347.0</v>
      </c>
      <c r="I109" s="278">
        <f>IFERROR(__xludf.DUMMYFUNCTION("countif(FILTER(FILTER(Shiftplan!D$7:BJ$67,Shiftplan!$A$7:$A$67&lt;=Shiftplan!$A$67),Shiftplan!$D$6:$BJ$6=A109),""&gt;0"")"),0.0)</f>
        <v>0</v>
      </c>
      <c r="J109" s="276">
        <f>VLOOKUP(A109,'Shiftplan SoS'!A:F,6,false)</f>
        <v>42</v>
      </c>
      <c r="K109" s="278">
        <f t="shared" si="11"/>
        <v>42</v>
      </c>
      <c r="L109" s="276" t="s">
        <v>526</v>
      </c>
      <c r="M109" s="279" t="str">
        <f t="shared" si="17"/>
        <v>6</v>
      </c>
      <c r="N109" s="280" t="str">
        <f t="shared" si="18"/>
        <v>50</v>
      </c>
      <c r="O109" s="276" t="str">
        <f t="shared" si="19"/>
        <v>5</v>
      </c>
      <c r="P109" s="276" t="str">
        <f t="shared" si="20"/>
        <v>0</v>
      </c>
      <c r="Q109" s="276" t="str">
        <f t="shared" si="21"/>
        <v>20</v>
      </c>
      <c r="R109" s="276" t="s">
        <v>527</v>
      </c>
      <c r="S109" s="356" t="s">
        <v>528</v>
      </c>
      <c r="T109" s="351" t="s">
        <v>1051</v>
      </c>
      <c r="U109" s="351" t="s">
        <v>1052</v>
      </c>
      <c r="V109" s="351" t="s">
        <v>528</v>
      </c>
      <c r="W109" s="281" t="s">
        <v>874</v>
      </c>
      <c r="X109" s="276" t="s">
        <v>527</v>
      </c>
      <c r="Y109" s="356" t="s">
        <v>1053</v>
      </c>
      <c r="Z109" s="309" t="s">
        <v>1052</v>
      </c>
      <c r="AA109" s="318">
        <v>59.0</v>
      </c>
      <c r="AB109" s="309">
        <v>3.016590533258E12</v>
      </c>
      <c r="AC109" s="352"/>
      <c r="AD109" s="353"/>
      <c r="AE109" s="353"/>
      <c r="AF109" s="353"/>
      <c r="AG109" s="353"/>
      <c r="AH109" s="276" t="b">
        <v>1</v>
      </c>
      <c r="AI109" s="276" t="b">
        <v>1</v>
      </c>
      <c r="AJ109" s="276" t="b">
        <v>1</v>
      </c>
      <c r="AK109" s="276" t="b">
        <v>0</v>
      </c>
      <c r="AL109" s="274" t="b">
        <v>0</v>
      </c>
      <c r="AM109" s="274" t="b">
        <v>0</v>
      </c>
      <c r="AN109" s="274" t="b">
        <v>0</v>
      </c>
      <c r="AO109" s="276" t="s">
        <v>546</v>
      </c>
      <c r="AP109" s="276" t="s">
        <v>576</v>
      </c>
      <c r="AQ109" s="276" t="s">
        <v>206</v>
      </c>
    </row>
    <row r="110" outlineLevel="1">
      <c r="A110" s="254" t="s">
        <v>293</v>
      </c>
      <c r="B110" s="254" t="s">
        <v>478</v>
      </c>
      <c r="C110" s="254" t="s">
        <v>478</v>
      </c>
      <c r="D110" s="111" t="s">
        <v>525</v>
      </c>
      <c r="E110" s="254" t="s">
        <v>88</v>
      </c>
      <c r="F110" s="111" t="s">
        <v>192</v>
      </c>
      <c r="G110" s="316" t="s">
        <v>189</v>
      </c>
      <c r="H110" s="267">
        <v>44347.0</v>
      </c>
      <c r="I110" s="268">
        <f>IFERROR(__xludf.DUMMYFUNCTION("countif(FILTER(FILTER(Shiftplan!D$7:BJ$67,Shiftplan!$A$7:$A$67&lt;=Shiftplan!$A$67),Shiftplan!$D$6:$BJ$6=A110),""&gt;0"")"),0.0)</f>
        <v>0</v>
      </c>
      <c r="J110" s="111">
        <f>VLOOKUP(A110,'Shiftplan SoS'!A:F,6,false)</f>
        <v>34</v>
      </c>
      <c r="K110" s="268">
        <f t="shared" si="11"/>
        <v>34</v>
      </c>
      <c r="L110" s="111" t="s">
        <v>526</v>
      </c>
      <c r="M110" s="269" t="str">
        <f t="shared" si="17"/>
        <v>5</v>
      </c>
      <c r="N110" s="270" t="str">
        <f t="shared" si="18"/>
        <v>40</v>
      </c>
      <c r="O110" s="111" t="str">
        <f t="shared" si="19"/>
        <v>10</v>
      </c>
      <c r="P110" s="111" t="str">
        <f t="shared" si="20"/>
        <v>5</v>
      </c>
      <c r="Q110" s="111" t="str">
        <f t="shared" si="21"/>
        <v>25</v>
      </c>
      <c r="R110" s="111" t="s">
        <v>527</v>
      </c>
      <c r="S110" s="358" t="s">
        <v>528</v>
      </c>
      <c r="T110" s="348" t="s">
        <v>1054</v>
      </c>
      <c r="U110" s="348" t="s">
        <v>1055</v>
      </c>
      <c r="V110" s="111" t="s">
        <v>527</v>
      </c>
      <c r="W110" s="271" t="s">
        <v>874</v>
      </c>
      <c r="X110" s="111" t="s">
        <v>527</v>
      </c>
      <c r="Y110" s="254" t="s">
        <v>1056</v>
      </c>
      <c r="Z110" s="358" t="s">
        <v>1057</v>
      </c>
      <c r="AA110" s="111">
        <v>10.0</v>
      </c>
      <c r="AB110" s="358">
        <v>3.019190528225E12</v>
      </c>
      <c r="AC110" s="167"/>
      <c r="AD110" s="349"/>
      <c r="AE110" s="349"/>
      <c r="AF110" s="349"/>
      <c r="AG110" s="349"/>
      <c r="AH110" s="111" t="b">
        <v>1</v>
      </c>
      <c r="AI110" s="111" t="b">
        <v>1</v>
      </c>
      <c r="AJ110" s="111" t="b">
        <v>0</v>
      </c>
      <c r="AK110" s="111" t="b">
        <v>0</v>
      </c>
      <c r="AL110" s="273" t="b">
        <v>0</v>
      </c>
      <c r="AM110" s="273" t="b">
        <v>0</v>
      </c>
      <c r="AN110" s="273" t="b">
        <v>0</v>
      </c>
      <c r="AO110" s="111" t="s">
        <v>546</v>
      </c>
      <c r="AP110" s="111" t="s">
        <v>547</v>
      </c>
      <c r="AQ110" s="111" t="s">
        <v>190</v>
      </c>
    </row>
    <row r="111" outlineLevel="1">
      <c r="A111" s="359" t="s">
        <v>341</v>
      </c>
      <c r="B111" s="359" t="s">
        <v>1058</v>
      </c>
      <c r="C111" s="359" t="s">
        <v>1058</v>
      </c>
      <c r="D111" s="287" t="s">
        <v>525</v>
      </c>
      <c r="E111" s="287" t="s">
        <v>88</v>
      </c>
      <c r="F111" s="360" t="s">
        <v>97</v>
      </c>
      <c r="G111" s="287" t="s">
        <v>204</v>
      </c>
      <c r="H111" s="289">
        <v>44347.0</v>
      </c>
      <c r="I111" s="278">
        <f>IFERROR(__xludf.DUMMYFUNCTION("countif(FILTER(FILTER(Shiftplan!D$7:BJ$67,Shiftplan!$A$7:$A$67&lt;=Shiftplan!$A$67),Shiftplan!$D$6:$BJ$6=A111),""&gt;0"")"),0.0)</f>
        <v>0</v>
      </c>
      <c r="J111" s="287">
        <f>VLOOKUP(A111,'Shiftplan SoS'!A:F,6,false)</f>
        <v>6</v>
      </c>
      <c r="K111" s="290">
        <f t="shared" si="11"/>
        <v>6</v>
      </c>
      <c r="L111" s="287" t="s">
        <v>592</v>
      </c>
      <c r="M111" s="291" t="str">
        <f t="shared" si="17"/>
        <v>2</v>
      </c>
      <c r="N111" s="292" t="str">
        <f t="shared" si="18"/>
        <v>20</v>
      </c>
      <c r="O111" s="287" t="str">
        <f t="shared" si="19"/>
        <v>20</v>
      </c>
      <c r="P111" s="287" t="str">
        <f t="shared" si="20"/>
        <v>10</v>
      </c>
      <c r="Q111" s="287" t="str">
        <f t="shared" si="21"/>
        <v>30</v>
      </c>
      <c r="R111" s="287" t="s">
        <v>527</v>
      </c>
      <c r="S111" s="361" t="s">
        <v>528</v>
      </c>
      <c r="T111" s="362" t="s">
        <v>1059</v>
      </c>
      <c r="U111" s="362" t="s">
        <v>1060</v>
      </c>
      <c r="V111" s="361" t="s">
        <v>1061</v>
      </c>
      <c r="W111" s="293" t="s">
        <v>874</v>
      </c>
      <c r="X111" s="287" t="s">
        <v>527</v>
      </c>
      <c r="Y111" s="359" t="s">
        <v>1062</v>
      </c>
      <c r="Z111" s="359" t="s">
        <v>1063</v>
      </c>
      <c r="AA111" s="339">
        <v>12.0</v>
      </c>
      <c r="AB111" s="359">
        <v>3.01399054189E12</v>
      </c>
      <c r="AC111" s="363"/>
      <c r="AD111" s="364"/>
      <c r="AE111" s="364"/>
      <c r="AF111" s="364"/>
      <c r="AG111" s="364"/>
      <c r="AH111" s="287" t="b">
        <v>1</v>
      </c>
      <c r="AI111" s="287" t="b">
        <v>1</v>
      </c>
      <c r="AJ111" s="287" t="b">
        <v>0</v>
      </c>
      <c r="AK111" s="287" t="b">
        <v>1</v>
      </c>
      <c r="AL111" s="295" t="b">
        <v>0</v>
      </c>
      <c r="AM111" s="295" t="b">
        <v>0</v>
      </c>
      <c r="AN111" s="295" t="b">
        <v>0</v>
      </c>
      <c r="AO111" s="287" t="s">
        <v>546</v>
      </c>
      <c r="AP111" s="287" t="s">
        <v>542</v>
      </c>
      <c r="AQ111" s="276" t="s">
        <v>608</v>
      </c>
    </row>
    <row r="112" outlineLevel="1">
      <c r="A112" s="242" t="s">
        <v>344</v>
      </c>
      <c r="B112" s="365" t="s">
        <v>1064</v>
      </c>
      <c r="C112" s="365" t="s">
        <v>1065</v>
      </c>
      <c r="D112" s="242" t="s">
        <v>525</v>
      </c>
      <c r="E112" s="242" t="s">
        <v>88</v>
      </c>
      <c r="F112" s="186" t="s">
        <v>98</v>
      </c>
      <c r="G112" s="186" t="s">
        <v>103</v>
      </c>
      <c r="H112" s="298">
        <v>44347.0</v>
      </c>
      <c r="I112" s="268">
        <f>IFERROR(__xludf.DUMMYFUNCTION("countif(FILTER(FILTER(Shiftplan!D$7:BJ$67,Shiftplan!$A$7:$A$67&lt;=Shiftplan!$A$67),Shiftplan!$D$6:$BJ$6=A112),""&gt;0"")"),0.0)</f>
        <v>0</v>
      </c>
      <c r="J112" s="186">
        <f>VLOOKUP(A112,'Shiftplan SoS'!A:F,6,false)</f>
        <v>2</v>
      </c>
      <c r="K112" s="306">
        <f t="shared" si="11"/>
        <v>2</v>
      </c>
      <c r="L112" s="186" t="s">
        <v>592</v>
      </c>
      <c r="M112" s="299" t="str">
        <f t="shared" si="17"/>
        <v>0</v>
      </c>
      <c r="N112" s="300" t="str">
        <f t="shared" si="18"/>
        <v>0</v>
      </c>
      <c r="O112" s="186" t="str">
        <f t="shared" si="19"/>
        <v>-</v>
      </c>
      <c r="P112" s="186" t="str">
        <f t="shared" si="20"/>
        <v>-</v>
      </c>
      <c r="Q112" s="186" t="str">
        <f t="shared" si="21"/>
        <v>-</v>
      </c>
      <c r="R112" s="242" t="s">
        <v>527</v>
      </c>
      <c r="S112" s="366" t="s">
        <v>528</v>
      </c>
      <c r="T112" s="366" t="s">
        <v>1066</v>
      </c>
      <c r="U112" s="366"/>
      <c r="V112" s="366" t="s">
        <v>528</v>
      </c>
      <c r="W112" s="242" t="s">
        <v>874</v>
      </c>
      <c r="X112" s="366" t="s">
        <v>1061</v>
      </c>
      <c r="Y112" s="242"/>
      <c r="Z112" s="242" t="s">
        <v>1067</v>
      </c>
      <c r="AA112" s="367">
        <v>5.0</v>
      </c>
      <c r="AB112" s="242">
        <v>3.011490569849E12</v>
      </c>
      <c r="AC112" s="190"/>
      <c r="AD112" s="342"/>
      <c r="AE112" s="342"/>
      <c r="AF112" s="342"/>
      <c r="AG112" s="342"/>
      <c r="AH112" s="186" t="b">
        <v>1</v>
      </c>
      <c r="AI112" s="186" t="b">
        <v>1</v>
      </c>
      <c r="AJ112" s="186" t="b">
        <v>1</v>
      </c>
      <c r="AK112" s="186" t="b">
        <v>1</v>
      </c>
      <c r="AL112" s="181" t="b">
        <v>0</v>
      </c>
      <c r="AM112" s="181" t="b">
        <v>0</v>
      </c>
      <c r="AN112" s="181" t="b">
        <v>0</v>
      </c>
      <c r="AO112" s="186" t="s">
        <v>546</v>
      </c>
      <c r="AP112" s="111" t="s">
        <v>547</v>
      </c>
      <c r="AQ112" s="111" t="s">
        <v>608</v>
      </c>
    </row>
    <row r="113" outlineLevel="1">
      <c r="A113" s="359" t="s">
        <v>342</v>
      </c>
      <c r="B113" s="359" t="s">
        <v>416</v>
      </c>
      <c r="C113" s="359" t="s">
        <v>416</v>
      </c>
      <c r="D113" s="287" t="s">
        <v>525</v>
      </c>
      <c r="E113" s="287" t="s">
        <v>88</v>
      </c>
      <c r="F113" s="287" t="s">
        <v>192</v>
      </c>
      <c r="G113" s="339" t="s">
        <v>189</v>
      </c>
      <c r="H113" s="289">
        <v>44347.0</v>
      </c>
      <c r="I113" s="290">
        <f>IFERROR(__xludf.DUMMYFUNCTION("countif(FILTER(FILTER(Shiftplan!D$7:BJ$67,Shiftplan!$A$7:$A$67&lt;=Shiftplan!$A$67),Shiftplan!$D$6:$BJ$6=A113),""&gt;0"")"),0.0)</f>
        <v>0</v>
      </c>
      <c r="J113" s="287">
        <f>VLOOKUP(A113,'Shiftplan SoS'!A:F,6,false)</f>
        <v>27</v>
      </c>
      <c r="K113" s="290">
        <f t="shared" si="11"/>
        <v>27</v>
      </c>
      <c r="L113" s="287" t="s">
        <v>592</v>
      </c>
      <c r="M113" s="291" t="str">
        <f t="shared" si="17"/>
        <v>5</v>
      </c>
      <c r="N113" s="292" t="str">
        <f t="shared" si="18"/>
        <v>40</v>
      </c>
      <c r="O113" s="287" t="str">
        <f t="shared" si="19"/>
        <v>10</v>
      </c>
      <c r="P113" s="287" t="str">
        <f t="shared" si="20"/>
        <v>5</v>
      </c>
      <c r="Q113" s="287" t="str">
        <f t="shared" si="21"/>
        <v>25</v>
      </c>
      <c r="R113" s="287" t="s">
        <v>527</v>
      </c>
      <c r="S113" s="361" t="s">
        <v>528</v>
      </c>
      <c r="T113" s="362" t="s">
        <v>1068</v>
      </c>
      <c r="U113" s="362" t="s">
        <v>1069</v>
      </c>
      <c r="V113" s="362" t="s">
        <v>528</v>
      </c>
      <c r="W113" s="293" t="s">
        <v>874</v>
      </c>
      <c r="X113" s="287" t="s">
        <v>527</v>
      </c>
      <c r="Y113" s="359" t="s">
        <v>1070</v>
      </c>
      <c r="Z113" s="359" t="s">
        <v>1071</v>
      </c>
      <c r="AA113" s="339">
        <v>34.0</v>
      </c>
      <c r="AB113" s="359">
        <v>3.014590529877E12</v>
      </c>
      <c r="AC113" s="363"/>
      <c r="AD113" s="364"/>
      <c r="AE113" s="364"/>
      <c r="AF113" s="364"/>
      <c r="AG113" s="364"/>
      <c r="AH113" s="287" t="b">
        <v>1</v>
      </c>
      <c r="AI113" s="287" t="b">
        <v>1</v>
      </c>
      <c r="AJ113" s="287" t="b">
        <v>1</v>
      </c>
      <c r="AK113" s="287" t="b">
        <v>1</v>
      </c>
      <c r="AL113" s="295" t="b">
        <v>0</v>
      </c>
      <c r="AM113" s="295" t="b">
        <v>0</v>
      </c>
      <c r="AN113" s="295" t="b">
        <v>0</v>
      </c>
      <c r="AO113" s="287" t="s">
        <v>546</v>
      </c>
      <c r="AP113" s="287" t="s">
        <v>763</v>
      </c>
      <c r="AQ113" s="287" t="s">
        <v>1072</v>
      </c>
    </row>
    <row r="114" outlineLevel="1">
      <c r="A114" s="254" t="s">
        <v>297</v>
      </c>
      <c r="B114" s="254" t="s">
        <v>387</v>
      </c>
      <c r="C114" s="254" t="s">
        <v>1073</v>
      </c>
      <c r="D114" s="254" t="s">
        <v>525</v>
      </c>
      <c r="E114" s="254" t="s">
        <v>969</v>
      </c>
      <c r="F114" s="111" t="s">
        <v>192</v>
      </c>
      <c r="G114" s="316" t="s">
        <v>189</v>
      </c>
      <c r="H114" s="267">
        <v>44348.0</v>
      </c>
      <c r="I114" s="268">
        <f>IFERROR(__xludf.DUMMYFUNCTION("countif(FILTER(FILTER(Shiftplan!D$7:BJ$67,Shiftplan!$A$7:$A$67&lt;=Shiftplan!$A$67),Shiftplan!$D$6:$BJ$6=A114),""&gt;0"")"),0.0)</f>
        <v>0</v>
      </c>
      <c r="J114" s="111">
        <f>VLOOKUP(A114,'Shiftplan SoS'!A:F,6,false)</f>
        <v>66</v>
      </c>
      <c r="K114" s="268">
        <f t="shared" si="11"/>
        <v>66</v>
      </c>
      <c r="L114" s="111" t="s">
        <v>526</v>
      </c>
      <c r="M114" s="269" t="str">
        <f t="shared" si="17"/>
        <v>7</v>
      </c>
      <c r="N114" s="270" t="str">
        <f t="shared" si="18"/>
        <v>60</v>
      </c>
      <c r="O114" s="111" t="str">
        <f t="shared" si="19"/>
        <v>0</v>
      </c>
      <c r="P114" s="111" t="str">
        <f t="shared" si="20"/>
        <v>0</v>
      </c>
      <c r="Q114" s="111" t="str">
        <f t="shared" si="21"/>
        <v>15</v>
      </c>
      <c r="R114" s="254" t="s">
        <v>527</v>
      </c>
      <c r="S114" s="348" t="s">
        <v>528</v>
      </c>
      <c r="T114" s="348" t="s">
        <v>1074</v>
      </c>
      <c r="U114" s="348" t="s">
        <v>1075</v>
      </c>
      <c r="V114" s="348" t="s">
        <v>528</v>
      </c>
      <c r="W114" s="254" t="s">
        <v>874</v>
      </c>
      <c r="X114" s="111" t="s">
        <v>527</v>
      </c>
      <c r="Y114" s="254" t="s">
        <v>1076</v>
      </c>
      <c r="Z114" s="254" t="s">
        <v>1077</v>
      </c>
      <c r="AA114" s="316">
        <v>11.0</v>
      </c>
      <c r="AB114" s="254">
        <v>3.015790649708E12</v>
      </c>
      <c r="AC114" s="167"/>
      <c r="AD114" s="349"/>
      <c r="AE114" s="349"/>
      <c r="AF114" s="349"/>
      <c r="AG114" s="349"/>
      <c r="AH114" s="111" t="b">
        <v>1</v>
      </c>
      <c r="AI114" s="111" t="b">
        <v>1</v>
      </c>
      <c r="AJ114" s="111" t="b">
        <v>1</v>
      </c>
      <c r="AK114" s="111" t="b">
        <v>0</v>
      </c>
      <c r="AL114" s="273" t="b">
        <v>0</v>
      </c>
      <c r="AM114" s="273" t="b">
        <v>0</v>
      </c>
      <c r="AN114" s="273" t="b">
        <v>0</v>
      </c>
      <c r="AO114" s="111" t="s">
        <v>546</v>
      </c>
      <c r="AP114" s="111" t="s">
        <v>576</v>
      </c>
      <c r="AQ114" s="111" t="s">
        <v>190</v>
      </c>
    </row>
    <row r="115">
      <c r="A115" s="309" t="s">
        <v>296</v>
      </c>
      <c r="B115" s="309" t="s">
        <v>476</v>
      </c>
      <c r="C115" s="309" t="s">
        <v>476</v>
      </c>
      <c r="D115" s="309" t="s">
        <v>525</v>
      </c>
      <c r="E115" s="309" t="s">
        <v>856</v>
      </c>
      <c r="F115" s="309" t="s">
        <v>97</v>
      </c>
      <c r="G115" s="318" t="s">
        <v>105</v>
      </c>
      <c r="H115" s="277">
        <v>44348.0</v>
      </c>
      <c r="I115" s="278">
        <f>IFERROR(__xludf.DUMMYFUNCTION("countif(FILTER(FILTER(Shiftplan!D$7:BJ$67,Shiftplan!$A$7:$A$67&lt;=Shiftplan!$A$67),Shiftplan!$D$6:$BJ$6=A115),""&gt;0"")"),0.0)</f>
        <v>0</v>
      </c>
      <c r="J115" s="276">
        <f>VLOOKUP(A115,'Shiftplan SoS'!A:F,6,false)</f>
        <v>31</v>
      </c>
      <c r="K115" s="278">
        <f t="shared" si="11"/>
        <v>31</v>
      </c>
      <c r="L115" s="276" t="s">
        <v>526</v>
      </c>
      <c r="M115" s="279" t="str">
        <f t="shared" si="17"/>
        <v>5</v>
      </c>
      <c r="N115" s="280" t="str">
        <f t="shared" si="18"/>
        <v>40</v>
      </c>
      <c r="O115" s="276" t="str">
        <f t="shared" si="19"/>
        <v>10</v>
      </c>
      <c r="P115" s="276" t="str">
        <f t="shared" si="20"/>
        <v>5</v>
      </c>
      <c r="Q115" s="276" t="str">
        <f t="shared" si="21"/>
        <v>25</v>
      </c>
      <c r="R115" s="309" t="s">
        <v>527</v>
      </c>
      <c r="S115" s="351" t="s">
        <v>528</v>
      </c>
      <c r="T115" s="351" t="s">
        <v>1078</v>
      </c>
      <c r="U115" s="351" t="s">
        <v>1079</v>
      </c>
      <c r="V115" s="351" t="s">
        <v>528</v>
      </c>
      <c r="W115" s="309" t="s">
        <v>874</v>
      </c>
      <c r="X115" s="276" t="s">
        <v>527</v>
      </c>
      <c r="Y115" s="309" t="s">
        <v>1080</v>
      </c>
      <c r="Z115" s="309" t="s">
        <v>1079</v>
      </c>
      <c r="AA115" s="318">
        <v>53.0</v>
      </c>
      <c r="AB115" s="309">
        <v>3.016390644994E12</v>
      </c>
      <c r="AC115" s="352"/>
      <c r="AD115" s="353"/>
      <c r="AE115" s="353"/>
      <c r="AF115" s="353"/>
      <c r="AG115" s="353"/>
      <c r="AH115" s="276" t="b">
        <v>1</v>
      </c>
      <c r="AI115" s="276" t="b">
        <v>1</v>
      </c>
      <c r="AJ115" s="276" t="b">
        <v>1</v>
      </c>
      <c r="AK115" s="276" t="b">
        <v>0</v>
      </c>
      <c r="AL115" s="274" t="b">
        <v>0</v>
      </c>
      <c r="AM115" s="274" t="b">
        <v>0</v>
      </c>
      <c r="AN115" s="274" t="b">
        <v>0</v>
      </c>
      <c r="AO115" s="276" t="s">
        <v>546</v>
      </c>
      <c r="AP115" s="276" t="s">
        <v>542</v>
      </c>
      <c r="AQ115" s="276" t="s">
        <v>206</v>
      </c>
    </row>
    <row r="116">
      <c r="A116" s="242" t="s">
        <v>295</v>
      </c>
      <c r="B116" s="242" t="s">
        <v>432</v>
      </c>
      <c r="C116" s="242" t="s">
        <v>432</v>
      </c>
      <c r="D116" s="242" t="s">
        <v>525</v>
      </c>
      <c r="E116" s="242" t="s">
        <v>88</v>
      </c>
      <c r="F116" s="242" t="s">
        <v>98</v>
      </c>
      <c r="G116" s="367" t="s">
        <v>199</v>
      </c>
      <c r="H116" s="298">
        <v>44348.0</v>
      </c>
      <c r="I116" s="306">
        <f>IFERROR(__xludf.DUMMYFUNCTION("countif(FILTER(FILTER(Shiftplan!D$7:BJ$67,Shiftplan!$A$7:$A$67&lt;=Shiftplan!$A$67),Shiftplan!$D$6:$BJ$6=A116),""&gt;0"")"),0.0)</f>
        <v>0</v>
      </c>
      <c r="J116" s="186">
        <f>VLOOKUP(A116,'Shiftplan SoS'!A:F,6,false)</f>
        <v>59</v>
      </c>
      <c r="K116" s="306">
        <f t="shared" si="11"/>
        <v>59</v>
      </c>
      <c r="L116" s="186" t="s">
        <v>592</v>
      </c>
      <c r="M116" s="299" t="str">
        <f t="shared" si="17"/>
        <v>6</v>
      </c>
      <c r="N116" s="300" t="str">
        <f t="shared" si="18"/>
        <v>50</v>
      </c>
      <c r="O116" s="186" t="str">
        <f t="shared" si="19"/>
        <v>5</v>
      </c>
      <c r="P116" s="186" t="str">
        <f t="shared" si="20"/>
        <v>0</v>
      </c>
      <c r="Q116" s="186" t="str">
        <f t="shared" si="21"/>
        <v>20</v>
      </c>
      <c r="R116" s="242" t="s">
        <v>527</v>
      </c>
      <c r="S116" s="366" t="s">
        <v>528</v>
      </c>
      <c r="T116" s="366" t="s">
        <v>1081</v>
      </c>
      <c r="U116" s="366" t="s">
        <v>1082</v>
      </c>
      <c r="V116" s="366" t="s">
        <v>528</v>
      </c>
      <c r="W116" s="242" t="s">
        <v>874</v>
      </c>
      <c r="X116" s="186" t="s">
        <v>527</v>
      </c>
      <c r="Y116" s="242" t="s">
        <v>1083</v>
      </c>
      <c r="Z116" s="242" t="s">
        <v>1084</v>
      </c>
      <c r="AA116" s="367">
        <v>710.0</v>
      </c>
      <c r="AB116" s="242">
        <v>3.015690605203E12</v>
      </c>
      <c r="AC116" s="190"/>
      <c r="AD116" s="342"/>
      <c r="AE116" s="342"/>
      <c r="AF116" s="342"/>
      <c r="AG116" s="342"/>
      <c r="AH116" s="186" t="b">
        <v>1</v>
      </c>
      <c r="AI116" s="186" t="b">
        <v>1</v>
      </c>
      <c r="AJ116" s="186" t="b">
        <v>1</v>
      </c>
      <c r="AK116" s="186" t="b">
        <v>0</v>
      </c>
      <c r="AL116" s="181" t="b">
        <v>0</v>
      </c>
      <c r="AM116" s="181" t="b">
        <v>0</v>
      </c>
      <c r="AN116" s="181" t="b">
        <v>0</v>
      </c>
      <c r="AO116" s="186" t="s">
        <v>546</v>
      </c>
      <c r="AP116" s="186" t="s">
        <v>576</v>
      </c>
      <c r="AQ116" s="186" t="s">
        <v>200</v>
      </c>
    </row>
    <row r="117" outlineLevel="1">
      <c r="A117" s="368" t="s">
        <v>345</v>
      </c>
      <c r="B117" s="359" t="s">
        <v>403</v>
      </c>
      <c r="C117" s="359" t="s">
        <v>403</v>
      </c>
      <c r="D117" s="359" t="s">
        <v>525</v>
      </c>
      <c r="E117" s="359" t="s">
        <v>88</v>
      </c>
      <c r="F117" s="359" t="s">
        <v>97</v>
      </c>
      <c r="G117" s="339" t="s">
        <v>189</v>
      </c>
      <c r="H117" s="289">
        <v>44348.0</v>
      </c>
      <c r="I117" s="290">
        <f>IFERROR(__xludf.DUMMYFUNCTION("countif(FILTER(FILTER(Shiftplan!D$7:BJ$67,Shiftplan!$A$7:$A$67&lt;=Shiftplan!$A$67),Shiftplan!$D$6:$BJ$6=A117),""&gt;0"")"),0.0)</f>
        <v>0</v>
      </c>
      <c r="J117" s="287">
        <f>VLOOKUP(A117,'Shiftplan SoS'!A:F,6,false)</f>
        <v>27</v>
      </c>
      <c r="K117" s="290">
        <f t="shared" si="11"/>
        <v>27</v>
      </c>
      <c r="L117" s="287" t="s">
        <v>592</v>
      </c>
      <c r="M117" s="291" t="str">
        <f t="shared" si="17"/>
        <v>5</v>
      </c>
      <c r="N117" s="292" t="str">
        <f t="shared" si="18"/>
        <v>40</v>
      </c>
      <c r="O117" s="287" t="str">
        <f t="shared" si="19"/>
        <v>10</v>
      </c>
      <c r="P117" s="287" t="str">
        <f t="shared" si="20"/>
        <v>5</v>
      </c>
      <c r="Q117" s="287" t="str">
        <f t="shared" si="21"/>
        <v>25</v>
      </c>
      <c r="R117" s="359" t="s">
        <v>527</v>
      </c>
      <c r="S117" s="362" t="s">
        <v>528</v>
      </c>
      <c r="T117" s="362" t="s">
        <v>1085</v>
      </c>
      <c r="U117" s="362" t="s">
        <v>1086</v>
      </c>
      <c r="V117" s="362" t="s">
        <v>528</v>
      </c>
      <c r="W117" s="359" t="s">
        <v>874</v>
      </c>
      <c r="X117" s="287" t="s">
        <v>527</v>
      </c>
      <c r="Y117" s="359" t="s">
        <v>1087</v>
      </c>
      <c r="Z117" s="359" t="s">
        <v>1088</v>
      </c>
      <c r="AA117" s="339">
        <v>1.0</v>
      </c>
      <c r="AB117" s="359">
        <v>3.015590653339E12</v>
      </c>
      <c r="AC117" s="363"/>
      <c r="AD117" s="364"/>
      <c r="AE117" s="364"/>
      <c r="AF117" s="364"/>
      <c r="AG117" s="364"/>
      <c r="AH117" s="287" t="b">
        <v>1</v>
      </c>
      <c r="AI117" s="287" t="b">
        <v>1</v>
      </c>
      <c r="AJ117" s="287" t="b">
        <v>1</v>
      </c>
      <c r="AK117" s="287" t="b">
        <v>1</v>
      </c>
      <c r="AL117" s="295" t="b">
        <v>0</v>
      </c>
      <c r="AM117" s="295" t="b">
        <v>0</v>
      </c>
      <c r="AN117" s="295" t="b">
        <v>0</v>
      </c>
      <c r="AO117" s="287" t="s">
        <v>546</v>
      </c>
      <c r="AP117" s="287" t="s">
        <v>542</v>
      </c>
      <c r="AQ117" s="287" t="s">
        <v>190</v>
      </c>
    </row>
    <row r="118" outlineLevel="1">
      <c r="A118" s="242" t="s">
        <v>340</v>
      </c>
      <c r="B118" s="242" t="s">
        <v>421</v>
      </c>
      <c r="C118" s="242" t="s">
        <v>421</v>
      </c>
      <c r="D118" s="242" t="s">
        <v>525</v>
      </c>
      <c r="E118" s="242" t="s">
        <v>88</v>
      </c>
      <c r="F118" s="242" t="s">
        <v>192</v>
      </c>
      <c r="G118" s="367" t="s">
        <v>189</v>
      </c>
      <c r="H118" s="298">
        <v>44348.0</v>
      </c>
      <c r="I118" s="306">
        <f>IFERROR(__xludf.DUMMYFUNCTION("countif(FILTER(FILTER(Shiftplan!D$7:BJ$67,Shiftplan!$A$7:$A$67&lt;=Shiftplan!$A$67),Shiftplan!$D$6:$BJ$6=A118),""&gt;0"")"),0.0)</f>
        <v>0</v>
      </c>
      <c r="J118" s="186">
        <f>VLOOKUP(A118,'Shiftplan SoS'!A:F,6,false)</f>
        <v>66</v>
      </c>
      <c r="K118" s="306">
        <f t="shared" si="11"/>
        <v>66</v>
      </c>
      <c r="L118" s="186" t="s">
        <v>592</v>
      </c>
      <c r="M118" s="299" t="str">
        <f t="shared" si="17"/>
        <v>7</v>
      </c>
      <c r="N118" s="300" t="str">
        <f t="shared" si="18"/>
        <v>60</v>
      </c>
      <c r="O118" s="186" t="str">
        <f t="shared" si="19"/>
        <v>0</v>
      </c>
      <c r="P118" s="186" t="str">
        <f t="shared" si="20"/>
        <v>0</v>
      </c>
      <c r="Q118" s="186" t="str">
        <f t="shared" si="21"/>
        <v>15</v>
      </c>
      <c r="R118" s="242" t="s">
        <v>527</v>
      </c>
      <c r="S118" s="366" t="s">
        <v>528</v>
      </c>
      <c r="T118" s="366" t="s">
        <v>1089</v>
      </c>
      <c r="U118" s="366" t="s">
        <v>1090</v>
      </c>
      <c r="V118" s="366" t="s">
        <v>528</v>
      </c>
      <c r="W118" s="242" t="s">
        <v>874</v>
      </c>
      <c r="X118" s="186" t="s">
        <v>527</v>
      </c>
      <c r="Y118" s="369" t="s">
        <v>1091</v>
      </c>
      <c r="Z118" s="242" t="s">
        <v>1092</v>
      </c>
      <c r="AA118" s="367">
        <v>44.0</v>
      </c>
      <c r="AB118" s="242">
        <v>3.016290666013E12</v>
      </c>
      <c r="AC118" s="190"/>
      <c r="AD118" s="342"/>
      <c r="AE118" s="342"/>
      <c r="AF118" s="342"/>
      <c r="AG118" s="342"/>
      <c r="AH118" s="186" t="b">
        <v>1</v>
      </c>
      <c r="AI118" s="186" t="b">
        <v>1</v>
      </c>
      <c r="AJ118" s="186" t="b">
        <v>1</v>
      </c>
      <c r="AK118" s="186" t="b">
        <v>0</v>
      </c>
      <c r="AL118" s="181" t="b">
        <v>0</v>
      </c>
      <c r="AM118" s="181" t="b">
        <v>0</v>
      </c>
      <c r="AN118" s="181" t="b">
        <v>0</v>
      </c>
      <c r="AO118" s="186" t="s">
        <v>553</v>
      </c>
      <c r="AP118" s="186" t="s">
        <v>740</v>
      </c>
      <c r="AQ118" s="186" t="s">
        <v>190</v>
      </c>
    </row>
    <row r="119" outlineLevel="1">
      <c r="A119" s="242" t="s">
        <v>343</v>
      </c>
      <c r="B119" s="242" t="s">
        <v>1093</v>
      </c>
      <c r="C119" s="242" t="s">
        <v>1093</v>
      </c>
      <c r="D119" s="242" t="s">
        <v>525</v>
      </c>
      <c r="E119" s="242" t="s">
        <v>88</v>
      </c>
      <c r="F119" s="242" t="s">
        <v>192</v>
      </c>
      <c r="G119" s="367" t="s">
        <v>199</v>
      </c>
      <c r="H119" s="298">
        <v>44348.0</v>
      </c>
      <c r="I119" s="268">
        <f>IFERROR(__xludf.DUMMYFUNCTION("countif(FILTER(FILTER(Shiftplan!D$7:BJ$67,Shiftplan!$A$7:$A$67&lt;=Shiftplan!$A$67),Shiftplan!$D$6:$BJ$6=A119),""&gt;0"")"),0.0)</f>
        <v>0</v>
      </c>
      <c r="J119" s="186">
        <f>VLOOKUP(A119,'Shiftplan SoS'!A:F,6,false)</f>
        <v>1</v>
      </c>
      <c r="K119" s="306">
        <f t="shared" si="11"/>
        <v>1</v>
      </c>
      <c r="L119" s="186" t="s">
        <v>592</v>
      </c>
      <c r="M119" s="299" t="str">
        <f t="shared" si="17"/>
        <v>0</v>
      </c>
      <c r="N119" s="300" t="str">
        <f t="shared" si="18"/>
        <v>0</v>
      </c>
      <c r="O119" s="186" t="str">
        <f t="shared" si="19"/>
        <v>-</v>
      </c>
      <c r="P119" s="186" t="str">
        <f t="shared" si="20"/>
        <v>-</v>
      </c>
      <c r="Q119" s="186" t="str">
        <f t="shared" si="21"/>
        <v>-</v>
      </c>
      <c r="R119" s="242" t="s">
        <v>527</v>
      </c>
      <c r="S119" s="366" t="s">
        <v>1094</v>
      </c>
      <c r="T119" s="370"/>
      <c r="U119" s="370"/>
      <c r="V119" s="366" t="s">
        <v>1061</v>
      </c>
      <c r="W119" s="242" t="s">
        <v>874</v>
      </c>
      <c r="X119" s="366" t="s">
        <v>1061</v>
      </c>
      <c r="Y119" s="342"/>
      <c r="Z119" s="342"/>
      <c r="AA119" s="347"/>
      <c r="AB119" s="242" t="s">
        <v>166</v>
      </c>
      <c r="AC119" s="190"/>
      <c r="AD119" s="342"/>
      <c r="AE119" s="342"/>
      <c r="AF119" s="342"/>
      <c r="AG119" s="342"/>
      <c r="AH119" s="186" t="b">
        <v>1</v>
      </c>
      <c r="AI119" s="186" t="b">
        <v>0</v>
      </c>
      <c r="AJ119" s="186" t="b">
        <v>0</v>
      </c>
      <c r="AK119" s="186" t="b">
        <v>0</v>
      </c>
      <c r="AL119" s="181" t="b">
        <v>0</v>
      </c>
      <c r="AM119" s="181" t="b">
        <v>0</v>
      </c>
      <c r="AN119" s="181" t="b">
        <v>0</v>
      </c>
      <c r="AO119" s="186" t="s">
        <v>546</v>
      </c>
      <c r="AP119" s="186" t="s">
        <v>542</v>
      </c>
      <c r="AQ119" s="111" t="s">
        <v>200</v>
      </c>
    </row>
    <row r="120" outlineLevel="1">
      <c r="A120" s="254" t="s">
        <v>298</v>
      </c>
      <c r="B120" s="371" t="s">
        <v>455</v>
      </c>
      <c r="C120" s="371" t="s">
        <v>455</v>
      </c>
      <c r="D120" s="254" t="s">
        <v>525</v>
      </c>
      <c r="E120" s="254" t="s">
        <v>88</v>
      </c>
      <c r="F120" s="316" t="s">
        <v>192</v>
      </c>
      <c r="G120" s="316" t="s">
        <v>105</v>
      </c>
      <c r="H120" s="267">
        <v>44349.0</v>
      </c>
      <c r="I120" s="268">
        <f>IFERROR(__xludf.DUMMYFUNCTION("countif(FILTER(FILTER(Shiftplan!D$7:BJ$67,Shiftplan!$A$7:$A$67&lt;=Shiftplan!$A$67),Shiftplan!$D$6:$BJ$6=A120),""&gt;0"")"),0.0)</f>
        <v>0</v>
      </c>
      <c r="J120" s="111">
        <f>VLOOKUP(A120,'Shiftplan SoS'!A:F,6,false)</f>
        <v>54</v>
      </c>
      <c r="K120" s="268">
        <f t="shared" si="11"/>
        <v>54</v>
      </c>
      <c r="L120" s="111" t="s">
        <v>526</v>
      </c>
      <c r="M120" s="269" t="str">
        <f t="shared" si="17"/>
        <v>6</v>
      </c>
      <c r="N120" s="270" t="str">
        <f t="shared" si="18"/>
        <v>50</v>
      </c>
      <c r="O120" s="111" t="str">
        <f t="shared" si="19"/>
        <v>5</v>
      </c>
      <c r="P120" s="111" t="str">
        <f t="shared" si="20"/>
        <v>0</v>
      </c>
      <c r="Q120" s="111" t="str">
        <f t="shared" si="21"/>
        <v>20</v>
      </c>
      <c r="R120" s="254" t="s">
        <v>527</v>
      </c>
      <c r="S120" s="348" t="s">
        <v>1094</v>
      </c>
      <c r="T120" s="348" t="s">
        <v>1095</v>
      </c>
      <c r="U120" s="348" t="s">
        <v>1096</v>
      </c>
      <c r="V120" s="348" t="s">
        <v>1061</v>
      </c>
      <c r="W120" s="254" t="s">
        <v>874</v>
      </c>
      <c r="X120" s="111" t="s">
        <v>527</v>
      </c>
      <c r="Y120" s="254" t="s">
        <v>1097</v>
      </c>
      <c r="Z120" s="254" t="s">
        <v>1098</v>
      </c>
      <c r="AA120" s="316">
        <v>355.0</v>
      </c>
      <c r="AB120" s="254">
        <v>3.012290703595E12</v>
      </c>
      <c r="AC120" s="358"/>
      <c r="AD120" s="349"/>
      <c r="AE120" s="254"/>
      <c r="AF120" s="349"/>
      <c r="AG120" s="349"/>
      <c r="AH120" s="111" t="b">
        <v>1</v>
      </c>
      <c r="AI120" s="111" t="b">
        <v>1</v>
      </c>
      <c r="AJ120" s="111" t="b">
        <v>1</v>
      </c>
      <c r="AK120" s="111" t="b">
        <v>1</v>
      </c>
      <c r="AL120" s="111" t="b">
        <v>1</v>
      </c>
      <c r="AM120" s="111" t="b">
        <v>1</v>
      </c>
      <c r="AN120" s="111" t="b">
        <v>1</v>
      </c>
      <c r="AO120" s="111" t="s">
        <v>546</v>
      </c>
      <c r="AP120" s="111" t="s">
        <v>810</v>
      </c>
      <c r="AQ120" s="111" t="s">
        <v>206</v>
      </c>
    </row>
    <row r="121" outlineLevel="1">
      <c r="A121" s="309" t="s">
        <v>299</v>
      </c>
      <c r="B121" s="372" t="s">
        <v>471</v>
      </c>
      <c r="C121" s="372" t="s">
        <v>471</v>
      </c>
      <c r="D121" s="309" t="s">
        <v>525</v>
      </c>
      <c r="E121" s="309" t="s">
        <v>856</v>
      </c>
      <c r="F121" s="372" t="s">
        <v>192</v>
      </c>
      <c r="G121" s="276" t="s">
        <v>105</v>
      </c>
      <c r="H121" s="277">
        <v>44350.0</v>
      </c>
      <c r="I121" s="278">
        <f>IFERROR(__xludf.DUMMYFUNCTION("countif(FILTER(FILTER(Shiftplan!D$7:BJ$67,Shiftplan!$A$7:$A$67&lt;=Shiftplan!$A$67),Shiftplan!$D$6:$BJ$6=A121),""&gt;0"")"),0.0)</f>
        <v>0</v>
      </c>
      <c r="J121" s="276">
        <f>VLOOKUP(A121,'Shiftplan SoS'!A:F,6,false)</f>
        <v>64</v>
      </c>
      <c r="K121" s="278">
        <f t="shared" si="11"/>
        <v>64</v>
      </c>
      <c r="L121" s="309" t="s">
        <v>526</v>
      </c>
      <c r="M121" s="279" t="str">
        <f t="shared" si="17"/>
        <v>7</v>
      </c>
      <c r="N121" s="280" t="str">
        <f t="shared" si="18"/>
        <v>60</v>
      </c>
      <c r="O121" s="276" t="str">
        <f t="shared" si="19"/>
        <v>0</v>
      </c>
      <c r="P121" s="276" t="str">
        <f t="shared" si="20"/>
        <v>0</v>
      </c>
      <c r="Q121" s="276" t="str">
        <f t="shared" si="21"/>
        <v>15</v>
      </c>
      <c r="R121" s="309" t="s">
        <v>527</v>
      </c>
      <c r="S121" s="351" t="s">
        <v>1094</v>
      </c>
      <c r="T121" s="357" t="s">
        <v>1099</v>
      </c>
      <c r="U121" s="357" t="s">
        <v>1100</v>
      </c>
      <c r="V121" s="351" t="s">
        <v>1061</v>
      </c>
      <c r="W121" s="309" t="s">
        <v>874</v>
      </c>
      <c r="X121" s="351" t="s">
        <v>1061</v>
      </c>
      <c r="Y121" s="309" t="s">
        <v>1101</v>
      </c>
      <c r="Z121" s="372" t="s">
        <v>1102</v>
      </c>
      <c r="AA121" s="318">
        <v>766.0</v>
      </c>
      <c r="AB121" s="309">
        <v>3.011890975043E12</v>
      </c>
      <c r="AC121" s="352"/>
      <c r="AD121" s="353"/>
      <c r="AE121" s="353"/>
      <c r="AF121" s="353"/>
      <c r="AG121" s="353"/>
      <c r="AH121" s="276" t="b">
        <v>1</v>
      </c>
      <c r="AI121" s="276" t="b">
        <v>1</v>
      </c>
      <c r="AJ121" s="276" t="b">
        <v>0</v>
      </c>
      <c r="AK121" s="276" t="b">
        <v>0</v>
      </c>
      <c r="AL121" s="274" t="b">
        <v>0</v>
      </c>
      <c r="AM121" s="274" t="b">
        <v>0</v>
      </c>
      <c r="AN121" s="274" t="b">
        <v>0</v>
      </c>
      <c r="AO121" s="276" t="s">
        <v>546</v>
      </c>
      <c r="AP121" s="276" t="s">
        <v>763</v>
      </c>
      <c r="AQ121" s="276" t="s">
        <v>206</v>
      </c>
    </row>
    <row r="122" outlineLevel="1">
      <c r="A122" s="242" t="s">
        <v>339</v>
      </c>
      <c r="B122" s="365" t="s">
        <v>439</v>
      </c>
      <c r="C122" s="365" t="s">
        <v>439</v>
      </c>
      <c r="D122" s="242" t="s">
        <v>525</v>
      </c>
      <c r="E122" s="242" t="s">
        <v>856</v>
      </c>
      <c r="F122" s="242" t="s">
        <v>192</v>
      </c>
      <c r="G122" s="186" t="s">
        <v>105</v>
      </c>
      <c r="H122" s="298">
        <v>44350.0</v>
      </c>
      <c r="I122" s="306">
        <f>IFERROR(__xludf.DUMMYFUNCTION("countif(FILTER(FILTER(Shiftplan!D$7:BJ$67,Shiftplan!$A$7:$A$67&lt;=Shiftplan!$A$67),Shiftplan!$D$6:$BJ$6=A122),""&gt;0"")"),0.0)</f>
        <v>0</v>
      </c>
      <c r="J122" s="186">
        <f>VLOOKUP(A122,'Shiftplan SoS'!A:F,6,false)</f>
        <v>2</v>
      </c>
      <c r="K122" s="306">
        <f t="shared" si="11"/>
        <v>2</v>
      </c>
      <c r="L122" s="242" t="s">
        <v>592</v>
      </c>
      <c r="M122" s="299" t="str">
        <f t="shared" si="17"/>
        <v>0</v>
      </c>
      <c r="N122" s="300" t="str">
        <f t="shared" si="18"/>
        <v>0</v>
      </c>
      <c r="O122" s="186" t="str">
        <f t="shared" si="19"/>
        <v>-</v>
      </c>
      <c r="P122" s="186" t="str">
        <f t="shared" si="20"/>
        <v>-</v>
      </c>
      <c r="Q122" s="186" t="str">
        <f t="shared" si="21"/>
        <v>-</v>
      </c>
      <c r="R122" s="242" t="s">
        <v>527</v>
      </c>
      <c r="S122" s="366" t="s">
        <v>1094</v>
      </c>
      <c r="T122" s="366" t="s">
        <v>1103</v>
      </c>
      <c r="U122" s="366" t="s">
        <v>1104</v>
      </c>
      <c r="V122" s="366" t="s">
        <v>1061</v>
      </c>
      <c r="W122" s="242" t="s">
        <v>874</v>
      </c>
      <c r="X122" s="366" t="s">
        <v>1061</v>
      </c>
      <c r="Y122" s="242" t="s">
        <v>1105</v>
      </c>
      <c r="Z122" s="365" t="s">
        <v>1106</v>
      </c>
      <c r="AA122" s="367">
        <v>60.0</v>
      </c>
      <c r="AB122" s="242">
        <v>3.01269103897E12</v>
      </c>
      <c r="AC122" s="190"/>
      <c r="AD122" s="342"/>
      <c r="AE122" s="342"/>
      <c r="AF122" s="342"/>
      <c r="AG122" s="342"/>
      <c r="AH122" s="186" t="b">
        <v>1</v>
      </c>
      <c r="AI122" s="186" t="b">
        <v>1</v>
      </c>
      <c r="AJ122" s="186" t="b">
        <v>0</v>
      </c>
      <c r="AK122" s="186" t="b">
        <v>0</v>
      </c>
      <c r="AL122" s="181" t="b">
        <v>0</v>
      </c>
      <c r="AM122" s="181" t="b">
        <v>0</v>
      </c>
      <c r="AN122" s="181" t="b">
        <v>0</v>
      </c>
      <c r="AO122" s="186" t="s">
        <v>546</v>
      </c>
      <c r="AP122" s="186" t="s">
        <v>542</v>
      </c>
      <c r="AQ122" s="186" t="s">
        <v>206</v>
      </c>
    </row>
    <row r="123" outlineLevel="1">
      <c r="A123" s="368" t="s">
        <v>338</v>
      </c>
      <c r="B123" s="373" t="s">
        <v>445</v>
      </c>
      <c r="C123" s="373" t="s">
        <v>445</v>
      </c>
      <c r="D123" s="359" t="s">
        <v>525</v>
      </c>
      <c r="E123" s="359" t="s">
        <v>93</v>
      </c>
      <c r="F123" s="373" t="s">
        <v>97</v>
      </c>
      <c r="G123" s="287" t="s">
        <v>189</v>
      </c>
      <c r="H123" s="289">
        <v>44350.0</v>
      </c>
      <c r="I123" s="290">
        <f>IFERROR(__xludf.DUMMYFUNCTION("countif(FILTER(FILTER(Shiftplan!D$7:BJ$67,Shiftplan!$A$7:$A$67&lt;=Shiftplan!$A$67),Shiftplan!$D$6:$BJ$6=A123),""&gt;0"")"),0.0)</f>
        <v>0</v>
      </c>
      <c r="J123" s="287">
        <f>VLOOKUP(A123,'Shiftplan SoS'!A:F,6,false)</f>
        <v>25</v>
      </c>
      <c r="K123" s="290">
        <f t="shared" si="11"/>
        <v>25</v>
      </c>
      <c r="L123" s="287" t="s">
        <v>592</v>
      </c>
      <c r="M123" s="291" t="str">
        <f t="shared" si="17"/>
        <v>5</v>
      </c>
      <c r="N123" s="292" t="str">
        <f t="shared" si="18"/>
        <v>40</v>
      </c>
      <c r="O123" s="287" t="str">
        <f t="shared" si="19"/>
        <v>10</v>
      </c>
      <c r="P123" s="287" t="str">
        <f t="shared" si="20"/>
        <v>5</v>
      </c>
      <c r="Q123" s="287" t="str">
        <f t="shared" si="21"/>
        <v>25</v>
      </c>
      <c r="R123" s="359" t="s">
        <v>527</v>
      </c>
      <c r="S123" s="362" t="s">
        <v>1094</v>
      </c>
      <c r="T123" s="362" t="s">
        <v>1107</v>
      </c>
      <c r="U123" s="362" t="s">
        <v>1108</v>
      </c>
      <c r="V123" s="362" t="s">
        <v>1061</v>
      </c>
      <c r="W123" s="359" t="s">
        <v>874</v>
      </c>
      <c r="X123" s="362" t="s">
        <v>1061</v>
      </c>
      <c r="Y123" s="359" t="s">
        <v>1109</v>
      </c>
      <c r="Z123" s="361" t="s">
        <v>1110</v>
      </c>
      <c r="AA123" s="287">
        <v>766.0</v>
      </c>
      <c r="AB123" s="361">
        <v>3.016390938903E12</v>
      </c>
      <c r="AC123" s="363"/>
      <c r="AD123" s="364"/>
      <c r="AE123" s="364"/>
      <c r="AF123" s="364"/>
      <c r="AG123" s="364"/>
      <c r="AH123" s="287" t="b">
        <v>1</v>
      </c>
      <c r="AI123" s="287" t="b">
        <v>1</v>
      </c>
      <c r="AJ123" s="287" t="b">
        <v>1</v>
      </c>
      <c r="AK123" s="287" t="b">
        <v>1</v>
      </c>
      <c r="AL123" s="295" t="b">
        <v>0</v>
      </c>
      <c r="AM123" s="295" t="b">
        <v>0</v>
      </c>
      <c r="AN123" s="295" t="b">
        <v>0</v>
      </c>
      <c r="AO123" s="287" t="s">
        <v>546</v>
      </c>
      <c r="AP123" s="287" t="s">
        <v>554</v>
      </c>
      <c r="AQ123" s="287" t="s">
        <v>190</v>
      </c>
    </row>
    <row r="124" outlineLevel="1">
      <c r="A124" s="254" t="s">
        <v>300</v>
      </c>
      <c r="B124" s="371" t="s">
        <v>468</v>
      </c>
      <c r="C124" s="371" t="s">
        <v>468</v>
      </c>
      <c r="D124" s="254" t="s">
        <v>525</v>
      </c>
      <c r="E124" s="254" t="s">
        <v>92</v>
      </c>
      <c r="F124" s="371" t="s">
        <v>98</v>
      </c>
      <c r="G124" s="111" t="s">
        <v>199</v>
      </c>
      <c r="H124" s="267">
        <v>44354.0</v>
      </c>
      <c r="I124" s="268">
        <f>IFERROR(__xludf.DUMMYFUNCTION("countif(FILTER(FILTER(Shiftplan!D$7:BJ$67,Shiftplan!$A$7:$A$67&lt;=Shiftplan!$A$67),Shiftplan!$D$6:$BJ$6=A124),""&gt;0"")"),0.0)</f>
        <v>0</v>
      </c>
      <c r="J124" s="111">
        <f>VLOOKUP(A124,'Shiftplan SoS'!A:F,6,false)</f>
        <v>60</v>
      </c>
      <c r="K124" s="268">
        <f t="shared" si="11"/>
        <v>60</v>
      </c>
      <c r="L124" s="254" t="s">
        <v>526</v>
      </c>
      <c r="M124" s="269" t="str">
        <f t="shared" si="17"/>
        <v>6</v>
      </c>
      <c r="N124" s="270" t="str">
        <f t="shared" si="18"/>
        <v>50</v>
      </c>
      <c r="O124" s="111" t="str">
        <f t="shared" si="19"/>
        <v>5</v>
      </c>
      <c r="P124" s="111" t="str">
        <f t="shared" si="20"/>
        <v>0</v>
      </c>
      <c r="Q124" s="111" t="str">
        <f t="shared" si="21"/>
        <v>20</v>
      </c>
      <c r="R124" s="254" t="s">
        <v>527</v>
      </c>
      <c r="S124" s="348" t="s">
        <v>1094</v>
      </c>
      <c r="T124" s="348" t="s">
        <v>1111</v>
      </c>
      <c r="U124" s="348" t="s">
        <v>1112</v>
      </c>
      <c r="V124" s="348" t="s">
        <v>1094</v>
      </c>
      <c r="W124" s="254" t="s">
        <v>874</v>
      </c>
      <c r="X124" s="111" t="s">
        <v>527</v>
      </c>
      <c r="Y124" s="254" t="s">
        <v>1113</v>
      </c>
      <c r="Z124" s="254" t="s">
        <v>1114</v>
      </c>
      <c r="AA124" s="316">
        <v>36.0</v>
      </c>
      <c r="AB124" s="254">
        <v>3.013691484277E12</v>
      </c>
      <c r="AC124" s="167"/>
      <c r="AD124" s="349"/>
      <c r="AE124" s="349"/>
      <c r="AF124" s="349"/>
      <c r="AG124" s="349"/>
      <c r="AH124" s="111" t="b">
        <v>1</v>
      </c>
      <c r="AI124" s="111" t="b">
        <v>1</v>
      </c>
      <c r="AJ124" s="111" t="b">
        <v>1</v>
      </c>
      <c r="AK124" s="111" t="b">
        <v>0</v>
      </c>
      <c r="AL124" s="273" t="b">
        <v>0</v>
      </c>
      <c r="AM124" s="273" t="b">
        <v>0</v>
      </c>
      <c r="AN124" s="273" t="b">
        <v>0</v>
      </c>
      <c r="AO124" s="111" t="s">
        <v>546</v>
      </c>
      <c r="AP124" s="111" t="s">
        <v>542</v>
      </c>
      <c r="AQ124" s="111" t="s">
        <v>200</v>
      </c>
    </row>
    <row r="125" outlineLevel="1">
      <c r="A125" s="359" t="s">
        <v>301</v>
      </c>
      <c r="B125" s="373" t="s">
        <v>419</v>
      </c>
      <c r="C125" s="373" t="s">
        <v>419</v>
      </c>
      <c r="D125" s="359" t="s">
        <v>525</v>
      </c>
      <c r="E125" s="359" t="s">
        <v>88</v>
      </c>
      <c r="F125" s="373" t="s">
        <v>97</v>
      </c>
      <c r="G125" s="287" t="s">
        <v>189</v>
      </c>
      <c r="H125" s="289">
        <v>44354.0</v>
      </c>
      <c r="I125" s="290">
        <f>IFERROR(__xludf.DUMMYFUNCTION("countif(FILTER(FILTER(Shiftplan!D$7:BJ$67,Shiftplan!$A$7:$A$67&lt;=Shiftplan!$A$67),Shiftplan!$D$6:$BJ$6=A125),""&gt;0"")"),0.0)</f>
        <v>0</v>
      </c>
      <c r="J125" s="287">
        <f>VLOOKUP(A125,'Shiftplan SoS'!A:F,6,false)</f>
        <v>23</v>
      </c>
      <c r="K125" s="290">
        <f t="shared" si="11"/>
        <v>23</v>
      </c>
      <c r="L125" s="287" t="s">
        <v>592</v>
      </c>
      <c r="M125" s="291" t="str">
        <f t="shared" si="17"/>
        <v>5</v>
      </c>
      <c r="N125" s="292" t="str">
        <f t="shared" si="18"/>
        <v>40</v>
      </c>
      <c r="O125" s="287" t="str">
        <f t="shared" si="19"/>
        <v>10</v>
      </c>
      <c r="P125" s="287" t="str">
        <f t="shared" si="20"/>
        <v>5</v>
      </c>
      <c r="Q125" s="287" t="str">
        <f t="shared" si="21"/>
        <v>25</v>
      </c>
      <c r="R125" s="359" t="s">
        <v>527</v>
      </c>
      <c r="S125" s="362" t="s">
        <v>1094</v>
      </c>
      <c r="T125" s="374" t="s">
        <v>1115</v>
      </c>
      <c r="U125" s="362" t="s">
        <v>1116</v>
      </c>
      <c r="V125" s="362" t="s">
        <v>1094</v>
      </c>
      <c r="W125" s="359" t="s">
        <v>874</v>
      </c>
      <c r="X125" s="287" t="s">
        <v>527</v>
      </c>
      <c r="Y125" s="359" t="s">
        <v>1117</v>
      </c>
      <c r="Z125" s="359" t="s">
        <v>1118</v>
      </c>
      <c r="AA125" s="339">
        <v>473.0</v>
      </c>
      <c r="AB125" s="359">
        <v>3.018391505059E12</v>
      </c>
      <c r="AC125" s="363"/>
      <c r="AD125" s="364"/>
      <c r="AE125" s="364"/>
      <c r="AF125" s="364"/>
      <c r="AG125" s="364"/>
      <c r="AH125" s="287" t="b">
        <v>1</v>
      </c>
      <c r="AI125" s="287" t="b">
        <v>1</v>
      </c>
      <c r="AJ125" s="287" t="b">
        <v>1</v>
      </c>
      <c r="AK125" s="287" t="b">
        <v>0</v>
      </c>
      <c r="AL125" s="295" t="b">
        <v>0</v>
      </c>
      <c r="AM125" s="295" t="b">
        <v>0</v>
      </c>
      <c r="AN125" s="295" t="b">
        <v>0</v>
      </c>
      <c r="AO125" s="287" t="s">
        <v>546</v>
      </c>
      <c r="AP125" s="287" t="s">
        <v>576</v>
      </c>
      <c r="AQ125" s="287" t="s">
        <v>190</v>
      </c>
    </row>
    <row r="126" outlineLevel="1">
      <c r="A126" s="254" t="s">
        <v>302</v>
      </c>
      <c r="B126" s="371" t="s">
        <v>400</v>
      </c>
      <c r="C126" s="371" t="s">
        <v>1119</v>
      </c>
      <c r="D126" s="254" t="s">
        <v>525</v>
      </c>
      <c r="E126" s="254" t="s">
        <v>89</v>
      </c>
      <c r="F126" s="254" t="s">
        <v>97</v>
      </c>
      <c r="G126" s="111" t="s">
        <v>105</v>
      </c>
      <c r="H126" s="267">
        <v>44356.0</v>
      </c>
      <c r="I126" s="268">
        <f>IFERROR(__xludf.DUMMYFUNCTION("countif(FILTER(FILTER(Shiftplan!D$7:BJ$67,Shiftplan!$A$7:$A$67&lt;=Shiftplan!$A$67),Shiftplan!$D$6:$BJ$6=A126),""&gt;0"")"),0.0)</f>
        <v>0</v>
      </c>
      <c r="J126" s="111">
        <f>VLOOKUP(A126,'Shiftplan SoS'!A:F,6,false)</f>
        <v>27</v>
      </c>
      <c r="K126" s="268">
        <f t="shared" si="11"/>
        <v>27</v>
      </c>
      <c r="L126" s="254" t="s">
        <v>526</v>
      </c>
      <c r="M126" s="269" t="str">
        <f t="shared" si="17"/>
        <v>5</v>
      </c>
      <c r="N126" s="270" t="str">
        <f t="shared" si="18"/>
        <v>40</v>
      </c>
      <c r="O126" s="111" t="str">
        <f t="shared" si="19"/>
        <v>10</v>
      </c>
      <c r="P126" s="111" t="str">
        <f t="shared" si="20"/>
        <v>5</v>
      </c>
      <c r="Q126" s="111" t="str">
        <f t="shared" si="21"/>
        <v>25</v>
      </c>
      <c r="R126" s="254" t="s">
        <v>527</v>
      </c>
      <c r="S126" s="348" t="s">
        <v>1094</v>
      </c>
      <c r="T126" s="375" t="s">
        <v>1120</v>
      </c>
      <c r="U126" s="348" t="s">
        <v>1121</v>
      </c>
      <c r="V126" s="348" t="s">
        <v>1094</v>
      </c>
      <c r="W126" s="254" t="s">
        <v>874</v>
      </c>
      <c r="X126" s="348" t="s">
        <v>1061</v>
      </c>
      <c r="Y126" s="254" t="s">
        <v>1122</v>
      </c>
      <c r="Z126" s="371" t="s">
        <v>1121</v>
      </c>
      <c r="AA126" s="316">
        <v>659.0</v>
      </c>
      <c r="AB126" s="254">
        <v>3.018291742607E12</v>
      </c>
      <c r="AC126" s="167"/>
      <c r="AD126" s="349"/>
      <c r="AE126" s="349"/>
      <c r="AF126" s="349"/>
      <c r="AG126" s="349"/>
      <c r="AH126" s="111" t="b">
        <v>1</v>
      </c>
      <c r="AI126" s="111" t="b">
        <v>1</v>
      </c>
      <c r="AJ126" s="111" t="b">
        <v>1</v>
      </c>
      <c r="AK126" s="111" t="b">
        <v>0</v>
      </c>
      <c r="AL126" s="111" t="b">
        <v>0</v>
      </c>
      <c r="AM126" s="111" t="b">
        <v>0</v>
      </c>
      <c r="AN126" s="111" t="b">
        <v>0</v>
      </c>
      <c r="AO126" s="111" t="s">
        <v>546</v>
      </c>
      <c r="AP126" s="111" t="s">
        <v>554</v>
      </c>
      <c r="AQ126" s="111" t="s">
        <v>206</v>
      </c>
    </row>
    <row r="127" outlineLevel="1">
      <c r="A127" s="309" t="s">
        <v>303</v>
      </c>
      <c r="B127" s="309" t="s">
        <v>398</v>
      </c>
      <c r="C127" s="309" t="s">
        <v>398</v>
      </c>
      <c r="D127" s="309" t="s">
        <v>525</v>
      </c>
      <c r="E127" s="309" t="s">
        <v>88</v>
      </c>
      <c r="F127" s="309" t="s">
        <v>98</v>
      </c>
      <c r="G127" s="276" t="s">
        <v>189</v>
      </c>
      <c r="H127" s="277">
        <v>44361.0</v>
      </c>
      <c r="I127" s="278">
        <f>IFERROR(__xludf.DUMMYFUNCTION("countif(FILTER(FILTER(Shiftplan!D$7:BJ$67,Shiftplan!$A$7:$A$67&lt;=Shiftplan!$A$67),Shiftplan!$D$6:$BJ$6=A127),""&gt;0"")"),0.0)</f>
        <v>0</v>
      </c>
      <c r="J127" s="276">
        <f>VLOOKUP(A127,'Shiftplan SoS'!A:F,6,false)</f>
        <v>58</v>
      </c>
      <c r="K127" s="278">
        <f t="shared" si="11"/>
        <v>58</v>
      </c>
      <c r="L127" s="309" t="s">
        <v>526</v>
      </c>
      <c r="M127" s="279" t="str">
        <f t="shared" si="17"/>
        <v>6</v>
      </c>
      <c r="N127" s="280" t="str">
        <f t="shared" si="18"/>
        <v>50</v>
      </c>
      <c r="O127" s="276" t="str">
        <f t="shared" si="19"/>
        <v>5</v>
      </c>
      <c r="P127" s="276" t="str">
        <f t="shared" si="20"/>
        <v>0</v>
      </c>
      <c r="Q127" s="276" t="str">
        <f t="shared" si="21"/>
        <v>20</v>
      </c>
      <c r="R127" s="309" t="s">
        <v>527</v>
      </c>
      <c r="S127" s="351" t="s">
        <v>1094</v>
      </c>
      <c r="T127" s="376" t="s">
        <v>1123</v>
      </c>
      <c r="U127" s="351" t="s">
        <v>1124</v>
      </c>
      <c r="V127" s="351" t="s">
        <v>1094</v>
      </c>
      <c r="W127" s="309" t="s">
        <v>874</v>
      </c>
      <c r="X127" s="351" t="s">
        <v>1061</v>
      </c>
      <c r="Y127" s="309" t="s">
        <v>1125</v>
      </c>
      <c r="Z127" s="309" t="s">
        <v>1126</v>
      </c>
      <c r="AA127" s="318">
        <v>50.0</v>
      </c>
      <c r="AB127" s="309">
        <v>3.018291906745E12</v>
      </c>
      <c r="AC127" s="352"/>
      <c r="AD127" s="353"/>
      <c r="AE127" s="353"/>
      <c r="AF127" s="353"/>
      <c r="AG127" s="353"/>
      <c r="AH127" s="276" t="b">
        <v>1</v>
      </c>
      <c r="AI127" s="276" t="b">
        <v>1</v>
      </c>
      <c r="AJ127" s="276" t="b">
        <v>1</v>
      </c>
      <c r="AK127" s="276" t="b">
        <v>0</v>
      </c>
      <c r="AL127" s="276" t="b">
        <v>0</v>
      </c>
      <c r="AM127" s="276" t="b">
        <v>0</v>
      </c>
      <c r="AN127" s="276" t="b">
        <v>0</v>
      </c>
      <c r="AO127" s="276" t="s">
        <v>546</v>
      </c>
      <c r="AP127" s="276" t="s">
        <v>554</v>
      </c>
      <c r="AQ127" s="276" t="s">
        <v>190</v>
      </c>
    </row>
    <row r="128" outlineLevel="1">
      <c r="A128" s="254" t="s">
        <v>304</v>
      </c>
      <c r="B128" s="371" t="s">
        <v>450</v>
      </c>
      <c r="C128" s="371" t="s">
        <v>1127</v>
      </c>
      <c r="D128" s="254" t="s">
        <v>525</v>
      </c>
      <c r="E128" s="254" t="s">
        <v>88</v>
      </c>
      <c r="F128" s="316" t="s">
        <v>192</v>
      </c>
      <c r="G128" s="111" t="s">
        <v>189</v>
      </c>
      <c r="H128" s="267">
        <v>44361.0</v>
      </c>
      <c r="I128" s="268">
        <f>IFERROR(__xludf.DUMMYFUNCTION("countif(FILTER(FILTER(Shiftplan!D$7:BJ$67,Shiftplan!$A$7:$A$67&lt;=Shiftplan!$A$67),Shiftplan!$D$6:$BJ$6=A128),""&gt;0"")"),0.0)</f>
        <v>0</v>
      </c>
      <c r="J128" s="111">
        <f>VLOOKUP(A128,'Shiftplan SoS'!A:F,6,false)</f>
        <v>56</v>
      </c>
      <c r="K128" s="268">
        <f t="shared" si="11"/>
        <v>56</v>
      </c>
      <c r="L128" s="254" t="s">
        <v>526</v>
      </c>
      <c r="M128" s="269" t="str">
        <f t="shared" si="17"/>
        <v>6</v>
      </c>
      <c r="N128" s="270" t="str">
        <f t="shared" si="18"/>
        <v>50</v>
      </c>
      <c r="O128" s="111" t="str">
        <f t="shared" si="19"/>
        <v>5</v>
      </c>
      <c r="P128" s="111" t="str">
        <f t="shared" si="20"/>
        <v>0</v>
      </c>
      <c r="Q128" s="111" t="str">
        <f t="shared" si="21"/>
        <v>20</v>
      </c>
      <c r="R128" s="254" t="s">
        <v>527</v>
      </c>
      <c r="S128" s="348" t="s">
        <v>1094</v>
      </c>
      <c r="T128" s="375" t="s">
        <v>1128</v>
      </c>
      <c r="U128" s="348" t="s">
        <v>1129</v>
      </c>
      <c r="V128" s="348" t="s">
        <v>1061</v>
      </c>
      <c r="W128" s="254" t="s">
        <v>874</v>
      </c>
      <c r="X128" s="348" t="s">
        <v>1061</v>
      </c>
      <c r="Y128" s="254" t="s">
        <v>1130</v>
      </c>
      <c r="Z128" s="316" t="s">
        <v>1129</v>
      </c>
      <c r="AA128" s="316">
        <v>18.0</v>
      </c>
      <c r="AB128" s="254">
        <v>3.015992387409E12</v>
      </c>
      <c r="AC128" s="167"/>
      <c r="AD128" s="349"/>
      <c r="AE128" s="349"/>
      <c r="AF128" s="349"/>
      <c r="AG128" s="349"/>
      <c r="AH128" s="111" t="b">
        <v>1</v>
      </c>
      <c r="AI128" s="111" t="b">
        <v>1</v>
      </c>
      <c r="AJ128" s="111" t="b">
        <v>1</v>
      </c>
      <c r="AK128" s="111" t="b">
        <v>1</v>
      </c>
      <c r="AL128" s="111" t="b">
        <v>0</v>
      </c>
      <c r="AM128" s="111" t="b">
        <v>1</v>
      </c>
      <c r="AN128" s="111" t="b">
        <v>1</v>
      </c>
      <c r="AO128" s="254" t="s">
        <v>546</v>
      </c>
      <c r="AP128" s="111" t="s">
        <v>988</v>
      </c>
      <c r="AQ128" s="111" t="s">
        <v>190</v>
      </c>
    </row>
    <row r="129" outlineLevel="1">
      <c r="A129" s="377" t="s">
        <v>337</v>
      </c>
      <c r="B129" s="361" t="s">
        <v>382</v>
      </c>
      <c r="C129" s="361" t="s">
        <v>382</v>
      </c>
      <c r="D129" s="359" t="s">
        <v>525</v>
      </c>
      <c r="E129" s="359" t="s">
        <v>91</v>
      </c>
      <c r="F129" s="359" t="s">
        <v>97</v>
      </c>
      <c r="G129" s="287" t="s">
        <v>199</v>
      </c>
      <c r="H129" s="289">
        <v>44361.0</v>
      </c>
      <c r="I129" s="290">
        <f>IFERROR(__xludf.DUMMYFUNCTION("countif(FILTER(FILTER(Shiftplan!D$7:BJ$67,Shiftplan!$A$7:$A$67&lt;=Shiftplan!$A$67),Shiftplan!$D$6:$BJ$6=A129),""&gt;0"")"),0.0)</f>
        <v>0</v>
      </c>
      <c r="J129" s="287">
        <f>VLOOKUP(A129,'Shiftplan SoS'!A:F,6,false)</f>
        <v>28</v>
      </c>
      <c r="K129" s="290">
        <f t="shared" si="11"/>
        <v>28</v>
      </c>
      <c r="L129" s="287" t="s">
        <v>592</v>
      </c>
      <c r="M129" s="291" t="str">
        <f t="shared" si="17"/>
        <v>5</v>
      </c>
      <c r="N129" s="292"/>
      <c r="O129" s="287" t="str">
        <f t="shared" si="19"/>
        <v>10</v>
      </c>
      <c r="P129" s="287" t="str">
        <f t="shared" si="20"/>
        <v>5</v>
      </c>
      <c r="Q129" s="287" t="str">
        <f t="shared" si="21"/>
        <v>25</v>
      </c>
      <c r="R129" s="359" t="s">
        <v>527</v>
      </c>
      <c r="S129" s="362" t="s">
        <v>1094</v>
      </c>
      <c r="T129" s="362" t="s">
        <v>1131</v>
      </c>
      <c r="U129" s="362" t="s">
        <v>337</v>
      </c>
      <c r="V129" s="362" t="s">
        <v>1061</v>
      </c>
      <c r="W129" s="359" t="s">
        <v>527</v>
      </c>
      <c r="X129" s="362" t="s">
        <v>1061</v>
      </c>
      <c r="Y129" s="364"/>
      <c r="Z129" s="373" t="s">
        <v>1132</v>
      </c>
      <c r="AA129" s="339">
        <v>4.0</v>
      </c>
      <c r="AB129" s="359">
        <v>3.019992388778E12</v>
      </c>
      <c r="AC129" s="363"/>
      <c r="AD129" s="364"/>
      <c r="AE129" s="364"/>
      <c r="AF129" s="364"/>
      <c r="AG129" s="364"/>
      <c r="AH129" s="287" t="b">
        <v>1</v>
      </c>
      <c r="AI129" s="287" t="b">
        <v>1</v>
      </c>
      <c r="AJ129" s="287" t="b">
        <v>0</v>
      </c>
      <c r="AK129" s="287" t="b">
        <v>0</v>
      </c>
      <c r="AL129" s="287" t="b">
        <v>0</v>
      </c>
      <c r="AM129" s="287" t="b">
        <v>0</v>
      </c>
      <c r="AN129" s="287" t="b">
        <v>0</v>
      </c>
      <c r="AO129" s="359" t="s">
        <v>546</v>
      </c>
      <c r="AP129" s="287" t="s">
        <v>554</v>
      </c>
      <c r="AQ129" s="287" t="s">
        <v>200</v>
      </c>
    </row>
    <row r="130" outlineLevel="1">
      <c r="A130" s="254" t="s">
        <v>305</v>
      </c>
      <c r="B130" s="371" t="s">
        <v>470</v>
      </c>
      <c r="C130" s="371" t="s">
        <v>470</v>
      </c>
      <c r="D130" s="254" t="s">
        <v>525</v>
      </c>
      <c r="E130" s="254" t="s">
        <v>91</v>
      </c>
      <c r="F130" s="254" t="s">
        <v>98</v>
      </c>
      <c r="G130" s="111" t="s">
        <v>199</v>
      </c>
      <c r="H130" s="267">
        <v>44363.0</v>
      </c>
      <c r="I130" s="268">
        <f>IFERROR(__xludf.DUMMYFUNCTION("countif(FILTER(FILTER(Shiftplan!D$7:BJ$67,Shiftplan!$A$7:$A$67&lt;=Shiftplan!$A$67),Shiftplan!$D$6:$BJ$6=A130),""&gt;0"")"),0.0)</f>
        <v>0</v>
      </c>
      <c r="J130" s="111">
        <f>VLOOKUP(A130,'Shiftplan SoS'!A:F,6,false)</f>
        <v>51</v>
      </c>
      <c r="K130" s="268">
        <f t="shared" si="11"/>
        <v>51</v>
      </c>
      <c r="L130" s="254" t="s">
        <v>526</v>
      </c>
      <c r="M130" s="269" t="str">
        <f t="shared" si="17"/>
        <v>6</v>
      </c>
      <c r="N130" s="270"/>
      <c r="O130" s="111" t="str">
        <f t="shared" si="19"/>
        <v>5</v>
      </c>
      <c r="P130" s="111" t="str">
        <f t="shared" si="20"/>
        <v>0</v>
      </c>
      <c r="Q130" s="111" t="str">
        <f t="shared" si="21"/>
        <v>20</v>
      </c>
      <c r="R130" s="254" t="s">
        <v>527</v>
      </c>
      <c r="S130" s="348" t="s">
        <v>1094</v>
      </c>
      <c r="T130" s="348" t="s">
        <v>1133</v>
      </c>
      <c r="U130" s="348" t="s">
        <v>1134</v>
      </c>
      <c r="V130" s="378"/>
      <c r="W130" s="349"/>
      <c r="X130" s="378"/>
      <c r="Y130" s="349"/>
      <c r="Z130" s="316" t="s">
        <v>1135</v>
      </c>
      <c r="AA130" s="316">
        <v>4.0</v>
      </c>
      <c r="AB130" s="254">
        <v>3.019892658863E12</v>
      </c>
      <c r="AC130" s="167"/>
      <c r="AD130" s="349"/>
      <c r="AE130" s="349"/>
      <c r="AF130" s="349"/>
      <c r="AG130" s="349"/>
      <c r="AH130" s="111" t="b">
        <v>1</v>
      </c>
      <c r="AI130" s="111" t="b">
        <v>1</v>
      </c>
      <c r="AJ130" s="111" t="b">
        <v>1</v>
      </c>
      <c r="AK130" s="111" t="b">
        <v>1</v>
      </c>
      <c r="AL130" s="111" t="b">
        <v>0</v>
      </c>
      <c r="AM130" s="111" t="b">
        <v>1</v>
      </c>
      <c r="AN130" s="111" t="b">
        <v>0</v>
      </c>
      <c r="AO130" s="254" t="s">
        <v>546</v>
      </c>
      <c r="AP130" s="111" t="s">
        <v>542</v>
      </c>
      <c r="AQ130" s="111" t="s">
        <v>200</v>
      </c>
    </row>
    <row r="131" outlineLevel="1">
      <c r="A131" s="359" t="s">
        <v>363</v>
      </c>
      <c r="B131" s="359" t="s">
        <v>1136</v>
      </c>
      <c r="C131" s="359" t="s">
        <v>1136</v>
      </c>
      <c r="D131" s="359" t="s">
        <v>525</v>
      </c>
      <c r="E131" s="359" t="s">
        <v>93</v>
      </c>
      <c r="F131" s="359" t="s">
        <v>98</v>
      </c>
      <c r="G131" s="287" t="s">
        <v>199</v>
      </c>
      <c r="H131" s="289">
        <v>44363.0</v>
      </c>
      <c r="I131" s="290">
        <f>IFERROR(__xludf.DUMMYFUNCTION("countif(FILTER(FILTER(Shiftplan!D$7:BJ$67,Shiftplan!$A$7:$A$67&lt;=Shiftplan!$A$67),Shiftplan!$D$6:$BJ$6=A131),""&gt;0"")"),0.0)</f>
        <v>0</v>
      </c>
      <c r="J131" s="287">
        <f>VLOOKUP(A131,'Shiftplan SoS'!A:F,6,false)</f>
        <v>34</v>
      </c>
      <c r="K131" s="290">
        <f t="shared" si="11"/>
        <v>34</v>
      </c>
      <c r="L131" s="287" t="s">
        <v>592</v>
      </c>
      <c r="M131" s="291" t="str">
        <f t="shared" si="17"/>
        <v>5</v>
      </c>
      <c r="N131" s="292"/>
      <c r="O131" s="287" t="str">
        <f t="shared" si="19"/>
        <v>10</v>
      </c>
      <c r="P131" s="287" t="str">
        <f t="shared" si="20"/>
        <v>5</v>
      </c>
      <c r="Q131" s="287" t="str">
        <f t="shared" si="21"/>
        <v>25</v>
      </c>
      <c r="R131" s="359" t="s">
        <v>527</v>
      </c>
      <c r="S131" s="362" t="s">
        <v>1094</v>
      </c>
      <c r="T131" s="362" t="s">
        <v>1137</v>
      </c>
      <c r="U131" s="362" t="s">
        <v>1138</v>
      </c>
      <c r="V131" s="362" t="s">
        <v>527</v>
      </c>
      <c r="W131" s="359" t="s">
        <v>527</v>
      </c>
      <c r="X131" s="362" t="s">
        <v>527</v>
      </c>
      <c r="Y131" s="364"/>
      <c r="Z131" s="373" t="s">
        <v>1139</v>
      </c>
      <c r="AA131" s="339">
        <v>777.0</v>
      </c>
      <c r="AB131" s="359">
        <v>3.013392664777E12</v>
      </c>
      <c r="AC131" s="363"/>
      <c r="AD131" s="364"/>
      <c r="AE131" s="364"/>
      <c r="AF131" s="364"/>
      <c r="AG131" s="364"/>
      <c r="AH131" s="287" t="b">
        <v>1</v>
      </c>
      <c r="AI131" s="287" t="b">
        <v>1</v>
      </c>
      <c r="AJ131" s="287" t="b">
        <v>0</v>
      </c>
      <c r="AK131" s="287" t="b">
        <v>0</v>
      </c>
      <c r="AL131" s="287" t="b">
        <v>0</v>
      </c>
      <c r="AM131" s="287" t="b">
        <v>0</v>
      </c>
      <c r="AN131" s="287" t="b">
        <v>0</v>
      </c>
      <c r="AO131" s="359" t="s">
        <v>546</v>
      </c>
      <c r="AP131" s="287" t="s">
        <v>542</v>
      </c>
      <c r="AQ131" s="287" t="s">
        <v>200</v>
      </c>
    </row>
    <row r="132" outlineLevel="1">
      <c r="A132" s="242" t="s">
        <v>335</v>
      </c>
      <c r="B132" s="365" t="s">
        <v>1140</v>
      </c>
      <c r="C132" s="365" t="s">
        <v>1140</v>
      </c>
      <c r="D132" s="242" t="s">
        <v>525</v>
      </c>
      <c r="E132" s="242" t="s">
        <v>88</v>
      </c>
      <c r="F132" s="242" t="s">
        <v>97</v>
      </c>
      <c r="G132" s="186" t="s">
        <v>199</v>
      </c>
      <c r="H132" s="298">
        <v>44363.0</v>
      </c>
      <c r="I132" s="268">
        <f>IFERROR(__xludf.DUMMYFUNCTION("countif(FILTER(FILTER(Shiftplan!D$7:BJ$67,Shiftplan!$A$7:$A$67&lt;=Shiftplan!$A$67),Shiftplan!$D$6:$BJ$6=A132),""&gt;0"")"),0.0)</f>
        <v>0</v>
      </c>
      <c r="J132" s="186">
        <f>VLOOKUP(A132,'Shiftplan SoS'!A:F,6,false)</f>
        <v>2</v>
      </c>
      <c r="K132" s="306">
        <f t="shared" si="11"/>
        <v>2</v>
      </c>
      <c r="L132" s="242" t="s">
        <v>592</v>
      </c>
      <c r="M132" s="299"/>
      <c r="N132" s="300"/>
      <c r="O132" s="186"/>
      <c r="P132" s="186"/>
      <c r="Q132" s="186"/>
      <c r="R132" s="242"/>
      <c r="S132" s="366" t="s">
        <v>1094</v>
      </c>
      <c r="T132" s="366" t="s">
        <v>1141</v>
      </c>
      <c r="U132" s="366"/>
      <c r="V132" s="370"/>
      <c r="W132" s="342"/>
      <c r="X132" s="370"/>
      <c r="Y132" s="342"/>
      <c r="Z132" s="342"/>
      <c r="AA132" s="347"/>
      <c r="AB132" s="242" t="s">
        <v>166</v>
      </c>
      <c r="AC132" s="190"/>
      <c r="AD132" s="342"/>
      <c r="AE132" s="342"/>
      <c r="AF132" s="342"/>
      <c r="AG132" s="342"/>
      <c r="AH132" s="186" t="b">
        <v>0</v>
      </c>
      <c r="AI132" s="186" t="b">
        <v>0</v>
      </c>
      <c r="AJ132" s="186" t="b">
        <v>0</v>
      </c>
      <c r="AK132" s="186" t="b">
        <v>0</v>
      </c>
      <c r="AL132" s="186" t="b">
        <v>0</v>
      </c>
      <c r="AM132" s="186" t="b">
        <v>0</v>
      </c>
      <c r="AN132" s="186" t="b">
        <v>0</v>
      </c>
      <c r="AO132" s="242" t="s">
        <v>546</v>
      </c>
      <c r="AP132" s="111" t="s">
        <v>554</v>
      </c>
      <c r="AQ132" s="111" t="s">
        <v>206</v>
      </c>
    </row>
    <row r="133" outlineLevel="1">
      <c r="A133" s="309" t="s">
        <v>308</v>
      </c>
      <c r="B133" s="309" t="s">
        <v>442</v>
      </c>
      <c r="C133" s="372" t="s">
        <v>442</v>
      </c>
      <c r="D133" s="276" t="s">
        <v>525</v>
      </c>
      <c r="E133" s="309" t="s">
        <v>88</v>
      </c>
      <c r="F133" s="309" t="s">
        <v>97</v>
      </c>
      <c r="G133" s="318" t="s">
        <v>189</v>
      </c>
      <c r="H133" s="277">
        <v>44372.0</v>
      </c>
      <c r="I133" s="278">
        <f>IFERROR(__xludf.DUMMYFUNCTION("countif(FILTER(FILTER(Shiftplan!D$7:BJ$67,Shiftplan!$A$7:$A$67&lt;=Shiftplan!$A$67),Shiftplan!$D$6:$BJ$6=A133),""&gt;0"")"),0.0)</f>
        <v>0</v>
      </c>
      <c r="J133" s="276">
        <f>VLOOKUP(A133,'Shiftplan SoS'!A:F,6,false)</f>
        <v>22</v>
      </c>
      <c r="K133" s="278">
        <f t="shared" si="11"/>
        <v>22</v>
      </c>
      <c r="L133" s="276" t="s">
        <v>526</v>
      </c>
      <c r="M133" s="279" t="str">
        <f t="shared" ref="M133:M153" si="22">ifs(K133&lt;3, "0",K133&lt;6, "1",K133&lt;10, "2",K133&lt;15, "3",K133&lt;20, "4",K133&lt;41, "5",K133&lt;62, "6",K133&lt;83, "7",K133&lt;104, "8",K133&lt;125, "9")</f>
        <v>5</v>
      </c>
      <c r="N133" s="280" t="str">
        <f t="shared" ref="N133:N134" si="23">ifs(M133="0", "0",M133="1", "10",M133="2", "20",M133="3", "25",M133="4", "30",M133="5", "40",M133="6", "50",M133&gt;6, "60")</f>
        <v>40</v>
      </c>
      <c r="O133" s="276" t="str">
        <f t="shared" ref="O133:O153" si="24">ifs(M133="0", "-",M133="1", "-",M133="2", "20",M133="3", "20",M133="4", "15",M133="5", "10",M133="6", "5",M133&gt;6, "0")</f>
        <v>10</v>
      </c>
      <c r="P133" s="276" t="str">
        <f t="shared" ref="P133:P153" si="25">ifs(M133="0", "-",M133="1", "-",M133="2", "10",M133="3", "10",M133="4", "10",M133="5", "5",M133&gt;5, "0")</f>
        <v>5</v>
      </c>
      <c r="Q133" s="276" t="str">
        <f t="shared" ref="Q133:Q153" si="26">ifs(M133="0", "-",M133="1", "-",M133="2", "30",M133="3", "30",M133="4", "30",M133="5", "25",M133="6", "20",M133="7", "15",M133="8", "10",M133="9", "5")</f>
        <v>25</v>
      </c>
      <c r="R133" s="276" t="s">
        <v>527</v>
      </c>
      <c r="S133" s="351" t="s">
        <v>1094</v>
      </c>
      <c r="T133" s="376" t="s">
        <v>1142</v>
      </c>
      <c r="U133" s="379"/>
      <c r="V133" s="351" t="s">
        <v>527</v>
      </c>
      <c r="W133" s="309" t="s">
        <v>874</v>
      </c>
      <c r="X133" s="351" t="s">
        <v>1143</v>
      </c>
      <c r="Y133" s="353"/>
      <c r="Z133" s="372" t="s">
        <v>1144</v>
      </c>
      <c r="AA133" s="318">
        <v>681.0</v>
      </c>
      <c r="AB133" s="309">
        <v>3.016393819749E12</v>
      </c>
      <c r="AC133" s="356"/>
      <c r="AD133" s="353"/>
      <c r="AE133" s="353"/>
      <c r="AF133" s="353"/>
      <c r="AG133" s="353"/>
      <c r="AH133" s="276" t="b">
        <v>1</v>
      </c>
      <c r="AI133" s="276" t="b">
        <v>1</v>
      </c>
      <c r="AJ133" s="276" t="b">
        <v>1</v>
      </c>
      <c r="AK133" s="276" t="b">
        <v>1</v>
      </c>
      <c r="AL133" s="274"/>
      <c r="AM133" s="276" t="b">
        <v>1</v>
      </c>
      <c r="AN133" s="274"/>
      <c r="AO133" s="276" t="s">
        <v>546</v>
      </c>
      <c r="AP133" s="276" t="s">
        <v>554</v>
      </c>
      <c r="AQ133" s="276" t="s">
        <v>190</v>
      </c>
    </row>
    <row r="134" outlineLevel="1">
      <c r="A134" s="254" t="s">
        <v>307</v>
      </c>
      <c r="B134" s="254" t="s">
        <v>413</v>
      </c>
      <c r="C134" s="371" t="s">
        <v>413</v>
      </c>
      <c r="D134" s="111" t="s">
        <v>525</v>
      </c>
      <c r="E134" s="358" t="s">
        <v>88</v>
      </c>
      <c r="F134" s="316" t="s">
        <v>192</v>
      </c>
      <c r="G134" s="316" t="s">
        <v>105</v>
      </c>
      <c r="H134" s="267">
        <v>44375.0</v>
      </c>
      <c r="I134" s="268">
        <f>IFERROR(__xludf.DUMMYFUNCTION("countif(FILTER(FILTER(Shiftplan!D$7:BJ$67,Shiftplan!$A$7:$A$67&lt;=Shiftplan!$A$67),Shiftplan!$D$6:$BJ$6=A134),""&gt;0"")"),0.0)</f>
        <v>0</v>
      </c>
      <c r="J134" s="111">
        <f>VLOOKUP(A134,'Shiftplan SoS'!A:F,6,false)</f>
        <v>22</v>
      </c>
      <c r="K134" s="268">
        <f t="shared" si="11"/>
        <v>22</v>
      </c>
      <c r="L134" s="111" t="s">
        <v>526</v>
      </c>
      <c r="M134" s="269" t="str">
        <f t="shared" si="22"/>
        <v>5</v>
      </c>
      <c r="N134" s="270" t="str">
        <f t="shared" si="23"/>
        <v>40</v>
      </c>
      <c r="O134" s="111" t="str">
        <f t="shared" si="24"/>
        <v>10</v>
      </c>
      <c r="P134" s="111" t="str">
        <f t="shared" si="25"/>
        <v>5</v>
      </c>
      <c r="Q134" s="111" t="str">
        <f t="shared" si="26"/>
        <v>25</v>
      </c>
      <c r="R134" s="111" t="s">
        <v>527</v>
      </c>
      <c r="S134" s="348" t="s">
        <v>1094</v>
      </c>
      <c r="T134" s="348" t="s">
        <v>1145</v>
      </c>
      <c r="U134" s="378"/>
      <c r="V134" s="348" t="s">
        <v>527</v>
      </c>
      <c r="W134" s="254" t="s">
        <v>874</v>
      </c>
      <c r="X134" s="348" t="s">
        <v>527</v>
      </c>
      <c r="Y134" s="349"/>
      <c r="Z134" s="371" t="s">
        <v>1146</v>
      </c>
      <c r="AA134" s="316">
        <v>16.0</v>
      </c>
      <c r="AB134" s="254">
        <v>3.01549418633E12</v>
      </c>
      <c r="AC134" s="358"/>
      <c r="AD134" s="349"/>
      <c r="AE134" s="349"/>
      <c r="AF134" s="349"/>
      <c r="AG134" s="349"/>
      <c r="AH134" s="111" t="b">
        <v>1</v>
      </c>
      <c r="AI134" s="111" t="b">
        <v>1</v>
      </c>
      <c r="AJ134" s="111"/>
      <c r="AK134" s="111"/>
      <c r="AL134" s="273"/>
      <c r="AM134" s="111" t="b">
        <v>1</v>
      </c>
      <c r="AN134" s="111" t="b">
        <v>0</v>
      </c>
      <c r="AO134" s="111" t="s">
        <v>546</v>
      </c>
      <c r="AP134" s="111" t="s">
        <v>547</v>
      </c>
      <c r="AQ134" s="111" t="s">
        <v>206</v>
      </c>
    </row>
    <row r="135" outlineLevel="1">
      <c r="A135" s="254" t="s">
        <v>306</v>
      </c>
      <c r="B135" s="254" t="s">
        <v>475</v>
      </c>
      <c r="C135" s="371" t="s">
        <v>475</v>
      </c>
      <c r="D135" s="254" t="s">
        <v>525</v>
      </c>
      <c r="E135" s="254" t="s">
        <v>92</v>
      </c>
      <c r="F135" s="254" t="s">
        <v>97</v>
      </c>
      <c r="G135" s="111" t="s">
        <v>189</v>
      </c>
      <c r="H135" s="267">
        <v>44375.0</v>
      </c>
      <c r="I135" s="278">
        <f>IFERROR(__xludf.DUMMYFUNCTION("countif(FILTER(FILTER(Shiftplan!D$7:BJ$67,Shiftplan!$A$7:$A$67&lt;=Shiftplan!$A$67),Shiftplan!$D$6:$BJ$6=A135),""&gt;0"")"),0.0)</f>
        <v>0</v>
      </c>
      <c r="J135" s="111">
        <f>VLOOKUP(A135,'Shiftplan SoS'!A:F,6,false)</f>
        <v>20</v>
      </c>
      <c r="K135" s="268">
        <f t="shared" si="11"/>
        <v>20</v>
      </c>
      <c r="L135" s="254" t="s">
        <v>526</v>
      </c>
      <c r="M135" s="269" t="str">
        <f t="shared" si="22"/>
        <v>5</v>
      </c>
      <c r="N135" s="270"/>
      <c r="O135" s="111" t="str">
        <f t="shared" si="24"/>
        <v>10</v>
      </c>
      <c r="P135" s="111" t="str">
        <f t="shared" si="25"/>
        <v>5</v>
      </c>
      <c r="Q135" s="111" t="str">
        <f t="shared" si="26"/>
        <v>25</v>
      </c>
      <c r="R135" s="254" t="s">
        <v>527</v>
      </c>
      <c r="S135" s="348" t="s">
        <v>1094</v>
      </c>
      <c r="T135" s="348" t="s">
        <v>1147</v>
      </c>
      <c r="U135" s="348" t="s">
        <v>1148</v>
      </c>
      <c r="V135" s="348" t="s">
        <v>527</v>
      </c>
      <c r="W135" s="254" t="s">
        <v>874</v>
      </c>
      <c r="X135" s="348" t="s">
        <v>527</v>
      </c>
      <c r="Y135" s="349"/>
      <c r="Z135" s="254" t="s">
        <v>1149</v>
      </c>
      <c r="AA135" s="316">
        <v>2.0</v>
      </c>
      <c r="AB135" s="254">
        <v>3.012994202158E12</v>
      </c>
      <c r="AC135" s="167"/>
      <c r="AD135" s="349"/>
      <c r="AE135" s="349"/>
      <c r="AF135" s="349"/>
      <c r="AG135" s="349"/>
      <c r="AH135" s="111" t="b">
        <v>1</v>
      </c>
      <c r="AI135" s="276" t="b">
        <v>1</v>
      </c>
      <c r="AJ135" s="111" t="b">
        <v>1</v>
      </c>
      <c r="AK135" s="111" t="b">
        <v>1</v>
      </c>
      <c r="AL135" s="111" t="b">
        <v>1</v>
      </c>
      <c r="AM135" s="111" t="b">
        <v>1</v>
      </c>
      <c r="AN135" s="111" t="b">
        <v>1</v>
      </c>
      <c r="AO135" s="254" t="s">
        <v>546</v>
      </c>
      <c r="AP135" s="276" t="s">
        <v>554</v>
      </c>
      <c r="AQ135" s="276" t="s">
        <v>190</v>
      </c>
    </row>
    <row r="136" outlineLevel="1">
      <c r="A136" s="242" t="s">
        <v>336</v>
      </c>
      <c r="B136" s="242" t="s">
        <v>479</v>
      </c>
      <c r="C136" s="242" t="s">
        <v>479</v>
      </c>
      <c r="D136" s="186" t="s">
        <v>525</v>
      </c>
      <c r="E136" s="242" t="s">
        <v>88</v>
      </c>
      <c r="F136" s="242" t="s">
        <v>97</v>
      </c>
      <c r="G136" s="186" t="s">
        <v>199</v>
      </c>
      <c r="H136" s="298">
        <v>44375.0</v>
      </c>
      <c r="I136" s="306">
        <f>IFERROR(__xludf.DUMMYFUNCTION("countif(FILTER(FILTER(Shiftplan!D$7:BJ$67,Shiftplan!$A$7:$A$67&lt;=Shiftplan!$A$67),Shiftplan!$D$6:$BJ$6=A136),""&gt;0"")"),0.0)</f>
        <v>0</v>
      </c>
      <c r="J136" s="186">
        <f>VLOOKUP(A136,'Shiftplan SoS'!A:F,6,false)</f>
        <v>7</v>
      </c>
      <c r="K136" s="306">
        <f t="shared" si="11"/>
        <v>7</v>
      </c>
      <c r="L136" s="186" t="s">
        <v>592</v>
      </c>
      <c r="M136" s="299" t="str">
        <f t="shared" si="22"/>
        <v>2</v>
      </c>
      <c r="N136" s="300" t="str">
        <f t="shared" ref="N136:N153" si="27">ifs(M136="0", "0",M136="1", "10",M136="2", "20",M136="3", "25",M136="4", "30",M136="5", "40",M136="6", "50",M136&gt;6, "60")</f>
        <v>20</v>
      </c>
      <c r="O136" s="186" t="str">
        <f t="shared" si="24"/>
        <v>20</v>
      </c>
      <c r="P136" s="186" t="str">
        <f t="shared" si="25"/>
        <v>10</v>
      </c>
      <c r="Q136" s="186" t="str">
        <f t="shared" si="26"/>
        <v>30</v>
      </c>
      <c r="R136" s="242" t="s">
        <v>527</v>
      </c>
      <c r="S136" s="366" t="s">
        <v>1094</v>
      </c>
      <c r="T136" s="366" t="s">
        <v>1150</v>
      </c>
      <c r="U136" s="370"/>
      <c r="V136" s="366" t="s">
        <v>527</v>
      </c>
      <c r="W136" s="242" t="s">
        <v>874</v>
      </c>
      <c r="X136" s="366" t="s">
        <v>527</v>
      </c>
      <c r="Y136" s="342"/>
      <c r="Z136" s="242" t="s">
        <v>1151</v>
      </c>
      <c r="AA136" s="367">
        <v>785.0</v>
      </c>
      <c r="AB136" s="242">
        <v>3.01589420202E12</v>
      </c>
      <c r="AC136" s="190"/>
      <c r="AD136" s="342"/>
      <c r="AE136" s="342"/>
      <c r="AF136" s="342"/>
      <c r="AG136" s="342"/>
      <c r="AH136" s="186" t="b">
        <v>1</v>
      </c>
      <c r="AI136" s="186" t="b">
        <v>1</v>
      </c>
      <c r="AJ136" s="186" t="b">
        <v>1</v>
      </c>
      <c r="AK136" s="186" t="b">
        <v>1</v>
      </c>
      <c r="AL136" s="186" t="b">
        <v>1</v>
      </c>
      <c r="AM136" s="186" t="b">
        <v>1</v>
      </c>
      <c r="AN136" s="186" t="b">
        <v>1</v>
      </c>
      <c r="AO136" s="186" t="s">
        <v>546</v>
      </c>
      <c r="AP136" s="186" t="s">
        <v>554</v>
      </c>
      <c r="AQ136" s="186" t="s">
        <v>200</v>
      </c>
    </row>
    <row r="137" outlineLevel="1">
      <c r="A137" s="309" t="s">
        <v>310</v>
      </c>
      <c r="B137" s="309" t="s">
        <v>481</v>
      </c>
      <c r="C137" s="309" t="s">
        <v>481</v>
      </c>
      <c r="D137" s="276" t="s">
        <v>525</v>
      </c>
      <c r="E137" s="309" t="s">
        <v>88</v>
      </c>
      <c r="F137" s="276" t="s">
        <v>192</v>
      </c>
      <c r="G137" s="111" t="s">
        <v>189</v>
      </c>
      <c r="H137" s="277">
        <v>44376.0</v>
      </c>
      <c r="I137" s="278">
        <f>IFERROR(__xludf.DUMMYFUNCTION("countif(FILTER(FILTER(Shiftplan!D$7:BJ$67,Shiftplan!$A$7:$A$67&lt;=Shiftplan!$A$67),Shiftplan!$D$6:$BJ$6=A137),""&gt;0"")"),0.0)</f>
        <v>0</v>
      </c>
      <c r="J137" s="276">
        <f>VLOOKUP(A137,'Shiftplan SoS'!A:F,6,false)</f>
        <v>39</v>
      </c>
      <c r="K137" s="278">
        <f t="shared" si="11"/>
        <v>39</v>
      </c>
      <c r="L137" s="276" t="s">
        <v>526</v>
      </c>
      <c r="M137" s="279" t="str">
        <f t="shared" si="22"/>
        <v>5</v>
      </c>
      <c r="N137" s="280" t="str">
        <f t="shared" si="27"/>
        <v>40</v>
      </c>
      <c r="O137" s="276" t="str">
        <f t="shared" si="24"/>
        <v>10</v>
      </c>
      <c r="P137" s="276" t="str">
        <f t="shared" si="25"/>
        <v>5</v>
      </c>
      <c r="Q137" s="276" t="str">
        <f t="shared" si="26"/>
        <v>25</v>
      </c>
      <c r="R137" s="309" t="s">
        <v>527</v>
      </c>
      <c r="S137" s="351" t="s">
        <v>1094</v>
      </c>
      <c r="T137" s="376" t="s">
        <v>1152</v>
      </c>
      <c r="U137" s="379"/>
      <c r="V137" s="351" t="s">
        <v>527</v>
      </c>
      <c r="W137" s="309" t="s">
        <v>874</v>
      </c>
      <c r="X137" s="351" t="s">
        <v>527</v>
      </c>
      <c r="Y137" s="353"/>
      <c r="Z137" s="309" t="s">
        <v>1153</v>
      </c>
      <c r="AA137" s="318">
        <v>43.0</v>
      </c>
      <c r="AB137" s="309">
        <v>3.019594293979E12</v>
      </c>
      <c r="AC137" s="352"/>
      <c r="AD137" s="353"/>
      <c r="AE137" s="353"/>
      <c r="AF137" s="353"/>
      <c r="AG137" s="353"/>
      <c r="AH137" s="276" t="b">
        <v>1</v>
      </c>
      <c r="AI137" s="276" t="b">
        <v>1</v>
      </c>
      <c r="AJ137" s="276" t="b">
        <v>1</v>
      </c>
      <c r="AK137" s="276" t="b">
        <v>1</v>
      </c>
      <c r="AL137" s="276" t="b">
        <v>1</v>
      </c>
      <c r="AM137" s="276" t="b">
        <v>1</v>
      </c>
      <c r="AN137" s="276" t="b">
        <v>1</v>
      </c>
      <c r="AO137" s="276" t="s">
        <v>546</v>
      </c>
      <c r="AP137" s="276" t="s">
        <v>576</v>
      </c>
      <c r="AQ137" s="276" t="s">
        <v>190</v>
      </c>
    </row>
    <row r="138" outlineLevel="1">
      <c r="A138" s="254" t="s">
        <v>311</v>
      </c>
      <c r="B138" s="254" t="s">
        <v>482</v>
      </c>
      <c r="C138" s="371" t="s">
        <v>482</v>
      </c>
      <c r="D138" s="111" t="s">
        <v>525</v>
      </c>
      <c r="E138" s="254" t="s">
        <v>88</v>
      </c>
      <c r="F138" s="111" t="s">
        <v>192</v>
      </c>
      <c r="G138" s="111" t="s">
        <v>189</v>
      </c>
      <c r="H138" s="267">
        <v>44376.0</v>
      </c>
      <c r="I138" s="268">
        <f>IFERROR(__xludf.DUMMYFUNCTION("countif(FILTER(FILTER(Shiftplan!D$7:BJ$67,Shiftplan!$A$7:$A$67&lt;=Shiftplan!$A$67),Shiftplan!$D$6:$BJ$6=A138),""&gt;0"")"),0.0)</f>
        <v>0</v>
      </c>
      <c r="J138" s="111">
        <f>VLOOKUP(A138,'Shiftplan SoS'!A:F,6,false)</f>
        <v>45</v>
      </c>
      <c r="K138" s="268">
        <f t="shared" si="11"/>
        <v>45</v>
      </c>
      <c r="L138" s="111" t="s">
        <v>526</v>
      </c>
      <c r="M138" s="269" t="str">
        <f t="shared" si="22"/>
        <v>6</v>
      </c>
      <c r="N138" s="270" t="str">
        <f t="shared" si="27"/>
        <v>50</v>
      </c>
      <c r="O138" s="111" t="str">
        <f t="shared" si="24"/>
        <v>5</v>
      </c>
      <c r="P138" s="111" t="str">
        <f t="shared" si="25"/>
        <v>0</v>
      </c>
      <c r="Q138" s="111" t="str">
        <f t="shared" si="26"/>
        <v>20</v>
      </c>
      <c r="R138" s="254" t="s">
        <v>527</v>
      </c>
      <c r="S138" s="348" t="s">
        <v>1094</v>
      </c>
      <c r="T138" s="348" t="s">
        <v>1154</v>
      </c>
      <c r="U138" s="378"/>
      <c r="V138" s="348" t="s">
        <v>527</v>
      </c>
      <c r="W138" s="254" t="s">
        <v>874</v>
      </c>
      <c r="X138" s="348" t="s">
        <v>527</v>
      </c>
      <c r="Y138" s="349"/>
      <c r="Z138" s="254" t="s">
        <v>1155</v>
      </c>
      <c r="AA138" s="316">
        <v>18.0</v>
      </c>
      <c r="AB138" s="254">
        <v>3.019194546016E12</v>
      </c>
      <c r="AC138" s="358"/>
      <c r="AD138" s="349"/>
      <c r="AE138" s="349"/>
      <c r="AF138" s="349"/>
      <c r="AG138" s="349"/>
      <c r="AH138" s="111" t="b">
        <v>1</v>
      </c>
      <c r="AI138" s="111" t="b">
        <v>1</v>
      </c>
      <c r="AJ138" s="111" t="b">
        <v>1</v>
      </c>
      <c r="AK138" s="111" t="b">
        <v>1</v>
      </c>
      <c r="AL138" s="111" t="b">
        <v>1</v>
      </c>
      <c r="AM138" s="111" t="b">
        <v>1</v>
      </c>
      <c r="AN138" s="111" t="b">
        <v>1</v>
      </c>
      <c r="AO138" s="111" t="s">
        <v>553</v>
      </c>
      <c r="AP138" s="111" t="s">
        <v>740</v>
      </c>
      <c r="AQ138" s="111" t="s">
        <v>190</v>
      </c>
    </row>
    <row r="139" outlineLevel="1">
      <c r="A139" s="309" t="s">
        <v>309</v>
      </c>
      <c r="B139" s="309" t="s">
        <v>480</v>
      </c>
      <c r="C139" s="309" t="s">
        <v>480</v>
      </c>
      <c r="D139" s="276" t="s">
        <v>525</v>
      </c>
      <c r="E139" s="309" t="s">
        <v>88</v>
      </c>
      <c r="F139" s="276" t="s">
        <v>192</v>
      </c>
      <c r="G139" s="111" t="s">
        <v>189</v>
      </c>
      <c r="H139" s="277">
        <v>44376.0</v>
      </c>
      <c r="I139" s="278">
        <f>IFERROR(__xludf.DUMMYFUNCTION("countif(FILTER(FILTER(Shiftplan!D$7:BJ$67,Shiftplan!$A$7:$A$67&lt;=Shiftplan!$A$67),Shiftplan!$D$6:$BJ$6=A139),""&gt;0"")"),0.0)</f>
        <v>0</v>
      </c>
      <c r="J139" s="276">
        <f>VLOOKUP(A139,'Shiftplan SoS'!A:F,6,false)</f>
        <v>51</v>
      </c>
      <c r="K139" s="278">
        <f t="shared" si="11"/>
        <v>51</v>
      </c>
      <c r="L139" s="276" t="s">
        <v>526</v>
      </c>
      <c r="M139" s="279" t="str">
        <f t="shared" si="22"/>
        <v>6</v>
      </c>
      <c r="N139" s="280" t="str">
        <f t="shared" si="27"/>
        <v>50</v>
      </c>
      <c r="O139" s="276" t="str">
        <f t="shared" si="24"/>
        <v>5</v>
      </c>
      <c r="P139" s="276" t="str">
        <f t="shared" si="25"/>
        <v>0</v>
      </c>
      <c r="Q139" s="276" t="str">
        <f t="shared" si="26"/>
        <v>20</v>
      </c>
      <c r="R139" s="309" t="s">
        <v>527</v>
      </c>
      <c r="S139" s="351" t="s">
        <v>1094</v>
      </c>
      <c r="T139" s="376" t="s">
        <v>1156</v>
      </c>
      <c r="U139" s="379"/>
      <c r="V139" s="351" t="s">
        <v>527</v>
      </c>
      <c r="W139" s="309" t="s">
        <v>874</v>
      </c>
      <c r="X139" s="351" t="s">
        <v>527</v>
      </c>
      <c r="Y139" s="353"/>
      <c r="Z139" s="372" t="s">
        <v>1157</v>
      </c>
      <c r="AA139" s="318">
        <v>786.0</v>
      </c>
      <c r="AB139" s="309">
        <v>3.015594307858E12</v>
      </c>
      <c r="AC139" s="352"/>
      <c r="AD139" s="353"/>
      <c r="AE139" s="353"/>
      <c r="AF139" s="353"/>
      <c r="AG139" s="353"/>
      <c r="AH139" s="276" t="b">
        <v>1</v>
      </c>
      <c r="AI139" s="276" t="b">
        <v>1</v>
      </c>
      <c r="AJ139" s="276" t="b">
        <v>1</v>
      </c>
      <c r="AK139" s="276" t="b">
        <v>1</v>
      </c>
      <c r="AL139" s="276" t="b">
        <v>1</v>
      </c>
      <c r="AM139" s="276" t="b">
        <v>1</v>
      </c>
      <c r="AN139" s="276" t="b">
        <v>1</v>
      </c>
      <c r="AO139" s="276" t="s">
        <v>546</v>
      </c>
      <c r="AP139" s="276" t="s">
        <v>1158</v>
      </c>
      <c r="AQ139" s="276" t="s">
        <v>190</v>
      </c>
    </row>
    <row r="140" outlineLevel="1">
      <c r="A140" s="254" t="s">
        <v>313</v>
      </c>
      <c r="B140" s="254" t="s">
        <v>483</v>
      </c>
      <c r="C140" s="371" t="s">
        <v>483</v>
      </c>
      <c r="D140" s="111" t="s">
        <v>525</v>
      </c>
      <c r="E140" s="254" t="s">
        <v>88</v>
      </c>
      <c r="F140" s="254" t="s">
        <v>97</v>
      </c>
      <c r="G140" s="111" t="s">
        <v>189</v>
      </c>
      <c r="H140" s="267">
        <v>44377.0</v>
      </c>
      <c r="I140" s="268">
        <f>IFERROR(__xludf.DUMMYFUNCTION("countif(FILTER(FILTER(Shiftplan!D$7:BJ$67,Shiftplan!$A$7:$A$67&lt;=Shiftplan!$A$67),Shiftplan!$D$6:$BJ$6=A140),""&gt;0"")"),0.0)</f>
        <v>0</v>
      </c>
      <c r="J140" s="111">
        <f>VLOOKUP(A140,'Shiftplan SoS'!A:F,6,false)</f>
        <v>22</v>
      </c>
      <c r="K140" s="268">
        <f t="shared" si="11"/>
        <v>22</v>
      </c>
      <c r="L140" s="111" t="s">
        <v>526</v>
      </c>
      <c r="M140" s="269" t="str">
        <f t="shared" si="22"/>
        <v>5</v>
      </c>
      <c r="N140" s="270" t="str">
        <f t="shared" si="27"/>
        <v>40</v>
      </c>
      <c r="O140" s="111" t="str">
        <f t="shared" si="24"/>
        <v>10</v>
      </c>
      <c r="P140" s="111" t="str">
        <f t="shared" si="25"/>
        <v>5</v>
      </c>
      <c r="Q140" s="111" t="str">
        <f t="shared" si="26"/>
        <v>25</v>
      </c>
      <c r="R140" s="254" t="s">
        <v>527</v>
      </c>
      <c r="S140" s="348" t="s">
        <v>1094</v>
      </c>
      <c r="T140" s="348" t="s">
        <v>1159</v>
      </c>
      <c r="U140" s="378"/>
      <c r="V140" s="348" t="s">
        <v>527</v>
      </c>
      <c r="W140" s="254" t="s">
        <v>874</v>
      </c>
      <c r="X140" s="348" t="s">
        <v>527</v>
      </c>
      <c r="Y140" s="349"/>
      <c r="Z140" s="254" t="s">
        <v>1160</v>
      </c>
      <c r="AA140" s="316">
        <v>18.0</v>
      </c>
      <c r="AB140" s="254">
        <v>3.014594409972E12</v>
      </c>
      <c r="AC140" s="167"/>
      <c r="AD140" s="349"/>
      <c r="AE140" s="349"/>
      <c r="AF140" s="349"/>
      <c r="AG140" s="349"/>
      <c r="AH140" s="111" t="b">
        <v>1</v>
      </c>
      <c r="AI140" s="111" t="b">
        <v>1</v>
      </c>
      <c r="AJ140" s="111" t="b">
        <v>1</v>
      </c>
      <c r="AK140" s="111" t="b">
        <v>1</v>
      </c>
      <c r="AL140" s="111" t="b">
        <v>1</v>
      </c>
      <c r="AM140" s="111" t="b">
        <v>1</v>
      </c>
      <c r="AN140" s="111" t="b">
        <v>1</v>
      </c>
      <c r="AO140" s="111" t="s">
        <v>546</v>
      </c>
      <c r="AP140" s="111" t="s">
        <v>554</v>
      </c>
      <c r="AQ140" s="111" t="s">
        <v>190</v>
      </c>
    </row>
    <row r="141" outlineLevel="1">
      <c r="A141" s="309" t="s">
        <v>314</v>
      </c>
      <c r="B141" s="309" t="s">
        <v>484</v>
      </c>
      <c r="C141" s="309" t="s">
        <v>484</v>
      </c>
      <c r="D141" s="276" t="s">
        <v>525</v>
      </c>
      <c r="E141" s="309" t="s">
        <v>88</v>
      </c>
      <c r="F141" s="309" t="s">
        <v>192</v>
      </c>
      <c r="G141" s="111" t="s">
        <v>199</v>
      </c>
      <c r="H141" s="277">
        <v>44377.0</v>
      </c>
      <c r="I141" s="278">
        <f>IFERROR(__xludf.DUMMYFUNCTION("countif(FILTER(FILTER(Shiftplan!D$7:BJ$67,Shiftplan!$A$7:$A$67&lt;=Shiftplan!$A$67),Shiftplan!$D$6:$BJ$6=A141),""&gt;0"")"),0.0)</f>
        <v>0</v>
      </c>
      <c r="J141" s="276">
        <f>VLOOKUP(A141,'Shiftplan SoS'!A:F,6,false)</f>
        <v>44</v>
      </c>
      <c r="K141" s="278">
        <f t="shared" si="11"/>
        <v>44</v>
      </c>
      <c r="L141" s="276" t="s">
        <v>526</v>
      </c>
      <c r="M141" s="279" t="str">
        <f t="shared" si="22"/>
        <v>6</v>
      </c>
      <c r="N141" s="280" t="str">
        <f t="shared" si="27"/>
        <v>50</v>
      </c>
      <c r="O141" s="276" t="str">
        <f t="shared" si="24"/>
        <v>5</v>
      </c>
      <c r="P141" s="276" t="str">
        <f t="shared" si="25"/>
        <v>0</v>
      </c>
      <c r="Q141" s="276" t="str">
        <f t="shared" si="26"/>
        <v>20</v>
      </c>
      <c r="R141" s="309" t="s">
        <v>527</v>
      </c>
      <c r="S141" s="351" t="s">
        <v>1094</v>
      </c>
      <c r="T141" s="351" t="s">
        <v>1161</v>
      </c>
      <c r="U141" s="379"/>
      <c r="V141" s="351" t="s">
        <v>527</v>
      </c>
      <c r="W141" s="309" t="s">
        <v>874</v>
      </c>
      <c r="X141" s="351" t="s">
        <v>527</v>
      </c>
      <c r="Y141" s="353"/>
      <c r="Z141" s="318" t="s">
        <v>1162</v>
      </c>
      <c r="AA141" s="318">
        <v>2.0</v>
      </c>
      <c r="AB141" s="309">
        <v>3.013594408683E12</v>
      </c>
      <c r="AC141" s="352"/>
      <c r="AD141" s="353"/>
      <c r="AE141" s="353"/>
      <c r="AF141" s="353"/>
      <c r="AG141" s="353"/>
      <c r="AH141" s="276" t="b">
        <v>1</v>
      </c>
      <c r="AI141" s="276" t="b">
        <v>1</v>
      </c>
      <c r="AJ141" s="276" t="b">
        <v>1</v>
      </c>
      <c r="AK141" s="276" t="b">
        <v>1</v>
      </c>
      <c r="AL141" s="276" t="b">
        <v>1</v>
      </c>
      <c r="AM141" s="276" t="b">
        <v>1</v>
      </c>
      <c r="AN141" s="276" t="b">
        <v>1</v>
      </c>
      <c r="AO141" s="276" t="s">
        <v>546</v>
      </c>
      <c r="AP141" s="276" t="s">
        <v>702</v>
      </c>
      <c r="AQ141" s="276" t="s">
        <v>200</v>
      </c>
    </row>
    <row r="142" outlineLevel="1">
      <c r="A142" s="254" t="s">
        <v>312</v>
      </c>
      <c r="B142" s="254" t="s">
        <v>485</v>
      </c>
      <c r="C142" s="254" t="s">
        <v>485</v>
      </c>
      <c r="D142" s="111" t="s">
        <v>525</v>
      </c>
      <c r="E142" s="254" t="s">
        <v>856</v>
      </c>
      <c r="F142" s="254" t="s">
        <v>192</v>
      </c>
      <c r="G142" s="111" t="s">
        <v>199</v>
      </c>
      <c r="H142" s="267">
        <v>44377.0</v>
      </c>
      <c r="I142" s="268">
        <f>IFERROR(__xludf.DUMMYFUNCTION("countif(FILTER(FILTER(Shiftplan!D$7:BJ$67,Shiftplan!$A$7:$A$67&lt;=Shiftplan!$A$67),Shiftplan!$D$6:$BJ$6=A142),""&gt;0"")"),0.0)</f>
        <v>0</v>
      </c>
      <c r="J142" s="111">
        <f>VLOOKUP(A142,'Shiftplan SoS'!A:F,6,false)</f>
        <v>27</v>
      </c>
      <c r="K142" s="268">
        <f t="shared" si="11"/>
        <v>27</v>
      </c>
      <c r="L142" s="111" t="s">
        <v>526</v>
      </c>
      <c r="M142" s="269" t="str">
        <f t="shared" si="22"/>
        <v>5</v>
      </c>
      <c r="N142" s="270" t="str">
        <f t="shared" si="27"/>
        <v>40</v>
      </c>
      <c r="O142" s="111" t="str">
        <f t="shared" si="24"/>
        <v>10</v>
      </c>
      <c r="P142" s="111" t="str">
        <f t="shared" si="25"/>
        <v>5</v>
      </c>
      <c r="Q142" s="111" t="str">
        <f t="shared" si="26"/>
        <v>25</v>
      </c>
      <c r="R142" s="254" t="s">
        <v>527</v>
      </c>
      <c r="S142" s="348" t="s">
        <v>1094</v>
      </c>
      <c r="T142" s="348" t="s">
        <v>1163</v>
      </c>
      <c r="U142" s="378"/>
      <c r="V142" s="348" t="s">
        <v>527</v>
      </c>
      <c r="W142" s="254" t="s">
        <v>874</v>
      </c>
      <c r="X142" s="348" t="s">
        <v>527</v>
      </c>
      <c r="Y142" s="349"/>
      <c r="Z142" s="254" t="s">
        <v>1164</v>
      </c>
      <c r="AA142" s="316">
        <v>60.0</v>
      </c>
      <c r="AB142" s="254">
        <v>3.015694414181E12</v>
      </c>
      <c r="AC142" s="167"/>
      <c r="AD142" s="349"/>
      <c r="AE142" s="349"/>
      <c r="AF142" s="349"/>
      <c r="AG142" s="349"/>
      <c r="AH142" s="111" t="b">
        <v>1</v>
      </c>
      <c r="AI142" s="111" t="b">
        <v>1</v>
      </c>
      <c r="AJ142" s="111" t="b">
        <v>1</v>
      </c>
      <c r="AK142" s="111" t="b">
        <v>1</v>
      </c>
      <c r="AL142" s="111" t="b">
        <v>1</v>
      </c>
      <c r="AM142" s="111" t="b">
        <v>1</v>
      </c>
      <c r="AN142" s="111" t="b">
        <v>1</v>
      </c>
      <c r="AO142" s="111" t="s">
        <v>546</v>
      </c>
      <c r="AP142" s="111" t="s">
        <v>648</v>
      </c>
      <c r="AQ142" s="111" t="s">
        <v>200</v>
      </c>
    </row>
    <row r="143" outlineLevel="1">
      <c r="A143" s="309" t="s">
        <v>315</v>
      </c>
      <c r="B143" s="309" t="s">
        <v>486</v>
      </c>
      <c r="C143" s="309" t="s">
        <v>1165</v>
      </c>
      <c r="D143" s="276" t="s">
        <v>525</v>
      </c>
      <c r="E143" s="309" t="s">
        <v>90</v>
      </c>
      <c r="F143" s="309" t="s">
        <v>192</v>
      </c>
      <c r="G143" s="111" t="s">
        <v>103</v>
      </c>
      <c r="H143" s="277">
        <v>44378.0</v>
      </c>
      <c r="I143" s="278">
        <f>IFERROR(__xludf.DUMMYFUNCTION("countif(FILTER(FILTER(Shiftplan!D$7:BJ$67,Shiftplan!$A$7:$A$67&lt;=Shiftplan!$A$67),Shiftplan!$D$6:$BJ$6=A143),""&gt;0"")"),0.0)</f>
        <v>0</v>
      </c>
      <c r="J143" s="276">
        <f>VLOOKUP(A143,'Shiftplan SoS'!A:F,6,false)</f>
        <v>44</v>
      </c>
      <c r="K143" s="278">
        <f t="shared" si="11"/>
        <v>44</v>
      </c>
      <c r="L143" s="276" t="s">
        <v>526</v>
      </c>
      <c r="M143" s="279" t="str">
        <f t="shared" si="22"/>
        <v>6</v>
      </c>
      <c r="N143" s="280" t="str">
        <f t="shared" si="27"/>
        <v>50</v>
      </c>
      <c r="O143" s="276" t="str">
        <f t="shared" si="24"/>
        <v>5</v>
      </c>
      <c r="P143" s="276" t="str">
        <f t="shared" si="25"/>
        <v>0</v>
      </c>
      <c r="Q143" s="276" t="str">
        <f t="shared" si="26"/>
        <v>20</v>
      </c>
      <c r="R143" s="309" t="s">
        <v>527</v>
      </c>
      <c r="S143" s="351" t="s">
        <v>1094</v>
      </c>
      <c r="T143" s="376" t="s">
        <v>1166</v>
      </c>
      <c r="U143" s="379"/>
      <c r="V143" s="351" t="s">
        <v>527</v>
      </c>
      <c r="W143" s="309" t="s">
        <v>874</v>
      </c>
      <c r="X143" s="351" t="s">
        <v>527</v>
      </c>
      <c r="Y143" s="353"/>
      <c r="Z143" s="372" t="s">
        <v>1167</v>
      </c>
      <c r="AA143" s="318">
        <v>1.0</v>
      </c>
      <c r="AB143" s="309">
        <v>3.014494511395E12</v>
      </c>
      <c r="AC143" s="352"/>
      <c r="AD143" s="353"/>
      <c r="AE143" s="353"/>
      <c r="AF143" s="353"/>
      <c r="AG143" s="353"/>
      <c r="AH143" s="276" t="b">
        <v>1</v>
      </c>
      <c r="AI143" s="276" t="b">
        <v>1</v>
      </c>
      <c r="AJ143" s="276" t="b">
        <v>1</v>
      </c>
      <c r="AK143" s="276" t="b">
        <v>1</v>
      </c>
      <c r="AL143" s="276" t="b">
        <v>1</v>
      </c>
      <c r="AM143" s="276" t="b">
        <v>1</v>
      </c>
      <c r="AN143" s="276" t="b">
        <v>1</v>
      </c>
      <c r="AO143" s="276" t="s">
        <v>546</v>
      </c>
      <c r="AP143" s="276" t="s">
        <v>775</v>
      </c>
      <c r="AQ143" s="276" t="s">
        <v>200</v>
      </c>
    </row>
    <row r="144" outlineLevel="1">
      <c r="A144" s="254" t="s">
        <v>317</v>
      </c>
      <c r="B144" s="254" t="s">
        <v>487</v>
      </c>
      <c r="C144" s="254" t="s">
        <v>487</v>
      </c>
      <c r="D144" s="111" t="s">
        <v>525</v>
      </c>
      <c r="E144" s="254" t="s">
        <v>88</v>
      </c>
      <c r="F144" s="254" t="s">
        <v>98</v>
      </c>
      <c r="G144" s="111" t="s">
        <v>105</v>
      </c>
      <c r="H144" s="267">
        <v>44382.0</v>
      </c>
      <c r="I144" s="268">
        <f>IFERROR(__xludf.DUMMYFUNCTION("countif(FILTER(FILTER(Shiftplan!D$7:BJ$67,Shiftplan!$A$7:$A$67&lt;=Shiftplan!$A$67),Shiftplan!$D$6:$BJ$6=A144),""&gt;0"")"),0.0)</f>
        <v>0</v>
      </c>
      <c r="J144" s="111">
        <f>VLOOKUP(A144,'Shiftplan SoS'!A:F,6,false)</f>
        <v>42</v>
      </c>
      <c r="K144" s="268">
        <f t="shared" si="11"/>
        <v>42</v>
      </c>
      <c r="L144" s="254" t="s">
        <v>526</v>
      </c>
      <c r="M144" s="269" t="str">
        <f t="shared" si="22"/>
        <v>6</v>
      </c>
      <c r="N144" s="270" t="str">
        <f t="shared" si="27"/>
        <v>50</v>
      </c>
      <c r="O144" s="111" t="str">
        <f t="shared" si="24"/>
        <v>5</v>
      </c>
      <c r="P144" s="111" t="str">
        <f t="shared" si="25"/>
        <v>0</v>
      </c>
      <c r="Q144" s="111" t="str">
        <f t="shared" si="26"/>
        <v>20</v>
      </c>
      <c r="R144" s="254" t="s">
        <v>527</v>
      </c>
      <c r="S144" s="348" t="s">
        <v>1094</v>
      </c>
      <c r="T144" s="375" t="s">
        <v>1168</v>
      </c>
      <c r="U144" s="375" t="s">
        <v>1169</v>
      </c>
      <c r="V144" s="348" t="s">
        <v>527</v>
      </c>
      <c r="W144" s="254" t="s">
        <v>527</v>
      </c>
      <c r="X144" s="348" t="s">
        <v>527</v>
      </c>
      <c r="Y144" s="349"/>
      <c r="Z144" s="371" t="s">
        <v>1169</v>
      </c>
      <c r="AA144" s="316">
        <v>50.0</v>
      </c>
      <c r="AB144" s="254">
        <v>3.01849497028E12</v>
      </c>
      <c r="AC144" s="167"/>
      <c r="AD144" s="349"/>
      <c r="AE144" s="349"/>
      <c r="AF144" s="349"/>
      <c r="AG144" s="349"/>
      <c r="AH144" s="111" t="b">
        <v>1</v>
      </c>
      <c r="AI144" s="111" t="b">
        <v>1</v>
      </c>
      <c r="AJ144" s="111" t="b">
        <v>1</v>
      </c>
      <c r="AK144" s="111" t="b">
        <v>1</v>
      </c>
      <c r="AL144" s="111" t="b">
        <v>1</v>
      </c>
      <c r="AM144" s="111" t="b">
        <v>1</v>
      </c>
      <c r="AN144" s="111" t="b">
        <v>1</v>
      </c>
      <c r="AO144" s="111" t="s">
        <v>546</v>
      </c>
      <c r="AP144" s="111" t="s">
        <v>542</v>
      </c>
      <c r="AQ144" s="111" t="s">
        <v>206</v>
      </c>
    </row>
    <row r="145" outlineLevel="1">
      <c r="A145" s="309" t="s">
        <v>320</v>
      </c>
      <c r="B145" s="309" t="s">
        <v>1170</v>
      </c>
      <c r="C145" s="309" t="s">
        <v>1170</v>
      </c>
      <c r="D145" s="276" t="s">
        <v>525</v>
      </c>
      <c r="E145" s="309" t="s">
        <v>88</v>
      </c>
      <c r="F145" s="309" t="s">
        <v>98</v>
      </c>
      <c r="G145" s="111" t="s">
        <v>105</v>
      </c>
      <c r="H145" s="277">
        <v>44389.0</v>
      </c>
      <c r="I145" s="278">
        <f>IFERROR(__xludf.DUMMYFUNCTION("countif(FILTER(FILTER(Shiftplan!D$7:BJ$67,Shiftplan!$A$7:$A$67&lt;=Shiftplan!$A$67),Shiftplan!$D$6:$BJ$6=A145),""&gt;0"")"),0.0)</f>
        <v>0</v>
      </c>
      <c r="J145" s="276">
        <f>VLOOKUP(A145,'Shiftplan SoS'!A:F,6,false)</f>
        <v>27</v>
      </c>
      <c r="K145" s="278">
        <f t="shared" si="11"/>
        <v>27</v>
      </c>
      <c r="L145" s="309" t="s">
        <v>526</v>
      </c>
      <c r="M145" s="279" t="str">
        <f t="shared" si="22"/>
        <v>5</v>
      </c>
      <c r="N145" s="280" t="str">
        <f t="shared" si="27"/>
        <v>40</v>
      </c>
      <c r="O145" s="276" t="str">
        <f t="shared" si="24"/>
        <v>10</v>
      </c>
      <c r="P145" s="276" t="str">
        <f t="shared" si="25"/>
        <v>5</v>
      </c>
      <c r="Q145" s="276" t="str">
        <f t="shared" si="26"/>
        <v>25</v>
      </c>
      <c r="R145" s="309" t="s">
        <v>527</v>
      </c>
      <c r="S145" s="351" t="s">
        <v>1094</v>
      </c>
      <c r="T145" s="351" t="s">
        <v>1171</v>
      </c>
      <c r="U145" s="379"/>
      <c r="V145" s="351" t="s">
        <v>527</v>
      </c>
      <c r="W145" s="309" t="s">
        <v>874</v>
      </c>
      <c r="X145" s="351" t="s">
        <v>1061</v>
      </c>
      <c r="Y145" s="353"/>
      <c r="Z145" s="372" t="s">
        <v>1172</v>
      </c>
      <c r="AA145" s="318">
        <v>50.0</v>
      </c>
      <c r="AB145" s="356">
        <v>3.019495768246E12</v>
      </c>
      <c r="AC145" s="356"/>
      <c r="AD145" s="353"/>
      <c r="AE145" s="353"/>
      <c r="AF145" s="353"/>
      <c r="AG145" s="353"/>
      <c r="AH145" s="276" t="b">
        <v>1</v>
      </c>
      <c r="AI145" s="276" t="b">
        <v>1</v>
      </c>
      <c r="AJ145" s="276" t="b">
        <v>1</v>
      </c>
      <c r="AK145" s="276" t="b">
        <v>1</v>
      </c>
      <c r="AL145" s="276" t="b">
        <v>1</v>
      </c>
      <c r="AM145" s="276" t="b">
        <v>1</v>
      </c>
      <c r="AN145" s="276" t="b">
        <v>1</v>
      </c>
      <c r="AO145" s="276" t="s">
        <v>546</v>
      </c>
      <c r="AP145" s="276" t="s">
        <v>1173</v>
      </c>
      <c r="AQ145" s="276" t="s">
        <v>206</v>
      </c>
    </row>
    <row r="146" outlineLevel="1">
      <c r="A146" s="254" t="s">
        <v>318</v>
      </c>
      <c r="B146" s="254" t="s">
        <v>1174</v>
      </c>
      <c r="C146" s="254" t="s">
        <v>1174</v>
      </c>
      <c r="D146" s="111" t="s">
        <v>525</v>
      </c>
      <c r="E146" s="254" t="s">
        <v>88</v>
      </c>
      <c r="F146" s="254" t="s">
        <v>192</v>
      </c>
      <c r="G146" s="111" t="s">
        <v>105</v>
      </c>
      <c r="H146" s="267">
        <v>44389.0</v>
      </c>
      <c r="I146" s="268">
        <f>IFERROR(__xludf.DUMMYFUNCTION("countif(FILTER(FILTER(Shiftplan!D$7:BJ$67,Shiftplan!$A$7:$A$67&lt;=Shiftplan!$A$67),Shiftplan!$D$6:$BJ$6=A146),""&gt;0"")"),0.0)</f>
        <v>0</v>
      </c>
      <c r="J146" s="111">
        <f>VLOOKUP(A146,'Shiftplan SoS'!A:F,6,false)</f>
        <v>36</v>
      </c>
      <c r="K146" s="268">
        <f t="shared" si="11"/>
        <v>36</v>
      </c>
      <c r="L146" s="254" t="s">
        <v>526</v>
      </c>
      <c r="M146" s="269" t="str">
        <f t="shared" si="22"/>
        <v>5</v>
      </c>
      <c r="N146" s="270" t="str">
        <f t="shared" si="27"/>
        <v>40</v>
      </c>
      <c r="O146" s="111" t="str">
        <f t="shared" si="24"/>
        <v>10</v>
      </c>
      <c r="P146" s="111" t="str">
        <f t="shared" si="25"/>
        <v>5</v>
      </c>
      <c r="Q146" s="111" t="str">
        <f t="shared" si="26"/>
        <v>25</v>
      </c>
      <c r="R146" s="254" t="s">
        <v>527</v>
      </c>
      <c r="S146" s="348" t="s">
        <v>1094</v>
      </c>
      <c r="T146" s="348" t="s">
        <v>1175</v>
      </c>
      <c r="U146" s="378"/>
      <c r="V146" s="348" t="s">
        <v>527</v>
      </c>
      <c r="W146" s="254" t="s">
        <v>874</v>
      </c>
      <c r="X146" s="348" t="s">
        <v>1061</v>
      </c>
      <c r="Y146" s="349"/>
      <c r="Z146" s="254" t="s">
        <v>1176</v>
      </c>
      <c r="AA146" s="316">
        <v>23.0</v>
      </c>
      <c r="AB146" s="254">
        <v>3.018295755947E12</v>
      </c>
      <c r="AC146" s="167"/>
      <c r="AD146" s="349"/>
      <c r="AE146" s="349"/>
      <c r="AF146" s="349"/>
      <c r="AG146" s="349"/>
      <c r="AH146" s="111" t="b">
        <v>1</v>
      </c>
      <c r="AI146" s="111" t="b">
        <v>1</v>
      </c>
      <c r="AJ146" s="111" t="b">
        <v>1</v>
      </c>
      <c r="AK146" s="111" t="b">
        <v>1</v>
      </c>
      <c r="AL146" s="111" t="b">
        <v>1</v>
      </c>
      <c r="AM146" s="111" t="b">
        <v>1</v>
      </c>
      <c r="AN146" s="111" t="b">
        <v>1</v>
      </c>
      <c r="AO146" s="111" t="s">
        <v>546</v>
      </c>
      <c r="AP146" s="111" t="s">
        <v>624</v>
      </c>
      <c r="AQ146" s="111" t="s">
        <v>206</v>
      </c>
    </row>
    <row r="147" outlineLevel="1">
      <c r="A147" s="309" t="s">
        <v>319</v>
      </c>
      <c r="B147" s="309" t="s">
        <v>1177</v>
      </c>
      <c r="C147" s="309" t="s">
        <v>1177</v>
      </c>
      <c r="D147" s="276" t="s">
        <v>525</v>
      </c>
      <c r="E147" s="309" t="s">
        <v>89</v>
      </c>
      <c r="F147" s="309" t="s">
        <v>97</v>
      </c>
      <c r="G147" s="111" t="s">
        <v>189</v>
      </c>
      <c r="H147" s="277">
        <v>44389.0</v>
      </c>
      <c r="I147" s="278">
        <f>IFERROR(__xludf.DUMMYFUNCTION("countif(FILTER(FILTER(Shiftplan!D$7:BJ$67,Shiftplan!$A$7:$A$67&lt;=Shiftplan!$A$67),Shiftplan!$D$6:$BJ$6=A147),""&gt;0"")"),0.0)</f>
        <v>0</v>
      </c>
      <c r="J147" s="276">
        <f>VLOOKUP(A147,'Shiftplan SoS'!A:F,6,false)</f>
        <v>13</v>
      </c>
      <c r="K147" s="278">
        <f t="shared" si="11"/>
        <v>13</v>
      </c>
      <c r="L147" s="309" t="s">
        <v>526</v>
      </c>
      <c r="M147" s="279" t="str">
        <f t="shared" si="22"/>
        <v>3</v>
      </c>
      <c r="N147" s="280" t="str">
        <f t="shared" si="27"/>
        <v>25</v>
      </c>
      <c r="O147" s="276" t="str">
        <f t="shared" si="24"/>
        <v>20</v>
      </c>
      <c r="P147" s="276" t="str">
        <f t="shared" si="25"/>
        <v>10</v>
      </c>
      <c r="Q147" s="276" t="str">
        <f t="shared" si="26"/>
        <v>30</v>
      </c>
      <c r="R147" s="309" t="s">
        <v>527</v>
      </c>
      <c r="S147" s="351" t="s">
        <v>1094</v>
      </c>
      <c r="T147" s="376" t="s">
        <v>1178</v>
      </c>
      <c r="U147" s="379"/>
      <c r="V147" s="351" t="s">
        <v>527</v>
      </c>
      <c r="W147" s="309" t="s">
        <v>874</v>
      </c>
      <c r="X147" s="351" t="s">
        <v>1061</v>
      </c>
      <c r="Y147" s="353"/>
      <c r="Z147" s="309" t="s">
        <v>1179</v>
      </c>
      <c r="AA147" s="318">
        <v>55.0</v>
      </c>
      <c r="AB147" s="309">
        <v>3.015095764429E12</v>
      </c>
      <c r="AC147" s="352"/>
      <c r="AD147" s="353"/>
      <c r="AE147" s="353"/>
      <c r="AF147" s="353"/>
      <c r="AG147" s="353"/>
      <c r="AH147" s="276" t="b">
        <v>1</v>
      </c>
      <c r="AI147" s="276" t="b">
        <v>1</v>
      </c>
      <c r="AJ147" s="276" t="b">
        <v>1</v>
      </c>
      <c r="AK147" s="276" t="b">
        <v>1</v>
      </c>
      <c r="AL147" s="276" t="b">
        <v>1</v>
      </c>
      <c r="AM147" s="276" t="b">
        <v>0</v>
      </c>
      <c r="AN147" s="276" t="b">
        <v>0</v>
      </c>
      <c r="AO147" s="276" t="s">
        <v>546</v>
      </c>
      <c r="AP147" s="276" t="s">
        <v>554</v>
      </c>
      <c r="AQ147" s="276" t="s">
        <v>190</v>
      </c>
    </row>
    <row r="148" outlineLevel="1">
      <c r="A148" s="254" t="s">
        <v>316</v>
      </c>
      <c r="B148" s="254" t="s">
        <v>1180</v>
      </c>
      <c r="C148" s="254" t="s">
        <v>1180</v>
      </c>
      <c r="D148" s="111" t="s">
        <v>525</v>
      </c>
      <c r="E148" s="254" t="s">
        <v>88</v>
      </c>
      <c r="F148" s="254" t="s">
        <v>98</v>
      </c>
      <c r="G148" s="111" t="s">
        <v>105</v>
      </c>
      <c r="H148" s="267">
        <v>44389.0</v>
      </c>
      <c r="I148" s="268">
        <f>IFERROR(__xludf.DUMMYFUNCTION("countif(FILTER(FILTER(Shiftplan!D$7:BJ$67,Shiftplan!$A$7:$A$67&lt;=Shiftplan!$A$67),Shiftplan!$D$6:$BJ$6=A148),""&gt;0"")"),0.0)</f>
        <v>0</v>
      </c>
      <c r="J148" s="111">
        <f>VLOOKUP(A148,'Shiftplan SoS'!A:F,6,false)</f>
        <v>24</v>
      </c>
      <c r="K148" s="268">
        <f t="shared" si="11"/>
        <v>24</v>
      </c>
      <c r="L148" s="254" t="s">
        <v>526</v>
      </c>
      <c r="M148" s="269" t="str">
        <f t="shared" si="22"/>
        <v>5</v>
      </c>
      <c r="N148" s="270" t="str">
        <f t="shared" si="27"/>
        <v>40</v>
      </c>
      <c r="O148" s="111" t="str">
        <f t="shared" si="24"/>
        <v>10</v>
      </c>
      <c r="P148" s="111" t="str">
        <f t="shared" si="25"/>
        <v>5</v>
      </c>
      <c r="Q148" s="111" t="str">
        <f t="shared" si="26"/>
        <v>25</v>
      </c>
      <c r="R148" s="254" t="s">
        <v>527</v>
      </c>
      <c r="S148" s="348" t="s">
        <v>1094</v>
      </c>
      <c r="T148" s="375" t="s">
        <v>1181</v>
      </c>
      <c r="U148" s="378"/>
      <c r="V148" s="348" t="s">
        <v>527</v>
      </c>
      <c r="W148" s="254" t="s">
        <v>874</v>
      </c>
      <c r="X148" s="348" t="s">
        <v>1061</v>
      </c>
      <c r="Y148" s="349"/>
      <c r="Z148" s="254" t="s">
        <v>1182</v>
      </c>
      <c r="AA148" s="316">
        <v>645.0</v>
      </c>
      <c r="AB148" s="254">
        <v>3.014195759603E12</v>
      </c>
      <c r="AC148" s="167"/>
      <c r="AD148" s="349"/>
      <c r="AE148" s="349"/>
      <c r="AF148" s="349"/>
      <c r="AG148" s="349"/>
      <c r="AH148" s="111" t="b">
        <v>1</v>
      </c>
      <c r="AI148" s="111" t="b">
        <v>1</v>
      </c>
      <c r="AJ148" s="111" t="b">
        <v>1</v>
      </c>
      <c r="AK148" s="111" t="b">
        <v>1</v>
      </c>
      <c r="AL148" s="111" t="b">
        <v>1</v>
      </c>
      <c r="AM148" s="111" t="b">
        <v>1</v>
      </c>
      <c r="AN148" s="111" t="b">
        <v>1</v>
      </c>
      <c r="AO148" s="111" t="s">
        <v>546</v>
      </c>
      <c r="AP148" s="111" t="s">
        <v>1183</v>
      </c>
      <c r="AQ148" s="111" t="s">
        <v>206</v>
      </c>
    </row>
    <row r="149" outlineLevel="1">
      <c r="A149" s="309" t="s">
        <v>321</v>
      </c>
      <c r="B149" s="309" t="s">
        <v>1184</v>
      </c>
      <c r="C149" s="309" t="s">
        <v>1185</v>
      </c>
      <c r="D149" s="276" t="s">
        <v>525</v>
      </c>
      <c r="E149" s="309" t="s">
        <v>88</v>
      </c>
      <c r="F149" s="309" t="s">
        <v>192</v>
      </c>
      <c r="G149" s="111" t="s">
        <v>199</v>
      </c>
      <c r="H149" s="277">
        <v>44396.0</v>
      </c>
      <c r="I149" s="278">
        <f>IFERROR(__xludf.DUMMYFUNCTION("countif(FILTER(FILTER(Shiftplan!D$7:BJ$67,Shiftplan!$A$7:$A$67&lt;=Shiftplan!$A$67),Shiftplan!$D$6:$BJ$6=A149),""&gt;0"")"),0.0)</f>
        <v>0</v>
      </c>
      <c r="J149" s="276">
        <f>VLOOKUP(A149,'Shiftplan SoS'!A:F,6,false)</f>
        <v>22</v>
      </c>
      <c r="K149" s="278">
        <f t="shared" si="11"/>
        <v>22</v>
      </c>
      <c r="L149" s="309" t="s">
        <v>526</v>
      </c>
      <c r="M149" s="279" t="str">
        <f t="shared" si="22"/>
        <v>5</v>
      </c>
      <c r="N149" s="280" t="str">
        <f t="shared" si="27"/>
        <v>40</v>
      </c>
      <c r="O149" s="276" t="str">
        <f t="shared" si="24"/>
        <v>10</v>
      </c>
      <c r="P149" s="276" t="str">
        <f t="shared" si="25"/>
        <v>5</v>
      </c>
      <c r="Q149" s="276" t="str">
        <f t="shared" si="26"/>
        <v>25</v>
      </c>
      <c r="R149" s="309" t="s">
        <v>527</v>
      </c>
      <c r="S149" s="351" t="s">
        <v>1061</v>
      </c>
      <c r="T149" s="351" t="s">
        <v>1186</v>
      </c>
      <c r="U149" s="379"/>
      <c r="V149" s="351" t="s">
        <v>1061</v>
      </c>
      <c r="W149" s="309" t="s">
        <v>874</v>
      </c>
      <c r="X149" s="351" t="s">
        <v>1061</v>
      </c>
      <c r="Y149" s="353"/>
      <c r="Z149" s="372" t="s">
        <v>1187</v>
      </c>
      <c r="AA149" s="318">
        <v>11.0</v>
      </c>
      <c r="AB149" s="356">
        <v>3.012796578916E12</v>
      </c>
      <c r="AC149" s="356"/>
      <c r="AD149" s="353"/>
      <c r="AE149" s="353"/>
      <c r="AF149" s="353"/>
      <c r="AG149" s="353"/>
      <c r="AH149" s="276" t="b">
        <v>1</v>
      </c>
      <c r="AI149" s="276" t="b">
        <v>1</v>
      </c>
      <c r="AJ149" s="276" t="b">
        <v>1</v>
      </c>
      <c r="AK149" s="276" t="b">
        <v>1</v>
      </c>
      <c r="AL149" s="276" t="b">
        <v>1</v>
      </c>
      <c r="AM149" s="276" t="b">
        <v>0</v>
      </c>
      <c r="AN149" s="276" t="b">
        <v>0</v>
      </c>
      <c r="AO149" s="276" t="s">
        <v>546</v>
      </c>
      <c r="AP149" s="276" t="s">
        <v>547</v>
      </c>
      <c r="AQ149" s="276" t="s">
        <v>200</v>
      </c>
    </row>
    <row r="150" outlineLevel="1">
      <c r="A150" s="254" t="s">
        <v>323</v>
      </c>
      <c r="B150" s="254" t="s">
        <v>1188</v>
      </c>
      <c r="C150" s="254" t="s">
        <v>1188</v>
      </c>
      <c r="D150" s="111" t="s">
        <v>525</v>
      </c>
      <c r="E150" s="254" t="s">
        <v>93</v>
      </c>
      <c r="F150" s="254" t="s">
        <v>192</v>
      </c>
      <c r="G150" s="111" t="s">
        <v>105</v>
      </c>
      <c r="H150" s="267">
        <v>44424.0</v>
      </c>
      <c r="I150" s="268">
        <f>IFERROR(__xludf.DUMMYFUNCTION("countif(FILTER(FILTER(Shiftplan!D$7:BJ$67,Shiftplan!$A$7:$A$67&lt;=Shiftplan!$A$67),Shiftplan!$D$6:$BJ$6=A150),""&gt;0"")"),0.0)</f>
        <v>0</v>
      </c>
      <c r="J150" s="111">
        <f>VLOOKUP(A150,'Shiftplan SoS'!A:F,6,false)</f>
        <v>12</v>
      </c>
      <c r="K150" s="268">
        <f t="shared" si="11"/>
        <v>12</v>
      </c>
      <c r="L150" s="254" t="s">
        <v>526</v>
      </c>
      <c r="M150" s="269" t="str">
        <f t="shared" si="22"/>
        <v>3</v>
      </c>
      <c r="N150" s="270" t="str">
        <f t="shared" si="27"/>
        <v>25</v>
      </c>
      <c r="O150" s="111" t="str">
        <f t="shared" si="24"/>
        <v>20</v>
      </c>
      <c r="P150" s="111" t="str">
        <f t="shared" si="25"/>
        <v>10</v>
      </c>
      <c r="Q150" s="111" t="str">
        <f t="shared" si="26"/>
        <v>30</v>
      </c>
      <c r="R150" s="254"/>
      <c r="S150" s="348"/>
      <c r="T150" s="348" t="s">
        <v>1189</v>
      </c>
      <c r="U150" s="378"/>
      <c r="V150" s="348" t="s">
        <v>527</v>
      </c>
      <c r="W150" s="348" t="s">
        <v>527</v>
      </c>
      <c r="X150" s="348" t="s">
        <v>527</v>
      </c>
      <c r="Y150" s="349"/>
      <c r="Z150" s="358" t="s">
        <v>1190</v>
      </c>
      <c r="AA150" s="111">
        <v>645.0</v>
      </c>
      <c r="AB150" s="358">
        <v>3.011099570656E12</v>
      </c>
      <c r="AC150" s="358"/>
      <c r="AD150" s="349"/>
      <c r="AE150" s="349"/>
      <c r="AF150" s="349"/>
      <c r="AG150" s="349"/>
      <c r="AH150" s="111" t="b">
        <v>1</v>
      </c>
      <c r="AI150" s="111" t="b">
        <v>1</v>
      </c>
      <c r="AJ150" s="111" t="b">
        <v>1</v>
      </c>
      <c r="AK150" s="111" t="b">
        <v>1</v>
      </c>
      <c r="AL150" s="111" t="b">
        <v>1</v>
      </c>
      <c r="AM150" s="111" t="b">
        <v>1</v>
      </c>
      <c r="AN150" s="111" t="b">
        <v>0</v>
      </c>
      <c r="AO150" s="111" t="s">
        <v>546</v>
      </c>
      <c r="AP150" s="271" t="s">
        <v>749</v>
      </c>
      <c r="AQ150" s="111" t="s">
        <v>206</v>
      </c>
    </row>
    <row r="151" outlineLevel="1">
      <c r="A151" s="309" t="s">
        <v>322</v>
      </c>
      <c r="B151" s="309" t="s">
        <v>1191</v>
      </c>
      <c r="C151" s="309" t="s">
        <v>1191</v>
      </c>
      <c r="D151" s="276" t="s">
        <v>525</v>
      </c>
      <c r="E151" s="309" t="s">
        <v>93</v>
      </c>
      <c r="F151" s="309" t="s">
        <v>192</v>
      </c>
      <c r="G151" s="111" t="s">
        <v>189</v>
      </c>
      <c r="H151" s="277">
        <v>44425.0</v>
      </c>
      <c r="I151" s="278">
        <f>IFERROR(__xludf.DUMMYFUNCTION("countif(FILTER(FILTER(Shiftplan!D$7:BJ$67,Shiftplan!$A$7:$A$67&lt;=Shiftplan!$A$67),Shiftplan!$D$6:$BJ$6=A151),""&gt;0"")"),0.0)</f>
        <v>0</v>
      </c>
      <c r="J151" s="276">
        <f>VLOOKUP(A151,'Shiftplan SoS'!A:F,6,false)</f>
        <v>8</v>
      </c>
      <c r="K151" s="278">
        <f t="shared" si="11"/>
        <v>8</v>
      </c>
      <c r="L151" s="309" t="s">
        <v>526</v>
      </c>
      <c r="M151" s="279" t="str">
        <f t="shared" si="22"/>
        <v>2</v>
      </c>
      <c r="N151" s="280" t="str">
        <f t="shared" si="27"/>
        <v>20</v>
      </c>
      <c r="O151" s="276" t="str">
        <f t="shared" si="24"/>
        <v>20</v>
      </c>
      <c r="P151" s="276" t="str">
        <f t="shared" si="25"/>
        <v>10</v>
      </c>
      <c r="Q151" s="276" t="str">
        <f t="shared" si="26"/>
        <v>30</v>
      </c>
      <c r="R151" s="309"/>
      <c r="S151" s="351" t="s">
        <v>528</v>
      </c>
      <c r="T151" s="351" t="s">
        <v>1192</v>
      </c>
      <c r="U151" s="379"/>
      <c r="V151" s="351" t="s">
        <v>527</v>
      </c>
      <c r="W151" s="351" t="s">
        <v>527</v>
      </c>
      <c r="X151" s="351" t="s">
        <v>527</v>
      </c>
      <c r="Y151" s="353"/>
      <c r="Z151" s="309" t="s">
        <v>1193</v>
      </c>
      <c r="AA151" s="318">
        <v>55.0</v>
      </c>
      <c r="AB151" s="356">
        <v>3.017799594636E12</v>
      </c>
      <c r="AC151" s="356"/>
      <c r="AD151" s="353"/>
      <c r="AE151" s="353"/>
      <c r="AF151" s="353"/>
      <c r="AG151" s="353"/>
      <c r="AH151" s="276" t="b">
        <v>1</v>
      </c>
      <c r="AI151" s="276" t="b">
        <v>0</v>
      </c>
      <c r="AJ151" s="276" t="b">
        <v>0</v>
      </c>
      <c r="AK151" s="276" t="b">
        <v>0</v>
      </c>
      <c r="AL151" s="276" t="b">
        <v>0</v>
      </c>
      <c r="AM151" s="276" t="b">
        <v>0</v>
      </c>
      <c r="AN151" s="276" t="b">
        <v>0</v>
      </c>
      <c r="AO151" s="276" t="s">
        <v>546</v>
      </c>
      <c r="AP151" s="281" t="s">
        <v>749</v>
      </c>
      <c r="AQ151" s="276" t="s">
        <v>201</v>
      </c>
    </row>
    <row r="152" outlineLevel="1">
      <c r="A152" s="254" t="s">
        <v>324</v>
      </c>
      <c r="B152" s="254" t="s">
        <v>1194</v>
      </c>
      <c r="C152" s="254" t="s">
        <v>1194</v>
      </c>
      <c r="D152" s="111" t="s">
        <v>525</v>
      </c>
      <c r="E152" s="254" t="s">
        <v>88</v>
      </c>
      <c r="F152" s="254" t="s">
        <v>192</v>
      </c>
      <c r="G152" s="111" t="s">
        <v>189</v>
      </c>
      <c r="H152" s="267">
        <v>44426.0</v>
      </c>
      <c r="I152" s="268">
        <f>IFERROR(__xludf.DUMMYFUNCTION("countif(FILTER(FILTER(Shiftplan!D$7:BJ$67,Shiftplan!$A$7:$A$67&lt;=Shiftplan!$A$67),Shiftplan!$D$6:$BJ$6=A152),""&gt;0"")"),0.0)</f>
        <v>0</v>
      </c>
      <c r="J152" s="111">
        <f>VLOOKUP(A152,'Shiftplan SoS'!A:F,6,false)</f>
        <v>8</v>
      </c>
      <c r="K152" s="268">
        <f t="shared" si="11"/>
        <v>8</v>
      </c>
      <c r="L152" s="254" t="s">
        <v>526</v>
      </c>
      <c r="M152" s="269" t="str">
        <f t="shared" si="22"/>
        <v>2</v>
      </c>
      <c r="N152" s="270" t="str">
        <f t="shared" si="27"/>
        <v>20</v>
      </c>
      <c r="O152" s="111" t="str">
        <f t="shared" si="24"/>
        <v>20</v>
      </c>
      <c r="P152" s="111" t="str">
        <f t="shared" si="25"/>
        <v>10</v>
      </c>
      <c r="Q152" s="111" t="str">
        <f t="shared" si="26"/>
        <v>30</v>
      </c>
      <c r="R152" s="254"/>
      <c r="S152" s="348" t="s">
        <v>528</v>
      </c>
      <c r="T152" s="348" t="s">
        <v>1195</v>
      </c>
      <c r="U152" s="378"/>
      <c r="V152" s="348" t="s">
        <v>527</v>
      </c>
      <c r="W152" s="348" t="s">
        <v>1196</v>
      </c>
      <c r="X152" s="348" t="s">
        <v>527</v>
      </c>
      <c r="Y152" s="349"/>
      <c r="Z152" s="254" t="s">
        <v>1197</v>
      </c>
      <c r="AA152" s="316">
        <v>60.0</v>
      </c>
      <c r="AB152" s="358">
        <v>3.0116996947E12</v>
      </c>
      <c r="AC152" s="358"/>
      <c r="AD152" s="349"/>
      <c r="AE152" s="349"/>
      <c r="AF152" s="349"/>
      <c r="AG152" s="349"/>
      <c r="AH152" s="111" t="b">
        <v>1</v>
      </c>
      <c r="AI152" s="111" t="b">
        <v>1</v>
      </c>
      <c r="AJ152" s="111" t="b">
        <v>1</v>
      </c>
      <c r="AK152" s="111" t="b">
        <v>1</v>
      </c>
      <c r="AL152" s="111" t="b">
        <v>1</v>
      </c>
      <c r="AM152" s="111" t="b">
        <v>1</v>
      </c>
      <c r="AN152" s="111" t="b">
        <v>0</v>
      </c>
      <c r="AO152" s="111" t="s">
        <v>546</v>
      </c>
      <c r="AP152" s="271" t="s">
        <v>749</v>
      </c>
      <c r="AQ152" s="111" t="s">
        <v>201</v>
      </c>
    </row>
    <row r="153" outlineLevel="1">
      <c r="A153" s="309" t="s">
        <v>325</v>
      </c>
      <c r="B153" s="309" t="s">
        <v>1198</v>
      </c>
      <c r="C153" s="309" t="s">
        <v>1198</v>
      </c>
      <c r="D153" s="276" t="s">
        <v>525</v>
      </c>
      <c r="E153" s="309" t="s">
        <v>1025</v>
      </c>
      <c r="F153" s="309" t="s">
        <v>192</v>
      </c>
      <c r="G153" s="111" t="s">
        <v>189</v>
      </c>
      <c r="H153" s="277">
        <v>44433.0</v>
      </c>
      <c r="I153" s="278">
        <f>IFERROR(__xludf.DUMMYFUNCTION("countif(FILTER(FILTER(Shiftplan!D$7:BJ$67,Shiftplan!$A$7:$A$67&lt;=Shiftplan!$A$67),Shiftplan!$D$6:$BJ$6=A153),""&gt;0"")"),0.0)</f>
        <v>0</v>
      </c>
      <c r="J153" s="276">
        <f>VLOOKUP(A153,'Shiftplan SoS'!A:F,6,false)</f>
        <v>9</v>
      </c>
      <c r="K153" s="278">
        <f t="shared" si="11"/>
        <v>9</v>
      </c>
      <c r="L153" s="309" t="s">
        <v>526</v>
      </c>
      <c r="M153" s="279" t="str">
        <f t="shared" si="22"/>
        <v>2</v>
      </c>
      <c r="N153" s="280" t="str">
        <f t="shared" si="27"/>
        <v>20</v>
      </c>
      <c r="O153" s="276" t="str">
        <f t="shared" si="24"/>
        <v>20</v>
      </c>
      <c r="P153" s="276" t="str">
        <f t="shared" si="25"/>
        <v>10</v>
      </c>
      <c r="Q153" s="276" t="str">
        <f t="shared" si="26"/>
        <v>30</v>
      </c>
      <c r="R153" s="309"/>
      <c r="S153" s="351" t="s">
        <v>1094</v>
      </c>
      <c r="T153" s="351" t="s">
        <v>1199</v>
      </c>
      <c r="U153" s="379"/>
      <c r="V153" s="351" t="s">
        <v>527</v>
      </c>
      <c r="W153" s="309"/>
      <c r="X153" s="351" t="s">
        <v>527</v>
      </c>
      <c r="Y153" s="353"/>
      <c r="Z153" s="380" t="s">
        <v>1200</v>
      </c>
      <c r="AA153" s="318">
        <v>55.0</v>
      </c>
      <c r="AB153" s="356">
        <v>3.0179100436615E13</v>
      </c>
      <c r="AC153" s="356"/>
      <c r="AD153" s="353"/>
      <c r="AE153" s="353"/>
      <c r="AF153" s="353"/>
      <c r="AG153" s="353"/>
      <c r="AH153" s="276" t="b">
        <v>1</v>
      </c>
      <c r="AI153" s="276" t="b">
        <v>0</v>
      </c>
      <c r="AJ153" s="276" t="b">
        <v>0</v>
      </c>
      <c r="AK153" s="276" t="b">
        <v>0</v>
      </c>
      <c r="AL153" s="276" t="b">
        <v>0</v>
      </c>
      <c r="AM153" s="276" t="b">
        <v>0</v>
      </c>
      <c r="AN153" s="276" t="b">
        <v>0</v>
      </c>
      <c r="AO153" s="276" t="s">
        <v>546</v>
      </c>
      <c r="AP153" s="276" t="s">
        <v>1201</v>
      </c>
      <c r="AQ153" s="276" t="s">
        <v>201</v>
      </c>
    </row>
    <row r="154" outlineLevel="1">
      <c r="A154" s="111" t="s">
        <v>327</v>
      </c>
      <c r="B154" s="266" t="s">
        <v>1202</v>
      </c>
      <c r="C154" s="266" t="s">
        <v>1202</v>
      </c>
      <c r="D154" s="111" t="s">
        <v>525</v>
      </c>
      <c r="E154" s="111" t="s">
        <v>1203</v>
      </c>
      <c r="F154" s="111" t="s">
        <v>98</v>
      </c>
      <c r="G154" s="111" t="s">
        <v>199</v>
      </c>
      <c r="H154" s="267">
        <v>44438.0</v>
      </c>
      <c r="I154" s="268">
        <v>0.0</v>
      </c>
      <c r="J154" s="111">
        <v>1.0</v>
      </c>
      <c r="K154" s="111">
        <v>1.0</v>
      </c>
      <c r="L154" s="111" t="s">
        <v>526</v>
      </c>
      <c r="M154" s="269"/>
      <c r="N154" s="270"/>
      <c r="O154" s="111"/>
      <c r="P154" s="111"/>
      <c r="Q154" s="111"/>
      <c r="R154" s="111"/>
      <c r="S154" s="271" t="s">
        <v>1061</v>
      </c>
      <c r="T154" s="271" t="s">
        <v>1204</v>
      </c>
      <c r="U154" s="271" t="s">
        <v>1205</v>
      </c>
      <c r="V154" s="111"/>
      <c r="W154" s="271" t="s">
        <v>1061</v>
      </c>
      <c r="X154" s="111" t="s">
        <v>1061</v>
      </c>
      <c r="Y154" s="334"/>
      <c r="Z154" s="111" t="s">
        <v>1205</v>
      </c>
      <c r="AA154" s="111">
        <v>60.0</v>
      </c>
      <c r="AB154" s="111">
        <v>3.0150101390492E13</v>
      </c>
      <c r="AC154" s="272"/>
      <c r="AD154" s="273"/>
      <c r="AE154" s="273"/>
      <c r="AF154" s="273"/>
      <c r="AG154" s="273"/>
      <c r="AH154" s="111" t="b">
        <v>1</v>
      </c>
      <c r="AI154" s="111" t="b">
        <v>1</v>
      </c>
      <c r="AJ154" s="111" t="b">
        <v>1</v>
      </c>
      <c r="AK154" s="111" t="b">
        <v>1</v>
      </c>
      <c r="AL154" s="111" t="b">
        <v>1</v>
      </c>
      <c r="AM154" s="111" t="b">
        <v>1</v>
      </c>
      <c r="AN154" s="111" t="b">
        <v>0</v>
      </c>
      <c r="AO154" s="111" t="s">
        <v>546</v>
      </c>
      <c r="AP154" s="271" t="s">
        <v>542</v>
      </c>
      <c r="AQ154" s="111" t="s">
        <v>191</v>
      </c>
    </row>
    <row r="155" outlineLevel="1">
      <c r="A155" s="309" t="s">
        <v>330</v>
      </c>
      <c r="B155" s="309" t="s">
        <v>1206</v>
      </c>
      <c r="C155" s="309" t="s">
        <v>1206</v>
      </c>
      <c r="D155" s="276" t="s">
        <v>525</v>
      </c>
      <c r="E155" s="309" t="s">
        <v>89</v>
      </c>
      <c r="F155" s="309" t="s">
        <v>192</v>
      </c>
      <c r="G155" s="111" t="s">
        <v>199</v>
      </c>
      <c r="H155" s="277">
        <v>44438.0</v>
      </c>
      <c r="I155" s="278">
        <f>IFERROR(__xludf.DUMMYFUNCTION("countif(FILTER(FILTER(Shiftplan!D$7:BJ$67,Shiftplan!$A$7:$A$67&lt;=Shiftplan!$A$67),Shiftplan!$D$6:$BJ$6=A155),""&gt;0"")"),0.0)</f>
        <v>0</v>
      </c>
      <c r="J155" s="276" t="str">
        <f>VLOOKUP(A155,'Shiftplan SoS'!A:F,6,false)</f>
        <v/>
      </c>
      <c r="K155" s="278">
        <f t="shared" ref="K155:K156" si="28">sum(I155:J155)</f>
        <v>0</v>
      </c>
      <c r="L155" s="309" t="s">
        <v>526</v>
      </c>
      <c r="M155" s="279" t="str">
        <f t="shared" ref="M155:M156" si="29">ifs(K155&lt;3, "0",K155&lt;6, "1",K155&lt;10, "2",K155&lt;15, "3",K155&lt;20, "4",K155&lt;41, "5",K155&lt;62, "6",K155&lt;83, "7",K155&lt;104, "8",K155&lt;125, "9")</f>
        <v>0</v>
      </c>
      <c r="N155" s="280" t="str">
        <f t="shared" ref="N155:N159" si="30">ifs(M155="0", "0",M155="1", "10",M155="2", "20",M155="3", "25",M155="4", "30",M155="5", "40",M155="6", "50",M155&gt;6, "60")</f>
        <v>0</v>
      </c>
      <c r="O155" s="276" t="str">
        <f t="shared" ref="O155:O159" si="31">ifs(M155="0", "-",M155="1", "-",M155="2", "20",M155="3", "20",M155="4", "15",M155="5", "10",M155="6", "5",M155&gt;6, "0")</f>
        <v>-</v>
      </c>
      <c r="P155" s="276" t="str">
        <f t="shared" ref="P155:P159" si="32">ifs(M155="0", "-",M155="1", "-",M155="2", "10",M155="3", "10",M155="4", "10",M155="5", "5",M155&gt;5, "0")</f>
        <v>-</v>
      </c>
      <c r="Q155" s="276" t="str">
        <f t="shared" ref="Q155:Q159" si="33">ifs(M155="0", "-",M155="1", "-",M155="2", "30",M155="3", "30",M155="4", "30",M155="5", "25",M155="6", "20",M155="7", "15",M155="8", "10",M155="9", "5")</f>
        <v>-</v>
      </c>
      <c r="R155" s="309"/>
      <c r="S155" s="351"/>
      <c r="T155" s="351" t="s">
        <v>1207</v>
      </c>
      <c r="U155" s="379"/>
      <c r="V155" s="351"/>
      <c r="W155" s="309"/>
      <c r="X155" s="351"/>
      <c r="Y155" s="353"/>
      <c r="Z155" s="356" t="s">
        <v>1208</v>
      </c>
      <c r="AA155" s="356">
        <v>349.0</v>
      </c>
      <c r="AB155" s="356">
        <v>3.0172101405071E13</v>
      </c>
      <c r="AC155" s="356"/>
      <c r="AD155" s="353"/>
      <c r="AE155" s="353"/>
      <c r="AF155" s="353"/>
      <c r="AG155" s="353"/>
      <c r="AH155" s="276" t="b">
        <v>1</v>
      </c>
      <c r="AI155" s="276" t="b">
        <v>1</v>
      </c>
      <c r="AJ155" s="276" t="b">
        <v>1</v>
      </c>
      <c r="AK155" s="276" t="b">
        <v>1</v>
      </c>
      <c r="AL155" s="276" t="b">
        <v>1</v>
      </c>
      <c r="AM155" s="276" t="b">
        <v>1</v>
      </c>
      <c r="AN155" s="276" t="b">
        <v>0</v>
      </c>
      <c r="AO155" s="276" t="s">
        <v>546</v>
      </c>
      <c r="AP155" s="281" t="s">
        <v>576</v>
      </c>
      <c r="AQ155" s="276" t="s">
        <v>200</v>
      </c>
    </row>
    <row r="156" outlineLevel="1">
      <c r="A156" s="254" t="s">
        <v>329</v>
      </c>
      <c r="B156" s="254" t="s">
        <v>1209</v>
      </c>
      <c r="C156" s="254" t="s">
        <v>1209</v>
      </c>
      <c r="D156" s="111" t="s">
        <v>525</v>
      </c>
      <c r="E156" s="254" t="s">
        <v>88</v>
      </c>
      <c r="F156" s="254" t="s">
        <v>98</v>
      </c>
      <c r="G156" s="111" t="s">
        <v>105</v>
      </c>
      <c r="H156" s="267">
        <v>44438.0</v>
      </c>
      <c r="I156" s="268">
        <f>IFERROR(__xludf.DUMMYFUNCTION("countif(FILTER(FILTER(Shiftplan!D$7:BJ$67,Shiftplan!$A$7:$A$67&lt;=Shiftplan!$A$67),Shiftplan!$D$6:$BJ$6=A156),""&gt;0"")"),0.0)</f>
        <v>0</v>
      </c>
      <c r="J156" s="111" t="str">
        <f>VLOOKUP(A156,'Shiftplan SoS'!A:F,6,false)</f>
        <v/>
      </c>
      <c r="K156" s="268">
        <f t="shared" si="28"/>
        <v>0</v>
      </c>
      <c r="L156" s="254" t="s">
        <v>526</v>
      </c>
      <c r="M156" s="269" t="str">
        <f t="shared" si="29"/>
        <v>0</v>
      </c>
      <c r="N156" s="270" t="str">
        <f t="shared" si="30"/>
        <v>0</v>
      </c>
      <c r="O156" s="111" t="str">
        <f t="shared" si="31"/>
        <v>-</v>
      </c>
      <c r="P156" s="111" t="str">
        <f t="shared" si="32"/>
        <v>-</v>
      </c>
      <c r="Q156" s="111" t="str">
        <f t="shared" si="33"/>
        <v>-</v>
      </c>
      <c r="R156" s="254"/>
      <c r="S156" s="348"/>
      <c r="T156" s="348" t="s">
        <v>1210</v>
      </c>
      <c r="U156" s="378"/>
      <c r="V156" s="348" t="s">
        <v>527</v>
      </c>
      <c r="W156" s="254" t="s">
        <v>874</v>
      </c>
      <c r="X156" s="348" t="s">
        <v>527</v>
      </c>
      <c r="Y156" s="349"/>
      <c r="Z156" s="254" t="s">
        <v>1211</v>
      </c>
      <c r="AA156" s="316">
        <v>10.0</v>
      </c>
      <c r="AB156" s="358">
        <v>3.0164101452894E13</v>
      </c>
      <c r="AC156" s="358"/>
      <c r="AD156" s="349"/>
      <c r="AE156" s="349"/>
      <c r="AF156" s="349"/>
      <c r="AG156" s="349"/>
      <c r="AH156" s="111" t="b">
        <v>0</v>
      </c>
      <c r="AI156" s="111" t="b">
        <v>0</v>
      </c>
      <c r="AJ156" s="111" t="b">
        <v>0</v>
      </c>
      <c r="AK156" s="111" t="b">
        <v>0</v>
      </c>
      <c r="AL156" s="111" t="b">
        <v>0</v>
      </c>
      <c r="AM156" s="111" t="b">
        <v>0</v>
      </c>
      <c r="AN156" s="111" t="b">
        <v>0</v>
      </c>
      <c r="AO156" s="111" t="s">
        <v>546</v>
      </c>
      <c r="AP156" s="111"/>
      <c r="AQ156" s="111" t="s">
        <v>206</v>
      </c>
    </row>
    <row r="157" outlineLevel="1">
      <c r="A157" s="309" t="s">
        <v>331</v>
      </c>
      <c r="B157" s="309" t="s">
        <v>1212</v>
      </c>
      <c r="C157" s="309" t="s">
        <v>1212</v>
      </c>
      <c r="D157" s="276" t="s">
        <v>525</v>
      </c>
      <c r="E157" s="309" t="s">
        <v>91</v>
      </c>
      <c r="F157" s="309" t="s">
        <v>192</v>
      </c>
      <c r="G157" s="111" t="s">
        <v>199</v>
      </c>
      <c r="H157" s="277">
        <v>44439.0</v>
      </c>
      <c r="I157" s="278"/>
      <c r="J157" s="276"/>
      <c r="K157" s="276"/>
      <c r="L157" s="309" t="s">
        <v>526</v>
      </c>
      <c r="M157" s="279"/>
      <c r="N157" s="280" t="str">
        <f t="shared" si="30"/>
        <v>#N/A</v>
      </c>
      <c r="O157" s="276" t="str">
        <f t="shared" si="31"/>
        <v>#N/A</v>
      </c>
      <c r="P157" s="276" t="str">
        <f t="shared" si="32"/>
        <v>#N/A</v>
      </c>
      <c r="Q157" s="276" t="str">
        <f t="shared" si="33"/>
        <v>#N/A</v>
      </c>
      <c r="R157" s="309"/>
      <c r="S157" s="351" t="s">
        <v>1094</v>
      </c>
      <c r="T157" s="351" t="s">
        <v>1213</v>
      </c>
      <c r="U157" s="351" t="s">
        <v>1214</v>
      </c>
      <c r="V157" s="351"/>
      <c r="W157" s="351" t="s">
        <v>874</v>
      </c>
      <c r="X157" s="351" t="s">
        <v>1061</v>
      </c>
      <c r="Y157" s="353"/>
      <c r="Z157" s="351" t="s">
        <v>1215</v>
      </c>
      <c r="AA157" s="318">
        <v>60.0</v>
      </c>
      <c r="AB157" s="356">
        <v>3.0167101464826E13</v>
      </c>
      <c r="AC157" s="356"/>
      <c r="AD157" s="353"/>
      <c r="AE157" s="353"/>
      <c r="AF157" s="353"/>
      <c r="AG157" s="353"/>
      <c r="AH157" s="276" t="b">
        <v>1</v>
      </c>
      <c r="AI157" s="276" t="b">
        <v>1</v>
      </c>
      <c r="AJ157" s="276" t="b">
        <v>1</v>
      </c>
      <c r="AK157" s="276" t="b">
        <v>1</v>
      </c>
      <c r="AL157" s="276" t="b">
        <v>1</v>
      </c>
      <c r="AM157" s="276" t="b">
        <v>0</v>
      </c>
      <c r="AN157" s="276" t="b">
        <v>0</v>
      </c>
      <c r="AO157" s="276" t="s">
        <v>546</v>
      </c>
      <c r="AP157" s="276"/>
      <c r="AQ157" s="276" t="s">
        <v>191</v>
      </c>
    </row>
    <row r="158" outlineLevel="1">
      <c r="A158" s="254" t="s">
        <v>326</v>
      </c>
      <c r="B158" s="254" t="s">
        <v>1216</v>
      </c>
      <c r="C158" s="254" t="s">
        <v>1216</v>
      </c>
      <c r="D158" s="111" t="s">
        <v>525</v>
      </c>
      <c r="E158" s="254" t="s">
        <v>88</v>
      </c>
      <c r="F158" s="254" t="s">
        <v>192</v>
      </c>
      <c r="G158" s="111" t="s">
        <v>189</v>
      </c>
      <c r="H158" s="267">
        <v>44439.0</v>
      </c>
      <c r="I158" s="268">
        <f>IFERROR(__xludf.DUMMYFUNCTION("countif(FILTER(FILTER(Shiftplan!D$7:BJ$67,Shiftplan!$A$7:$A$67&lt;=Shiftplan!$A$67),Shiftplan!$D$6:$BJ$6=A158),""&gt;0"")"),0.0)</f>
        <v>0</v>
      </c>
      <c r="J158" s="111">
        <f>VLOOKUP(A158,'Shiftplan SoS'!A:F,6,false)</f>
        <v>10</v>
      </c>
      <c r="K158" s="268">
        <f>sum(I158:J158)</f>
        <v>10</v>
      </c>
      <c r="L158" s="254" t="s">
        <v>526</v>
      </c>
      <c r="M158" s="269" t="str">
        <f>ifs(K158&lt;3, "0",K158&lt;6, "1",K158&lt;10, "2",K158&lt;15, "3",K158&lt;20, "4",K158&lt;41, "5",K158&lt;62, "6",K158&lt;83, "7",K158&lt;104, "8",K158&lt;125, "9")</f>
        <v>3</v>
      </c>
      <c r="N158" s="270" t="str">
        <f t="shared" si="30"/>
        <v>25</v>
      </c>
      <c r="O158" s="111" t="str">
        <f t="shared" si="31"/>
        <v>20</v>
      </c>
      <c r="P158" s="111" t="str">
        <f t="shared" si="32"/>
        <v>10</v>
      </c>
      <c r="Q158" s="111" t="str">
        <f t="shared" si="33"/>
        <v>30</v>
      </c>
      <c r="R158" s="254"/>
      <c r="S158" s="348"/>
      <c r="T158" s="348"/>
      <c r="U158" s="378"/>
      <c r="V158" s="348"/>
      <c r="W158" s="254"/>
      <c r="X158" s="348"/>
      <c r="Y158" s="349"/>
      <c r="Z158" s="254" t="s">
        <v>1217</v>
      </c>
      <c r="AA158" s="316">
        <v>826.0</v>
      </c>
      <c r="AB158" s="358">
        <v>3.0163101484746E13</v>
      </c>
      <c r="AC158" s="358"/>
      <c r="AD158" s="349"/>
      <c r="AE158" s="349"/>
      <c r="AF158" s="349"/>
      <c r="AG158" s="349"/>
      <c r="AH158" s="111" t="b">
        <v>0</v>
      </c>
      <c r="AI158" s="111" t="b">
        <v>0</v>
      </c>
      <c r="AJ158" s="111" t="b">
        <v>0</v>
      </c>
      <c r="AK158" s="111" t="b">
        <v>0</v>
      </c>
      <c r="AL158" s="111" t="b">
        <v>0</v>
      </c>
      <c r="AM158" s="111" t="b">
        <v>0</v>
      </c>
      <c r="AN158" s="111" t="b">
        <v>0</v>
      </c>
      <c r="AO158" s="111" t="s">
        <v>546</v>
      </c>
      <c r="AP158" s="111" t="s">
        <v>1201</v>
      </c>
      <c r="AQ158" s="111" t="s">
        <v>201</v>
      </c>
    </row>
    <row r="159" outlineLevel="1">
      <c r="A159" s="309" t="s">
        <v>332</v>
      </c>
      <c r="B159" s="309" t="s">
        <v>1218</v>
      </c>
      <c r="C159" s="309" t="s">
        <v>1218</v>
      </c>
      <c r="D159" s="276" t="s">
        <v>525</v>
      </c>
      <c r="E159" s="309" t="s">
        <v>91</v>
      </c>
      <c r="F159" s="309" t="s">
        <v>192</v>
      </c>
      <c r="G159" s="111" t="s">
        <v>105</v>
      </c>
      <c r="H159" s="277">
        <v>44439.0</v>
      </c>
      <c r="I159" s="278"/>
      <c r="J159" s="276"/>
      <c r="K159" s="276"/>
      <c r="L159" s="309" t="s">
        <v>526</v>
      </c>
      <c r="M159" s="279"/>
      <c r="N159" s="280" t="str">
        <f t="shared" si="30"/>
        <v>#N/A</v>
      </c>
      <c r="O159" s="276" t="str">
        <f t="shared" si="31"/>
        <v>#N/A</v>
      </c>
      <c r="P159" s="276" t="str">
        <f t="shared" si="32"/>
        <v>#N/A</v>
      </c>
      <c r="Q159" s="276" t="str">
        <f t="shared" si="33"/>
        <v>#N/A</v>
      </c>
      <c r="R159" s="309"/>
      <c r="S159" s="351"/>
      <c r="T159" s="351"/>
      <c r="U159" s="379"/>
      <c r="V159" s="351"/>
      <c r="W159" s="309" t="s">
        <v>874</v>
      </c>
      <c r="X159" s="351" t="s">
        <v>1061</v>
      </c>
      <c r="Y159" s="353"/>
      <c r="Z159" s="309" t="s">
        <v>1219</v>
      </c>
      <c r="AA159" s="318">
        <v>52.0</v>
      </c>
      <c r="AB159" s="356">
        <v>3.0128101568535E13</v>
      </c>
      <c r="AC159" s="356"/>
      <c r="AD159" s="353"/>
      <c r="AE159" s="353"/>
      <c r="AF159" s="353"/>
      <c r="AG159" s="353"/>
      <c r="AH159" s="276" t="b">
        <v>1</v>
      </c>
      <c r="AI159" s="276" t="b">
        <v>0</v>
      </c>
      <c r="AJ159" s="276" t="b">
        <v>0</v>
      </c>
      <c r="AK159" s="276" t="b">
        <v>0</v>
      </c>
      <c r="AL159" s="276" t="b">
        <v>0</v>
      </c>
      <c r="AM159" s="276" t="b">
        <v>0</v>
      </c>
      <c r="AN159" s="276" t="b">
        <v>0</v>
      </c>
      <c r="AO159" s="276" t="s">
        <v>546</v>
      </c>
      <c r="AP159" s="276"/>
      <c r="AQ159" s="276" t="s">
        <v>206</v>
      </c>
    </row>
    <row r="160" outlineLevel="1">
      <c r="A160" s="111" t="s">
        <v>1220</v>
      </c>
      <c r="B160" s="266" t="s">
        <v>1221</v>
      </c>
      <c r="C160" s="266" t="s">
        <v>1221</v>
      </c>
      <c r="D160" s="111" t="s">
        <v>525</v>
      </c>
      <c r="E160" s="254" t="s">
        <v>88</v>
      </c>
      <c r="F160" s="254" t="s">
        <v>98</v>
      </c>
      <c r="G160" s="111" t="s">
        <v>189</v>
      </c>
      <c r="H160" s="267">
        <v>44441.0</v>
      </c>
      <c r="I160" s="268"/>
      <c r="J160" s="111"/>
      <c r="K160" s="111"/>
      <c r="L160" s="254" t="s">
        <v>526</v>
      </c>
      <c r="M160" s="269"/>
      <c r="N160" s="270"/>
      <c r="O160" s="111"/>
      <c r="P160" s="111"/>
      <c r="Q160" s="111"/>
      <c r="R160" s="111"/>
      <c r="S160" s="271"/>
      <c r="T160" s="271"/>
      <c r="U160" s="271"/>
      <c r="V160" s="111"/>
      <c r="W160" s="271"/>
      <c r="X160" s="111"/>
      <c r="Y160" s="111"/>
      <c r="Z160" s="111"/>
      <c r="AA160" s="111"/>
      <c r="AB160" s="111"/>
      <c r="AC160" s="286"/>
      <c r="AD160" s="273"/>
      <c r="AE160" s="273"/>
      <c r="AF160" s="273"/>
      <c r="AG160" s="273"/>
      <c r="AH160" s="273"/>
      <c r="AI160" s="273"/>
      <c r="AJ160" s="273"/>
      <c r="AK160" s="273"/>
      <c r="AL160" s="273"/>
      <c r="AM160" s="273"/>
      <c r="AN160" s="273"/>
      <c r="AO160" s="111" t="s">
        <v>546</v>
      </c>
      <c r="AP160" s="111"/>
      <c r="AQ160" s="111" t="s">
        <v>201</v>
      </c>
    </row>
    <row r="161" outlineLevel="1">
      <c r="A161" s="276" t="s">
        <v>1222</v>
      </c>
      <c r="B161" s="275" t="s">
        <v>1223</v>
      </c>
      <c r="C161" s="275" t="s">
        <v>1223</v>
      </c>
      <c r="D161" s="276" t="s">
        <v>525</v>
      </c>
      <c r="E161" s="309" t="s">
        <v>88</v>
      </c>
      <c r="F161" s="309" t="s">
        <v>98</v>
      </c>
      <c r="G161" s="111" t="s">
        <v>199</v>
      </c>
      <c r="H161" s="277">
        <v>44441.0</v>
      </c>
      <c r="I161" s="278"/>
      <c r="J161" s="276"/>
      <c r="K161" s="276"/>
      <c r="L161" s="309" t="s">
        <v>526</v>
      </c>
      <c r="M161" s="279"/>
      <c r="N161" s="280"/>
      <c r="O161" s="276"/>
      <c r="P161" s="276"/>
      <c r="Q161" s="276"/>
      <c r="R161" s="276"/>
      <c r="S161" s="281"/>
      <c r="T161" s="281"/>
      <c r="U161" s="281"/>
      <c r="V161" s="276"/>
      <c r="W161" s="281" t="s">
        <v>1224</v>
      </c>
      <c r="X161" s="276"/>
      <c r="Y161" s="276"/>
      <c r="Z161" s="281" t="s">
        <v>1225</v>
      </c>
      <c r="AA161" s="276">
        <v>52.0</v>
      </c>
      <c r="AB161" s="276">
        <v>3.0140101741456E13</v>
      </c>
      <c r="AC161" s="282"/>
      <c r="AD161" s="274"/>
      <c r="AE161" s="274"/>
      <c r="AF161" s="274"/>
      <c r="AG161" s="274"/>
      <c r="AH161" s="276" t="b">
        <v>1</v>
      </c>
      <c r="AI161" s="276" t="b">
        <v>0</v>
      </c>
      <c r="AJ161" s="276" t="b">
        <v>0</v>
      </c>
      <c r="AK161" s="276" t="b">
        <v>0</v>
      </c>
      <c r="AL161" s="276" t="b">
        <v>0</v>
      </c>
      <c r="AM161" s="276" t="b">
        <v>0</v>
      </c>
      <c r="AN161" s="276" t="b">
        <v>0</v>
      </c>
      <c r="AO161" s="276" t="s">
        <v>546</v>
      </c>
      <c r="AP161" s="276" t="s">
        <v>542</v>
      </c>
      <c r="AQ161" s="276" t="s">
        <v>200</v>
      </c>
    </row>
    <row r="162" outlineLevel="1">
      <c r="A162" s="111" t="s">
        <v>1226</v>
      </c>
      <c r="B162" s="266" t="s">
        <v>1227</v>
      </c>
      <c r="C162" s="266" t="s">
        <v>1227</v>
      </c>
      <c r="D162" s="111" t="s">
        <v>525</v>
      </c>
      <c r="E162" s="111" t="s">
        <v>91</v>
      </c>
      <c r="F162" s="254" t="s">
        <v>192</v>
      </c>
      <c r="G162" s="111" t="s">
        <v>189</v>
      </c>
      <c r="H162" s="267">
        <v>44441.0</v>
      </c>
      <c r="I162" s="268"/>
      <c r="J162" s="111"/>
      <c r="K162" s="111"/>
      <c r="L162" s="254" t="s">
        <v>526</v>
      </c>
      <c r="M162" s="269"/>
      <c r="N162" s="270"/>
      <c r="O162" s="111"/>
      <c r="P162" s="111"/>
      <c r="Q162" s="111"/>
      <c r="R162" s="111"/>
      <c r="S162" s="271"/>
      <c r="T162" s="271"/>
      <c r="U162" s="271"/>
      <c r="V162" s="111"/>
      <c r="W162" s="271"/>
      <c r="X162" s="111"/>
      <c r="Y162" s="111"/>
      <c r="Z162" s="111"/>
      <c r="AA162" s="111"/>
      <c r="AB162" s="111"/>
      <c r="AC162" s="286"/>
      <c r="AD162" s="273"/>
      <c r="AE162" s="273"/>
      <c r="AF162" s="273"/>
      <c r="AG162" s="273"/>
      <c r="AH162" s="273"/>
      <c r="AI162" s="273"/>
      <c r="AJ162" s="273"/>
      <c r="AK162" s="273"/>
      <c r="AL162" s="273"/>
      <c r="AM162" s="273"/>
      <c r="AN162" s="273"/>
      <c r="AO162" s="111" t="s">
        <v>546</v>
      </c>
      <c r="AP162" s="111"/>
      <c r="AQ162" s="111" t="s">
        <v>201</v>
      </c>
    </row>
    <row r="163" outlineLevel="1">
      <c r="A163" s="276" t="s">
        <v>1228</v>
      </c>
      <c r="B163" s="275" t="s">
        <v>1229</v>
      </c>
      <c r="C163" s="381" t="s">
        <v>1229</v>
      </c>
      <c r="D163" s="276" t="s">
        <v>525</v>
      </c>
      <c r="E163" s="276" t="s">
        <v>91</v>
      </c>
      <c r="F163" s="276"/>
      <c r="G163" s="111" t="s">
        <v>105</v>
      </c>
      <c r="H163" s="277">
        <v>44441.0</v>
      </c>
      <c r="I163" s="278"/>
      <c r="J163" s="276"/>
      <c r="K163" s="276"/>
      <c r="L163" s="309" t="s">
        <v>526</v>
      </c>
      <c r="M163" s="279"/>
      <c r="N163" s="280"/>
      <c r="O163" s="276"/>
      <c r="P163" s="276"/>
      <c r="Q163" s="276"/>
      <c r="R163" s="276"/>
      <c r="S163" s="281"/>
      <c r="T163" s="281"/>
      <c r="U163" s="281"/>
      <c r="V163" s="276"/>
      <c r="W163" s="281"/>
      <c r="X163" s="276"/>
      <c r="Y163" s="276"/>
      <c r="Z163" s="276"/>
      <c r="AA163" s="276"/>
      <c r="AB163" s="276"/>
      <c r="AC163" s="282"/>
      <c r="AD163" s="274"/>
      <c r="AE163" s="274"/>
      <c r="AF163" s="274"/>
      <c r="AG163" s="274"/>
      <c r="AH163" s="274"/>
      <c r="AI163" s="274"/>
      <c r="AJ163" s="274"/>
      <c r="AK163" s="274"/>
      <c r="AL163" s="274"/>
      <c r="AM163" s="274"/>
      <c r="AN163" s="274"/>
      <c r="AO163" s="276" t="s">
        <v>546</v>
      </c>
      <c r="AP163" s="276"/>
      <c r="AQ163" s="276" t="s">
        <v>206</v>
      </c>
    </row>
    <row r="164" outlineLevel="1">
      <c r="A164" s="382" t="s">
        <v>1230</v>
      </c>
      <c r="H164" s="267"/>
      <c r="I164" s="268"/>
      <c r="J164" s="111"/>
      <c r="K164" s="111"/>
      <c r="L164" s="111"/>
      <c r="M164" s="269"/>
      <c r="N164" s="270"/>
      <c r="O164" s="111"/>
      <c r="P164" s="111"/>
      <c r="Q164" s="111"/>
      <c r="R164" s="111"/>
      <c r="S164" s="271"/>
      <c r="T164" s="271"/>
      <c r="U164" s="271"/>
      <c r="V164" s="111"/>
      <c r="W164" s="271"/>
      <c r="X164" s="111"/>
      <c r="Y164" s="111"/>
      <c r="Z164" s="111"/>
      <c r="AA164" s="111"/>
      <c r="AB164" s="111"/>
      <c r="AC164" s="286"/>
      <c r="AD164" s="273"/>
      <c r="AE164" s="273"/>
      <c r="AF164" s="273"/>
      <c r="AG164" s="273"/>
      <c r="AH164" s="273"/>
      <c r="AI164" s="273"/>
      <c r="AJ164" s="273"/>
      <c r="AK164" s="273"/>
      <c r="AL164" s="273"/>
      <c r="AM164" s="273"/>
      <c r="AN164" s="273"/>
      <c r="AO164" s="111"/>
      <c r="AP164" s="111"/>
      <c r="AQ164" s="111"/>
    </row>
    <row r="165" outlineLevel="1">
      <c r="A165" s="287"/>
      <c r="B165" s="288"/>
      <c r="C165" s="313"/>
      <c r="D165" s="287"/>
      <c r="E165" s="287"/>
      <c r="F165" s="287"/>
      <c r="G165" s="287"/>
      <c r="H165" s="289"/>
      <c r="I165" s="278"/>
      <c r="J165" s="287"/>
      <c r="K165" s="287"/>
      <c r="L165" s="287"/>
      <c r="M165" s="291"/>
      <c r="N165" s="292"/>
      <c r="O165" s="287"/>
      <c r="P165" s="287"/>
      <c r="Q165" s="287"/>
      <c r="R165" s="287"/>
      <c r="S165" s="293"/>
      <c r="T165" s="293"/>
      <c r="U165" s="293"/>
      <c r="V165" s="287"/>
      <c r="W165" s="293"/>
      <c r="X165" s="287"/>
      <c r="Y165" s="287"/>
      <c r="Z165" s="287"/>
      <c r="AA165" s="287"/>
      <c r="AB165" s="287"/>
      <c r="AC165" s="314"/>
      <c r="AD165" s="295"/>
      <c r="AE165" s="295"/>
      <c r="AF165" s="295"/>
      <c r="AG165" s="295"/>
      <c r="AH165" s="295"/>
      <c r="AI165" s="295"/>
      <c r="AJ165" s="295"/>
      <c r="AK165" s="295"/>
      <c r="AL165" s="295"/>
      <c r="AM165" s="295"/>
      <c r="AN165" s="295"/>
      <c r="AO165" s="287"/>
      <c r="AP165" s="287"/>
      <c r="AQ165" s="276"/>
    </row>
  </sheetData>
  <autoFilter ref="$A$1:$AQ$165">
    <sortState ref="A1:AQ165">
      <sortCondition ref="H1:H165"/>
      <sortCondition ref="T1:T165"/>
      <sortCondition ref="A1:A165"/>
      <sortCondition ref="G1:G165"/>
      <sortCondition ref="L1:L165"/>
    </sortState>
  </autoFilter>
  <customSheetViews>
    <customSheetView guid="{76297575-36B1-47C1-9DF8-A62675C08347}" filter="1" showAutoFilter="1">
      <autoFilter ref="$A$1:$AP$146">
        <filterColumn colId="11">
          <filters>
            <filter val="Active"/>
          </filters>
        </filterColumn>
        <filterColumn colId="6">
          <filters>
            <filter val="23:00-8:00"/>
            <filter val="01:00-08:00"/>
            <filter val="21:00-06:00"/>
            <filter val="16:00-1:00"/>
            <filter val="00:00-09:00"/>
          </filters>
        </filterColumn>
        <filterColumn colId="4">
          <filters>
            <filter val="DE"/>
            <filter val="EN/IT"/>
            <filter val="PT"/>
            <filter val="EN"/>
            <filter val="IT"/>
            <filter val="DE/RU"/>
            <filter val="AR"/>
            <filter val="TH"/>
            <filter val="PL"/>
          </filters>
        </filterColumn>
        <sortState ref="A1:AP146">
          <sortCondition ref="F1:F146"/>
        </sortState>
      </autoFilter>
    </customSheetView>
    <customSheetView guid="{97EA795C-36CF-404C-B7FF-A6EF887EED64}" filter="1" showAutoFilter="1">
      <autoFilter ref="$A$1:$AP$143">
        <filterColumn colId="40">
          <filters>
            <filter val="VIP Agent"/>
          </filters>
        </filterColumn>
      </autoFilter>
    </customSheetView>
    <customSheetView guid="{2180B673-3A0A-4507-B27F-07CDD99B08DA}" filter="1" showAutoFilter="1">
      <autoFilter ref="$A$1:$AP$137">
        <filterColumn colId="4">
          <filters>
            <filter val="RU"/>
            <filter val="ES"/>
          </filters>
        </filterColumn>
        <filterColumn colId="11">
          <filters>
            <filter val="Active"/>
          </filters>
        </filterColumn>
      </autoFilter>
    </customSheetView>
    <customSheetView guid="{9D5EC46A-A72B-423C-A54A-246C2F0D3121}" filter="1" showAutoFilter="1">
      <autoFilter ref="$A$1:$AP$137">
        <filterColumn colId="6">
          <filters>
            <filter val="09:00-18:00"/>
            <filter val="12:00-21:00"/>
            <filter val="01:00-08:00"/>
            <filter val="08:00-17:00"/>
            <filter val="21:00-06:00"/>
            <filter val="16:00-1:00"/>
            <filter val="15:00-00:00"/>
            <filter val="07:00-16:00"/>
            <filter val="00:00-09:00"/>
          </filters>
        </filterColumn>
      </autoFilter>
    </customSheetView>
    <customSheetView guid="{C0C25217-3A55-4FA4-824D-5368EF46BFDA}" filter="1" showAutoFilter="1">
      <autoFilter ref="$A$1:$AP$137"/>
    </customSheetView>
    <customSheetView guid="{CBDBFAB4-CE7D-4470-8E28-2AF979894B28}" filter="1" showAutoFilter="1">
      <autoFilter ref="$A$1:$AO$140">
        <filterColumn colId="10">
          <customFilters>
            <customFilter operator="lessThanOrEqual" val="5"/>
          </customFilters>
        </filterColumn>
        <filterColumn colId="11">
          <filters>
            <filter val="Active"/>
          </filters>
        </filterColumn>
        <filterColumn colId="23">
          <filters blank="1">
            <filter val="Requested"/>
            <filter val="Access Requested"/>
            <filter val="Yes (pending to verify"/>
          </filters>
        </filterColumn>
        <sortState ref="A1:AO140">
          <sortCondition ref="H1:H140"/>
          <sortCondition ref="K1:K140"/>
          <sortCondition ref="A1:A140"/>
        </sortState>
      </autoFilter>
    </customSheetView>
    <customSheetView guid="{EC53D157-9B17-40BC-BA96-BE384F778373}" filter="1" showAutoFilter="1">
      <autoFilter ref="$A$1:$AQ$165">
        <filterColumn colId="11">
          <filters blank="1">
            <filter val="Active"/>
          </filters>
        </filterColumn>
      </autoFilter>
    </customSheetView>
    <customSheetView guid="{7FF84F74-DE6D-4DDE-ACA3-7D38FE81FF05}" filter="1" showAutoFilter="1">
      <autoFilter ref="$A$1:$AQ$165">
        <filterColumn colId="11">
          <filters blank="1">
            <filter val="Active"/>
          </filters>
        </filterColumn>
        <filterColumn colId="42">
          <filters>
            <filter val="FL"/>
            <filter val="GM+FL"/>
            <filter val="AS+YS"/>
          </filters>
        </filterColumn>
        <sortState ref="A1:AQ165">
          <sortCondition ref="AQ1:AQ165"/>
          <sortCondition descending="1" ref="AO1:AO165"/>
          <sortCondition ref="A1:A165"/>
          <sortCondition ref="H1:H165"/>
          <sortCondition ref="AP1:AP165"/>
          <sortCondition ref="F1:F165"/>
          <sortCondition descending="1" ref="K1:K165"/>
          <sortCondition ref="G1:G165"/>
          <sortCondition ref="E1:E165"/>
          <sortCondition ref="T1:T165"/>
          <sortCondition ref="Y1:Y165"/>
        </sortState>
      </autoFilter>
    </customSheetView>
    <customSheetView guid="{BF1B4EC2-E87A-4F68-8B0B-FB5DEA645D9F}" filter="1" showAutoFilter="1">
      <autoFilter ref="$A$1:$AQ$165">
        <filterColumn colId="42">
          <filters blank="1">
            <filter val="RA+VM"/>
            <filter val="FL"/>
            <filter val="GM"/>
            <filter val="AS+YS"/>
            <filter val="AM"/>
          </filters>
        </filterColumn>
        <filterColumn colId="6">
          <filters blank="1">
            <filter val="09:00-18:00"/>
            <filter val="23:00-8:00"/>
            <filter val="01:00-08:00"/>
            <filter val="21:00-06:00"/>
            <filter val="16:00-1:00"/>
            <filter val="15:00-00:00"/>
            <filter val="07:00-16:00"/>
            <filter val="16:00-01:00"/>
          </filters>
        </filterColumn>
        <filterColumn colId="11">
          <filters blank="1">
            <filter val="Active"/>
          </filters>
        </filterColumn>
        <filterColumn colId="40">
          <filters blank="1">
            <filter val="Agent"/>
            <filter val="VIP Agent"/>
          </filters>
        </filterColumn>
        <sortState ref="A1:AQ165">
          <sortCondition descending="1" ref="AO1:AO165"/>
        </sortState>
      </autoFilter>
    </customSheetView>
    <customSheetView guid="{898F1270-72AC-43C8-8AFD-608AF0980BD6}" filter="1" showAutoFilter="1">
      <autoFilter ref="$A$1:$AQ$165">
        <filterColumn colId="11">
          <filters>
            <filter val="Active"/>
          </filters>
        </filterColumn>
        <filterColumn colId="6">
          <filters blank="1">
            <filter val="09:00-18:00"/>
            <filter val="23:00-8:00"/>
            <filter val="12:00-21:00"/>
            <filter val="08:00-17:00"/>
            <filter val="16:00-1:00"/>
            <filter val="07:00-16:00"/>
          </filters>
        </filterColumn>
        <sortState ref="A1:AQ165">
          <sortCondition descending="1" ref="AO1:AO165"/>
        </sortState>
      </autoFilter>
    </customSheetView>
    <customSheetView guid="{38A938E4-9C0D-430D-82E5-CA16E819D539}" filter="1" showAutoFilter="1">
      <autoFilter ref="$A$1:$AQ$165">
        <filterColumn colId="11">
          <filters blank="1">
            <filter val="Active"/>
          </filters>
        </filterColumn>
        <filterColumn colId="40">
          <filters>
            <filter val="Agent"/>
            <filter val="VIP Agent"/>
          </filters>
        </filterColumn>
        <sortState ref="A1:AQ165">
          <sortCondition ref="G1:G165"/>
          <sortCondition ref="E1:E165"/>
        </sortState>
      </autoFilter>
    </customSheetView>
    <customSheetView guid="{5022EB63-A2FA-48C3-A59D-B5EF0CBADF87}" filter="1" showAutoFilter="1">
      <autoFilter ref="$A$1:$AQ$165">
        <sortState ref="A1:AQ165">
          <sortCondition ref="A1:A165"/>
        </sortState>
      </autoFilter>
    </customSheetView>
    <customSheetView guid="{5740342C-71CB-4ED6-9203-7E4DF6BE2ABB}" filter="1" showAutoFilter="1">
      <autoFilter ref="$A$1:$AQ$159">
        <sortState ref="A1:AQ159">
          <sortCondition ref="A1:A159"/>
        </sortState>
      </autoFilter>
    </customSheetView>
    <customSheetView guid="{E505A9E2-A2E4-4BBF-BC36-354BCBF0F395}" filter="1" showAutoFilter="1">
      <autoFilter ref="$A$1:$AP$158">
        <filterColumn colId="40">
          <filters>
            <filter val="Agent"/>
            <filter val="VIP Agent"/>
          </filters>
        </filterColumn>
        <filterColumn colId="11">
          <filters>
            <filter val="Active"/>
          </filters>
        </filterColumn>
      </autoFilter>
    </customSheetView>
    <customSheetView guid="{329C4167-3DE0-4BA4-8A40-5ED5822B63E4}" filter="1" showAutoFilter="1">
      <autoFilter ref="$A$1:$AO$131">
        <filterColumn colId="6">
          <filters>
            <filter val="23:00-8:00"/>
            <filter val="21:00-06:00"/>
            <filter val="16:00-1:00"/>
            <filter val="15:00-00:00"/>
            <filter val="07:00-16:00"/>
            <filter val="16:00-01:00"/>
          </filters>
        </filterColumn>
        <filterColumn colId="11">
          <filters>
            <filter val="Active"/>
          </filters>
        </filterColumn>
        <sortState ref="A1:AO131">
          <sortCondition ref="H1:H131"/>
          <sortCondition ref="G1:G131"/>
        </sortState>
      </autoFilter>
    </customSheetView>
    <customSheetView guid="{87F1907F-C9A0-495D-87EB-D55B437B5E2D}" filter="1" showAutoFilter="1">
      <autoFilter ref="$A$1:$AQ$154">
        <filterColumn colId="4">
          <filters>
            <filter val="DE"/>
            <filter val="EN/IT"/>
            <filter val="RU"/>
            <filter val="EN+"/>
            <filter val="PT"/>
            <filter val="IT"/>
            <filter val="FR"/>
            <filter val="ES"/>
            <filter val="DE/RU"/>
            <filter val="AR"/>
            <filter val="TH"/>
            <filter val="ID"/>
            <filter val="PL"/>
            <filter val="TR"/>
          </filters>
        </filterColumn>
        <filterColumn colId="6">
          <filters>
            <filter val="12:00-21:00"/>
            <filter val="21:00-06:00"/>
            <filter val="16:00-1:00"/>
            <filter val="15:00-00:00"/>
            <filter val="16:00-01:00"/>
          </filters>
        </filterColumn>
        <filterColumn colId="5">
          <filters>
            <filter val="WE+WD"/>
            <filter val="WD+WE"/>
            <filter val="WD"/>
          </filters>
        </filterColumn>
      </autoFilter>
    </customSheetView>
    <customSheetView guid="{3227E687-00D1-4680-BB98-D28CD0735E57}" filter="1" showAutoFilter="1">
      <autoFilter ref="$A$1:$AQ$154">
        <filterColumn colId="7">
          <filters>
            <filter val="03/24/2021"/>
            <filter val="03/01/2021"/>
            <filter val="04/26/2021"/>
            <filter val="04/12/2021"/>
            <filter val="04/01/2021"/>
            <filter val="03/08/2021"/>
            <filter val="04/15/2021"/>
            <filter val="03/18/2021"/>
            <filter val="04/05/2021"/>
            <filter val="04/02/2021"/>
            <filter val="04/13/2021"/>
            <filter val="04/27/2021"/>
          </filters>
        </filterColumn>
      </autoFilter>
    </customSheetView>
    <customSheetView guid="{8A63CFD9-8472-443D-89C8-1D8D95A3F157}" filter="1" showAutoFilter="1">
      <autoFilter ref="$A$1:$AQ$155">
        <filterColumn colId="42">
          <filters>
            <filter val="RA+VM"/>
            <filter val="FL"/>
            <filter val="GM"/>
            <filter val="AS+YS"/>
            <filter val="AM"/>
          </filters>
        </filterColumn>
        <filterColumn colId="6">
          <filters>
            <filter val="09:00-18:00"/>
            <filter val="01:00-08:00"/>
            <filter val="21:00-06:00"/>
            <filter val="16:00-1:00"/>
            <filter val="07:00-16:00"/>
            <filter val="16:00-01:00"/>
          </filters>
        </filterColumn>
        <filterColumn colId="11">
          <filters>
            <filter val="Active"/>
          </filters>
        </filterColumn>
        <sortState ref="A1:AQ155">
          <sortCondition descending="1" ref="K1:K155"/>
        </sortState>
      </autoFilter>
    </customSheetView>
    <customSheetView guid="{5F8E9797-B807-461E-BAFE-DE965A57F0D5}" filter="1" showAutoFilter="1">
      <autoFilter ref="$A$1:$AQ$155">
        <filterColumn colId="11">
          <filters>
            <filter val="Inactive"/>
          </filters>
        </filterColumn>
        <sortState ref="A1:AQ155">
          <sortCondition ref="A1:A155"/>
          <sortCondition ref="C1:C155"/>
        </sortState>
      </autoFilter>
    </customSheetView>
  </customSheetViews>
  <mergeCells count="1">
    <mergeCell ref="A164:G164"/>
  </mergeCells>
  <conditionalFormatting sqref="A139:C139">
    <cfRule type="expression" dxfId="7" priority="1">
      <formula>ISEVEN(ROW())</formula>
    </cfRule>
  </conditionalFormatting>
  <conditionalFormatting sqref="F125:G125 G132:G165">
    <cfRule type="containsText" dxfId="1" priority="2" operator="containsText" text="OFF">
      <formula>NOT(ISERROR(SEARCH(("OFF"),(F125))))</formula>
    </cfRule>
  </conditionalFormatting>
  <conditionalFormatting sqref="F125:G125 G132:G165">
    <cfRule type="containsText" dxfId="0" priority="3" operator="containsText" text="absent">
      <formula>NOT(ISERROR(SEARCH(("absent"),(F125))))</formula>
    </cfRule>
  </conditionalFormatting>
  <conditionalFormatting sqref="I1:L165">
    <cfRule type="containsText" dxfId="0" priority="4" operator="containsText" text="Inactive">
      <formula>NOT(ISERROR(SEARCH(("Inactive"),(I1))))</formula>
    </cfRule>
  </conditionalFormatting>
  <dataValidations>
    <dataValidation type="list" allowBlank="1" sqref="S2:S12 S14 S17:S19 S22 S24 S26:S37 S39:S52 S54:S60 S62:S68 S70:S93 S95:S101 V109 V112:V118 X121:X123 V120:V125 S103:S165">
      <formula1>"Requested,Access Granted,Account Created"</formula1>
    </dataValidation>
    <dataValidation type="list" allowBlank="1" showErrorMessage="1" sqref="G100 G112 G121:G132 G135 G137:G153 G155:G163">
      <formula1>DATA!$E$49:$E$53</formula1>
    </dataValidation>
    <dataValidation type="date" operator="greaterThanOrEqual" allowBlank="1" showDropDown="1" showInputMessage="1" prompt="Format is day/month/year" sqref="H2:H14 H17:H19 H22:H24 H26:H52 H54:H165">
      <formula1>44256.0</formula1>
    </dataValidation>
  </dataValidations>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D9D9"/>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Col="1"/>
  <cols>
    <col customWidth="1" min="1" max="1" width="28.0"/>
    <col customWidth="1" min="2" max="2" width="11.71"/>
    <col customWidth="1" min="3" max="3" width="9.57"/>
    <col customWidth="1" min="4" max="4" width="6.71"/>
    <col customWidth="1" min="5" max="5" width="13.0"/>
    <col customWidth="1" min="6" max="6" width="9.14"/>
    <col collapsed="1" customWidth="1" min="7" max="7" width="3.43"/>
    <col customWidth="1" hidden="1" min="8" max="38" width="7.0" outlineLevel="1"/>
    <col customWidth="1" hidden="1" min="39" max="39" width="0.43" outlineLevel="1"/>
    <col collapsed="1" customWidth="1" min="40" max="40" width="3.43"/>
    <col customWidth="1" hidden="1" min="41" max="71" width="5.86" outlineLevel="1"/>
    <col collapsed="1" customWidth="1" min="72" max="72" width="3.43"/>
    <col customWidth="1" hidden="1" min="73" max="104" width="6.0" outlineLevel="1"/>
    <col collapsed="1" customWidth="1" min="105" max="105" width="3.43"/>
    <col customWidth="1" hidden="1" min="106" max="137" width="6.14" outlineLevel="1"/>
    <col collapsed="1" customWidth="1" min="138" max="138" width="3.43"/>
    <col customWidth="1" hidden="1" min="139" max="169" width="7.71" outlineLevel="1"/>
    <col collapsed="1" customWidth="1" min="170" max="170" width="3.43"/>
    <col customWidth="1" hidden="1" min="171" max="202" width="7.43" outlineLevel="1"/>
    <col collapsed="1" customWidth="1" min="203" max="203" width="3.43"/>
    <col customWidth="1" hidden="1" min="204" max="233" width="7.43" outlineLevel="1"/>
    <col customWidth="1" hidden="1" min="234" max="234" width="6.71" outlineLevel="1"/>
    <col collapsed="1" customWidth="1" min="235" max="235" width="3.71"/>
    <col customWidth="1" hidden="1" min="236" max="267" width="6.43" outlineLevel="1"/>
    <col customWidth="1" min="268" max="268" width="3.43"/>
    <col customWidth="1" min="269" max="300" width="6.43" outlineLevel="1"/>
    <col collapsed="1" customWidth="1" min="301" max="301" width="3.86"/>
    <col customWidth="1" hidden="1" min="302" max="330" width="3.43" outlineLevel="1"/>
    <col collapsed="1" customWidth="1" min="331" max="331" width="3.43"/>
    <col customWidth="1" hidden="1" min="332" max="357" width="3.43" outlineLevel="1"/>
  </cols>
  <sheetData>
    <row r="1">
      <c r="A1" s="383"/>
      <c r="B1" s="384"/>
      <c r="C1" s="384"/>
      <c r="D1" s="384"/>
      <c r="E1" s="384"/>
      <c r="F1" s="385"/>
      <c r="G1" s="385"/>
      <c r="H1" s="385">
        <v>44317.0</v>
      </c>
      <c r="I1" s="385">
        <v>44318.0</v>
      </c>
      <c r="J1" s="385">
        <v>44319.0</v>
      </c>
      <c r="K1" s="385">
        <v>44320.0</v>
      </c>
      <c r="L1" s="385">
        <v>44321.0</v>
      </c>
      <c r="M1" s="385">
        <v>44322.0</v>
      </c>
      <c r="N1" s="385">
        <v>44323.0</v>
      </c>
      <c r="O1" s="385">
        <v>44324.0</v>
      </c>
      <c r="P1" s="385">
        <v>44325.0</v>
      </c>
      <c r="Q1" s="385">
        <v>44326.0</v>
      </c>
      <c r="R1" s="385">
        <v>44327.0</v>
      </c>
      <c r="S1" s="385">
        <v>44328.0</v>
      </c>
      <c r="T1" s="385">
        <v>44329.0</v>
      </c>
      <c r="U1" s="385">
        <v>44330.0</v>
      </c>
      <c r="V1" s="385">
        <v>44331.0</v>
      </c>
      <c r="W1" s="385">
        <v>44332.0</v>
      </c>
      <c r="X1" s="385">
        <v>44333.0</v>
      </c>
      <c r="Y1" s="385">
        <v>44334.0</v>
      </c>
      <c r="Z1" s="385">
        <v>44335.0</v>
      </c>
      <c r="AA1" s="385">
        <v>44336.0</v>
      </c>
      <c r="AB1" s="385">
        <v>44337.0</v>
      </c>
      <c r="AC1" s="385">
        <v>44338.0</v>
      </c>
      <c r="AD1" s="385">
        <v>44339.0</v>
      </c>
      <c r="AE1" s="385">
        <v>44340.0</v>
      </c>
      <c r="AF1" s="385">
        <v>44341.0</v>
      </c>
      <c r="AG1" s="385">
        <v>44342.0</v>
      </c>
      <c r="AH1" s="385">
        <v>44343.0</v>
      </c>
      <c r="AI1" s="385">
        <v>44344.0</v>
      </c>
      <c r="AJ1" s="385">
        <v>44345.0</v>
      </c>
      <c r="AK1" s="385">
        <v>44346.0</v>
      </c>
      <c r="AL1" s="385">
        <v>44347.0</v>
      </c>
      <c r="AM1" s="386"/>
      <c r="AN1" s="386"/>
      <c r="AO1" s="385">
        <v>44348.0</v>
      </c>
      <c r="AP1" s="385">
        <v>44349.0</v>
      </c>
      <c r="AQ1" s="385">
        <v>44350.0</v>
      </c>
      <c r="AR1" s="385">
        <v>44351.0</v>
      </c>
      <c r="AS1" s="385">
        <v>44352.0</v>
      </c>
      <c r="AT1" s="385">
        <v>44353.0</v>
      </c>
      <c r="AU1" s="385">
        <v>44354.0</v>
      </c>
      <c r="AV1" s="385">
        <v>44355.0</v>
      </c>
      <c r="AW1" s="385">
        <v>44356.0</v>
      </c>
      <c r="AX1" s="385">
        <v>44357.0</v>
      </c>
      <c r="AY1" s="385">
        <v>44358.0</v>
      </c>
      <c r="AZ1" s="385">
        <v>44359.0</v>
      </c>
      <c r="BA1" s="385">
        <v>44360.0</v>
      </c>
      <c r="BB1" s="385">
        <v>44361.0</v>
      </c>
      <c r="BC1" s="385">
        <v>44362.0</v>
      </c>
      <c r="BD1" s="385">
        <v>44363.0</v>
      </c>
      <c r="BE1" s="385">
        <v>44364.0</v>
      </c>
      <c r="BF1" s="385">
        <v>44365.0</v>
      </c>
      <c r="BG1" s="385">
        <v>44366.0</v>
      </c>
      <c r="BH1" s="385">
        <v>44367.0</v>
      </c>
      <c r="BI1" s="385">
        <v>44368.0</v>
      </c>
      <c r="BJ1" s="385">
        <v>44369.0</v>
      </c>
      <c r="BK1" s="385">
        <v>44370.0</v>
      </c>
      <c r="BL1" s="385">
        <v>44371.0</v>
      </c>
      <c r="BM1" s="385">
        <v>44372.0</v>
      </c>
      <c r="BN1" s="385">
        <v>44373.0</v>
      </c>
      <c r="BO1" s="385">
        <v>44374.0</v>
      </c>
      <c r="BP1" s="385">
        <v>44375.0</v>
      </c>
      <c r="BQ1" s="385">
        <v>44376.0</v>
      </c>
      <c r="BR1" s="385">
        <v>44377.0</v>
      </c>
      <c r="BS1" s="386"/>
      <c r="BT1" s="386"/>
      <c r="BU1" s="385">
        <v>44378.0</v>
      </c>
      <c r="BV1" s="385">
        <v>44379.0</v>
      </c>
      <c r="BW1" s="385">
        <v>44380.0</v>
      </c>
      <c r="BX1" s="385">
        <v>44381.0</v>
      </c>
      <c r="BY1" s="385">
        <v>44382.0</v>
      </c>
      <c r="BZ1" s="385">
        <v>44383.0</v>
      </c>
      <c r="CA1" s="385">
        <v>44384.0</v>
      </c>
      <c r="CB1" s="385">
        <v>44385.0</v>
      </c>
      <c r="CC1" s="385">
        <v>44386.0</v>
      </c>
      <c r="CD1" s="385">
        <v>44387.0</v>
      </c>
      <c r="CE1" s="385">
        <v>44388.0</v>
      </c>
      <c r="CF1" s="385">
        <v>44389.0</v>
      </c>
      <c r="CG1" s="385">
        <v>44390.0</v>
      </c>
      <c r="CH1" s="385">
        <v>44391.0</v>
      </c>
      <c r="CI1" s="385">
        <v>44392.0</v>
      </c>
      <c r="CJ1" s="385">
        <v>44393.0</v>
      </c>
      <c r="CK1" s="385">
        <v>44394.0</v>
      </c>
      <c r="CL1" s="385">
        <v>44395.0</v>
      </c>
      <c r="CM1" s="385">
        <v>44396.0</v>
      </c>
      <c r="CN1" s="385">
        <v>44397.0</v>
      </c>
      <c r="CO1" s="385">
        <v>44398.0</v>
      </c>
      <c r="CP1" s="385">
        <v>44399.0</v>
      </c>
      <c r="CQ1" s="385">
        <v>44400.0</v>
      </c>
      <c r="CR1" s="385">
        <v>44401.0</v>
      </c>
      <c r="CS1" s="385">
        <v>44402.0</v>
      </c>
      <c r="CT1" s="385">
        <v>44403.0</v>
      </c>
      <c r="CU1" s="385">
        <v>44404.0</v>
      </c>
      <c r="CV1" s="385">
        <v>44405.0</v>
      </c>
      <c r="CW1" s="385">
        <v>44406.0</v>
      </c>
      <c r="CX1" s="385">
        <v>44407.0</v>
      </c>
      <c r="CY1" s="385">
        <v>44408.0</v>
      </c>
      <c r="CZ1" s="386"/>
      <c r="DA1" s="386"/>
      <c r="DB1" s="385">
        <v>44409.0</v>
      </c>
      <c r="DC1" s="385">
        <v>44410.0</v>
      </c>
      <c r="DD1" s="385">
        <v>44411.0</v>
      </c>
      <c r="DE1" s="385">
        <v>44412.0</v>
      </c>
      <c r="DF1" s="385">
        <v>44413.0</v>
      </c>
      <c r="DG1" s="385">
        <v>44414.0</v>
      </c>
      <c r="DH1" s="385">
        <v>44415.0</v>
      </c>
      <c r="DI1" s="385">
        <v>44416.0</v>
      </c>
      <c r="DJ1" s="385">
        <v>44417.0</v>
      </c>
      <c r="DK1" s="385">
        <v>44418.0</v>
      </c>
      <c r="DL1" s="385">
        <v>44419.0</v>
      </c>
      <c r="DM1" s="385">
        <v>44420.0</v>
      </c>
      <c r="DN1" s="385">
        <v>44421.0</v>
      </c>
      <c r="DO1" s="385">
        <v>44422.0</v>
      </c>
      <c r="DP1" s="385">
        <v>44423.0</v>
      </c>
      <c r="DQ1" s="385">
        <v>44424.0</v>
      </c>
      <c r="DR1" s="385">
        <v>44425.0</v>
      </c>
      <c r="DS1" s="385">
        <v>44426.0</v>
      </c>
      <c r="DT1" s="385">
        <v>44427.0</v>
      </c>
      <c r="DU1" s="385">
        <v>44428.0</v>
      </c>
      <c r="DV1" s="385">
        <v>44429.0</v>
      </c>
      <c r="DW1" s="385">
        <v>44430.0</v>
      </c>
      <c r="DX1" s="385">
        <v>44431.0</v>
      </c>
      <c r="DY1" s="385">
        <v>44432.0</v>
      </c>
      <c r="DZ1" s="385">
        <v>44433.0</v>
      </c>
      <c r="EA1" s="385">
        <v>44434.0</v>
      </c>
      <c r="EB1" s="385">
        <v>44435.0</v>
      </c>
      <c r="EC1" s="385">
        <v>44436.0</v>
      </c>
      <c r="ED1" s="385">
        <v>44437.0</v>
      </c>
      <c r="EE1" s="385">
        <v>44438.0</v>
      </c>
      <c r="EF1" s="385">
        <v>44439.0</v>
      </c>
      <c r="EG1" s="387"/>
      <c r="EH1" s="385"/>
      <c r="EI1" s="385">
        <v>44440.0</v>
      </c>
      <c r="EJ1" s="385">
        <v>44441.0</v>
      </c>
      <c r="EK1" s="385">
        <v>44442.0</v>
      </c>
      <c r="EL1" s="385">
        <v>44443.0</v>
      </c>
      <c r="EM1" s="385">
        <v>44444.0</v>
      </c>
      <c r="EN1" s="385">
        <v>44445.0</v>
      </c>
      <c r="EO1" s="385">
        <v>44446.0</v>
      </c>
      <c r="EP1" s="385">
        <v>44447.0</v>
      </c>
      <c r="EQ1" s="385">
        <v>44448.0</v>
      </c>
      <c r="ER1" s="385">
        <v>44449.0</v>
      </c>
      <c r="ES1" s="385">
        <v>44450.0</v>
      </c>
      <c r="ET1" s="385">
        <v>44451.0</v>
      </c>
      <c r="EU1" s="385">
        <v>44452.0</v>
      </c>
      <c r="EV1" s="385">
        <v>44453.0</v>
      </c>
      <c r="EW1" s="385">
        <v>44454.0</v>
      </c>
      <c r="EX1" s="385">
        <v>44455.0</v>
      </c>
      <c r="EY1" s="385">
        <v>44456.0</v>
      </c>
      <c r="EZ1" s="385">
        <v>44457.0</v>
      </c>
      <c r="FA1" s="385">
        <v>44458.0</v>
      </c>
      <c r="FB1" s="385">
        <v>44459.0</v>
      </c>
      <c r="FC1" s="385">
        <v>44460.0</v>
      </c>
      <c r="FD1" s="385">
        <v>44461.0</v>
      </c>
      <c r="FE1" s="385">
        <v>44462.0</v>
      </c>
      <c r="FF1" s="385">
        <v>44463.0</v>
      </c>
      <c r="FG1" s="385">
        <v>44464.0</v>
      </c>
      <c r="FH1" s="385">
        <v>44465.0</v>
      </c>
      <c r="FI1" s="385">
        <v>44466.0</v>
      </c>
      <c r="FJ1" s="385">
        <v>44467.0</v>
      </c>
      <c r="FK1" s="385">
        <v>44468.0</v>
      </c>
      <c r="FL1" s="385">
        <v>44469.0</v>
      </c>
      <c r="FM1" s="385"/>
      <c r="FN1" s="385"/>
      <c r="FO1" s="385">
        <v>44470.0</v>
      </c>
      <c r="FP1" s="385">
        <v>44471.0</v>
      </c>
      <c r="FQ1" s="385">
        <v>44472.0</v>
      </c>
      <c r="FR1" s="385">
        <v>44473.0</v>
      </c>
      <c r="FS1" s="385">
        <v>44474.0</v>
      </c>
      <c r="FT1" s="385">
        <v>44475.0</v>
      </c>
      <c r="FU1" s="385">
        <v>44476.0</v>
      </c>
      <c r="FV1" s="385">
        <v>44477.0</v>
      </c>
      <c r="FW1" s="385">
        <v>44478.0</v>
      </c>
      <c r="FX1" s="385">
        <v>44479.0</v>
      </c>
      <c r="FY1" s="385">
        <v>44480.0</v>
      </c>
      <c r="FZ1" s="385">
        <v>44481.0</v>
      </c>
      <c r="GA1" s="385">
        <v>44482.0</v>
      </c>
      <c r="GB1" s="385">
        <v>44483.0</v>
      </c>
      <c r="GC1" s="385">
        <v>44484.0</v>
      </c>
      <c r="GD1" s="385">
        <v>44485.0</v>
      </c>
      <c r="GE1" s="385">
        <v>44486.0</v>
      </c>
      <c r="GF1" s="385">
        <v>44487.0</v>
      </c>
      <c r="GG1" s="385">
        <v>44488.0</v>
      </c>
      <c r="GH1" s="385">
        <v>44489.0</v>
      </c>
      <c r="GI1" s="385">
        <v>44490.0</v>
      </c>
      <c r="GJ1" s="385">
        <v>44491.0</v>
      </c>
      <c r="GK1" s="385">
        <v>44492.0</v>
      </c>
      <c r="GL1" s="385">
        <v>44493.0</v>
      </c>
      <c r="GM1" s="385">
        <v>44494.0</v>
      </c>
      <c r="GN1" s="385">
        <v>44495.0</v>
      </c>
      <c r="GO1" s="385">
        <v>44496.0</v>
      </c>
      <c r="GP1" s="385">
        <v>44497.0</v>
      </c>
      <c r="GQ1" s="385">
        <v>44498.0</v>
      </c>
      <c r="GR1" s="385">
        <v>44499.0</v>
      </c>
      <c r="GS1" s="385">
        <v>44500.0</v>
      </c>
      <c r="GT1" s="385"/>
      <c r="GU1" s="385"/>
      <c r="GV1" s="385">
        <v>44501.0</v>
      </c>
      <c r="GW1" s="385">
        <v>44502.0</v>
      </c>
      <c r="GX1" s="385">
        <v>44503.0</v>
      </c>
      <c r="GY1" s="385">
        <v>44504.0</v>
      </c>
      <c r="GZ1" s="385">
        <v>44505.0</v>
      </c>
      <c r="HA1" s="385">
        <v>44506.0</v>
      </c>
      <c r="HB1" s="385">
        <v>44507.0</v>
      </c>
      <c r="HC1" s="385">
        <v>44508.0</v>
      </c>
      <c r="HD1" s="385">
        <v>44509.0</v>
      </c>
      <c r="HE1" s="385">
        <v>44510.0</v>
      </c>
      <c r="HF1" s="385">
        <v>44511.0</v>
      </c>
      <c r="HG1" s="385">
        <v>44512.0</v>
      </c>
      <c r="HH1" s="385">
        <v>44513.0</v>
      </c>
      <c r="HI1" s="385">
        <v>44514.0</v>
      </c>
      <c r="HJ1" s="385">
        <v>44515.0</v>
      </c>
      <c r="HK1" s="385">
        <v>44516.0</v>
      </c>
      <c r="HL1" s="385">
        <v>44517.0</v>
      </c>
      <c r="HM1" s="385">
        <v>44518.0</v>
      </c>
      <c r="HN1" s="385">
        <v>44519.0</v>
      </c>
      <c r="HO1" s="385">
        <v>44520.0</v>
      </c>
      <c r="HP1" s="385">
        <v>44521.0</v>
      </c>
      <c r="HQ1" s="385">
        <v>44522.0</v>
      </c>
      <c r="HR1" s="385">
        <v>44523.0</v>
      </c>
      <c r="HS1" s="385">
        <v>44524.0</v>
      </c>
      <c r="HT1" s="385">
        <v>44525.0</v>
      </c>
      <c r="HU1" s="385">
        <v>44526.0</v>
      </c>
      <c r="HV1" s="385">
        <v>44527.0</v>
      </c>
      <c r="HW1" s="385">
        <v>44528.0</v>
      </c>
      <c r="HX1" s="385">
        <v>44529.0</v>
      </c>
      <c r="HY1" s="385">
        <v>44530.0</v>
      </c>
      <c r="HZ1" s="385"/>
      <c r="IA1" s="385"/>
      <c r="IB1" s="385">
        <v>44531.0</v>
      </c>
      <c r="IC1" s="385">
        <v>44532.0</v>
      </c>
      <c r="ID1" s="385">
        <v>44533.0</v>
      </c>
      <c r="IE1" s="385">
        <v>44534.0</v>
      </c>
      <c r="IF1" s="385">
        <v>44535.0</v>
      </c>
      <c r="IG1" s="385">
        <v>44536.0</v>
      </c>
      <c r="IH1" s="385">
        <v>44537.0</v>
      </c>
      <c r="II1" s="385">
        <v>44538.0</v>
      </c>
      <c r="IJ1" s="385">
        <v>44539.0</v>
      </c>
      <c r="IK1" s="385">
        <v>44540.0</v>
      </c>
      <c r="IL1" s="385">
        <v>44541.0</v>
      </c>
      <c r="IM1" s="385">
        <v>44542.0</v>
      </c>
      <c r="IN1" s="385">
        <v>44543.0</v>
      </c>
      <c r="IO1" s="385">
        <v>44544.0</v>
      </c>
      <c r="IP1" s="385">
        <v>44545.0</v>
      </c>
      <c r="IQ1" s="385">
        <v>44546.0</v>
      </c>
      <c r="IR1" s="385">
        <v>44547.0</v>
      </c>
      <c r="IS1" s="385">
        <v>44548.0</v>
      </c>
      <c r="IT1" s="385">
        <v>44549.0</v>
      </c>
      <c r="IU1" s="385">
        <v>44550.0</v>
      </c>
      <c r="IV1" s="385">
        <v>44551.0</v>
      </c>
      <c r="IW1" s="385">
        <v>44552.0</v>
      </c>
      <c r="IX1" s="385">
        <v>44553.0</v>
      </c>
      <c r="IY1" s="385">
        <v>44554.0</v>
      </c>
      <c r="IZ1" s="385">
        <v>44555.0</v>
      </c>
      <c r="JA1" s="385">
        <v>44556.0</v>
      </c>
      <c r="JB1" s="385">
        <v>44557.0</v>
      </c>
      <c r="JC1" s="385">
        <v>44558.0</v>
      </c>
      <c r="JD1" s="385">
        <v>44559.0</v>
      </c>
      <c r="JE1" s="385">
        <v>44560.0</v>
      </c>
      <c r="JF1" s="385">
        <v>44561.0</v>
      </c>
      <c r="JG1" s="385"/>
      <c r="JH1" s="385"/>
      <c r="JI1" s="385">
        <v>44562.0</v>
      </c>
      <c r="JJ1" s="385">
        <v>44563.0</v>
      </c>
      <c r="JK1" s="385">
        <v>44564.0</v>
      </c>
      <c r="JL1" s="385">
        <v>44565.0</v>
      </c>
      <c r="JM1" s="385">
        <v>44566.0</v>
      </c>
      <c r="JN1" s="385">
        <v>44567.0</v>
      </c>
      <c r="JO1" s="385">
        <v>44568.0</v>
      </c>
      <c r="JP1" s="385">
        <v>44569.0</v>
      </c>
      <c r="JQ1" s="385">
        <v>44570.0</v>
      </c>
      <c r="JR1" s="385">
        <v>44571.0</v>
      </c>
      <c r="JS1" s="385">
        <v>44572.0</v>
      </c>
      <c r="JT1" s="385">
        <v>44573.0</v>
      </c>
      <c r="JU1" s="385">
        <v>44574.0</v>
      </c>
      <c r="JV1" s="385">
        <v>44575.0</v>
      </c>
      <c r="JW1" s="385">
        <v>44576.0</v>
      </c>
      <c r="JX1" s="385">
        <v>44577.0</v>
      </c>
      <c r="JY1" s="385">
        <v>44578.0</v>
      </c>
      <c r="JZ1" s="385">
        <v>44579.0</v>
      </c>
      <c r="KA1" s="385">
        <v>44580.0</v>
      </c>
      <c r="KB1" s="385">
        <v>44581.0</v>
      </c>
      <c r="KC1" s="385">
        <v>44582.0</v>
      </c>
      <c r="KD1" s="385">
        <v>44583.0</v>
      </c>
      <c r="KE1" s="385">
        <v>44584.0</v>
      </c>
      <c r="KF1" s="385">
        <v>44585.0</v>
      </c>
      <c r="KG1" s="385">
        <v>44586.0</v>
      </c>
      <c r="KH1" s="385">
        <v>44587.0</v>
      </c>
      <c r="KI1" s="385">
        <v>44588.0</v>
      </c>
      <c r="KJ1" s="385">
        <v>44589.0</v>
      </c>
      <c r="KK1" s="385">
        <v>44590.0</v>
      </c>
      <c r="KL1" s="385">
        <v>44591.0</v>
      </c>
      <c r="KM1" s="385">
        <v>44592.0</v>
      </c>
      <c r="KN1" s="385"/>
      <c r="KO1" s="385"/>
      <c r="KP1" s="385">
        <v>44593.0</v>
      </c>
      <c r="KQ1" s="385">
        <v>44594.0</v>
      </c>
      <c r="KR1" s="385">
        <v>44595.0</v>
      </c>
      <c r="KS1" s="385">
        <v>44596.0</v>
      </c>
      <c r="KT1" s="385">
        <v>44597.0</v>
      </c>
      <c r="KU1" s="385">
        <v>44598.0</v>
      </c>
      <c r="KV1" s="385">
        <v>44599.0</v>
      </c>
      <c r="KW1" s="385">
        <v>44600.0</v>
      </c>
      <c r="KX1" s="385">
        <v>44601.0</v>
      </c>
      <c r="KY1" s="385">
        <v>44602.0</v>
      </c>
      <c r="KZ1" s="385">
        <v>44603.0</v>
      </c>
      <c r="LA1" s="385">
        <v>44604.0</v>
      </c>
      <c r="LB1" s="385">
        <v>44605.0</v>
      </c>
      <c r="LC1" s="385">
        <v>44606.0</v>
      </c>
      <c r="LD1" s="385">
        <v>44607.0</v>
      </c>
      <c r="LE1" s="385">
        <v>44608.0</v>
      </c>
      <c r="LF1" s="385">
        <v>44609.0</v>
      </c>
      <c r="LG1" s="385">
        <v>44610.0</v>
      </c>
      <c r="LH1" s="385">
        <v>44611.0</v>
      </c>
      <c r="LI1" s="385">
        <v>44612.0</v>
      </c>
      <c r="LJ1" s="385">
        <v>44613.0</v>
      </c>
      <c r="LK1" s="385">
        <v>44614.0</v>
      </c>
      <c r="LL1" s="385">
        <v>44615.0</v>
      </c>
      <c r="LM1" s="385">
        <v>44616.0</v>
      </c>
      <c r="LN1" s="385">
        <v>44617.0</v>
      </c>
      <c r="LO1" s="385">
        <v>44618.0</v>
      </c>
      <c r="LP1" s="385">
        <v>44619.0</v>
      </c>
      <c r="LQ1" s="385">
        <v>44620.0</v>
      </c>
      <c r="LR1" s="385"/>
      <c r="LS1" s="385"/>
      <c r="LT1" s="385">
        <v>44621.0</v>
      </c>
      <c r="LU1" s="385">
        <v>44622.0</v>
      </c>
      <c r="LV1" s="385">
        <v>44623.0</v>
      </c>
      <c r="LW1" s="385">
        <v>44624.0</v>
      </c>
      <c r="LX1" s="385">
        <v>44625.0</v>
      </c>
      <c r="LY1" s="385">
        <v>44626.0</v>
      </c>
      <c r="LZ1" s="385">
        <v>44627.0</v>
      </c>
      <c r="MA1" s="385">
        <v>44628.0</v>
      </c>
      <c r="MB1" s="385">
        <v>44629.0</v>
      </c>
      <c r="MC1" s="385">
        <v>44630.0</v>
      </c>
      <c r="MD1" s="385">
        <v>44631.0</v>
      </c>
      <c r="ME1" s="385">
        <v>44632.0</v>
      </c>
      <c r="MF1" s="385">
        <v>44633.0</v>
      </c>
      <c r="MG1" s="385"/>
      <c r="MH1" s="385"/>
      <c r="MI1" s="385"/>
      <c r="MJ1" s="385"/>
      <c r="MK1" s="385"/>
      <c r="ML1" s="385"/>
      <c r="MM1" s="385"/>
      <c r="MN1" s="385"/>
      <c r="MO1" s="385"/>
      <c r="MP1" s="385"/>
      <c r="MQ1" s="385"/>
      <c r="MR1" s="385"/>
      <c r="MS1" s="385"/>
    </row>
    <row r="2">
      <c r="A2" s="388" t="s">
        <v>1231</v>
      </c>
      <c r="B2" s="388" t="s">
        <v>1232</v>
      </c>
      <c r="C2" s="389" t="s">
        <v>96</v>
      </c>
      <c r="D2" s="388" t="s">
        <v>1233</v>
      </c>
      <c r="E2" s="389" t="s">
        <v>101</v>
      </c>
      <c r="F2" s="390" t="s">
        <v>1234</v>
      </c>
      <c r="G2" s="390"/>
      <c r="H2" s="391" t="s">
        <v>237</v>
      </c>
      <c r="I2" s="391" t="s">
        <v>238</v>
      </c>
      <c r="J2" s="391" t="s">
        <v>239</v>
      </c>
      <c r="K2" s="391" t="s">
        <v>240</v>
      </c>
      <c r="L2" s="391" t="s">
        <v>241</v>
      </c>
      <c r="M2" s="391" t="s">
        <v>242</v>
      </c>
      <c r="N2" s="391" t="s">
        <v>243</v>
      </c>
      <c r="O2" s="391" t="s">
        <v>237</v>
      </c>
      <c r="P2" s="391" t="s">
        <v>238</v>
      </c>
      <c r="Q2" s="391" t="s">
        <v>239</v>
      </c>
      <c r="R2" s="391" t="s">
        <v>240</v>
      </c>
      <c r="S2" s="391" t="s">
        <v>241</v>
      </c>
      <c r="T2" s="391" t="s">
        <v>242</v>
      </c>
      <c r="U2" s="391" t="s">
        <v>243</v>
      </c>
      <c r="V2" s="391" t="s">
        <v>237</v>
      </c>
      <c r="W2" s="391" t="s">
        <v>238</v>
      </c>
      <c r="X2" s="391" t="s">
        <v>239</v>
      </c>
      <c r="Y2" s="391" t="s">
        <v>240</v>
      </c>
      <c r="Z2" s="391" t="s">
        <v>241</v>
      </c>
      <c r="AA2" s="391" t="s">
        <v>242</v>
      </c>
      <c r="AB2" s="391" t="s">
        <v>243</v>
      </c>
      <c r="AC2" s="391" t="s">
        <v>237</v>
      </c>
      <c r="AD2" s="391" t="s">
        <v>238</v>
      </c>
      <c r="AE2" s="391" t="s">
        <v>239</v>
      </c>
      <c r="AF2" s="391" t="s">
        <v>240</v>
      </c>
      <c r="AG2" s="391" t="s">
        <v>241</v>
      </c>
      <c r="AH2" s="391" t="s">
        <v>242</v>
      </c>
      <c r="AI2" s="391" t="s">
        <v>243</v>
      </c>
      <c r="AJ2" s="391" t="s">
        <v>237</v>
      </c>
      <c r="AK2" s="391" t="s">
        <v>238</v>
      </c>
      <c r="AL2" s="391" t="s">
        <v>239</v>
      </c>
      <c r="AM2" s="391"/>
      <c r="AN2" s="391"/>
      <c r="AO2" s="388" t="s">
        <v>240</v>
      </c>
      <c r="AP2" s="388" t="s">
        <v>241</v>
      </c>
      <c r="AQ2" s="388" t="s">
        <v>242</v>
      </c>
      <c r="AR2" s="388" t="s">
        <v>243</v>
      </c>
      <c r="AS2" s="388" t="s">
        <v>237</v>
      </c>
      <c r="AT2" s="388" t="s">
        <v>238</v>
      </c>
      <c r="AU2" s="388" t="s">
        <v>239</v>
      </c>
      <c r="AV2" s="388" t="s">
        <v>240</v>
      </c>
      <c r="AW2" s="388" t="s">
        <v>241</v>
      </c>
      <c r="AX2" s="388" t="s">
        <v>242</v>
      </c>
      <c r="AY2" s="388" t="s">
        <v>243</v>
      </c>
      <c r="AZ2" s="388" t="s">
        <v>237</v>
      </c>
      <c r="BA2" s="388" t="s">
        <v>238</v>
      </c>
      <c r="BB2" s="388" t="s">
        <v>239</v>
      </c>
      <c r="BC2" s="388" t="s">
        <v>240</v>
      </c>
      <c r="BD2" s="388" t="s">
        <v>241</v>
      </c>
      <c r="BE2" s="388" t="s">
        <v>242</v>
      </c>
      <c r="BF2" s="388" t="s">
        <v>243</v>
      </c>
      <c r="BG2" s="388" t="s">
        <v>237</v>
      </c>
      <c r="BH2" s="388" t="s">
        <v>238</v>
      </c>
      <c r="BI2" s="388" t="s">
        <v>239</v>
      </c>
      <c r="BJ2" s="388" t="s">
        <v>240</v>
      </c>
      <c r="BK2" s="388" t="s">
        <v>241</v>
      </c>
      <c r="BL2" s="388" t="s">
        <v>242</v>
      </c>
      <c r="BM2" s="388" t="s">
        <v>243</v>
      </c>
      <c r="BN2" s="388" t="s">
        <v>237</v>
      </c>
      <c r="BO2" s="388" t="s">
        <v>238</v>
      </c>
      <c r="BP2" s="388" t="s">
        <v>239</v>
      </c>
      <c r="BQ2" s="388" t="s">
        <v>240</v>
      </c>
      <c r="BR2" s="388" t="s">
        <v>241</v>
      </c>
      <c r="BS2" s="391"/>
      <c r="BT2" s="389"/>
      <c r="BU2" s="388" t="s">
        <v>242</v>
      </c>
      <c r="BV2" s="388" t="s">
        <v>243</v>
      </c>
      <c r="BW2" s="388" t="s">
        <v>237</v>
      </c>
      <c r="BX2" s="388" t="s">
        <v>238</v>
      </c>
      <c r="BY2" s="388" t="s">
        <v>239</v>
      </c>
      <c r="BZ2" s="388" t="s">
        <v>240</v>
      </c>
      <c r="CA2" s="388" t="s">
        <v>241</v>
      </c>
      <c r="CB2" s="388" t="s">
        <v>242</v>
      </c>
      <c r="CC2" s="388" t="s">
        <v>243</v>
      </c>
      <c r="CD2" s="388" t="s">
        <v>237</v>
      </c>
      <c r="CE2" s="388" t="s">
        <v>238</v>
      </c>
      <c r="CF2" s="388" t="s">
        <v>239</v>
      </c>
      <c r="CG2" s="388" t="s">
        <v>240</v>
      </c>
      <c r="CH2" s="388" t="s">
        <v>241</v>
      </c>
      <c r="CI2" s="388" t="s">
        <v>242</v>
      </c>
      <c r="CJ2" s="388" t="s">
        <v>243</v>
      </c>
      <c r="CK2" s="388" t="s">
        <v>237</v>
      </c>
      <c r="CL2" s="388" t="s">
        <v>238</v>
      </c>
      <c r="CM2" s="388" t="s">
        <v>239</v>
      </c>
      <c r="CN2" s="388" t="s">
        <v>240</v>
      </c>
      <c r="CO2" s="388" t="s">
        <v>241</v>
      </c>
      <c r="CP2" s="388" t="s">
        <v>242</v>
      </c>
      <c r="CQ2" s="388" t="s">
        <v>243</v>
      </c>
      <c r="CR2" s="388" t="s">
        <v>237</v>
      </c>
      <c r="CS2" s="388" t="s">
        <v>238</v>
      </c>
      <c r="CT2" s="388" t="s">
        <v>239</v>
      </c>
      <c r="CU2" s="388" t="s">
        <v>240</v>
      </c>
      <c r="CV2" s="388" t="s">
        <v>241</v>
      </c>
      <c r="CW2" s="388" t="s">
        <v>242</v>
      </c>
      <c r="CX2" s="388" t="s">
        <v>243</v>
      </c>
      <c r="CY2" s="388" t="s">
        <v>237</v>
      </c>
      <c r="CZ2" s="389"/>
      <c r="DA2" s="389"/>
      <c r="DB2" s="388" t="s">
        <v>238</v>
      </c>
      <c r="DC2" s="388" t="s">
        <v>239</v>
      </c>
      <c r="DD2" s="388" t="s">
        <v>240</v>
      </c>
      <c r="DE2" s="388" t="s">
        <v>241</v>
      </c>
      <c r="DF2" s="388" t="s">
        <v>242</v>
      </c>
      <c r="DG2" s="388" t="s">
        <v>243</v>
      </c>
      <c r="DH2" s="388" t="s">
        <v>237</v>
      </c>
      <c r="DI2" s="388" t="s">
        <v>238</v>
      </c>
      <c r="DJ2" s="388" t="s">
        <v>239</v>
      </c>
      <c r="DK2" s="388" t="s">
        <v>240</v>
      </c>
      <c r="DL2" s="388" t="s">
        <v>241</v>
      </c>
      <c r="DM2" s="388" t="s">
        <v>242</v>
      </c>
      <c r="DN2" s="388" t="s">
        <v>243</v>
      </c>
      <c r="DO2" s="388" t="s">
        <v>237</v>
      </c>
      <c r="DP2" s="388" t="s">
        <v>238</v>
      </c>
      <c r="DQ2" s="388" t="s">
        <v>239</v>
      </c>
      <c r="DR2" s="388" t="s">
        <v>240</v>
      </c>
      <c r="DS2" s="388" t="s">
        <v>241</v>
      </c>
      <c r="DT2" s="388" t="s">
        <v>242</v>
      </c>
      <c r="DU2" s="388" t="s">
        <v>243</v>
      </c>
      <c r="DV2" s="388" t="s">
        <v>237</v>
      </c>
      <c r="DW2" s="388" t="s">
        <v>238</v>
      </c>
      <c r="DX2" s="388" t="s">
        <v>239</v>
      </c>
      <c r="DY2" s="388" t="s">
        <v>240</v>
      </c>
      <c r="DZ2" s="388" t="s">
        <v>241</v>
      </c>
      <c r="EA2" s="388" t="s">
        <v>242</v>
      </c>
      <c r="EB2" s="388" t="s">
        <v>243</v>
      </c>
      <c r="EC2" s="388" t="s">
        <v>237</v>
      </c>
      <c r="ED2" s="388" t="s">
        <v>238</v>
      </c>
      <c r="EE2" s="388" t="s">
        <v>239</v>
      </c>
      <c r="EF2" s="388" t="s">
        <v>240</v>
      </c>
      <c r="EG2" s="392"/>
      <c r="EH2" s="389"/>
      <c r="EI2" s="388" t="s">
        <v>241</v>
      </c>
      <c r="EJ2" s="388" t="s">
        <v>242</v>
      </c>
      <c r="EK2" s="388" t="s">
        <v>243</v>
      </c>
      <c r="EL2" s="388" t="s">
        <v>237</v>
      </c>
      <c r="EM2" s="388" t="s">
        <v>238</v>
      </c>
      <c r="EN2" s="388" t="s">
        <v>239</v>
      </c>
      <c r="EO2" s="388" t="s">
        <v>240</v>
      </c>
      <c r="EP2" s="388" t="s">
        <v>241</v>
      </c>
      <c r="EQ2" s="388" t="s">
        <v>242</v>
      </c>
      <c r="ER2" s="388" t="s">
        <v>243</v>
      </c>
      <c r="ES2" s="388" t="s">
        <v>237</v>
      </c>
      <c r="ET2" s="388" t="s">
        <v>238</v>
      </c>
      <c r="EU2" s="388" t="s">
        <v>239</v>
      </c>
      <c r="EV2" s="388" t="s">
        <v>240</v>
      </c>
      <c r="EW2" s="388" t="s">
        <v>241</v>
      </c>
      <c r="EX2" s="388" t="s">
        <v>242</v>
      </c>
      <c r="EY2" s="388" t="s">
        <v>243</v>
      </c>
      <c r="EZ2" s="388" t="s">
        <v>237</v>
      </c>
      <c r="FA2" s="388" t="s">
        <v>238</v>
      </c>
      <c r="FB2" s="388" t="s">
        <v>239</v>
      </c>
      <c r="FC2" s="388" t="s">
        <v>240</v>
      </c>
      <c r="FD2" s="388" t="s">
        <v>241</v>
      </c>
      <c r="FE2" s="388" t="s">
        <v>242</v>
      </c>
      <c r="FF2" s="388" t="s">
        <v>243</v>
      </c>
      <c r="FG2" s="388" t="s">
        <v>237</v>
      </c>
      <c r="FH2" s="388" t="s">
        <v>238</v>
      </c>
      <c r="FI2" s="388" t="s">
        <v>239</v>
      </c>
      <c r="FJ2" s="388" t="s">
        <v>240</v>
      </c>
      <c r="FK2" s="388" t="s">
        <v>241</v>
      </c>
      <c r="FL2" s="388" t="s">
        <v>242</v>
      </c>
      <c r="FM2" s="389"/>
      <c r="FN2" s="389"/>
      <c r="FO2" s="388" t="s">
        <v>243</v>
      </c>
      <c r="FP2" s="388" t="s">
        <v>237</v>
      </c>
      <c r="FQ2" s="388" t="s">
        <v>238</v>
      </c>
      <c r="FR2" s="388" t="s">
        <v>239</v>
      </c>
      <c r="FS2" s="388" t="s">
        <v>240</v>
      </c>
      <c r="FT2" s="388" t="s">
        <v>241</v>
      </c>
      <c r="FU2" s="388" t="s">
        <v>242</v>
      </c>
      <c r="FV2" s="388" t="s">
        <v>243</v>
      </c>
      <c r="FW2" s="388" t="s">
        <v>237</v>
      </c>
      <c r="FX2" s="388" t="s">
        <v>238</v>
      </c>
      <c r="FY2" s="388" t="s">
        <v>239</v>
      </c>
      <c r="FZ2" s="388" t="s">
        <v>240</v>
      </c>
      <c r="GA2" s="388" t="s">
        <v>241</v>
      </c>
      <c r="GB2" s="388" t="s">
        <v>242</v>
      </c>
      <c r="GC2" s="388" t="s">
        <v>243</v>
      </c>
      <c r="GD2" s="388" t="s">
        <v>237</v>
      </c>
      <c r="GE2" s="388" t="s">
        <v>238</v>
      </c>
      <c r="GF2" s="388" t="s">
        <v>239</v>
      </c>
      <c r="GG2" s="388" t="s">
        <v>240</v>
      </c>
      <c r="GH2" s="388" t="s">
        <v>241</v>
      </c>
      <c r="GI2" s="388" t="s">
        <v>242</v>
      </c>
      <c r="GJ2" s="388" t="s">
        <v>243</v>
      </c>
      <c r="GK2" s="388" t="s">
        <v>237</v>
      </c>
      <c r="GL2" s="388" t="s">
        <v>238</v>
      </c>
      <c r="GM2" s="388" t="s">
        <v>239</v>
      </c>
      <c r="GN2" s="388" t="s">
        <v>240</v>
      </c>
      <c r="GO2" s="388" t="s">
        <v>241</v>
      </c>
      <c r="GP2" s="388" t="s">
        <v>242</v>
      </c>
      <c r="GQ2" s="388" t="s">
        <v>243</v>
      </c>
      <c r="GR2" s="388" t="s">
        <v>237</v>
      </c>
      <c r="GS2" s="388" t="s">
        <v>238</v>
      </c>
      <c r="GT2" s="389">
        <f>sum(GT4:GT76)</f>
        <v>5919.5</v>
      </c>
      <c r="GU2" s="389"/>
      <c r="GV2" s="388" t="s">
        <v>239</v>
      </c>
      <c r="GW2" s="388" t="s">
        <v>240</v>
      </c>
      <c r="GX2" s="388" t="s">
        <v>241</v>
      </c>
      <c r="GY2" s="388" t="s">
        <v>242</v>
      </c>
      <c r="GZ2" s="388" t="s">
        <v>243</v>
      </c>
      <c r="HA2" s="388" t="s">
        <v>237</v>
      </c>
      <c r="HB2" s="388" t="s">
        <v>238</v>
      </c>
      <c r="HC2" s="388" t="s">
        <v>239</v>
      </c>
      <c r="HD2" s="388" t="s">
        <v>240</v>
      </c>
      <c r="HE2" s="388" t="s">
        <v>241</v>
      </c>
      <c r="HF2" s="388" t="s">
        <v>242</v>
      </c>
      <c r="HG2" s="388" t="s">
        <v>243</v>
      </c>
      <c r="HH2" s="388" t="s">
        <v>237</v>
      </c>
      <c r="HI2" s="388" t="s">
        <v>238</v>
      </c>
      <c r="HJ2" s="388" t="s">
        <v>239</v>
      </c>
      <c r="HK2" s="388" t="s">
        <v>240</v>
      </c>
      <c r="HL2" s="388" t="s">
        <v>241</v>
      </c>
      <c r="HM2" s="388" t="s">
        <v>242</v>
      </c>
      <c r="HN2" s="388" t="s">
        <v>243</v>
      </c>
      <c r="HO2" s="388" t="s">
        <v>237</v>
      </c>
      <c r="HP2" s="388" t="s">
        <v>238</v>
      </c>
      <c r="HQ2" s="388" t="s">
        <v>239</v>
      </c>
      <c r="HR2" s="388" t="s">
        <v>240</v>
      </c>
      <c r="HS2" s="388" t="s">
        <v>241</v>
      </c>
      <c r="HT2" s="388" t="s">
        <v>242</v>
      </c>
      <c r="HU2" s="388" t="s">
        <v>243</v>
      </c>
      <c r="HV2" s="388" t="s">
        <v>237</v>
      </c>
      <c r="HW2" s="388" t="s">
        <v>238</v>
      </c>
      <c r="HX2" s="388" t="s">
        <v>239</v>
      </c>
      <c r="HY2" s="388" t="s">
        <v>240</v>
      </c>
      <c r="HZ2" s="389">
        <f>sum(HZ3:HZ76)</f>
        <v>6336.8</v>
      </c>
      <c r="IA2" s="389"/>
      <c r="IB2" s="388" t="s">
        <v>241</v>
      </c>
      <c r="IC2" s="388" t="s">
        <v>242</v>
      </c>
      <c r="ID2" s="388" t="s">
        <v>243</v>
      </c>
      <c r="IE2" s="388" t="s">
        <v>237</v>
      </c>
      <c r="IF2" s="388" t="s">
        <v>238</v>
      </c>
      <c r="IG2" s="388" t="s">
        <v>239</v>
      </c>
      <c r="IH2" s="388" t="s">
        <v>240</v>
      </c>
      <c r="II2" s="388" t="s">
        <v>241</v>
      </c>
      <c r="IJ2" s="388" t="s">
        <v>242</v>
      </c>
      <c r="IK2" s="388" t="s">
        <v>243</v>
      </c>
      <c r="IL2" s="388" t="s">
        <v>237</v>
      </c>
      <c r="IM2" s="388" t="s">
        <v>238</v>
      </c>
      <c r="IN2" s="388" t="s">
        <v>239</v>
      </c>
      <c r="IO2" s="388" t="s">
        <v>240</v>
      </c>
      <c r="IP2" s="388" t="s">
        <v>241</v>
      </c>
      <c r="IQ2" s="388" t="s">
        <v>242</v>
      </c>
      <c r="IR2" s="388" t="s">
        <v>243</v>
      </c>
      <c r="IS2" s="388" t="s">
        <v>237</v>
      </c>
      <c r="IT2" s="388" t="s">
        <v>238</v>
      </c>
      <c r="IU2" s="388" t="s">
        <v>239</v>
      </c>
      <c r="IV2" s="388" t="s">
        <v>240</v>
      </c>
      <c r="IW2" s="388" t="s">
        <v>241</v>
      </c>
      <c r="IX2" s="388" t="s">
        <v>242</v>
      </c>
      <c r="IY2" s="388" t="s">
        <v>243</v>
      </c>
      <c r="IZ2" s="388" t="s">
        <v>237</v>
      </c>
      <c r="JA2" s="388" t="s">
        <v>238</v>
      </c>
      <c r="JB2" s="388" t="s">
        <v>239</v>
      </c>
      <c r="JC2" s="388" t="s">
        <v>240</v>
      </c>
      <c r="JD2" s="388" t="s">
        <v>241</v>
      </c>
      <c r="JE2" s="388" t="s">
        <v>242</v>
      </c>
      <c r="JF2" s="388" t="s">
        <v>243</v>
      </c>
      <c r="JG2" s="388"/>
      <c r="JH2" s="388"/>
      <c r="JI2" s="388" t="s">
        <v>237</v>
      </c>
      <c r="JJ2" s="388" t="s">
        <v>238</v>
      </c>
      <c r="JK2" s="388" t="s">
        <v>239</v>
      </c>
      <c r="JL2" s="388" t="s">
        <v>240</v>
      </c>
      <c r="JM2" s="388" t="s">
        <v>241</v>
      </c>
      <c r="JN2" s="388" t="s">
        <v>242</v>
      </c>
      <c r="JO2" s="388" t="s">
        <v>243</v>
      </c>
      <c r="JP2" s="388" t="s">
        <v>237</v>
      </c>
      <c r="JQ2" s="388" t="s">
        <v>238</v>
      </c>
      <c r="JR2" s="388" t="s">
        <v>239</v>
      </c>
      <c r="JS2" s="388" t="s">
        <v>240</v>
      </c>
      <c r="JT2" s="388" t="s">
        <v>241</v>
      </c>
      <c r="JU2" s="388" t="s">
        <v>242</v>
      </c>
      <c r="JV2" s="388" t="s">
        <v>243</v>
      </c>
      <c r="JW2" s="388" t="s">
        <v>237</v>
      </c>
      <c r="JX2" s="388" t="s">
        <v>238</v>
      </c>
      <c r="JY2" s="388" t="s">
        <v>239</v>
      </c>
      <c r="JZ2" s="388" t="s">
        <v>240</v>
      </c>
      <c r="KA2" s="388" t="s">
        <v>241</v>
      </c>
      <c r="KB2" s="388" t="s">
        <v>242</v>
      </c>
      <c r="KC2" s="388" t="s">
        <v>243</v>
      </c>
      <c r="KD2" s="388" t="s">
        <v>237</v>
      </c>
      <c r="KE2" s="388" t="s">
        <v>238</v>
      </c>
      <c r="KF2" s="388" t="s">
        <v>239</v>
      </c>
      <c r="KG2" s="388" t="s">
        <v>240</v>
      </c>
      <c r="KH2" s="388" t="s">
        <v>241</v>
      </c>
      <c r="KI2" s="388" t="s">
        <v>242</v>
      </c>
      <c r="KJ2" s="388" t="s">
        <v>243</v>
      </c>
      <c r="KK2" s="388" t="s">
        <v>237</v>
      </c>
      <c r="KL2" s="388" t="s">
        <v>238</v>
      </c>
      <c r="KM2" s="388" t="s">
        <v>239</v>
      </c>
      <c r="KN2" s="388"/>
      <c r="KO2" s="388"/>
      <c r="KP2" s="388"/>
      <c r="KQ2" s="388"/>
      <c r="KR2" s="388"/>
      <c r="KS2" s="388"/>
      <c r="KT2" s="388"/>
      <c r="KU2" s="388"/>
      <c r="KV2" s="388"/>
      <c r="KW2" s="388"/>
      <c r="KX2" s="388"/>
      <c r="KY2" s="388"/>
      <c r="KZ2" s="388"/>
      <c r="LA2" s="388"/>
      <c r="LB2" s="388"/>
      <c r="LC2" s="388"/>
      <c r="LD2" s="388"/>
      <c r="LE2" s="388"/>
      <c r="LF2" s="388"/>
      <c r="LG2" s="388"/>
      <c r="LH2" s="388"/>
      <c r="LI2" s="388"/>
      <c r="LJ2" s="388"/>
      <c r="LK2" s="388"/>
      <c r="LL2" s="388"/>
      <c r="LM2" s="388"/>
      <c r="LN2" s="388"/>
      <c r="LO2" s="388"/>
      <c r="LP2" s="388"/>
      <c r="LQ2" s="388"/>
      <c r="LR2" s="388"/>
      <c r="LS2" s="388"/>
      <c r="LT2" s="388"/>
      <c r="LU2" s="388"/>
      <c r="LV2" s="388"/>
      <c r="LW2" s="388"/>
      <c r="LX2" s="388"/>
      <c r="LY2" s="388"/>
      <c r="LZ2" s="388"/>
      <c r="MA2" s="388"/>
      <c r="MB2" s="388"/>
      <c r="MC2" s="388"/>
      <c r="MD2" s="388"/>
      <c r="ME2" s="388"/>
      <c r="MF2" s="388"/>
      <c r="MG2" s="388"/>
      <c r="MH2" s="388"/>
      <c r="MI2" s="388"/>
      <c r="MJ2" s="388"/>
      <c r="MK2" s="388"/>
      <c r="ML2" s="388"/>
      <c r="MM2" s="388"/>
      <c r="MN2" s="388"/>
      <c r="MO2" s="388"/>
      <c r="MP2" s="388"/>
      <c r="MQ2" s="388"/>
      <c r="MR2" s="388"/>
      <c r="MS2" s="388"/>
    </row>
    <row r="3">
      <c r="A3" s="393" t="s">
        <v>1235</v>
      </c>
      <c r="B3" s="394" t="s">
        <v>1236</v>
      </c>
      <c r="C3" s="394" t="s">
        <v>98</v>
      </c>
      <c r="D3" s="395">
        <f t="shared" ref="D3:D59" si="1">(sumifs(I3:BG3,$H$1:$BF$1,"&lt;"&amp;today())/8)</f>
        <v>0</v>
      </c>
      <c r="E3" s="396" t="s">
        <v>1237</v>
      </c>
      <c r="F3" s="397">
        <f>IFERROR(__xludf.DUMMYFUNCTION("IF(A3="""","""", counta(filter(Filter(FILTER($H$4:$PI76,$H$1:$PI$1&lt;today()),$A$4:$A76=A3),not(istext(Filter(FILTER($H$4:$PI76,$H$1:$PI$1&lt;today()),$A$4:$A76=A3))),not(Filter(FILTER($H$4:$PI76,$H$1:$PI$1&lt;today()),$A$4:$A76=A3)=0),Filter(FILTER($H$4:$PI76,$H"&amp;"$1:$PI$1&lt;today()),$A$4:$A76=A3)&lt;23)))"),1.0)</f>
        <v>1</v>
      </c>
      <c r="G3" s="398" t="s">
        <v>1238</v>
      </c>
      <c r="H3" s="394"/>
      <c r="I3" s="394"/>
      <c r="J3" s="394"/>
      <c r="K3" s="394"/>
      <c r="L3" s="394"/>
      <c r="M3" s="394"/>
      <c r="N3" s="394"/>
      <c r="O3" s="394"/>
      <c r="P3" s="394"/>
      <c r="Q3" s="394"/>
      <c r="R3" s="394"/>
      <c r="S3" s="394"/>
      <c r="T3" s="394"/>
      <c r="U3" s="394"/>
      <c r="V3" s="394"/>
      <c r="W3" s="394"/>
      <c r="X3" s="394"/>
      <c r="Y3" s="394"/>
      <c r="Z3" s="394"/>
      <c r="AA3" s="394"/>
      <c r="AB3" s="394"/>
      <c r="AC3" s="394"/>
      <c r="AD3" s="394"/>
      <c r="AE3" s="394"/>
      <c r="AF3" s="394"/>
      <c r="AG3" s="394"/>
      <c r="AH3" s="394"/>
      <c r="AI3" s="394"/>
      <c r="AJ3" s="394"/>
      <c r="AK3" s="394"/>
      <c r="AL3" s="394"/>
      <c r="AM3" s="397"/>
      <c r="AN3" s="399" t="s">
        <v>1239</v>
      </c>
      <c r="AO3" s="400"/>
      <c r="AP3" s="400"/>
      <c r="AQ3" s="400"/>
      <c r="AR3" s="400"/>
      <c r="AS3" s="400"/>
      <c r="AT3" s="400"/>
      <c r="AU3" s="394"/>
      <c r="AV3" s="400"/>
      <c r="AW3" s="400"/>
      <c r="AX3" s="394"/>
      <c r="AY3" s="400"/>
      <c r="AZ3" s="400"/>
      <c r="BA3" s="394"/>
      <c r="BB3" s="400"/>
      <c r="BC3" s="400"/>
      <c r="BD3" s="400"/>
      <c r="BE3" s="400"/>
      <c r="BF3" s="400"/>
      <c r="BG3" s="400"/>
      <c r="BH3" s="400"/>
      <c r="BI3" s="400"/>
      <c r="BJ3" s="400"/>
      <c r="BK3" s="400"/>
      <c r="BL3" s="400"/>
      <c r="BM3" s="400"/>
      <c r="BN3" s="400"/>
      <c r="BO3" s="400"/>
      <c r="BP3" s="400"/>
      <c r="BQ3" s="400"/>
      <c r="BR3" s="400"/>
      <c r="BS3" s="400"/>
      <c r="BT3" s="398" t="s">
        <v>1240</v>
      </c>
      <c r="BU3" s="400"/>
      <c r="BV3" s="400"/>
      <c r="BW3" s="400"/>
      <c r="BX3" s="400"/>
      <c r="BY3" s="400"/>
      <c r="BZ3" s="400"/>
      <c r="CA3" s="400"/>
      <c r="CB3" s="400"/>
      <c r="CC3" s="400"/>
      <c r="CD3" s="400"/>
      <c r="CE3" s="400"/>
      <c r="CF3" s="400"/>
      <c r="CG3" s="400"/>
      <c r="CH3" s="400"/>
      <c r="CI3" s="400"/>
      <c r="CJ3" s="400"/>
      <c r="CK3" s="400"/>
      <c r="CL3" s="400"/>
      <c r="CM3" s="400"/>
      <c r="CN3" s="400"/>
      <c r="CO3" s="400"/>
      <c r="CP3" s="400"/>
      <c r="CQ3" s="400"/>
      <c r="CR3" s="400"/>
      <c r="CS3" s="400"/>
      <c r="CT3" s="400"/>
      <c r="CU3" s="400"/>
      <c r="CV3" s="400"/>
      <c r="CW3" s="400"/>
      <c r="CX3" s="400"/>
      <c r="CY3" s="400"/>
      <c r="CZ3" s="400"/>
      <c r="DA3" s="399" t="s">
        <v>1241</v>
      </c>
      <c r="DB3" s="400"/>
      <c r="DC3" s="400"/>
      <c r="DD3" s="400"/>
      <c r="DE3" s="400"/>
      <c r="DF3" s="400"/>
      <c r="DG3" s="400"/>
      <c r="DH3" s="400"/>
      <c r="DI3" s="400"/>
      <c r="DJ3" s="400"/>
      <c r="DK3" s="400"/>
      <c r="DL3" s="400"/>
      <c r="DM3" s="400"/>
      <c r="DN3" s="400"/>
      <c r="DO3" s="400"/>
      <c r="DP3" s="400"/>
      <c r="DQ3" s="400"/>
      <c r="DR3" s="400"/>
      <c r="DS3" s="400"/>
      <c r="DT3" s="400"/>
      <c r="DU3" s="400"/>
      <c r="DV3" s="400"/>
      <c r="DW3" s="400"/>
      <c r="DX3" s="400"/>
      <c r="DY3" s="400"/>
      <c r="DZ3" s="400"/>
      <c r="EA3" s="400"/>
      <c r="EB3" s="400"/>
      <c r="EC3" s="400"/>
      <c r="ED3" s="400"/>
      <c r="EE3" s="400"/>
      <c r="EF3" s="400"/>
      <c r="EG3" s="401"/>
      <c r="EH3" s="402" t="s">
        <v>1242</v>
      </c>
      <c r="EI3" s="400"/>
      <c r="EJ3" s="400"/>
      <c r="EK3" s="400"/>
      <c r="EL3" s="400"/>
      <c r="EM3" s="400"/>
      <c r="EN3" s="400"/>
      <c r="EO3" s="400"/>
      <c r="EP3" s="400"/>
      <c r="EQ3" s="400"/>
      <c r="ER3" s="400"/>
      <c r="ES3" s="400"/>
      <c r="ET3" s="400"/>
      <c r="EU3" s="400"/>
      <c r="EV3" s="400"/>
      <c r="EW3" s="400"/>
      <c r="EX3" s="400"/>
      <c r="EY3" s="400"/>
      <c r="EZ3" s="400"/>
      <c r="FA3" s="400"/>
      <c r="FB3" s="400"/>
      <c r="FC3" s="400"/>
      <c r="FD3" s="400"/>
      <c r="FE3" s="400"/>
      <c r="FF3" s="400"/>
      <c r="FG3" s="400"/>
      <c r="FH3" s="400"/>
      <c r="FI3" s="400"/>
      <c r="FJ3" s="400"/>
      <c r="FK3" s="400"/>
      <c r="FL3" s="400"/>
      <c r="FM3" s="400"/>
      <c r="FN3" s="399" t="s">
        <v>1243</v>
      </c>
      <c r="FO3" s="400"/>
      <c r="FP3" s="400"/>
      <c r="FQ3" s="400"/>
      <c r="FR3" s="400"/>
      <c r="FS3" s="400"/>
      <c r="FT3" s="400"/>
      <c r="FU3" s="400"/>
      <c r="FV3" s="400"/>
      <c r="FW3" s="400"/>
      <c r="FX3" s="400"/>
      <c r="FY3" s="400"/>
      <c r="FZ3" s="400"/>
      <c r="GA3" s="400"/>
      <c r="GB3" s="400"/>
      <c r="GC3" s="400"/>
      <c r="GD3" s="400"/>
      <c r="GE3" s="400"/>
      <c r="GF3" s="400"/>
      <c r="GG3" s="400"/>
      <c r="GH3" s="400"/>
      <c r="GI3" s="400"/>
      <c r="GJ3" s="400"/>
      <c r="GK3" s="400"/>
      <c r="GL3" s="400"/>
      <c r="GM3" s="400"/>
      <c r="GN3" s="400"/>
      <c r="GO3" s="400"/>
      <c r="GP3" s="400"/>
      <c r="GQ3" s="400"/>
      <c r="GR3" s="400"/>
      <c r="GS3" s="400"/>
      <c r="GT3" s="400"/>
      <c r="GU3" s="398" t="s">
        <v>1244</v>
      </c>
      <c r="GV3" s="394">
        <v>8.0</v>
      </c>
      <c r="GW3" s="394">
        <v>8.0</v>
      </c>
      <c r="GX3" s="394">
        <v>8.0</v>
      </c>
      <c r="GY3" s="394">
        <v>8.0</v>
      </c>
      <c r="GZ3" s="394">
        <v>8.0</v>
      </c>
      <c r="HA3" s="403" t="s">
        <v>165</v>
      </c>
      <c r="HB3" s="403" t="s">
        <v>165</v>
      </c>
      <c r="HC3" s="394">
        <v>8.0</v>
      </c>
      <c r="HD3" s="394">
        <v>8.0</v>
      </c>
      <c r="HE3" s="394">
        <v>8.0</v>
      </c>
      <c r="HF3" s="394">
        <v>8.0</v>
      </c>
      <c r="HG3" s="394">
        <v>8.0</v>
      </c>
      <c r="HH3" s="403" t="s">
        <v>165</v>
      </c>
      <c r="HI3" s="403" t="s">
        <v>165</v>
      </c>
      <c r="HJ3" s="394">
        <v>8.0</v>
      </c>
      <c r="HK3" s="394">
        <v>8.0</v>
      </c>
      <c r="HL3" s="394">
        <v>8.0</v>
      </c>
      <c r="HM3" s="394">
        <v>8.0</v>
      </c>
      <c r="HN3" s="394">
        <v>8.0</v>
      </c>
      <c r="HO3" s="403" t="s">
        <v>165</v>
      </c>
      <c r="HP3" s="403" t="s">
        <v>165</v>
      </c>
      <c r="HQ3" s="394">
        <v>8.0</v>
      </c>
      <c r="HR3" s="394">
        <v>8.0</v>
      </c>
      <c r="HS3" s="394">
        <v>8.0</v>
      </c>
      <c r="HT3" s="394">
        <v>8.0</v>
      </c>
      <c r="HU3" s="394">
        <v>8.0</v>
      </c>
      <c r="HV3" s="403" t="s">
        <v>165</v>
      </c>
      <c r="HW3" s="403" t="s">
        <v>165</v>
      </c>
      <c r="HX3" s="394">
        <v>8.0</v>
      </c>
      <c r="HY3" s="394">
        <v>8.0</v>
      </c>
      <c r="HZ3" s="400">
        <f t="shared" ref="HZ3:HZ49" si="2">sum(GV3:HY3)</f>
        <v>176</v>
      </c>
      <c r="IA3" s="399" t="s">
        <v>1245</v>
      </c>
      <c r="IB3" s="394">
        <v>8.0</v>
      </c>
      <c r="IC3" s="394">
        <v>8.0</v>
      </c>
      <c r="ID3" s="394">
        <v>8.0</v>
      </c>
      <c r="IE3" s="403" t="s">
        <v>165</v>
      </c>
      <c r="IF3" s="403" t="s">
        <v>165</v>
      </c>
      <c r="IG3" s="394">
        <v>8.0</v>
      </c>
      <c r="IH3" s="394">
        <v>8.0</v>
      </c>
      <c r="II3" s="394">
        <v>8.0</v>
      </c>
      <c r="IJ3" s="394">
        <v>8.0</v>
      </c>
      <c r="IK3" s="394">
        <v>8.0</v>
      </c>
      <c r="IL3" s="403" t="s">
        <v>165</v>
      </c>
      <c r="IM3" s="403" t="s">
        <v>165</v>
      </c>
      <c r="IN3" s="394">
        <v>8.0</v>
      </c>
      <c r="IO3" s="394">
        <v>8.0</v>
      </c>
      <c r="IP3" s="394">
        <v>8.0</v>
      </c>
      <c r="IQ3" s="394">
        <v>8.0</v>
      </c>
      <c r="IR3" s="394">
        <v>8.0</v>
      </c>
      <c r="IS3" s="403" t="s">
        <v>165</v>
      </c>
      <c r="IT3" s="403" t="s">
        <v>165</v>
      </c>
      <c r="IU3" s="394">
        <v>8.0</v>
      </c>
      <c r="IV3" s="394">
        <v>8.0</v>
      </c>
      <c r="IW3" s="394">
        <v>8.0</v>
      </c>
      <c r="IX3" s="394">
        <v>8.0</v>
      </c>
      <c r="IY3" s="394">
        <v>8.0</v>
      </c>
      <c r="IZ3" s="403" t="s">
        <v>165</v>
      </c>
      <c r="JA3" s="403" t="s">
        <v>165</v>
      </c>
      <c r="JB3" s="394">
        <v>8.0</v>
      </c>
      <c r="JC3" s="394">
        <v>8.0</v>
      </c>
      <c r="JD3" s="394">
        <v>8.0</v>
      </c>
      <c r="JE3" s="394">
        <v>8.0</v>
      </c>
      <c r="JF3" s="394">
        <v>8.0</v>
      </c>
      <c r="JG3" s="400">
        <f t="shared" ref="JG3:JG59" si="3">sum(IB3:JF3)</f>
        <v>184</v>
      </c>
      <c r="JH3" s="398" t="s">
        <v>1246</v>
      </c>
      <c r="JI3" s="403" t="s">
        <v>165</v>
      </c>
      <c r="JJ3" s="403" t="s">
        <v>165</v>
      </c>
      <c r="JK3" s="394">
        <v>8.0</v>
      </c>
      <c r="JL3" s="394">
        <v>8.0</v>
      </c>
      <c r="JM3" s="394">
        <v>8.0</v>
      </c>
      <c r="JN3" s="394">
        <v>8.0</v>
      </c>
      <c r="JO3" s="394">
        <v>8.0</v>
      </c>
      <c r="JP3" s="403" t="s">
        <v>165</v>
      </c>
      <c r="JQ3" s="403" t="s">
        <v>165</v>
      </c>
      <c r="JR3" s="394">
        <v>8.0</v>
      </c>
      <c r="JS3" s="394">
        <v>8.0</v>
      </c>
      <c r="JT3" s="394">
        <v>8.0</v>
      </c>
      <c r="JU3" s="394">
        <v>8.0</v>
      </c>
      <c r="JV3" s="394">
        <v>8.0</v>
      </c>
      <c r="JW3" s="403" t="s">
        <v>165</v>
      </c>
      <c r="JX3" s="403" t="s">
        <v>165</v>
      </c>
      <c r="JY3" s="394">
        <v>8.0</v>
      </c>
      <c r="JZ3" s="394">
        <v>8.0</v>
      </c>
      <c r="KA3" s="394">
        <v>8.0</v>
      </c>
      <c r="KB3" s="394">
        <v>8.0</v>
      </c>
      <c r="KC3" s="394">
        <v>8.0</v>
      </c>
      <c r="KD3" s="403" t="s">
        <v>165</v>
      </c>
      <c r="KE3" s="403" t="s">
        <v>165</v>
      </c>
      <c r="KF3" s="394">
        <v>8.0</v>
      </c>
      <c r="KG3" s="394">
        <v>8.0</v>
      </c>
      <c r="KH3" s="394">
        <v>8.0</v>
      </c>
      <c r="KI3" s="394">
        <v>8.0</v>
      </c>
      <c r="KJ3" s="394">
        <v>8.0</v>
      </c>
      <c r="KK3" s="403" t="s">
        <v>165</v>
      </c>
      <c r="KL3" s="403" t="s">
        <v>165</v>
      </c>
      <c r="KM3" s="394">
        <v>8.0</v>
      </c>
      <c r="KN3" s="145">
        <f t="shared" ref="KN3:KN59" si="4">sum(JI3:KM3)</f>
        <v>168</v>
      </c>
      <c r="KO3" s="399" t="s">
        <v>1247</v>
      </c>
      <c r="KP3" s="398"/>
      <c r="KQ3" s="398"/>
      <c r="KR3" s="398"/>
      <c r="KS3" s="398"/>
      <c r="KT3" s="398"/>
      <c r="KU3" s="398"/>
      <c r="KV3" s="398"/>
      <c r="KW3" s="398"/>
      <c r="KX3" s="398"/>
      <c r="KY3" s="398"/>
      <c r="KZ3" s="398"/>
      <c r="LA3" s="398"/>
      <c r="LB3" s="398"/>
      <c r="LC3" s="398"/>
      <c r="LD3" s="398"/>
      <c r="LE3" s="398"/>
      <c r="LF3" s="398"/>
      <c r="LG3" s="398"/>
      <c r="LH3" s="398"/>
      <c r="LI3" s="398"/>
      <c r="LJ3" s="398"/>
      <c r="LK3" s="398"/>
      <c r="LL3" s="398"/>
      <c r="LM3" s="398"/>
      <c r="LN3" s="398"/>
      <c r="LO3" s="398"/>
      <c r="LP3" s="398"/>
      <c r="LQ3" s="398"/>
      <c r="LR3" s="398"/>
      <c r="LS3" s="398" t="s">
        <v>1248</v>
      </c>
      <c r="LT3" s="398"/>
      <c r="LU3" s="398"/>
      <c r="LV3" s="398"/>
      <c r="LW3" s="398"/>
      <c r="LX3" s="398"/>
      <c r="LY3" s="398"/>
      <c r="LZ3" s="398"/>
      <c r="MA3" s="398"/>
      <c r="MB3" s="398"/>
      <c r="MC3" s="398"/>
      <c r="MD3" s="398"/>
      <c r="ME3" s="398"/>
      <c r="MF3" s="398"/>
      <c r="MG3" s="398"/>
      <c r="MH3" s="398"/>
      <c r="MI3" s="398"/>
      <c r="MJ3" s="398"/>
      <c r="MK3" s="398"/>
      <c r="ML3" s="398"/>
      <c r="MM3" s="398"/>
      <c r="MN3" s="398"/>
      <c r="MO3" s="398"/>
      <c r="MP3" s="398"/>
      <c r="MQ3" s="398"/>
      <c r="MR3" s="398"/>
      <c r="MS3" s="398"/>
    </row>
    <row r="4" ht="16.5" customHeight="1">
      <c r="A4" s="404" t="s">
        <v>1249</v>
      </c>
      <c r="B4" s="394" t="s">
        <v>249</v>
      </c>
      <c r="C4" s="394" t="s">
        <v>98</v>
      </c>
      <c r="D4" s="395">
        <f t="shared" si="1"/>
        <v>54</v>
      </c>
      <c r="E4" s="396" t="s">
        <v>1250</v>
      </c>
      <c r="F4" s="400">
        <f>IFERROR(__xludf.DUMMYFUNCTION("IF(A4="""","""", counta(filter(Filter(FILTER($H$4:$SH76,$H$1:$SH$1&lt;today()),$A$4:$A76=A4),not(istext(Filter(FILTER($H$4:$SH76,$H$1:$SH$1&lt;today()),$A$4:$A76=A4))),not(Filter(FILTER($H$4:$SH76,$H$1:$SH$1&lt;today()),$A$4:$A76=A4)=0),Filter(FILTER($H$4:$SH76,$H"&amp;"$1:$SH$1&lt;today()),$A$4:$A76=A4)&lt;23)))"),170.0)</f>
        <v>170</v>
      </c>
      <c r="H4" s="394" t="s">
        <v>165</v>
      </c>
      <c r="I4" s="394" t="s">
        <v>165</v>
      </c>
      <c r="J4" s="394">
        <v>8.0</v>
      </c>
      <c r="K4" s="394">
        <v>8.0</v>
      </c>
      <c r="L4" s="394">
        <v>8.0</v>
      </c>
      <c r="M4" s="394">
        <v>8.0</v>
      </c>
      <c r="N4" s="394">
        <v>8.0</v>
      </c>
      <c r="O4" s="394" t="s">
        <v>165</v>
      </c>
      <c r="P4" s="394" t="s">
        <v>165</v>
      </c>
      <c r="Q4" s="394">
        <v>8.0</v>
      </c>
      <c r="R4" s="394">
        <v>8.0</v>
      </c>
      <c r="S4" s="394">
        <v>8.0</v>
      </c>
      <c r="T4" s="394">
        <v>8.0</v>
      </c>
      <c r="U4" s="394">
        <v>8.0</v>
      </c>
      <c r="V4" s="394" t="s">
        <v>165</v>
      </c>
      <c r="W4" s="394" t="s">
        <v>165</v>
      </c>
      <c r="X4" s="394">
        <v>8.0</v>
      </c>
      <c r="Y4" s="394">
        <v>8.0</v>
      </c>
      <c r="Z4" s="394">
        <v>8.0</v>
      </c>
      <c r="AA4" s="394">
        <v>8.0</v>
      </c>
      <c r="AB4" s="394">
        <v>4.0</v>
      </c>
      <c r="AC4" s="394" t="s">
        <v>165</v>
      </c>
      <c r="AD4" s="394" t="s">
        <v>165</v>
      </c>
      <c r="AE4" s="394">
        <v>8.0</v>
      </c>
      <c r="AF4" s="394">
        <v>8.0</v>
      </c>
      <c r="AG4" s="394">
        <v>8.0</v>
      </c>
      <c r="AH4" s="394">
        <v>8.0</v>
      </c>
      <c r="AI4" s="394">
        <v>8.0</v>
      </c>
      <c r="AJ4" s="394" t="s">
        <v>165</v>
      </c>
      <c r="AK4" s="394" t="s">
        <v>165</v>
      </c>
      <c r="AL4" s="394">
        <v>8.0</v>
      </c>
      <c r="AM4" s="405">
        <f t="shared" ref="AM4:AM9" si="5">sum(H4:AL4)</f>
        <v>164</v>
      </c>
      <c r="AO4" s="394">
        <v>8.0</v>
      </c>
      <c r="AP4" s="394">
        <v>8.0</v>
      </c>
      <c r="AQ4" s="394">
        <v>8.0</v>
      </c>
      <c r="AR4" s="394">
        <v>8.0</v>
      </c>
      <c r="AS4" s="394" t="s">
        <v>165</v>
      </c>
      <c r="AT4" s="394" t="s">
        <v>165</v>
      </c>
      <c r="AU4" s="394">
        <v>8.0</v>
      </c>
      <c r="AV4" s="394">
        <v>8.0</v>
      </c>
      <c r="AW4" s="394">
        <v>8.0</v>
      </c>
      <c r="AX4" s="394">
        <v>8.0</v>
      </c>
      <c r="AY4" s="394">
        <v>8.0</v>
      </c>
      <c r="AZ4" s="394" t="s">
        <v>165</v>
      </c>
      <c r="BA4" s="394" t="s">
        <v>165</v>
      </c>
      <c r="BB4" s="394">
        <v>8.0</v>
      </c>
      <c r="BC4" s="394">
        <v>8.0</v>
      </c>
      <c r="BD4" s="394">
        <v>8.0</v>
      </c>
      <c r="BE4" s="394">
        <v>8.0</v>
      </c>
      <c r="BF4" s="394">
        <v>8.0</v>
      </c>
      <c r="BG4" s="394" t="s">
        <v>165</v>
      </c>
      <c r="BH4" s="394" t="s">
        <v>165</v>
      </c>
      <c r="BI4" s="394">
        <v>8.0</v>
      </c>
      <c r="BJ4" s="394">
        <v>8.0</v>
      </c>
      <c r="BK4" s="394">
        <v>8.0</v>
      </c>
      <c r="BL4" s="394">
        <v>8.0</v>
      </c>
      <c r="BM4" s="394">
        <v>8.0</v>
      </c>
      <c r="BN4" s="394" t="s">
        <v>165</v>
      </c>
      <c r="BO4" s="394" t="s">
        <v>165</v>
      </c>
      <c r="BP4" s="394">
        <v>8.0</v>
      </c>
      <c r="BQ4" s="394">
        <v>8.0</v>
      </c>
      <c r="BR4" s="394">
        <v>8.0</v>
      </c>
      <c r="BS4" s="406">
        <f t="shared" ref="BS4:BS27" si="6">sum(AO4:BR4)</f>
        <v>176</v>
      </c>
      <c r="BU4" s="394">
        <v>8.0</v>
      </c>
      <c r="BV4" s="394">
        <v>8.0</v>
      </c>
      <c r="BW4" s="394" t="s">
        <v>165</v>
      </c>
      <c r="BX4" s="394" t="s">
        <v>165</v>
      </c>
      <c r="BY4" s="394">
        <v>8.0</v>
      </c>
      <c r="BZ4" s="394">
        <v>8.0</v>
      </c>
      <c r="CA4" s="394">
        <v>8.0</v>
      </c>
      <c r="CB4" s="394">
        <v>8.0</v>
      </c>
      <c r="CC4" s="394">
        <v>8.0</v>
      </c>
      <c r="CD4" s="394" t="s">
        <v>165</v>
      </c>
      <c r="CE4" s="394" t="s">
        <v>165</v>
      </c>
      <c r="CF4" s="394">
        <v>8.0</v>
      </c>
      <c r="CG4" s="394">
        <v>8.0</v>
      </c>
      <c r="CH4" s="394">
        <v>8.0</v>
      </c>
      <c r="CI4" s="394">
        <v>8.0</v>
      </c>
      <c r="CJ4" s="394">
        <v>8.0</v>
      </c>
      <c r="CK4" s="394" t="s">
        <v>165</v>
      </c>
      <c r="CL4" s="394" t="s">
        <v>165</v>
      </c>
      <c r="CM4" s="394">
        <v>8.0</v>
      </c>
      <c r="CN4" s="394">
        <v>8.0</v>
      </c>
      <c r="CO4" s="394">
        <v>8.0</v>
      </c>
      <c r="CP4" s="394">
        <v>8.0</v>
      </c>
      <c r="CQ4" s="394">
        <v>8.0</v>
      </c>
      <c r="CR4" s="394" t="s">
        <v>165</v>
      </c>
      <c r="CS4" s="394" t="s">
        <v>165</v>
      </c>
      <c r="CT4" s="394">
        <v>8.0</v>
      </c>
      <c r="CU4" s="394">
        <v>8.0</v>
      </c>
      <c r="CV4" s="394">
        <v>8.0</v>
      </c>
      <c r="CW4" s="394">
        <v>8.0</v>
      </c>
      <c r="CX4" s="394">
        <v>8.0</v>
      </c>
      <c r="CY4" s="394" t="s">
        <v>165</v>
      </c>
      <c r="CZ4" s="400">
        <f t="shared" ref="CZ4:CZ28" si="7">sum(BU4:CY4)</f>
        <v>176</v>
      </c>
      <c r="DB4" s="394" t="s">
        <v>165</v>
      </c>
      <c r="DC4" s="394">
        <v>8.0</v>
      </c>
      <c r="DD4" s="394">
        <v>8.0</v>
      </c>
      <c r="DE4" s="394">
        <v>4.0</v>
      </c>
      <c r="DF4" s="394">
        <v>8.0</v>
      </c>
      <c r="DG4" s="394">
        <v>4.0</v>
      </c>
      <c r="DH4" s="394" t="s">
        <v>165</v>
      </c>
      <c r="DI4" s="394">
        <v>8.0</v>
      </c>
      <c r="DJ4" s="394">
        <v>8.0</v>
      </c>
      <c r="DK4" s="394">
        <v>8.0</v>
      </c>
      <c r="DL4" s="394">
        <v>8.0</v>
      </c>
      <c r="DM4" s="394">
        <v>8.0</v>
      </c>
      <c r="DN4" s="394" t="s">
        <v>245</v>
      </c>
      <c r="DO4" s="394" t="s">
        <v>165</v>
      </c>
      <c r="DP4" s="394" t="s">
        <v>165</v>
      </c>
      <c r="DQ4" s="394" t="s">
        <v>245</v>
      </c>
      <c r="DR4" s="394">
        <v>8.0</v>
      </c>
      <c r="DS4" s="394">
        <v>8.0</v>
      </c>
      <c r="DT4" s="394">
        <v>8.0</v>
      </c>
      <c r="DU4" s="394">
        <v>8.0</v>
      </c>
      <c r="DV4" s="394" t="s">
        <v>165</v>
      </c>
      <c r="DW4" s="394" t="s">
        <v>165</v>
      </c>
      <c r="DX4" s="394">
        <v>8.0</v>
      </c>
      <c r="DY4" s="394">
        <v>8.0</v>
      </c>
      <c r="DZ4" s="394">
        <v>8.0</v>
      </c>
      <c r="EA4" s="394">
        <v>8.0</v>
      </c>
      <c r="EB4" s="394">
        <v>8.0</v>
      </c>
      <c r="EC4" s="394" t="s">
        <v>165</v>
      </c>
      <c r="ED4" s="394" t="s">
        <v>165</v>
      </c>
      <c r="EE4" s="394">
        <v>8.0</v>
      </c>
      <c r="EF4" s="394">
        <v>8.0</v>
      </c>
      <c r="EG4" s="407">
        <f t="shared" ref="EG4:EG28" si="8">sum(DB4:EF4)</f>
        <v>160</v>
      </c>
      <c r="EI4" s="394">
        <v>8.0</v>
      </c>
      <c r="EJ4" s="394">
        <v>8.0</v>
      </c>
      <c r="EK4" s="394">
        <v>8.0</v>
      </c>
      <c r="EL4" s="394" t="s">
        <v>165</v>
      </c>
      <c r="EM4" s="394" t="s">
        <v>165</v>
      </c>
      <c r="EN4" s="394">
        <v>8.0</v>
      </c>
      <c r="EO4" s="394">
        <v>8.0</v>
      </c>
      <c r="EP4" s="394">
        <v>8.0</v>
      </c>
      <c r="EQ4" s="394">
        <v>8.0</v>
      </c>
      <c r="ER4" s="394" t="s">
        <v>165</v>
      </c>
      <c r="ES4" s="394" t="s">
        <v>165</v>
      </c>
      <c r="ET4" s="394">
        <v>8.0</v>
      </c>
      <c r="EU4" s="394">
        <v>8.0</v>
      </c>
      <c r="EV4" s="394">
        <v>8.0</v>
      </c>
      <c r="EW4" s="394">
        <v>8.0</v>
      </c>
      <c r="EX4" s="394">
        <v>8.0</v>
      </c>
      <c r="EY4" s="394">
        <v>8.0</v>
      </c>
      <c r="EZ4" s="394" t="s">
        <v>165</v>
      </c>
      <c r="FA4" s="394" t="s">
        <v>165</v>
      </c>
      <c r="FB4" s="394">
        <v>8.0</v>
      </c>
      <c r="FC4" s="394">
        <v>8.0</v>
      </c>
      <c r="FD4" s="394">
        <v>8.0</v>
      </c>
      <c r="FE4" s="394">
        <v>8.0</v>
      </c>
      <c r="FF4" s="394">
        <v>8.0</v>
      </c>
      <c r="FG4" s="394" t="s">
        <v>165</v>
      </c>
      <c r="FH4" s="394" t="s">
        <v>165</v>
      </c>
      <c r="FI4" s="394">
        <v>8.0</v>
      </c>
      <c r="FJ4" s="394">
        <v>8.0</v>
      </c>
      <c r="FK4" s="394">
        <v>8.0</v>
      </c>
      <c r="FL4" s="394">
        <v>8.0</v>
      </c>
      <c r="FM4" s="407">
        <f t="shared" ref="FM4:FM37" si="9">sum(EH4:FL4)</f>
        <v>176</v>
      </c>
      <c r="FO4" s="394">
        <v>8.0</v>
      </c>
      <c r="FP4" s="394" t="s">
        <v>165</v>
      </c>
      <c r="FQ4" s="394" t="s">
        <v>165</v>
      </c>
      <c r="FR4" s="394">
        <v>9.5</v>
      </c>
      <c r="FS4" s="394">
        <v>8.0</v>
      </c>
      <c r="FT4" s="394">
        <v>8.5</v>
      </c>
      <c r="FU4" s="394">
        <v>6.0</v>
      </c>
      <c r="FV4" s="394">
        <v>8.5</v>
      </c>
      <c r="FW4" s="394" t="s">
        <v>165</v>
      </c>
      <c r="FX4" s="394" t="s">
        <v>165</v>
      </c>
      <c r="FY4" s="394">
        <v>8.0</v>
      </c>
      <c r="FZ4" s="394">
        <v>2.5</v>
      </c>
      <c r="GA4" s="394">
        <v>8.0</v>
      </c>
      <c r="GB4" s="394">
        <v>8.0</v>
      </c>
      <c r="GC4" s="394">
        <v>8.0</v>
      </c>
      <c r="GD4" s="394" t="s">
        <v>165</v>
      </c>
      <c r="GE4" s="394" t="s">
        <v>165</v>
      </c>
      <c r="GF4" s="394">
        <v>8.5</v>
      </c>
      <c r="GG4" s="394">
        <v>8.0</v>
      </c>
      <c r="GH4" s="394">
        <v>8.83</v>
      </c>
      <c r="GI4" s="394">
        <v>8.0</v>
      </c>
      <c r="GJ4" s="394">
        <v>8.0</v>
      </c>
      <c r="GK4" s="394" t="s">
        <v>165</v>
      </c>
      <c r="GL4" s="394" t="s">
        <v>165</v>
      </c>
      <c r="GM4" s="394">
        <v>8.0</v>
      </c>
      <c r="GN4" s="394">
        <v>8.0</v>
      </c>
      <c r="GO4" s="394">
        <v>9.17</v>
      </c>
      <c r="GP4" s="394">
        <v>8.0</v>
      </c>
      <c r="GQ4" s="394">
        <v>5.0</v>
      </c>
      <c r="GR4" s="394" t="s">
        <v>165</v>
      </c>
      <c r="GS4" s="394" t="s">
        <v>165</v>
      </c>
      <c r="GT4" s="400">
        <f t="shared" ref="GT4:GT43" si="10">sum(FO4:GS4)</f>
        <v>162.5</v>
      </c>
      <c r="GV4" s="394" t="s">
        <v>171</v>
      </c>
      <c r="GW4" s="394">
        <v>8.0</v>
      </c>
      <c r="GX4" s="394">
        <v>8.0</v>
      </c>
      <c r="GY4" s="394">
        <v>8.0</v>
      </c>
      <c r="GZ4" s="394">
        <v>8.0</v>
      </c>
      <c r="HA4" s="394" t="s">
        <v>165</v>
      </c>
      <c r="HB4" s="394" t="s">
        <v>165</v>
      </c>
      <c r="HC4" s="394">
        <v>8.0</v>
      </c>
      <c r="HD4" s="394">
        <v>8.0</v>
      </c>
      <c r="HE4" s="394">
        <v>8.0</v>
      </c>
      <c r="HF4" s="394">
        <v>8.0</v>
      </c>
      <c r="HG4" s="394">
        <v>8.0</v>
      </c>
      <c r="HH4" s="394" t="s">
        <v>165</v>
      </c>
      <c r="HI4" s="394" t="s">
        <v>165</v>
      </c>
      <c r="HJ4" s="394">
        <v>8.0</v>
      </c>
      <c r="HK4" s="394">
        <v>8.0</v>
      </c>
      <c r="HL4" s="394">
        <v>8.0</v>
      </c>
      <c r="HM4" s="394">
        <v>8.0</v>
      </c>
      <c r="HN4" s="394">
        <v>8.0</v>
      </c>
      <c r="HO4" s="394" t="s">
        <v>165</v>
      </c>
      <c r="HP4" s="394" t="s">
        <v>165</v>
      </c>
      <c r="HQ4" s="394">
        <v>8.0</v>
      </c>
      <c r="HR4" s="394">
        <v>8.0</v>
      </c>
      <c r="HS4" s="394">
        <v>8.0</v>
      </c>
      <c r="HT4" s="394">
        <v>8.0</v>
      </c>
      <c r="HU4" s="394">
        <v>8.0</v>
      </c>
      <c r="HV4" s="394" t="s">
        <v>165</v>
      </c>
      <c r="HW4" s="394" t="s">
        <v>165</v>
      </c>
      <c r="HX4" s="394">
        <v>8.0</v>
      </c>
      <c r="HY4" s="394">
        <v>8.0</v>
      </c>
      <c r="HZ4" s="400">
        <f t="shared" si="2"/>
        <v>168</v>
      </c>
      <c r="IB4" s="394">
        <v>8.0</v>
      </c>
      <c r="IC4" s="394">
        <v>8.0</v>
      </c>
      <c r="ID4" s="394">
        <v>8.0</v>
      </c>
      <c r="IE4" s="394" t="s">
        <v>165</v>
      </c>
      <c r="IF4" s="394" t="s">
        <v>165</v>
      </c>
      <c r="IG4" s="394">
        <v>8.0</v>
      </c>
      <c r="IH4" s="394" t="s">
        <v>245</v>
      </c>
      <c r="II4" s="394">
        <v>8.0</v>
      </c>
      <c r="IJ4" s="394">
        <v>8.0</v>
      </c>
      <c r="IK4" s="394">
        <v>8.0</v>
      </c>
      <c r="IL4" s="394" t="s">
        <v>165</v>
      </c>
      <c r="IM4" s="394" t="s">
        <v>165</v>
      </c>
      <c r="IN4" s="394" t="s">
        <v>245</v>
      </c>
      <c r="IO4" s="394">
        <v>8.0</v>
      </c>
      <c r="IP4" s="394">
        <v>8.0</v>
      </c>
      <c r="IQ4" s="394" t="s">
        <v>171</v>
      </c>
      <c r="IR4" s="394">
        <v>8.0</v>
      </c>
      <c r="IS4" s="394" t="s">
        <v>165</v>
      </c>
      <c r="IT4" s="394" t="s">
        <v>165</v>
      </c>
      <c r="IU4" s="394">
        <v>8.0</v>
      </c>
      <c r="IV4" s="394">
        <v>8.0</v>
      </c>
      <c r="IW4" s="394">
        <v>8.0</v>
      </c>
      <c r="IX4" s="394">
        <v>8.0</v>
      </c>
      <c r="IY4" s="394">
        <v>8.0</v>
      </c>
      <c r="IZ4" s="403" t="s">
        <v>165</v>
      </c>
      <c r="JA4" s="394" t="s">
        <v>165</v>
      </c>
      <c r="JB4" s="394" t="s">
        <v>171</v>
      </c>
      <c r="JC4" s="394">
        <v>8.0</v>
      </c>
      <c r="JD4" s="394">
        <v>8.0</v>
      </c>
      <c r="JE4" s="394">
        <v>8.0</v>
      </c>
      <c r="JF4" s="394">
        <v>8.0</v>
      </c>
      <c r="JG4" s="400">
        <f t="shared" si="3"/>
        <v>152</v>
      </c>
      <c r="JI4" s="403" t="s">
        <v>165</v>
      </c>
      <c r="JJ4" s="394" t="s">
        <v>165</v>
      </c>
      <c r="JK4" s="394">
        <v>8.0</v>
      </c>
      <c r="JL4" s="394">
        <v>8.0</v>
      </c>
      <c r="JM4" s="394">
        <v>8.0</v>
      </c>
      <c r="JN4" s="394">
        <v>8.0</v>
      </c>
      <c r="JO4" s="394">
        <v>8.0</v>
      </c>
      <c r="JP4" s="394" t="s">
        <v>165</v>
      </c>
      <c r="JQ4" s="394" t="s">
        <v>165</v>
      </c>
      <c r="JR4" s="394">
        <v>8.0</v>
      </c>
      <c r="JS4" s="394">
        <v>8.0</v>
      </c>
      <c r="JT4" s="394">
        <v>8.0</v>
      </c>
      <c r="JU4" s="394">
        <v>8.0</v>
      </c>
      <c r="JV4" s="394">
        <v>8.0</v>
      </c>
      <c r="JW4" s="394" t="s">
        <v>165</v>
      </c>
      <c r="JX4" s="394" t="s">
        <v>165</v>
      </c>
      <c r="JY4" s="394">
        <v>8.0</v>
      </c>
      <c r="JZ4" s="394">
        <v>8.0</v>
      </c>
      <c r="KA4" s="394">
        <v>8.0</v>
      </c>
      <c r="KB4" s="394">
        <v>8.0</v>
      </c>
      <c r="KC4" s="394">
        <v>8.0</v>
      </c>
      <c r="KD4" s="394" t="s">
        <v>165</v>
      </c>
      <c r="KE4" s="394" t="s">
        <v>165</v>
      </c>
      <c r="KF4" s="394">
        <v>8.0</v>
      </c>
      <c r="KG4" s="394">
        <v>8.0</v>
      </c>
      <c r="KH4" s="394">
        <v>8.0</v>
      </c>
      <c r="KI4" s="394">
        <v>8.0</v>
      </c>
      <c r="KJ4" s="394">
        <v>8.0</v>
      </c>
      <c r="KK4" s="394" t="s">
        <v>165</v>
      </c>
      <c r="KL4" s="394" t="s">
        <v>165</v>
      </c>
      <c r="KM4" s="394">
        <v>8.0</v>
      </c>
      <c r="KN4" s="145">
        <f t="shared" si="4"/>
        <v>168</v>
      </c>
      <c r="KP4" s="398"/>
      <c r="KQ4" s="398"/>
      <c r="KR4" s="398"/>
      <c r="KS4" s="398"/>
      <c r="KT4" s="398"/>
      <c r="KU4" s="398"/>
      <c r="KV4" s="398"/>
      <c r="KW4" s="398"/>
      <c r="KX4" s="398"/>
      <c r="KY4" s="398"/>
      <c r="KZ4" s="398"/>
      <c r="LA4" s="398"/>
      <c r="LB4" s="398"/>
      <c r="LC4" s="398"/>
      <c r="LD4" s="398"/>
      <c r="LE4" s="398"/>
      <c r="LF4" s="398"/>
      <c r="LG4" s="398"/>
      <c r="LH4" s="398"/>
      <c r="LI4" s="398"/>
      <c r="LJ4" s="398"/>
      <c r="LK4" s="398"/>
      <c r="LL4" s="398"/>
      <c r="LM4" s="398"/>
      <c r="LN4" s="398"/>
      <c r="LO4" s="398"/>
      <c r="LP4" s="398"/>
      <c r="LQ4" s="398"/>
      <c r="LR4" s="398"/>
      <c r="LT4" s="398"/>
      <c r="LU4" s="398"/>
      <c r="LV4" s="398"/>
      <c r="LW4" s="398"/>
      <c r="LX4" s="398"/>
      <c r="LY4" s="398"/>
      <c r="LZ4" s="398"/>
      <c r="MA4" s="398"/>
      <c r="MB4" s="398"/>
      <c r="MC4" s="398"/>
      <c r="MD4" s="398"/>
      <c r="ME4" s="398"/>
      <c r="MF4" s="398"/>
      <c r="MG4" s="398"/>
      <c r="MH4" s="398"/>
      <c r="MI4" s="398"/>
      <c r="MJ4" s="398"/>
      <c r="MK4" s="398"/>
      <c r="ML4" s="398"/>
      <c r="MM4" s="398"/>
      <c r="MN4" s="398"/>
      <c r="MO4" s="398"/>
      <c r="MP4" s="398"/>
      <c r="MQ4" s="398"/>
      <c r="MR4" s="398"/>
      <c r="MS4" s="398"/>
    </row>
    <row r="5" ht="16.5" customHeight="1">
      <c r="A5" s="404" t="s">
        <v>1251</v>
      </c>
      <c r="B5" s="394" t="s">
        <v>249</v>
      </c>
      <c r="C5" s="394" t="s">
        <v>98</v>
      </c>
      <c r="D5" s="395">
        <f t="shared" si="1"/>
        <v>44.625</v>
      </c>
      <c r="E5" s="396" t="s">
        <v>1252</v>
      </c>
      <c r="F5" s="400">
        <f>IFERROR(__xludf.DUMMYFUNCTION("IF(A5="""","""", counta(filter(Filter(FILTER($H$4:$SH76,$H$1:$SH$1&lt;today()),$A$4:$A76=A5),not(istext(Filter(FILTER($H$4:$SH76,$H$1:$SH$1&lt;today()),$A$4:$A76=A5))),not(Filter(FILTER($H$4:$SH76,$H$1:$SH$1&lt;today()),$A$4:$A76=A5)=0),Filter(FILTER($H$4:$SH76,$H"&amp;"$1:$SH$1&lt;today()),$A$4:$A76=A5)&lt;23)))"),157.0)</f>
        <v>157</v>
      </c>
      <c r="H5" s="394" t="s">
        <v>166</v>
      </c>
      <c r="I5" s="394" t="s">
        <v>166</v>
      </c>
      <c r="J5" s="394" t="s">
        <v>166</v>
      </c>
      <c r="K5" s="394" t="s">
        <v>166</v>
      </c>
      <c r="L5" s="394" t="s">
        <v>166</v>
      </c>
      <c r="M5" s="394" t="s">
        <v>166</v>
      </c>
      <c r="N5" s="394" t="s">
        <v>166</v>
      </c>
      <c r="O5" s="394" t="s">
        <v>166</v>
      </c>
      <c r="P5" s="394" t="s">
        <v>166</v>
      </c>
      <c r="Q5" s="394">
        <v>8.0</v>
      </c>
      <c r="R5" s="394">
        <v>8.0</v>
      </c>
      <c r="S5" s="394">
        <v>8.0</v>
      </c>
      <c r="T5" s="394">
        <v>8.0</v>
      </c>
      <c r="U5" s="394">
        <v>8.0</v>
      </c>
      <c r="V5" s="394" t="s">
        <v>165</v>
      </c>
      <c r="W5" s="394" t="s">
        <v>165</v>
      </c>
      <c r="X5" s="394">
        <v>8.0</v>
      </c>
      <c r="Y5" s="394">
        <v>8.0</v>
      </c>
      <c r="Z5" s="394">
        <v>8.0</v>
      </c>
      <c r="AA5" s="394">
        <v>8.0</v>
      </c>
      <c r="AB5" s="394">
        <v>8.0</v>
      </c>
      <c r="AC5" s="394" t="s">
        <v>165</v>
      </c>
      <c r="AD5" s="394" t="s">
        <v>165</v>
      </c>
      <c r="AE5" s="394">
        <v>8.0</v>
      </c>
      <c r="AF5" s="394">
        <v>8.0</v>
      </c>
      <c r="AG5" s="394">
        <v>8.0</v>
      </c>
      <c r="AH5" s="394">
        <v>8.0</v>
      </c>
      <c r="AI5" s="394">
        <v>8.0</v>
      </c>
      <c r="AJ5" s="394" t="s">
        <v>165</v>
      </c>
      <c r="AK5" s="394" t="s">
        <v>165</v>
      </c>
      <c r="AL5" s="394">
        <v>8.0</v>
      </c>
      <c r="AM5" s="405">
        <f t="shared" si="5"/>
        <v>128</v>
      </c>
      <c r="AO5" s="394">
        <v>11.0</v>
      </c>
      <c r="AP5" s="394">
        <v>8.0</v>
      </c>
      <c r="AQ5" s="394">
        <v>8.0</v>
      </c>
      <c r="AR5" s="394">
        <v>5.0</v>
      </c>
      <c r="AS5" s="394" t="s">
        <v>165</v>
      </c>
      <c r="AT5" s="394" t="s">
        <v>165</v>
      </c>
      <c r="AU5" s="394">
        <v>8.0</v>
      </c>
      <c r="AV5" s="394">
        <v>8.0</v>
      </c>
      <c r="AW5" s="394">
        <v>8.0</v>
      </c>
      <c r="AX5" s="394">
        <v>10.0</v>
      </c>
      <c r="AY5" s="394">
        <v>6.0</v>
      </c>
      <c r="AZ5" s="394" t="s">
        <v>165</v>
      </c>
      <c r="BA5" s="394" t="s">
        <v>165</v>
      </c>
      <c r="BB5" s="394">
        <v>8.0</v>
      </c>
      <c r="BC5" s="394">
        <v>8.0</v>
      </c>
      <c r="BD5" s="394">
        <v>8.0</v>
      </c>
      <c r="BE5" s="394">
        <v>10.0</v>
      </c>
      <c r="BF5" s="394">
        <v>6.0</v>
      </c>
      <c r="BG5" s="394" t="s">
        <v>165</v>
      </c>
      <c r="BH5" s="394" t="s">
        <v>165</v>
      </c>
      <c r="BI5" s="394" t="s">
        <v>171</v>
      </c>
      <c r="BJ5" s="394">
        <v>9.5</v>
      </c>
      <c r="BK5" s="394">
        <v>8.0</v>
      </c>
      <c r="BL5" s="394">
        <v>8.0</v>
      </c>
      <c r="BM5" s="394">
        <v>6.5</v>
      </c>
      <c r="BN5" s="394" t="s">
        <v>165</v>
      </c>
      <c r="BO5" s="394" t="s">
        <v>165</v>
      </c>
      <c r="BP5" s="394">
        <v>8.0</v>
      </c>
      <c r="BQ5" s="394">
        <v>8.0</v>
      </c>
      <c r="BR5" s="394">
        <v>8.0</v>
      </c>
      <c r="BS5" s="406">
        <f t="shared" si="6"/>
        <v>168</v>
      </c>
      <c r="BU5" s="394">
        <v>11.0</v>
      </c>
      <c r="BV5" s="394">
        <v>5.0</v>
      </c>
      <c r="BW5" s="394" t="s">
        <v>165</v>
      </c>
      <c r="BX5" s="394" t="s">
        <v>165</v>
      </c>
      <c r="BY5" s="394">
        <v>8.0</v>
      </c>
      <c r="BZ5" s="394">
        <v>8.0</v>
      </c>
      <c r="CA5" s="394">
        <v>8.0</v>
      </c>
      <c r="CB5" s="394">
        <v>10.0</v>
      </c>
      <c r="CC5" s="394">
        <v>6.0</v>
      </c>
      <c r="CD5" s="394" t="s">
        <v>165</v>
      </c>
      <c r="CE5" s="394" t="s">
        <v>165</v>
      </c>
      <c r="CF5" s="394">
        <v>8.0</v>
      </c>
      <c r="CG5" s="394">
        <v>8.0</v>
      </c>
      <c r="CH5" s="394">
        <v>8.0</v>
      </c>
      <c r="CI5" s="394">
        <v>9.0</v>
      </c>
      <c r="CJ5" s="394">
        <v>7.0</v>
      </c>
      <c r="CK5" s="394" t="s">
        <v>165</v>
      </c>
      <c r="CL5" s="394" t="s">
        <v>165</v>
      </c>
      <c r="CM5" s="394">
        <v>8.0</v>
      </c>
      <c r="CN5" s="394">
        <v>8.0</v>
      </c>
      <c r="CO5" s="394">
        <v>8.0</v>
      </c>
      <c r="CP5" s="394">
        <v>8.0</v>
      </c>
      <c r="CQ5" s="394">
        <v>8.0</v>
      </c>
      <c r="CR5" s="394" t="s">
        <v>165</v>
      </c>
      <c r="CS5" s="394" t="s">
        <v>165</v>
      </c>
      <c r="CT5" s="394">
        <v>8.0</v>
      </c>
      <c r="CU5" s="394">
        <v>8.0</v>
      </c>
      <c r="CV5" s="394">
        <v>8.0</v>
      </c>
      <c r="CW5" s="394">
        <v>9.0</v>
      </c>
      <c r="CX5" s="394">
        <v>7.0</v>
      </c>
      <c r="CY5" s="394" t="s">
        <v>165</v>
      </c>
      <c r="CZ5" s="400">
        <f t="shared" si="7"/>
        <v>176</v>
      </c>
      <c r="DB5" s="394" t="s">
        <v>165</v>
      </c>
      <c r="DC5" s="394">
        <v>8.0</v>
      </c>
      <c r="DD5" s="394">
        <v>8.0</v>
      </c>
      <c r="DE5" s="394">
        <v>8.0</v>
      </c>
      <c r="DF5" s="394">
        <v>8.0</v>
      </c>
      <c r="DG5" s="394">
        <v>8.0</v>
      </c>
      <c r="DH5" s="394" t="s">
        <v>165</v>
      </c>
      <c r="DI5" s="394" t="s">
        <v>165</v>
      </c>
      <c r="DJ5" s="394">
        <v>8.0</v>
      </c>
      <c r="DK5" s="394">
        <v>8.0</v>
      </c>
      <c r="DL5" s="394">
        <v>8.0</v>
      </c>
      <c r="DM5" s="394">
        <v>8.0</v>
      </c>
      <c r="DN5" s="394">
        <v>8.0</v>
      </c>
      <c r="DO5" s="394" t="s">
        <v>165</v>
      </c>
      <c r="DP5" s="394" t="s">
        <v>165</v>
      </c>
      <c r="DQ5" s="394">
        <v>8.0</v>
      </c>
      <c r="DR5" s="394">
        <v>8.0</v>
      </c>
      <c r="DS5" s="394">
        <v>8.0</v>
      </c>
      <c r="DT5" s="394">
        <v>8.0</v>
      </c>
      <c r="DU5" s="394">
        <v>8.0</v>
      </c>
      <c r="DV5" s="394" t="s">
        <v>165</v>
      </c>
      <c r="DW5" s="394" t="s">
        <v>165</v>
      </c>
      <c r="DX5" s="394">
        <v>8.0</v>
      </c>
      <c r="DY5" s="394">
        <v>8.0</v>
      </c>
      <c r="DZ5" s="394">
        <v>8.0</v>
      </c>
      <c r="EA5" s="394">
        <v>8.0</v>
      </c>
      <c r="EB5" s="394">
        <v>8.0</v>
      </c>
      <c r="EC5" s="394" t="s">
        <v>165</v>
      </c>
      <c r="ED5" s="394" t="s">
        <v>165</v>
      </c>
      <c r="EE5" s="394">
        <v>8.0</v>
      </c>
      <c r="EF5" s="394">
        <v>8.0</v>
      </c>
      <c r="EG5" s="407">
        <f t="shared" si="8"/>
        <v>176</v>
      </c>
      <c r="EI5" s="394">
        <v>8.0</v>
      </c>
      <c r="EJ5" s="394">
        <v>8.0</v>
      </c>
      <c r="EK5" s="394">
        <v>8.0</v>
      </c>
      <c r="EL5" s="394" t="s">
        <v>165</v>
      </c>
      <c r="EM5" s="394" t="s">
        <v>165</v>
      </c>
      <c r="EN5" s="394">
        <v>8.0</v>
      </c>
      <c r="EO5" s="394">
        <v>8.0</v>
      </c>
      <c r="EP5" s="394">
        <v>8.0</v>
      </c>
      <c r="EQ5" s="394">
        <v>8.0</v>
      </c>
      <c r="ER5" s="394">
        <v>8.0</v>
      </c>
      <c r="ES5" s="394" t="s">
        <v>165</v>
      </c>
      <c r="ET5" s="394" t="s">
        <v>165</v>
      </c>
      <c r="EU5" s="394">
        <v>8.0</v>
      </c>
      <c r="EV5" s="394">
        <v>8.0</v>
      </c>
      <c r="EW5" s="394">
        <v>8.0</v>
      </c>
      <c r="EX5" s="394">
        <v>8.0</v>
      </c>
      <c r="EY5" s="394">
        <v>8.0</v>
      </c>
      <c r="EZ5" s="394" t="s">
        <v>165</v>
      </c>
      <c r="FA5" s="394" t="s">
        <v>165</v>
      </c>
      <c r="FB5" s="394" t="s">
        <v>245</v>
      </c>
      <c r="FC5" s="394" t="s">
        <v>245</v>
      </c>
      <c r="FD5" s="394" t="s">
        <v>245</v>
      </c>
      <c r="FE5" s="394" t="s">
        <v>245</v>
      </c>
      <c r="FF5" s="394" t="s">
        <v>245</v>
      </c>
      <c r="FG5" s="394" t="s">
        <v>165</v>
      </c>
      <c r="FH5" s="394" t="s">
        <v>165</v>
      </c>
      <c r="FI5" s="394">
        <v>8.0</v>
      </c>
      <c r="FJ5" s="394">
        <v>8.0</v>
      </c>
      <c r="FK5" s="394">
        <v>8.0</v>
      </c>
      <c r="FL5" s="394">
        <v>8.0</v>
      </c>
      <c r="FM5" s="407">
        <f t="shared" si="9"/>
        <v>136</v>
      </c>
      <c r="FO5" s="394">
        <v>8.0</v>
      </c>
      <c r="FP5" s="394" t="s">
        <v>165</v>
      </c>
      <c r="FQ5" s="394" t="s">
        <v>165</v>
      </c>
      <c r="FR5" s="394">
        <v>8.0</v>
      </c>
      <c r="FS5" s="394">
        <v>9.5</v>
      </c>
      <c r="FT5" s="394">
        <v>7.5</v>
      </c>
      <c r="FU5" s="394">
        <v>8.5</v>
      </c>
      <c r="FV5" s="394">
        <v>7.5</v>
      </c>
      <c r="FW5" s="394" t="s">
        <v>165</v>
      </c>
      <c r="FX5" s="394" t="s">
        <v>165</v>
      </c>
      <c r="FY5" s="394">
        <v>7.0</v>
      </c>
      <c r="FZ5" s="394">
        <v>8.5</v>
      </c>
      <c r="GA5" s="394">
        <v>7.5</v>
      </c>
      <c r="GB5" s="394">
        <v>10.0</v>
      </c>
      <c r="GC5" s="394">
        <v>8.0</v>
      </c>
      <c r="GD5" s="394" t="s">
        <v>165</v>
      </c>
      <c r="GE5" s="394" t="s">
        <v>165</v>
      </c>
      <c r="GF5" s="394">
        <v>6.0</v>
      </c>
      <c r="GG5" s="394">
        <v>8.0</v>
      </c>
      <c r="GH5" s="394">
        <v>9.0</v>
      </c>
      <c r="GI5" s="394">
        <v>8.0</v>
      </c>
      <c r="GJ5" s="394">
        <v>7.0</v>
      </c>
      <c r="GK5" s="394" t="s">
        <v>165</v>
      </c>
      <c r="GL5" s="394" t="s">
        <v>165</v>
      </c>
      <c r="GM5" s="394">
        <v>8.0</v>
      </c>
      <c r="GN5" s="394">
        <v>8.0</v>
      </c>
      <c r="GO5" s="394">
        <v>8.0</v>
      </c>
      <c r="GP5" s="394" t="s">
        <v>171</v>
      </c>
      <c r="GQ5" s="394" t="s">
        <v>245</v>
      </c>
      <c r="GR5" s="394" t="s">
        <v>165</v>
      </c>
      <c r="GS5" s="394" t="s">
        <v>165</v>
      </c>
      <c r="GT5" s="400">
        <f t="shared" si="10"/>
        <v>152</v>
      </c>
      <c r="GV5" s="394" t="s">
        <v>245</v>
      </c>
      <c r="GW5" s="394">
        <v>8.0</v>
      </c>
      <c r="GX5" s="394">
        <v>8.7</v>
      </c>
      <c r="GY5" s="394">
        <v>10.3</v>
      </c>
      <c r="GZ5" s="394">
        <v>7.5</v>
      </c>
      <c r="HA5" s="394" t="s">
        <v>165</v>
      </c>
      <c r="HB5" s="394" t="s">
        <v>165</v>
      </c>
      <c r="HC5" s="394">
        <v>7.0</v>
      </c>
      <c r="HD5" s="394">
        <v>8.0</v>
      </c>
      <c r="HE5" s="394">
        <v>6.5</v>
      </c>
      <c r="HF5" s="394">
        <v>9.0</v>
      </c>
      <c r="HG5" s="394">
        <v>8.0</v>
      </c>
      <c r="HH5" s="394" t="s">
        <v>165</v>
      </c>
      <c r="HI5" s="394" t="s">
        <v>165</v>
      </c>
      <c r="HJ5" s="394">
        <v>7.0</v>
      </c>
      <c r="HK5" s="394">
        <v>8.5</v>
      </c>
      <c r="HL5" s="394">
        <v>7.5</v>
      </c>
      <c r="HM5" s="394">
        <v>8.0</v>
      </c>
      <c r="HN5" s="394">
        <v>8.0</v>
      </c>
      <c r="HO5" s="394" t="s">
        <v>165</v>
      </c>
      <c r="HP5" s="394" t="s">
        <v>165</v>
      </c>
      <c r="HQ5" s="394">
        <v>8.5</v>
      </c>
      <c r="HR5" s="394">
        <v>9.0</v>
      </c>
      <c r="HS5" s="394">
        <v>7.5</v>
      </c>
      <c r="HT5" s="394">
        <v>7.0</v>
      </c>
      <c r="HU5" s="394">
        <v>8.0</v>
      </c>
      <c r="HV5" s="394" t="s">
        <v>165</v>
      </c>
      <c r="HW5" s="394" t="s">
        <v>165</v>
      </c>
      <c r="HX5" s="394" t="s">
        <v>245</v>
      </c>
      <c r="HY5" s="394">
        <v>8.0</v>
      </c>
      <c r="HZ5" s="400">
        <f t="shared" si="2"/>
        <v>160</v>
      </c>
      <c r="IB5" s="394">
        <v>8.0</v>
      </c>
      <c r="IC5" s="394">
        <v>8.0</v>
      </c>
      <c r="ID5" s="394">
        <v>8.5</v>
      </c>
      <c r="IE5" s="394" t="s">
        <v>165</v>
      </c>
      <c r="IF5" s="394" t="s">
        <v>165</v>
      </c>
      <c r="IG5" s="394">
        <v>9.0</v>
      </c>
      <c r="IH5" s="394">
        <v>8.5</v>
      </c>
      <c r="II5" s="394">
        <v>8.0</v>
      </c>
      <c r="IJ5" s="394">
        <v>8.0</v>
      </c>
      <c r="IK5" s="394">
        <v>6.0</v>
      </c>
      <c r="IL5" s="394" t="s">
        <v>165</v>
      </c>
      <c r="IM5" s="394" t="s">
        <v>165</v>
      </c>
      <c r="IN5" s="394">
        <v>9.5</v>
      </c>
      <c r="IO5" s="394">
        <v>8.0</v>
      </c>
      <c r="IP5" s="394">
        <v>8.0</v>
      </c>
      <c r="IQ5" s="394">
        <v>9.0</v>
      </c>
      <c r="IR5" s="394" t="s">
        <v>165</v>
      </c>
      <c r="IS5" s="394">
        <v>7.0</v>
      </c>
      <c r="IT5" s="394" t="s">
        <v>165</v>
      </c>
      <c r="IU5" s="394">
        <v>8.0</v>
      </c>
      <c r="IV5" s="394">
        <v>8.5</v>
      </c>
      <c r="IW5" s="394" t="s">
        <v>245</v>
      </c>
      <c r="IX5" s="394" t="s">
        <v>245</v>
      </c>
      <c r="IY5" s="394">
        <v>4.0</v>
      </c>
      <c r="IZ5" s="394" t="s">
        <v>165</v>
      </c>
      <c r="JA5" s="394" t="s">
        <v>165</v>
      </c>
      <c r="JB5" s="394">
        <v>8.0</v>
      </c>
      <c r="JC5" s="394">
        <v>8.0</v>
      </c>
      <c r="JD5" s="394" t="s">
        <v>245</v>
      </c>
      <c r="JE5" s="394">
        <v>6.0</v>
      </c>
      <c r="JF5" s="394" t="s">
        <v>245</v>
      </c>
      <c r="JG5" s="400">
        <f t="shared" si="3"/>
        <v>148</v>
      </c>
      <c r="JI5" s="394" t="s">
        <v>165</v>
      </c>
      <c r="JJ5" s="394" t="s">
        <v>165</v>
      </c>
      <c r="JK5" s="394">
        <v>8.0</v>
      </c>
      <c r="JL5" s="394">
        <v>10.0</v>
      </c>
      <c r="JM5" s="394">
        <v>6.0</v>
      </c>
      <c r="JN5" s="394" t="s">
        <v>171</v>
      </c>
      <c r="JO5" s="394" t="s">
        <v>245</v>
      </c>
      <c r="JP5" s="394" t="s">
        <v>165</v>
      </c>
      <c r="JQ5" s="394" t="s">
        <v>165</v>
      </c>
      <c r="JR5" s="394" t="s">
        <v>245</v>
      </c>
      <c r="JS5" s="394" t="s">
        <v>245</v>
      </c>
      <c r="JT5" s="394" t="s">
        <v>245</v>
      </c>
      <c r="JU5" s="394" t="s">
        <v>245</v>
      </c>
      <c r="JV5" s="394" t="s">
        <v>245</v>
      </c>
      <c r="JW5" s="394" t="s">
        <v>165</v>
      </c>
      <c r="JX5" s="394" t="s">
        <v>165</v>
      </c>
      <c r="JY5" s="394" t="s">
        <v>245</v>
      </c>
      <c r="JZ5" s="394" t="s">
        <v>245</v>
      </c>
      <c r="KA5" s="394" t="s">
        <v>245</v>
      </c>
      <c r="KB5" s="394" t="s">
        <v>245</v>
      </c>
      <c r="KC5" s="394" t="s">
        <v>245</v>
      </c>
      <c r="KD5" s="394" t="s">
        <v>165</v>
      </c>
      <c r="KE5" s="394" t="s">
        <v>165</v>
      </c>
      <c r="KF5" s="394" t="s">
        <v>245</v>
      </c>
      <c r="KG5" s="394" t="s">
        <v>245</v>
      </c>
      <c r="KH5" s="394" t="s">
        <v>245</v>
      </c>
      <c r="KI5" s="394" t="s">
        <v>245</v>
      </c>
      <c r="KJ5" s="394" t="s">
        <v>245</v>
      </c>
      <c r="KK5" s="394" t="s">
        <v>165</v>
      </c>
      <c r="KL5" s="394" t="s">
        <v>165</v>
      </c>
      <c r="KM5" s="394" t="s">
        <v>245</v>
      </c>
      <c r="KN5" s="145">
        <f t="shared" si="4"/>
        <v>24</v>
      </c>
      <c r="KP5" s="398"/>
      <c r="KQ5" s="398"/>
      <c r="KR5" s="398"/>
      <c r="KS5" s="398"/>
      <c r="KT5" s="398"/>
      <c r="KU5" s="398"/>
      <c r="KV5" s="398"/>
      <c r="KW5" s="398"/>
      <c r="KX5" s="398"/>
      <c r="KY5" s="398"/>
      <c r="KZ5" s="398"/>
      <c r="LA5" s="398"/>
      <c r="LB5" s="398"/>
      <c r="LC5" s="398"/>
      <c r="LD5" s="398"/>
      <c r="LE5" s="398"/>
      <c r="LF5" s="398"/>
      <c r="LG5" s="398"/>
      <c r="LH5" s="398"/>
      <c r="LI5" s="398"/>
      <c r="LJ5" s="398"/>
      <c r="LK5" s="398"/>
      <c r="LL5" s="398"/>
      <c r="LM5" s="398"/>
      <c r="LN5" s="398"/>
      <c r="LO5" s="398"/>
      <c r="LP5" s="398"/>
      <c r="LQ5" s="398"/>
      <c r="LR5" s="398"/>
      <c r="LT5" s="398"/>
      <c r="LU5" s="398"/>
      <c r="LV5" s="398"/>
      <c r="LW5" s="398"/>
      <c r="LX5" s="398"/>
      <c r="LY5" s="398"/>
      <c r="LZ5" s="398"/>
      <c r="MA5" s="398"/>
      <c r="MB5" s="398"/>
      <c r="MC5" s="398"/>
      <c r="MD5" s="398"/>
      <c r="ME5" s="398"/>
      <c r="MF5" s="398"/>
      <c r="MG5" s="398"/>
      <c r="MH5" s="398"/>
      <c r="MI5" s="398"/>
      <c r="MJ5" s="398"/>
      <c r="MK5" s="398"/>
      <c r="ML5" s="398"/>
      <c r="MM5" s="398"/>
      <c r="MN5" s="398"/>
      <c r="MO5" s="398"/>
      <c r="MP5" s="398"/>
      <c r="MQ5" s="398"/>
      <c r="MR5" s="398"/>
      <c r="MS5" s="398"/>
    </row>
    <row r="6" ht="16.5" customHeight="1">
      <c r="A6" s="393" t="s">
        <v>1253</v>
      </c>
      <c r="B6" s="394" t="s">
        <v>755</v>
      </c>
      <c r="C6" s="394" t="s">
        <v>98</v>
      </c>
      <c r="D6" s="395">
        <f t="shared" si="1"/>
        <v>40</v>
      </c>
      <c r="E6" s="396" t="s">
        <v>1250</v>
      </c>
      <c r="F6" s="400">
        <f>IFERROR(__xludf.DUMMYFUNCTION("IF(A6="""","""", counta(filter(Filter(FILTER($H$4:$SH76,$H$1:$SH$1&lt;today()),$A$4:$A76=A6),not(istext(Filter(FILTER($H$4:$SH76,$H$1:$SH$1&lt;today()),$A$4:$A76=A6))),not(Filter(FILTER($H$4:$SH76,$H$1:$SH$1&lt;today()),$A$4:$A76=A6)=0),Filter(FILTER($H$4:$SH76,$H"&amp;"$1:$SH$1&lt;today()),$A$4:$A76=A6)&lt;23)))"),155.0)</f>
        <v>155</v>
      </c>
      <c r="H6" s="394" t="s">
        <v>166</v>
      </c>
      <c r="I6" s="394" t="s">
        <v>166</v>
      </c>
      <c r="J6" s="394" t="s">
        <v>166</v>
      </c>
      <c r="K6" s="394" t="s">
        <v>166</v>
      </c>
      <c r="L6" s="394" t="s">
        <v>166</v>
      </c>
      <c r="M6" s="394" t="s">
        <v>166</v>
      </c>
      <c r="N6" s="394" t="s">
        <v>166</v>
      </c>
      <c r="O6" s="394" t="s">
        <v>166</v>
      </c>
      <c r="P6" s="394" t="s">
        <v>166</v>
      </c>
      <c r="Q6" s="394">
        <v>8.0</v>
      </c>
      <c r="R6" s="394">
        <v>8.0</v>
      </c>
      <c r="S6" s="394">
        <v>8.0</v>
      </c>
      <c r="T6" s="408" t="s">
        <v>165</v>
      </c>
      <c r="U6" s="394">
        <v>8.0</v>
      </c>
      <c r="V6" s="394" t="s">
        <v>165</v>
      </c>
      <c r="W6" s="394" t="s">
        <v>165</v>
      </c>
      <c r="X6" s="394">
        <v>8.0</v>
      </c>
      <c r="Y6" s="394">
        <v>8.0</v>
      </c>
      <c r="Z6" s="394">
        <v>8.0</v>
      </c>
      <c r="AA6" s="394">
        <v>8.0</v>
      </c>
      <c r="AB6" s="394">
        <v>8.0</v>
      </c>
      <c r="AC6" s="394" t="s">
        <v>165</v>
      </c>
      <c r="AD6" s="394" t="s">
        <v>165</v>
      </c>
      <c r="AE6" s="408" t="s">
        <v>165</v>
      </c>
      <c r="AF6" s="394">
        <v>8.0</v>
      </c>
      <c r="AG6" s="394">
        <v>8.0</v>
      </c>
      <c r="AH6" s="394">
        <v>8.0</v>
      </c>
      <c r="AI6" s="394">
        <v>8.0</v>
      </c>
      <c r="AJ6" s="394" t="s">
        <v>165</v>
      </c>
      <c r="AK6" s="394" t="s">
        <v>165</v>
      </c>
      <c r="AL6" s="394">
        <v>8.0</v>
      </c>
      <c r="AM6" s="405">
        <f t="shared" si="5"/>
        <v>112</v>
      </c>
      <c r="AO6" s="394">
        <v>8.0</v>
      </c>
      <c r="AP6" s="394">
        <v>8.0</v>
      </c>
      <c r="AQ6" s="394" t="s">
        <v>165</v>
      </c>
      <c r="AR6" s="394">
        <v>8.0</v>
      </c>
      <c r="AS6" s="394" t="s">
        <v>165</v>
      </c>
      <c r="AT6" s="394" t="s">
        <v>165</v>
      </c>
      <c r="AU6" s="394">
        <v>8.0</v>
      </c>
      <c r="AV6" s="394">
        <v>8.0</v>
      </c>
      <c r="AW6" s="394">
        <v>8.0</v>
      </c>
      <c r="AX6" s="394">
        <v>8.0</v>
      </c>
      <c r="AY6" s="394">
        <v>8.0</v>
      </c>
      <c r="AZ6" s="394" t="s">
        <v>165</v>
      </c>
      <c r="BA6" s="394" t="s">
        <v>165</v>
      </c>
      <c r="BB6" s="394">
        <v>8.0</v>
      </c>
      <c r="BC6" s="394">
        <v>8.0</v>
      </c>
      <c r="BD6" s="394">
        <v>8.0</v>
      </c>
      <c r="BE6" s="394">
        <v>8.0</v>
      </c>
      <c r="BF6" s="394">
        <v>8.0</v>
      </c>
      <c r="BG6" s="394" t="s">
        <v>165</v>
      </c>
      <c r="BH6" s="394" t="s">
        <v>165</v>
      </c>
      <c r="BI6" s="394">
        <v>8.0</v>
      </c>
      <c r="BJ6" s="394">
        <v>8.0</v>
      </c>
      <c r="BK6" s="394">
        <v>8.0</v>
      </c>
      <c r="BL6" s="394">
        <v>8.0</v>
      </c>
      <c r="BM6" s="394">
        <v>8.0</v>
      </c>
      <c r="BN6" s="394" t="s">
        <v>165</v>
      </c>
      <c r="BO6" s="394" t="s">
        <v>165</v>
      </c>
      <c r="BP6" s="394">
        <v>8.0</v>
      </c>
      <c r="BQ6" s="394">
        <v>8.0</v>
      </c>
      <c r="BR6" s="394">
        <v>8.0</v>
      </c>
      <c r="BS6" s="406">
        <f t="shared" si="6"/>
        <v>168</v>
      </c>
      <c r="BU6" s="394">
        <v>8.0</v>
      </c>
      <c r="BV6" s="394">
        <v>8.0</v>
      </c>
      <c r="BW6" s="394" t="s">
        <v>165</v>
      </c>
      <c r="BX6" s="394" t="s">
        <v>165</v>
      </c>
      <c r="BY6" s="394">
        <v>8.0</v>
      </c>
      <c r="BZ6" s="394">
        <v>8.0</v>
      </c>
      <c r="CA6" s="394">
        <v>8.0</v>
      </c>
      <c r="CB6" s="394">
        <v>8.0</v>
      </c>
      <c r="CC6" s="394">
        <v>8.0</v>
      </c>
      <c r="CD6" s="394" t="s">
        <v>165</v>
      </c>
      <c r="CE6" s="394" t="s">
        <v>165</v>
      </c>
      <c r="CF6" s="394">
        <v>8.0</v>
      </c>
      <c r="CG6" s="394">
        <v>8.0</v>
      </c>
      <c r="CH6" s="394">
        <v>8.0</v>
      </c>
      <c r="CI6" s="394">
        <v>8.0</v>
      </c>
      <c r="CJ6" s="394">
        <v>8.0</v>
      </c>
      <c r="CK6" s="394" t="s">
        <v>165</v>
      </c>
      <c r="CL6" s="394" t="s">
        <v>165</v>
      </c>
      <c r="CM6" s="394">
        <v>8.0</v>
      </c>
      <c r="CN6" s="394">
        <v>8.0</v>
      </c>
      <c r="CO6" s="394">
        <v>8.0</v>
      </c>
      <c r="CP6" s="394">
        <v>8.0</v>
      </c>
      <c r="CQ6" s="394">
        <v>8.0</v>
      </c>
      <c r="CR6" s="394" t="s">
        <v>165</v>
      </c>
      <c r="CS6" s="394" t="s">
        <v>165</v>
      </c>
      <c r="CT6" s="394">
        <v>8.0</v>
      </c>
      <c r="CU6" s="394">
        <v>8.0</v>
      </c>
      <c r="CV6" s="394">
        <v>8.0</v>
      </c>
      <c r="CW6" s="394">
        <v>8.0</v>
      </c>
      <c r="CX6" s="394">
        <v>8.0</v>
      </c>
      <c r="CY6" s="394" t="s">
        <v>165</v>
      </c>
      <c r="CZ6" s="400">
        <f t="shared" si="7"/>
        <v>176</v>
      </c>
      <c r="DB6" s="394" t="s">
        <v>165</v>
      </c>
      <c r="DC6" s="394">
        <v>8.0</v>
      </c>
      <c r="DD6" s="394">
        <v>8.0</v>
      </c>
      <c r="DE6" s="394">
        <v>8.0</v>
      </c>
      <c r="DF6" s="394">
        <v>8.0</v>
      </c>
      <c r="DG6" s="394">
        <v>8.0</v>
      </c>
      <c r="DH6" s="394" t="s">
        <v>165</v>
      </c>
      <c r="DI6" s="394" t="s">
        <v>165</v>
      </c>
      <c r="DJ6" s="394">
        <v>8.0</v>
      </c>
      <c r="DK6" s="394">
        <v>8.0</v>
      </c>
      <c r="DL6" s="394">
        <v>8.0</v>
      </c>
      <c r="DM6" s="394">
        <v>8.0</v>
      </c>
      <c r="DN6" s="394">
        <v>8.0</v>
      </c>
      <c r="DO6" s="394" t="s">
        <v>165</v>
      </c>
      <c r="DP6" s="394" t="s">
        <v>165</v>
      </c>
      <c r="DQ6" s="394">
        <v>8.0</v>
      </c>
      <c r="DR6" s="394">
        <v>8.0</v>
      </c>
      <c r="DS6" s="394">
        <v>8.0</v>
      </c>
      <c r="DT6" s="394">
        <v>8.0</v>
      </c>
      <c r="DU6" s="394">
        <v>8.0</v>
      </c>
      <c r="DV6" s="394" t="s">
        <v>165</v>
      </c>
      <c r="DW6" s="394" t="s">
        <v>165</v>
      </c>
      <c r="DX6" s="394">
        <v>8.0</v>
      </c>
      <c r="DY6" s="394">
        <v>8.0</v>
      </c>
      <c r="DZ6" s="394">
        <v>8.0</v>
      </c>
      <c r="EA6" s="394">
        <v>8.0</v>
      </c>
      <c r="EB6" s="394">
        <v>8.0</v>
      </c>
      <c r="EC6" s="394" t="s">
        <v>165</v>
      </c>
      <c r="ED6" s="394" t="s">
        <v>165</v>
      </c>
      <c r="EE6" s="394">
        <v>8.0</v>
      </c>
      <c r="EF6" s="394">
        <v>8.0</v>
      </c>
      <c r="EG6" s="407">
        <f t="shared" si="8"/>
        <v>176</v>
      </c>
      <c r="EI6" s="394" t="s">
        <v>245</v>
      </c>
      <c r="EJ6" s="394" t="s">
        <v>245</v>
      </c>
      <c r="EK6" s="394" t="s">
        <v>245</v>
      </c>
      <c r="EL6" s="394" t="s">
        <v>165</v>
      </c>
      <c r="EM6" s="394" t="s">
        <v>165</v>
      </c>
      <c r="EN6" s="394">
        <v>8.0</v>
      </c>
      <c r="EO6" s="394">
        <v>8.0</v>
      </c>
      <c r="EP6" s="394">
        <v>8.0</v>
      </c>
      <c r="EQ6" s="394">
        <v>8.0</v>
      </c>
      <c r="ER6" s="394">
        <v>8.0</v>
      </c>
      <c r="ES6" s="394" t="s">
        <v>165</v>
      </c>
      <c r="ET6" s="394" t="s">
        <v>165</v>
      </c>
      <c r="EU6" s="394">
        <v>8.0</v>
      </c>
      <c r="EV6" s="394">
        <v>8.0</v>
      </c>
      <c r="EW6" s="394">
        <v>8.0</v>
      </c>
      <c r="EX6" s="394">
        <v>8.0</v>
      </c>
      <c r="EY6" s="394">
        <v>8.0</v>
      </c>
      <c r="EZ6" s="394" t="s">
        <v>165</v>
      </c>
      <c r="FA6" s="394" t="s">
        <v>165</v>
      </c>
      <c r="FB6" s="394">
        <v>8.0</v>
      </c>
      <c r="FC6" s="394">
        <v>8.0</v>
      </c>
      <c r="FD6" s="394">
        <v>8.0</v>
      </c>
      <c r="FE6" s="394">
        <v>8.0</v>
      </c>
      <c r="FF6" s="394">
        <v>8.0</v>
      </c>
      <c r="FG6" s="394" t="s">
        <v>165</v>
      </c>
      <c r="FH6" s="394" t="s">
        <v>165</v>
      </c>
      <c r="FI6" s="394">
        <v>8.0</v>
      </c>
      <c r="FJ6" s="394">
        <v>8.0</v>
      </c>
      <c r="FK6" s="394">
        <v>8.0</v>
      </c>
      <c r="FL6" s="394">
        <v>8.0</v>
      </c>
      <c r="FM6" s="407">
        <f t="shared" si="9"/>
        <v>152</v>
      </c>
      <c r="FO6" s="394">
        <v>8.0</v>
      </c>
      <c r="FP6" s="394" t="s">
        <v>165</v>
      </c>
      <c r="FQ6" s="394" t="s">
        <v>165</v>
      </c>
      <c r="FR6" s="394">
        <v>8.0</v>
      </c>
      <c r="FS6" s="394">
        <v>8.0</v>
      </c>
      <c r="FT6" s="394">
        <v>8.0</v>
      </c>
      <c r="FU6" s="394">
        <v>8.0</v>
      </c>
      <c r="FV6" s="394">
        <v>8.0</v>
      </c>
      <c r="FW6" s="394" t="s">
        <v>165</v>
      </c>
      <c r="FX6" s="394" t="s">
        <v>165</v>
      </c>
      <c r="FY6" s="394">
        <v>8.0</v>
      </c>
      <c r="FZ6" s="394">
        <v>8.0</v>
      </c>
      <c r="GA6" s="394">
        <v>8.0</v>
      </c>
      <c r="GB6" s="394">
        <v>8.0</v>
      </c>
      <c r="GC6" s="394">
        <v>8.0</v>
      </c>
      <c r="GD6" s="394" t="s">
        <v>165</v>
      </c>
      <c r="GE6" s="394" t="s">
        <v>165</v>
      </c>
      <c r="GF6" s="394" t="s">
        <v>245</v>
      </c>
      <c r="GG6" s="394" t="s">
        <v>245</v>
      </c>
      <c r="GH6" s="394" t="s">
        <v>245</v>
      </c>
      <c r="GI6" s="394" t="s">
        <v>245</v>
      </c>
      <c r="GJ6" s="394" t="s">
        <v>245</v>
      </c>
      <c r="GK6" s="394" t="s">
        <v>165</v>
      </c>
      <c r="GL6" s="394" t="s">
        <v>165</v>
      </c>
      <c r="GM6" s="394">
        <v>8.0</v>
      </c>
      <c r="GN6" s="394">
        <v>8.0</v>
      </c>
      <c r="GO6" s="394">
        <v>8.0</v>
      </c>
      <c r="GP6" s="394">
        <v>8.0</v>
      </c>
      <c r="GQ6" s="394">
        <v>8.0</v>
      </c>
      <c r="GR6" s="394" t="s">
        <v>165</v>
      </c>
      <c r="GS6" s="394" t="s">
        <v>165</v>
      </c>
      <c r="GT6" s="400">
        <f t="shared" si="10"/>
        <v>128</v>
      </c>
      <c r="GV6" s="394">
        <v>3.0</v>
      </c>
      <c r="GW6" s="394">
        <v>8.0</v>
      </c>
      <c r="GX6" s="394">
        <v>8.0</v>
      </c>
      <c r="GY6" s="394">
        <v>8.0</v>
      </c>
      <c r="GZ6" s="394">
        <v>5.0</v>
      </c>
      <c r="HA6" s="394" t="s">
        <v>165</v>
      </c>
      <c r="HB6" s="394" t="s">
        <v>165</v>
      </c>
      <c r="HC6" s="394">
        <v>8.0</v>
      </c>
      <c r="HD6" s="394">
        <v>8.0</v>
      </c>
      <c r="HE6" s="394">
        <v>8.0</v>
      </c>
      <c r="HF6" s="394">
        <v>8.0</v>
      </c>
      <c r="HG6" s="394">
        <v>8.0</v>
      </c>
      <c r="HH6" s="394" t="s">
        <v>165</v>
      </c>
      <c r="HI6" s="394" t="s">
        <v>165</v>
      </c>
      <c r="HJ6" s="394">
        <v>8.0</v>
      </c>
      <c r="HK6" s="394">
        <v>8.0</v>
      </c>
      <c r="HL6" s="394">
        <v>8.0</v>
      </c>
      <c r="HM6" s="394">
        <v>8.0</v>
      </c>
      <c r="HN6" s="394">
        <v>8.0</v>
      </c>
      <c r="HO6" s="394" t="s">
        <v>165</v>
      </c>
      <c r="HP6" s="394" t="s">
        <v>165</v>
      </c>
      <c r="HQ6" s="394">
        <v>8.0</v>
      </c>
      <c r="HR6" s="394">
        <v>8.0</v>
      </c>
      <c r="HS6" s="394">
        <v>8.0</v>
      </c>
      <c r="HT6" s="394">
        <v>8.0</v>
      </c>
      <c r="HU6" s="394">
        <v>8.0</v>
      </c>
      <c r="HV6" s="394" t="s">
        <v>165</v>
      </c>
      <c r="HW6" s="394" t="s">
        <v>165</v>
      </c>
      <c r="HX6" s="394">
        <v>8.0</v>
      </c>
      <c r="HY6" s="394">
        <v>8.0</v>
      </c>
      <c r="HZ6" s="400">
        <f t="shared" si="2"/>
        <v>168</v>
      </c>
      <c r="IB6" s="394">
        <v>8.0</v>
      </c>
      <c r="IC6" s="394">
        <v>8.0</v>
      </c>
      <c r="ID6" s="394">
        <v>8.0</v>
      </c>
      <c r="IE6" s="394" t="s">
        <v>165</v>
      </c>
      <c r="IF6" s="394" t="s">
        <v>165</v>
      </c>
      <c r="IG6" s="394">
        <v>8.0</v>
      </c>
      <c r="IH6" s="394">
        <v>8.0</v>
      </c>
      <c r="II6" s="394">
        <v>8.0</v>
      </c>
      <c r="IJ6" s="394">
        <v>8.0</v>
      </c>
      <c r="IK6" s="394">
        <v>8.0</v>
      </c>
      <c r="IL6" s="394" t="s">
        <v>165</v>
      </c>
      <c r="IM6" s="394" t="s">
        <v>165</v>
      </c>
      <c r="IN6" s="394" t="s">
        <v>245</v>
      </c>
      <c r="IO6" s="394" t="s">
        <v>245</v>
      </c>
      <c r="IP6" s="394" t="s">
        <v>245</v>
      </c>
      <c r="IQ6" s="394" t="s">
        <v>245</v>
      </c>
      <c r="IR6" s="394" t="s">
        <v>245</v>
      </c>
      <c r="IS6" s="394" t="s">
        <v>165</v>
      </c>
      <c r="IT6" s="394" t="s">
        <v>165</v>
      </c>
      <c r="IU6" s="394">
        <v>8.0</v>
      </c>
      <c r="IV6" s="394">
        <v>8.0</v>
      </c>
      <c r="IW6" s="394">
        <v>8.0</v>
      </c>
      <c r="IX6" s="394">
        <v>8.0</v>
      </c>
      <c r="IY6" s="394">
        <v>8.0</v>
      </c>
      <c r="IZ6" s="394" t="s">
        <v>165</v>
      </c>
      <c r="JA6" s="394" t="s">
        <v>165</v>
      </c>
      <c r="JB6" s="394">
        <v>8.0</v>
      </c>
      <c r="JC6" s="394">
        <v>8.0</v>
      </c>
      <c r="JD6" s="394">
        <v>8.0</v>
      </c>
      <c r="JE6" s="394">
        <v>8.0</v>
      </c>
      <c r="JF6" s="394">
        <v>8.0</v>
      </c>
      <c r="JG6" s="400">
        <f t="shared" si="3"/>
        <v>144</v>
      </c>
      <c r="JI6" s="394" t="s">
        <v>165</v>
      </c>
      <c r="JJ6" s="394" t="s">
        <v>165</v>
      </c>
      <c r="JK6" s="394">
        <v>8.0</v>
      </c>
      <c r="JL6" s="394">
        <v>8.0</v>
      </c>
      <c r="JM6" s="394">
        <v>8.0</v>
      </c>
      <c r="JN6" s="394" t="s">
        <v>171</v>
      </c>
      <c r="JO6" s="394" t="s">
        <v>245</v>
      </c>
      <c r="JP6" s="394" t="s">
        <v>165</v>
      </c>
      <c r="JQ6" s="394" t="s">
        <v>165</v>
      </c>
      <c r="JR6" s="394">
        <v>8.0</v>
      </c>
      <c r="JS6" s="394">
        <v>8.0</v>
      </c>
      <c r="JT6" s="394">
        <v>8.0</v>
      </c>
      <c r="JU6" s="394">
        <v>8.0</v>
      </c>
      <c r="JV6" s="394">
        <v>8.0</v>
      </c>
      <c r="JW6" s="394" t="s">
        <v>165</v>
      </c>
      <c r="JX6" s="394" t="s">
        <v>165</v>
      </c>
      <c r="JY6" s="394">
        <v>8.0</v>
      </c>
      <c r="JZ6" s="394">
        <v>8.0</v>
      </c>
      <c r="KA6" s="394">
        <v>8.0</v>
      </c>
      <c r="KB6" s="394">
        <v>8.0</v>
      </c>
      <c r="KC6" s="394">
        <v>8.0</v>
      </c>
      <c r="KD6" s="394" t="s">
        <v>165</v>
      </c>
      <c r="KE6" s="394" t="s">
        <v>165</v>
      </c>
      <c r="KF6" s="394">
        <v>8.0</v>
      </c>
      <c r="KG6" s="394">
        <v>8.0</v>
      </c>
      <c r="KH6" s="394">
        <v>8.0</v>
      </c>
      <c r="KI6" s="394">
        <v>8.0</v>
      </c>
      <c r="KJ6" s="394">
        <v>8.0</v>
      </c>
      <c r="KK6" s="394" t="s">
        <v>165</v>
      </c>
      <c r="KL6" s="394" t="s">
        <v>165</v>
      </c>
      <c r="KM6" s="394">
        <v>8.0</v>
      </c>
      <c r="KN6" s="145">
        <f t="shared" si="4"/>
        <v>152</v>
      </c>
      <c r="KP6" s="398"/>
      <c r="KQ6" s="398"/>
      <c r="KR6" s="398"/>
      <c r="KS6" s="398"/>
      <c r="KT6" s="398"/>
      <c r="KU6" s="398"/>
      <c r="KV6" s="398"/>
      <c r="KW6" s="398"/>
      <c r="KX6" s="398"/>
      <c r="KY6" s="398"/>
      <c r="KZ6" s="398"/>
      <c r="LA6" s="398"/>
      <c r="LB6" s="398"/>
      <c r="LC6" s="398"/>
      <c r="LD6" s="398"/>
      <c r="LE6" s="398"/>
      <c r="LF6" s="398"/>
      <c r="LG6" s="398"/>
      <c r="LH6" s="398"/>
      <c r="LI6" s="398"/>
      <c r="LJ6" s="398"/>
      <c r="LK6" s="398"/>
      <c r="LL6" s="398"/>
      <c r="LM6" s="398"/>
      <c r="LN6" s="398"/>
      <c r="LO6" s="398"/>
      <c r="LP6" s="398"/>
      <c r="LQ6" s="398"/>
      <c r="LR6" s="398"/>
      <c r="LT6" s="398"/>
      <c r="LU6" s="398"/>
      <c r="LV6" s="398"/>
      <c r="LW6" s="398"/>
      <c r="LX6" s="398"/>
      <c r="LY6" s="398"/>
      <c r="LZ6" s="398"/>
      <c r="MA6" s="398"/>
      <c r="MB6" s="398"/>
      <c r="MC6" s="398"/>
      <c r="MD6" s="398"/>
      <c r="ME6" s="398"/>
      <c r="MF6" s="398"/>
      <c r="MG6" s="398"/>
      <c r="MH6" s="398"/>
      <c r="MI6" s="398"/>
      <c r="MJ6" s="398"/>
      <c r="MK6" s="398"/>
      <c r="ML6" s="398"/>
      <c r="MM6" s="398"/>
      <c r="MN6" s="398"/>
      <c r="MO6" s="398"/>
      <c r="MP6" s="398"/>
      <c r="MQ6" s="398"/>
      <c r="MR6" s="398"/>
      <c r="MS6" s="398"/>
    </row>
    <row r="7" ht="16.5" customHeight="1">
      <c r="A7" s="393" t="s">
        <v>1254</v>
      </c>
      <c r="B7" s="394" t="s">
        <v>1255</v>
      </c>
      <c r="C7" s="394" t="s">
        <v>98</v>
      </c>
      <c r="D7" s="395">
        <f t="shared" si="1"/>
        <v>37</v>
      </c>
      <c r="E7" s="396" t="s">
        <v>1256</v>
      </c>
      <c r="F7" s="400">
        <f>IFERROR(__xludf.DUMMYFUNCTION("IF(A7="""","""", counta(filter(Filter(FILTER($H$4:$SH76,$H$1:$SH$1&lt;today()),$A$4:$A76=A7),not(istext(Filter(FILTER($H$4:$SH76,$H$1:$SH$1&lt;today()),$A$4:$A76=A7))),not(Filter(FILTER($H$4:$SH76,$H$1:$SH$1&lt;today()),$A$4:$A76=A7)=0),Filter(FILTER($H$4:$SH76,$H"&amp;"$1:$SH$1&lt;today()),$A$4:$A76=A7)&lt;23)))"),159.0)</f>
        <v>159</v>
      </c>
      <c r="H7" s="394" t="s">
        <v>166</v>
      </c>
      <c r="I7" s="394" t="s">
        <v>166</v>
      </c>
      <c r="J7" s="394" t="s">
        <v>166</v>
      </c>
      <c r="K7" s="394" t="s">
        <v>166</v>
      </c>
      <c r="L7" s="394" t="s">
        <v>166</v>
      </c>
      <c r="M7" s="394" t="s">
        <v>166</v>
      </c>
      <c r="N7" s="394" t="s">
        <v>166</v>
      </c>
      <c r="O7" s="394" t="s">
        <v>166</v>
      </c>
      <c r="P7" s="394" t="s">
        <v>166</v>
      </c>
      <c r="Q7" s="394" t="s">
        <v>166</v>
      </c>
      <c r="R7" s="394" t="s">
        <v>166</v>
      </c>
      <c r="S7" s="394">
        <v>8.0</v>
      </c>
      <c r="T7" s="394">
        <v>8.0</v>
      </c>
      <c r="U7" s="394">
        <v>8.0</v>
      </c>
      <c r="V7" s="394" t="s">
        <v>165</v>
      </c>
      <c r="W7" s="394" t="s">
        <v>165</v>
      </c>
      <c r="X7" s="394">
        <v>8.0</v>
      </c>
      <c r="Y7" s="394">
        <v>8.0</v>
      </c>
      <c r="Z7" s="394">
        <v>8.0</v>
      </c>
      <c r="AA7" s="394">
        <v>8.0</v>
      </c>
      <c r="AB7" s="394">
        <v>8.0</v>
      </c>
      <c r="AC7" s="394" t="s">
        <v>165</v>
      </c>
      <c r="AD7" s="394" t="s">
        <v>165</v>
      </c>
      <c r="AE7" s="408" t="s">
        <v>165</v>
      </c>
      <c r="AF7" s="408" t="s">
        <v>165</v>
      </c>
      <c r="AG7" s="394">
        <v>8.0</v>
      </c>
      <c r="AH7" s="394">
        <v>8.0</v>
      </c>
      <c r="AI7" s="394">
        <v>8.0</v>
      </c>
      <c r="AJ7" s="394" t="s">
        <v>165</v>
      </c>
      <c r="AK7" s="394" t="s">
        <v>165</v>
      </c>
      <c r="AL7" s="394">
        <v>8.0</v>
      </c>
      <c r="AM7" s="405">
        <f t="shared" si="5"/>
        <v>96</v>
      </c>
      <c r="AO7" s="394">
        <v>8.0</v>
      </c>
      <c r="AP7" s="394">
        <v>8.0</v>
      </c>
      <c r="AQ7" s="394">
        <v>8.0</v>
      </c>
      <c r="AR7" s="394">
        <v>8.0</v>
      </c>
      <c r="AS7" s="394" t="s">
        <v>165</v>
      </c>
      <c r="AT7" s="394" t="s">
        <v>165</v>
      </c>
      <c r="AU7" s="394">
        <v>8.0</v>
      </c>
      <c r="AV7" s="394">
        <v>8.0</v>
      </c>
      <c r="AW7" s="394">
        <v>8.0</v>
      </c>
      <c r="AX7" s="394">
        <v>8.0</v>
      </c>
      <c r="AY7" s="394">
        <v>8.0</v>
      </c>
      <c r="AZ7" s="394" t="s">
        <v>165</v>
      </c>
      <c r="BA7" s="394" t="s">
        <v>165</v>
      </c>
      <c r="BB7" s="394">
        <v>8.0</v>
      </c>
      <c r="BC7" s="394">
        <v>8.0</v>
      </c>
      <c r="BD7" s="394">
        <v>8.0</v>
      </c>
      <c r="BE7" s="394">
        <v>8.0</v>
      </c>
      <c r="BF7" s="394">
        <v>8.0</v>
      </c>
      <c r="BG7" s="394" t="s">
        <v>165</v>
      </c>
      <c r="BH7" s="394" t="s">
        <v>165</v>
      </c>
      <c r="BI7" s="394" t="s">
        <v>171</v>
      </c>
      <c r="BJ7" s="394">
        <v>8.0</v>
      </c>
      <c r="BK7" s="394">
        <v>8.0</v>
      </c>
      <c r="BL7" s="394">
        <v>8.0</v>
      </c>
      <c r="BM7" s="394">
        <v>8.0</v>
      </c>
      <c r="BN7" s="394" t="s">
        <v>165</v>
      </c>
      <c r="BO7" s="394" t="s">
        <v>165</v>
      </c>
      <c r="BP7" s="394">
        <v>8.0</v>
      </c>
      <c r="BQ7" s="394">
        <v>8.0</v>
      </c>
      <c r="BR7" s="394">
        <v>8.0</v>
      </c>
      <c r="BS7" s="406">
        <f t="shared" si="6"/>
        <v>168</v>
      </c>
      <c r="BU7" s="394">
        <v>8.0</v>
      </c>
      <c r="BV7" s="394">
        <v>8.0</v>
      </c>
      <c r="BW7" s="394" t="s">
        <v>165</v>
      </c>
      <c r="BX7" s="394" t="s">
        <v>165</v>
      </c>
      <c r="BY7" s="394">
        <v>8.0</v>
      </c>
      <c r="BZ7" s="394">
        <v>8.0</v>
      </c>
      <c r="CA7" s="394">
        <v>8.0</v>
      </c>
      <c r="CB7" s="394">
        <v>8.0</v>
      </c>
      <c r="CC7" s="394" t="s">
        <v>171</v>
      </c>
      <c r="CD7" s="394" t="s">
        <v>165</v>
      </c>
      <c r="CE7" s="394" t="s">
        <v>165</v>
      </c>
      <c r="CF7" s="394">
        <v>8.0</v>
      </c>
      <c r="CG7" s="394">
        <v>8.0</v>
      </c>
      <c r="CH7" s="394">
        <v>8.0</v>
      </c>
      <c r="CI7" s="394">
        <v>8.0</v>
      </c>
      <c r="CJ7" s="394">
        <v>8.0</v>
      </c>
      <c r="CK7" s="394" t="s">
        <v>165</v>
      </c>
      <c r="CL7" s="394" t="s">
        <v>165</v>
      </c>
      <c r="CM7" s="394">
        <v>8.0</v>
      </c>
      <c r="CN7" s="394">
        <v>8.0</v>
      </c>
      <c r="CO7" s="394">
        <v>8.0</v>
      </c>
      <c r="CP7" s="394">
        <v>8.0</v>
      </c>
      <c r="CQ7" s="394">
        <v>8.0</v>
      </c>
      <c r="CR7" s="394" t="s">
        <v>165</v>
      </c>
      <c r="CS7" s="394" t="s">
        <v>165</v>
      </c>
      <c r="CT7" s="394">
        <v>8.0</v>
      </c>
      <c r="CU7" s="394">
        <v>8.0</v>
      </c>
      <c r="CV7" s="394">
        <v>8.0</v>
      </c>
      <c r="CW7" s="394">
        <v>8.0</v>
      </c>
      <c r="CX7" s="394">
        <v>8.0</v>
      </c>
      <c r="CY7" s="394" t="s">
        <v>165</v>
      </c>
      <c r="CZ7" s="400">
        <f t="shared" si="7"/>
        <v>168</v>
      </c>
      <c r="DB7" s="394" t="s">
        <v>165</v>
      </c>
      <c r="DC7" s="394">
        <v>8.0</v>
      </c>
      <c r="DD7" s="394">
        <v>8.0</v>
      </c>
      <c r="DE7" s="394">
        <v>8.0</v>
      </c>
      <c r="DF7" s="394">
        <v>8.0</v>
      </c>
      <c r="DG7" s="394">
        <v>8.0</v>
      </c>
      <c r="DH7" s="394" t="s">
        <v>165</v>
      </c>
      <c r="DI7" s="394" t="s">
        <v>165</v>
      </c>
      <c r="DJ7" s="394">
        <v>8.0</v>
      </c>
      <c r="DK7" s="394">
        <v>8.0</v>
      </c>
      <c r="DL7" s="394">
        <v>8.0</v>
      </c>
      <c r="DM7" s="394">
        <v>8.0</v>
      </c>
      <c r="DN7" s="394">
        <v>8.0</v>
      </c>
      <c r="DO7" s="394" t="s">
        <v>165</v>
      </c>
      <c r="DP7" s="394" t="s">
        <v>165</v>
      </c>
      <c r="DQ7" s="394" t="s">
        <v>245</v>
      </c>
      <c r="DR7" s="394">
        <v>8.0</v>
      </c>
      <c r="DS7" s="394">
        <v>8.0</v>
      </c>
      <c r="DT7" s="394">
        <v>8.0</v>
      </c>
      <c r="DU7" s="394">
        <v>8.0</v>
      </c>
      <c r="DV7" s="394" t="s">
        <v>165</v>
      </c>
      <c r="DW7" s="394" t="s">
        <v>165</v>
      </c>
      <c r="DX7" s="394">
        <v>8.0</v>
      </c>
      <c r="DY7" s="394">
        <v>8.0</v>
      </c>
      <c r="DZ7" s="394">
        <v>8.0</v>
      </c>
      <c r="EA7" s="394">
        <v>8.0</v>
      </c>
      <c r="EB7" s="394">
        <v>8.0</v>
      </c>
      <c r="EC7" s="394" t="s">
        <v>165</v>
      </c>
      <c r="ED7" s="394" t="s">
        <v>165</v>
      </c>
      <c r="EE7" s="394">
        <v>8.0</v>
      </c>
      <c r="EF7" s="394">
        <v>8.0</v>
      </c>
      <c r="EG7" s="407">
        <f t="shared" si="8"/>
        <v>168</v>
      </c>
      <c r="EI7" s="394">
        <v>8.0</v>
      </c>
      <c r="EJ7" s="394">
        <v>8.0</v>
      </c>
      <c r="EK7" s="394">
        <v>8.0</v>
      </c>
      <c r="EL7" s="394" t="s">
        <v>165</v>
      </c>
      <c r="EM7" s="394" t="s">
        <v>165</v>
      </c>
      <c r="EN7" s="394">
        <v>8.0</v>
      </c>
      <c r="EO7" s="394">
        <v>8.0</v>
      </c>
      <c r="EP7" s="394">
        <v>8.0</v>
      </c>
      <c r="EQ7" s="394">
        <v>8.0</v>
      </c>
      <c r="ER7" s="394">
        <v>8.0</v>
      </c>
      <c r="ES7" s="394" t="s">
        <v>165</v>
      </c>
      <c r="ET7" s="394" t="s">
        <v>165</v>
      </c>
      <c r="EU7" s="394">
        <v>8.0</v>
      </c>
      <c r="EV7" s="394">
        <v>8.0</v>
      </c>
      <c r="EW7" s="394">
        <v>8.0</v>
      </c>
      <c r="EX7" s="394">
        <v>8.0</v>
      </c>
      <c r="EY7" s="394">
        <v>8.0</v>
      </c>
      <c r="EZ7" s="394" t="s">
        <v>165</v>
      </c>
      <c r="FA7" s="394" t="s">
        <v>165</v>
      </c>
      <c r="FB7" s="394">
        <v>8.0</v>
      </c>
      <c r="FC7" s="394" t="s">
        <v>245</v>
      </c>
      <c r="FD7" s="394">
        <v>8.0</v>
      </c>
      <c r="FE7" s="394">
        <v>8.0</v>
      </c>
      <c r="FF7" s="394">
        <v>8.0</v>
      </c>
      <c r="FG7" s="394" t="s">
        <v>165</v>
      </c>
      <c r="FH7" s="394" t="s">
        <v>165</v>
      </c>
      <c r="FI7" s="394">
        <v>8.0</v>
      </c>
      <c r="FJ7" s="394">
        <v>8.0</v>
      </c>
      <c r="FK7" s="394">
        <v>8.0</v>
      </c>
      <c r="FL7" s="394">
        <v>8.0</v>
      </c>
      <c r="FM7" s="407">
        <f t="shared" si="9"/>
        <v>168</v>
      </c>
      <c r="FO7" s="394">
        <v>8.0</v>
      </c>
      <c r="FP7" s="394" t="s">
        <v>165</v>
      </c>
      <c r="FQ7" s="394" t="s">
        <v>165</v>
      </c>
      <c r="FR7" s="394">
        <v>9.0</v>
      </c>
      <c r="FS7" s="394">
        <v>8.5</v>
      </c>
      <c r="FT7" s="394">
        <v>8.0</v>
      </c>
      <c r="FU7" s="394">
        <v>8.0</v>
      </c>
      <c r="FV7" s="394" t="s">
        <v>171</v>
      </c>
      <c r="FW7" s="394" t="s">
        <v>165</v>
      </c>
      <c r="FX7" s="394" t="s">
        <v>165</v>
      </c>
      <c r="FY7" s="394" t="s">
        <v>171</v>
      </c>
      <c r="FZ7" s="394">
        <v>8.0</v>
      </c>
      <c r="GA7" s="394">
        <v>8.0</v>
      </c>
      <c r="GB7" s="394">
        <v>8.0</v>
      </c>
      <c r="GC7" s="394">
        <v>7.5</v>
      </c>
      <c r="GD7" s="394" t="s">
        <v>165</v>
      </c>
      <c r="GE7" s="394" t="s">
        <v>165</v>
      </c>
      <c r="GF7" s="394">
        <v>8.0</v>
      </c>
      <c r="GG7" s="394">
        <v>8.0</v>
      </c>
      <c r="GH7" s="394">
        <v>8.0</v>
      </c>
      <c r="GI7" s="394">
        <v>8.0</v>
      </c>
      <c r="GJ7" s="394">
        <v>8.0</v>
      </c>
      <c r="GK7" s="394" t="s">
        <v>165</v>
      </c>
      <c r="GL7" s="394" t="s">
        <v>165</v>
      </c>
      <c r="GM7" s="394">
        <v>8.0</v>
      </c>
      <c r="GN7" s="394">
        <v>8.0</v>
      </c>
      <c r="GO7" s="394">
        <v>8.0</v>
      </c>
      <c r="GP7" s="394">
        <v>8.0</v>
      </c>
      <c r="GQ7" s="394">
        <v>8.0</v>
      </c>
      <c r="GR7" s="394" t="s">
        <v>165</v>
      </c>
      <c r="GS7" s="394" t="s">
        <v>165</v>
      </c>
      <c r="GT7" s="400">
        <f t="shared" si="10"/>
        <v>153</v>
      </c>
      <c r="GV7" s="394">
        <v>8.0</v>
      </c>
      <c r="GW7" s="394">
        <v>8.0</v>
      </c>
      <c r="GX7" s="394">
        <v>8.0</v>
      </c>
      <c r="GY7" s="394">
        <v>8.0</v>
      </c>
      <c r="GZ7" s="394">
        <v>8.0</v>
      </c>
      <c r="HA7" s="394" t="s">
        <v>165</v>
      </c>
      <c r="HB7" s="394" t="s">
        <v>165</v>
      </c>
      <c r="HC7" s="394">
        <v>8.0</v>
      </c>
      <c r="HD7" s="394">
        <v>8.0</v>
      </c>
      <c r="HE7" s="394">
        <v>8.0</v>
      </c>
      <c r="HF7" s="394">
        <v>8.0</v>
      </c>
      <c r="HG7" s="394">
        <v>8.0</v>
      </c>
      <c r="HH7" s="394" t="s">
        <v>165</v>
      </c>
      <c r="HI7" s="394" t="s">
        <v>165</v>
      </c>
      <c r="HJ7" s="394">
        <v>8.0</v>
      </c>
      <c r="HK7" s="394">
        <v>8.0</v>
      </c>
      <c r="HL7" s="394">
        <v>8.0</v>
      </c>
      <c r="HM7" s="394">
        <v>8.0</v>
      </c>
      <c r="HN7" s="394">
        <v>8.0</v>
      </c>
      <c r="HO7" s="394" t="s">
        <v>165</v>
      </c>
      <c r="HP7" s="394" t="s">
        <v>165</v>
      </c>
      <c r="HQ7" s="394" t="s">
        <v>171</v>
      </c>
      <c r="HR7" s="394">
        <v>8.0</v>
      </c>
      <c r="HS7" s="394">
        <v>8.0</v>
      </c>
      <c r="HT7" s="394">
        <v>8.0</v>
      </c>
      <c r="HU7" s="394">
        <v>8.0</v>
      </c>
      <c r="HV7" s="394" t="s">
        <v>165</v>
      </c>
      <c r="HW7" s="394" t="s">
        <v>165</v>
      </c>
      <c r="HX7" s="394">
        <v>8.0</v>
      </c>
      <c r="HY7" s="394">
        <v>8.0</v>
      </c>
      <c r="HZ7" s="400">
        <f t="shared" si="2"/>
        <v>168</v>
      </c>
      <c r="IB7" s="394">
        <v>8.0</v>
      </c>
      <c r="IC7" s="394">
        <v>8.0</v>
      </c>
      <c r="ID7" s="394">
        <v>8.0</v>
      </c>
      <c r="IE7" s="394" t="s">
        <v>165</v>
      </c>
      <c r="IF7" s="394" t="s">
        <v>165</v>
      </c>
      <c r="IG7" s="394">
        <v>8.0</v>
      </c>
      <c r="IH7" s="394">
        <v>8.0</v>
      </c>
      <c r="II7" s="394" t="s">
        <v>171</v>
      </c>
      <c r="IJ7" s="394">
        <v>8.0</v>
      </c>
      <c r="IK7" s="394">
        <v>8.0</v>
      </c>
      <c r="IL7" s="394" t="s">
        <v>165</v>
      </c>
      <c r="IM7" s="394" t="s">
        <v>165</v>
      </c>
      <c r="IN7" s="394">
        <v>8.0</v>
      </c>
      <c r="IO7" s="394">
        <v>8.0</v>
      </c>
      <c r="IP7" s="394">
        <v>8.0</v>
      </c>
      <c r="IQ7" s="394">
        <v>8.0</v>
      </c>
      <c r="IR7" s="394">
        <v>8.0</v>
      </c>
      <c r="IS7" s="394" t="s">
        <v>165</v>
      </c>
      <c r="IT7" s="394" t="s">
        <v>165</v>
      </c>
      <c r="IU7" s="394">
        <v>8.0</v>
      </c>
      <c r="IV7" s="394">
        <v>8.0</v>
      </c>
      <c r="IW7" s="394">
        <v>8.0</v>
      </c>
      <c r="IX7" s="394">
        <v>8.0</v>
      </c>
      <c r="IY7" s="394">
        <v>8.0</v>
      </c>
      <c r="IZ7" s="394" t="s">
        <v>165</v>
      </c>
      <c r="JA7" s="394" t="s">
        <v>165</v>
      </c>
      <c r="JB7" s="394">
        <v>8.0</v>
      </c>
      <c r="JC7" s="394">
        <v>8.0</v>
      </c>
      <c r="JD7" s="394">
        <v>8.0</v>
      </c>
      <c r="JE7" s="394">
        <v>8.0</v>
      </c>
      <c r="JF7" s="394">
        <v>8.0</v>
      </c>
      <c r="JG7" s="400">
        <f t="shared" si="3"/>
        <v>176</v>
      </c>
      <c r="JI7" s="394" t="s">
        <v>165</v>
      </c>
      <c r="JJ7" s="394" t="s">
        <v>165</v>
      </c>
      <c r="JK7" s="394">
        <v>8.0</v>
      </c>
      <c r="JL7" s="394">
        <v>8.0</v>
      </c>
      <c r="JM7" s="394">
        <v>8.0</v>
      </c>
      <c r="JN7" s="394">
        <v>8.0</v>
      </c>
      <c r="JO7" s="394">
        <v>8.0</v>
      </c>
      <c r="JP7" s="394" t="s">
        <v>165</v>
      </c>
      <c r="JQ7" s="394" t="s">
        <v>165</v>
      </c>
      <c r="JR7" s="394">
        <v>8.0</v>
      </c>
      <c r="JS7" s="394">
        <v>8.0</v>
      </c>
      <c r="JT7" s="394">
        <v>8.0</v>
      </c>
      <c r="JU7" s="394">
        <v>8.0</v>
      </c>
      <c r="JV7" s="394">
        <v>8.0</v>
      </c>
      <c r="JW7" s="394" t="s">
        <v>165</v>
      </c>
      <c r="JX7" s="394" t="s">
        <v>165</v>
      </c>
      <c r="JY7" s="394">
        <v>8.0</v>
      </c>
      <c r="JZ7" s="394">
        <v>8.0</v>
      </c>
      <c r="KA7" s="394">
        <v>8.0</v>
      </c>
      <c r="KB7" s="394">
        <v>8.0</v>
      </c>
      <c r="KC7" s="394">
        <v>8.0</v>
      </c>
      <c r="KD7" s="394" t="s">
        <v>165</v>
      </c>
      <c r="KE7" s="394" t="s">
        <v>165</v>
      </c>
      <c r="KF7" s="394">
        <v>8.0</v>
      </c>
      <c r="KG7" s="394">
        <v>8.0</v>
      </c>
      <c r="KH7" s="394">
        <v>8.0</v>
      </c>
      <c r="KI7" s="394">
        <v>8.0</v>
      </c>
      <c r="KJ7" s="394">
        <v>8.0</v>
      </c>
      <c r="KK7" s="394" t="s">
        <v>165</v>
      </c>
      <c r="KL7" s="394" t="s">
        <v>165</v>
      </c>
      <c r="KM7" s="394">
        <v>8.0</v>
      </c>
      <c r="KN7" s="145">
        <f t="shared" si="4"/>
        <v>168</v>
      </c>
      <c r="KP7" s="398"/>
      <c r="KQ7" s="398"/>
      <c r="KR7" s="398"/>
      <c r="KS7" s="398"/>
      <c r="KT7" s="398"/>
      <c r="KU7" s="398"/>
      <c r="KV7" s="398"/>
      <c r="KW7" s="398"/>
      <c r="KX7" s="398"/>
      <c r="KY7" s="398"/>
      <c r="KZ7" s="398"/>
      <c r="LA7" s="398"/>
      <c r="LB7" s="398"/>
      <c r="LC7" s="398"/>
      <c r="LD7" s="398"/>
      <c r="LE7" s="398"/>
      <c r="LF7" s="398"/>
      <c r="LG7" s="398"/>
      <c r="LH7" s="398"/>
      <c r="LI7" s="398"/>
      <c r="LJ7" s="398"/>
      <c r="LK7" s="398"/>
      <c r="LL7" s="398"/>
      <c r="LM7" s="398"/>
      <c r="LN7" s="398"/>
      <c r="LO7" s="398"/>
      <c r="LP7" s="398"/>
      <c r="LQ7" s="398"/>
      <c r="LR7" s="398"/>
      <c r="LT7" s="398"/>
      <c r="LU7" s="398"/>
      <c r="LV7" s="398"/>
      <c r="LW7" s="398"/>
      <c r="LX7" s="398"/>
      <c r="LY7" s="398"/>
      <c r="LZ7" s="398"/>
      <c r="MA7" s="398"/>
      <c r="MB7" s="398"/>
      <c r="MC7" s="398"/>
      <c r="MD7" s="398"/>
      <c r="ME7" s="398"/>
      <c r="MF7" s="398"/>
      <c r="MG7" s="398"/>
      <c r="MH7" s="398"/>
      <c r="MI7" s="398"/>
      <c r="MJ7" s="398"/>
      <c r="MK7" s="398"/>
      <c r="ML7" s="398"/>
      <c r="MM7" s="398"/>
      <c r="MN7" s="398"/>
      <c r="MO7" s="398"/>
      <c r="MP7" s="398"/>
      <c r="MQ7" s="398"/>
      <c r="MR7" s="398"/>
      <c r="MS7" s="398"/>
    </row>
    <row r="8" ht="16.5" customHeight="1">
      <c r="A8" s="409" t="s">
        <v>356</v>
      </c>
      <c r="B8" s="394" t="s">
        <v>969</v>
      </c>
      <c r="C8" s="394" t="s">
        <v>98</v>
      </c>
      <c r="D8" s="395">
        <f t="shared" si="1"/>
        <v>34</v>
      </c>
      <c r="E8" s="396" t="s">
        <v>1250</v>
      </c>
      <c r="F8" s="400">
        <f>IFERROR(__xludf.DUMMYFUNCTION("IF(A8="""","""", counta(filter(Filter(FILTER($H$4:$SH76,$H$1:$SH$1&lt;today()),$A$4:$A76=A8),not(istext(Filter(FILTER($H$4:$SH76,$H$1:$SH$1&lt;today()),$A$4:$A76=A8))),not(Filter(FILTER($H$4:$SH76,$H$1:$SH$1&lt;today()),$A$4:$A76=A8)=0),Filter(FILTER($H$4:$SH76,$H"&amp;"$1:$SH$1&lt;today()),$A$4:$A76=A8)&lt;23)))"),163.0)</f>
        <v>163</v>
      </c>
      <c r="H8" s="394" t="s">
        <v>166</v>
      </c>
      <c r="I8" s="394" t="s">
        <v>166</v>
      </c>
      <c r="J8" s="394" t="s">
        <v>166</v>
      </c>
      <c r="K8" s="394" t="s">
        <v>166</v>
      </c>
      <c r="L8" s="394" t="s">
        <v>166</v>
      </c>
      <c r="M8" s="394" t="s">
        <v>166</v>
      </c>
      <c r="N8" s="394" t="s">
        <v>166</v>
      </c>
      <c r="O8" s="394" t="s">
        <v>166</v>
      </c>
      <c r="P8" s="394" t="s">
        <v>166</v>
      </c>
      <c r="Q8" s="394" t="s">
        <v>166</v>
      </c>
      <c r="R8" s="394" t="s">
        <v>166</v>
      </c>
      <c r="S8" s="394" t="s">
        <v>166</v>
      </c>
      <c r="T8" s="394" t="s">
        <v>166</v>
      </c>
      <c r="U8" s="394" t="s">
        <v>166</v>
      </c>
      <c r="V8" s="394" t="s">
        <v>166</v>
      </c>
      <c r="W8" s="394" t="s">
        <v>166</v>
      </c>
      <c r="X8" s="410">
        <v>8.0</v>
      </c>
      <c r="Y8" s="410">
        <v>8.0</v>
      </c>
      <c r="Z8" s="410">
        <v>8.0</v>
      </c>
      <c r="AA8" s="410">
        <v>8.0</v>
      </c>
      <c r="AB8" s="410">
        <v>8.0</v>
      </c>
      <c r="AC8" s="394" t="s">
        <v>165</v>
      </c>
      <c r="AD8" s="394" t="s">
        <v>165</v>
      </c>
      <c r="AE8" s="410">
        <v>8.0</v>
      </c>
      <c r="AF8" s="410">
        <v>8.0</v>
      </c>
      <c r="AG8" s="410">
        <v>8.0</v>
      </c>
      <c r="AH8" s="410">
        <v>8.0</v>
      </c>
      <c r="AI8" s="410">
        <v>8.0</v>
      </c>
      <c r="AJ8" s="394" t="s">
        <v>165</v>
      </c>
      <c r="AK8" s="394" t="s">
        <v>165</v>
      </c>
      <c r="AL8" s="410">
        <v>8.0</v>
      </c>
      <c r="AM8" s="405">
        <f t="shared" si="5"/>
        <v>88</v>
      </c>
      <c r="AO8" s="394">
        <v>8.0</v>
      </c>
      <c r="AP8" s="394">
        <v>8.0</v>
      </c>
      <c r="AQ8" s="394">
        <v>8.0</v>
      </c>
      <c r="AR8" s="394">
        <v>8.0</v>
      </c>
      <c r="AS8" s="394" t="s">
        <v>165</v>
      </c>
      <c r="AT8" s="394" t="s">
        <v>165</v>
      </c>
      <c r="AU8" s="394">
        <v>8.0</v>
      </c>
      <c r="AV8" s="394">
        <v>8.0</v>
      </c>
      <c r="AW8" s="394">
        <v>8.0</v>
      </c>
      <c r="AX8" s="394">
        <v>8.0</v>
      </c>
      <c r="AY8" s="394">
        <v>8.0</v>
      </c>
      <c r="AZ8" s="394" t="s">
        <v>165</v>
      </c>
      <c r="BA8" s="394" t="s">
        <v>165</v>
      </c>
      <c r="BB8" s="394">
        <v>8.0</v>
      </c>
      <c r="BC8" s="394">
        <v>8.0</v>
      </c>
      <c r="BD8" s="394">
        <v>8.0</v>
      </c>
      <c r="BE8" s="394" t="s">
        <v>165</v>
      </c>
      <c r="BF8" s="394">
        <v>8.0</v>
      </c>
      <c r="BG8" s="394" t="s">
        <v>165</v>
      </c>
      <c r="BH8" s="394">
        <v>8.0</v>
      </c>
      <c r="BI8" s="394">
        <v>8.0</v>
      </c>
      <c r="BJ8" s="394">
        <v>8.0</v>
      </c>
      <c r="BK8" s="394">
        <v>8.0</v>
      </c>
      <c r="BL8" s="394">
        <v>8.0</v>
      </c>
      <c r="BM8" s="394">
        <v>8.0</v>
      </c>
      <c r="BN8" s="394" t="s">
        <v>165</v>
      </c>
      <c r="BO8" s="394" t="s">
        <v>165</v>
      </c>
      <c r="BP8" s="394">
        <v>8.0</v>
      </c>
      <c r="BQ8" s="394">
        <v>8.0</v>
      </c>
      <c r="BR8" s="394">
        <v>8.0</v>
      </c>
      <c r="BS8" s="406">
        <f t="shared" si="6"/>
        <v>176</v>
      </c>
      <c r="BU8" s="394">
        <v>8.0</v>
      </c>
      <c r="BV8" s="394">
        <v>8.0</v>
      </c>
      <c r="BW8" s="394" t="s">
        <v>165</v>
      </c>
      <c r="BX8" s="394" t="s">
        <v>165</v>
      </c>
      <c r="BY8" s="394">
        <v>8.0</v>
      </c>
      <c r="BZ8" s="394">
        <v>8.0</v>
      </c>
      <c r="CA8" s="394">
        <v>8.0</v>
      </c>
      <c r="CB8" s="394">
        <v>8.0</v>
      </c>
      <c r="CC8" s="394">
        <v>8.0</v>
      </c>
      <c r="CD8" s="394" t="s">
        <v>165</v>
      </c>
      <c r="CE8" s="394" t="s">
        <v>165</v>
      </c>
      <c r="CF8" s="394">
        <v>8.0</v>
      </c>
      <c r="CG8" s="394">
        <v>8.0</v>
      </c>
      <c r="CH8" s="394">
        <v>8.0</v>
      </c>
      <c r="CI8" s="394">
        <v>8.0</v>
      </c>
      <c r="CJ8" s="394">
        <v>8.0</v>
      </c>
      <c r="CK8" s="394" t="s">
        <v>165</v>
      </c>
      <c r="CL8" s="394" t="s">
        <v>165</v>
      </c>
      <c r="CM8" s="394">
        <v>8.0</v>
      </c>
      <c r="CN8" s="394">
        <v>8.0</v>
      </c>
      <c r="CO8" s="394">
        <v>8.0</v>
      </c>
      <c r="CP8" s="394">
        <v>8.0</v>
      </c>
      <c r="CQ8" s="394">
        <v>8.0</v>
      </c>
      <c r="CR8" s="394" t="s">
        <v>165</v>
      </c>
      <c r="CS8" s="394" t="s">
        <v>165</v>
      </c>
      <c r="CT8" s="394">
        <v>8.0</v>
      </c>
      <c r="CU8" s="394">
        <v>8.0</v>
      </c>
      <c r="CV8" s="394">
        <v>8.0</v>
      </c>
      <c r="CW8" s="394">
        <v>8.0</v>
      </c>
      <c r="CX8" s="394">
        <v>8.0</v>
      </c>
      <c r="CY8" s="394" t="s">
        <v>165</v>
      </c>
      <c r="CZ8" s="400">
        <f t="shared" si="7"/>
        <v>176</v>
      </c>
      <c r="DB8" s="394" t="s">
        <v>165</v>
      </c>
      <c r="DC8" s="394">
        <v>8.0</v>
      </c>
      <c r="DD8" s="394">
        <v>8.0</v>
      </c>
      <c r="DE8" s="394">
        <v>8.0</v>
      </c>
      <c r="DF8" s="394">
        <v>8.0</v>
      </c>
      <c r="DG8" s="394">
        <v>8.0</v>
      </c>
      <c r="DH8" s="394" t="s">
        <v>165</v>
      </c>
      <c r="DI8" s="394">
        <v>8.0</v>
      </c>
      <c r="DJ8" s="394" t="s">
        <v>245</v>
      </c>
      <c r="DK8" s="394">
        <v>8.0</v>
      </c>
      <c r="DL8" s="394">
        <v>8.0</v>
      </c>
      <c r="DM8" s="394">
        <v>8.0</v>
      </c>
      <c r="DN8" s="394">
        <v>8.0</v>
      </c>
      <c r="DO8" s="394" t="s">
        <v>165</v>
      </c>
      <c r="DP8" s="394" t="s">
        <v>165</v>
      </c>
      <c r="DQ8" s="394">
        <v>8.0</v>
      </c>
      <c r="DR8" s="394">
        <v>8.0</v>
      </c>
      <c r="DS8" s="394">
        <v>8.0</v>
      </c>
      <c r="DT8" s="394">
        <v>8.0</v>
      </c>
      <c r="DU8" s="394">
        <v>8.0</v>
      </c>
      <c r="DV8" s="394" t="s">
        <v>165</v>
      </c>
      <c r="DW8" s="394" t="s">
        <v>165</v>
      </c>
      <c r="DX8" s="394">
        <v>8.0</v>
      </c>
      <c r="DY8" s="394">
        <v>8.0</v>
      </c>
      <c r="DZ8" s="394">
        <v>8.0</v>
      </c>
      <c r="EA8" s="394">
        <v>8.0</v>
      </c>
      <c r="EB8" s="394">
        <v>8.0</v>
      </c>
      <c r="EC8" s="394" t="s">
        <v>165</v>
      </c>
      <c r="ED8" s="394" t="s">
        <v>165</v>
      </c>
      <c r="EE8" s="394">
        <v>8.0</v>
      </c>
      <c r="EF8" s="394">
        <v>8.0</v>
      </c>
      <c r="EG8" s="407">
        <f t="shared" si="8"/>
        <v>176</v>
      </c>
      <c r="EI8" s="394">
        <v>8.0</v>
      </c>
      <c r="EJ8" s="394">
        <v>8.0</v>
      </c>
      <c r="EK8" s="394">
        <v>8.0</v>
      </c>
      <c r="EL8" s="394" t="s">
        <v>165</v>
      </c>
      <c r="EM8" s="394" t="s">
        <v>165</v>
      </c>
      <c r="EN8" s="394">
        <v>8.0</v>
      </c>
      <c r="EO8" s="394">
        <v>8.0</v>
      </c>
      <c r="EP8" s="394">
        <v>8.0</v>
      </c>
      <c r="EQ8" s="394">
        <v>8.0</v>
      </c>
      <c r="ER8" s="394">
        <v>8.0</v>
      </c>
      <c r="ES8" s="394" t="s">
        <v>165</v>
      </c>
      <c r="ET8" s="394" t="s">
        <v>165</v>
      </c>
      <c r="EU8" s="394">
        <v>8.0</v>
      </c>
      <c r="EV8" s="394">
        <v>8.0</v>
      </c>
      <c r="EW8" s="394" t="s">
        <v>245</v>
      </c>
      <c r="EX8" s="394">
        <v>8.0</v>
      </c>
      <c r="EY8" s="394">
        <v>8.0</v>
      </c>
      <c r="EZ8" s="394">
        <v>8.0</v>
      </c>
      <c r="FA8" s="394" t="s">
        <v>165</v>
      </c>
      <c r="FB8" s="394">
        <v>8.0</v>
      </c>
      <c r="FC8" s="394">
        <v>8.0</v>
      </c>
      <c r="FD8" s="394">
        <v>8.0</v>
      </c>
      <c r="FE8" s="394">
        <v>8.0</v>
      </c>
      <c r="FF8" s="394">
        <v>8.0</v>
      </c>
      <c r="FG8" s="394" t="s">
        <v>165</v>
      </c>
      <c r="FH8" s="394" t="s">
        <v>165</v>
      </c>
      <c r="FI8" s="394">
        <v>8.0</v>
      </c>
      <c r="FJ8" s="394">
        <v>8.0</v>
      </c>
      <c r="FK8" s="394">
        <v>8.0</v>
      </c>
      <c r="FL8" s="394">
        <v>8.0</v>
      </c>
      <c r="FM8" s="407">
        <f t="shared" si="9"/>
        <v>176</v>
      </c>
      <c r="FO8" s="394">
        <v>8.0</v>
      </c>
      <c r="FP8" s="394" t="s">
        <v>165</v>
      </c>
      <c r="FQ8" s="394" t="s">
        <v>165</v>
      </c>
      <c r="FR8" s="394">
        <v>8.0</v>
      </c>
      <c r="FS8" s="394">
        <v>8.0</v>
      </c>
      <c r="FT8" s="394">
        <v>8.0</v>
      </c>
      <c r="FU8" s="394">
        <v>8.0</v>
      </c>
      <c r="FV8" s="394">
        <v>8.0</v>
      </c>
      <c r="FW8" s="394" t="s">
        <v>165</v>
      </c>
      <c r="FX8" s="394" t="s">
        <v>165</v>
      </c>
      <c r="FY8" s="394">
        <v>8.0</v>
      </c>
      <c r="FZ8" s="394">
        <v>8.0</v>
      </c>
      <c r="GA8" s="394">
        <v>8.0</v>
      </c>
      <c r="GB8" s="394">
        <v>8.0</v>
      </c>
      <c r="GC8" s="394">
        <v>8.0</v>
      </c>
      <c r="GD8" s="394" t="s">
        <v>165</v>
      </c>
      <c r="GE8" s="394" t="s">
        <v>165</v>
      </c>
      <c r="GF8" s="394">
        <v>8.0</v>
      </c>
      <c r="GG8" s="394">
        <v>8.0</v>
      </c>
      <c r="GH8" s="394">
        <v>8.0</v>
      </c>
      <c r="GI8" s="394">
        <v>8.0</v>
      </c>
      <c r="GJ8" s="394">
        <v>8.0</v>
      </c>
      <c r="GK8" s="394" t="s">
        <v>165</v>
      </c>
      <c r="GL8" s="394" t="s">
        <v>165</v>
      </c>
      <c r="GM8" s="394">
        <v>8.0</v>
      </c>
      <c r="GN8" s="394">
        <v>8.0</v>
      </c>
      <c r="GO8" s="394">
        <v>8.0</v>
      </c>
      <c r="GP8" s="394">
        <v>8.0</v>
      </c>
      <c r="GQ8" s="394">
        <v>8.0</v>
      </c>
      <c r="GR8" s="394" t="s">
        <v>165</v>
      </c>
      <c r="GS8" s="394" t="s">
        <v>165</v>
      </c>
      <c r="GT8" s="400">
        <f t="shared" si="10"/>
        <v>168</v>
      </c>
      <c r="GV8" s="394">
        <v>8.0</v>
      </c>
      <c r="GW8" s="394">
        <v>8.0</v>
      </c>
      <c r="GX8" s="394">
        <v>8.0</v>
      </c>
      <c r="GY8" s="394">
        <v>8.0</v>
      </c>
      <c r="GZ8" s="394">
        <v>8.0</v>
      </c>
      <c r="HA8" s="394" t="s">
        <v>165</v>
      </c>
      <c r="HB8" s="394" t="s">
        <v>165</v>
      </c>
      <c r="HC8" s="394">
        <v>8.0</v>
      </c>
      <c r="HD8" s="394">
        <v>8.0</v>
      </c>
      <c r="HE8" s="394">
        <v>8.0</v>
      </c>
      <c r="HF8" s="394">
        <v>8.0</v>
      </c>
      <c r="HG8" s="394" t="s">
        <v>245</v>
      </c>
      <c r="HH8" s="394" t="s">
        <v>165</v>
      </c>
      <c r="HI8" s="394" t="s">
        <v>165</v>
      </c>
      <c r="HJ8" s="394">
        <v>8.0</v>
      </c>
      <c r="HK8" s="394">
        <v>8.0</v>
      </c>
      <c r="HL8" s="394">
        <v>8.0</v>
      </c>
      <c r="HM8" s="394">
        <v>8.0</v>
      </c>
      <c r="HN8" s="394">
        <v>8.0</v>
      </c>
      <c r="HO8" s="394" t="s">
        <v>165</v>
      </c>
      <c r="HP8" s="394" t="s">
        <v>165</v>
      </c>
      <c r="HQ8" s="394">
        <v>8.0</v>
      </c>
      <c r="HR8" s="394">
        <v>4.0</v>
      </c>
      <c r="HS8" s="394">
        <v>8.0</v>
      </c>
      <c r="HT8" s="394" t="s">
        <v>245</v>
      </c>
      <c r="HU8" s="394">
        <v>8.0</v>
      </c>
      <c r="HV8" s="394">
        <v>8.0</v>
      </c>
      <c r="HW8" s="394" t="s">
        <v>165</v>
      </c>
      <c r="HX8" s="394">
        <v>8.0</v>
      </c>
      <c r="HY8" s="394">
        <v>8.0</v>
      </c>
      <c r="HZ8" s="400">
        <f t="shared" si="2"/>
        <v>164</v>
      </c>
      <c r="IB8" s="394">
        <v>8.0</v>
      </c>
      <c r="IC8" s="394">
        <v>8.0</v>
      </c>
      <c r="ID8" s="394">
        <v>8.0</v>
      </c>
      <c r="IE8" s="394" t="s">
        <v>165</v>
      </c>
      <c r="IF8" s="394" t="s">
        <v>165</v>
      </c>
      <c r="IG8" s="394" t="s">
        <v>245</v>
      </c>
      <c r="IH8" s="394">
        <v>8.0</v>
      </c>
      <c r="II8" s="394">
        <v>8.0</v>
      </c>
      <c r="IJ8" s="394">
        <v>8.0</v>
      </c>
      <c r="IK8" s="394">
        <v>8.0</v>
      </c>
      <c r="IL8" s="394" t="s">
        <v>165</v>
      </c>
      <c r="IM8" s="394" t="s">
        <v>165</v>
      </c>
      <c r="IN8" s="394">
        <v>8.0</v>
      </c>
      <c r="IO8" s="394">
        <v>8.0</v>
      </c>
      <c r="IP8" s="394">
        <v>8.0</v>
      </c>
      <c r="IQ8" s="394">
        <v>8.0</v>
      </c>
      <c r="IR8" s="394">
        <v>8.0</v>
      </c>
      <c r="IS8" s="394" t="s">
        <v>165</v>
      </c>
      <c r="IT8" s="394" t="s">
        <v>165</v>
      </c>
      <c r="IU8" s="394">
        <v>4.0</v>
      </c>
      <c r="IV8" s="394">
        <v>8.0</v>
      </c>
      <c r="IW8" s="394">
        <v>8.0</v>
      </c>
      <c r="IX8" s="394">
        <v>8.0</v>
      </c>
      <c r="IY8" s="394">
        <v>8.0</v>
      </c>
      <c r="IZ8" s="394" t="s">
        <v>165</v>
      </c>
      <c r="JA8" s="394" t="s">
        <v>165</v>
      </c>
      <c r="JB8" s="394">
        <v>8.0</v>
      </c>
      <c r="JC8" s="394">
        <v>8.0</v>
      </c>
      <c r="JD8" s="394">
        <v>8.0</v>
      </c>
      <c r="JE8" s="394">
        <v>8.0</v>
      </c>
      <c r="JF8" s="394" t="s">
        <v>245</v>
      </c>
      <c r="JG8" s="400">
        <f t="shared" si="3"/>
        <v>164</v>
      </c>
      <c r="JI8" s="394" t="s">
        <v>165</v>
      </c>
      <c r="JJ8" s="394" t="s">
        <v>165</v>
      </c>
      <c r="JK8" s="394">
        <v>8.0</v>
      </c>
      <c r="JL8" s="394">
        <v>8.0</v>
      </c>
      <c r="JM8" s="394">
        <v>8.0</v>
      </c>
      <c r="JN8" s="394">
        <v>8.0</v>
      </c>
      <c r="JO8" s="394" t="s">
        <v>245</v>
      </c>
      <c r="JP8" s="394">
        <v>8.0</v>
      </c>
      <c r="JQ8" s="394" t="s">
        <v>165</v>
      </c>
      <c r="JR8" s="394">
        <v>8.0</v>
      </c>
      <c r="JS8" s="394">
        <v>8.0</v>
      </c>
      <c r="JT8" s="394">
        <v>8.0</v>
      </c>
      <c r="JU8" s="394">
        <v>8.0</v>
      </c>
      <c r="JV8" s="394">
        <v>8.0</v>
      </c>
      <c r="JW8" s="394" t="s">
        <v>165</v>
      </c>
      <c r="JX8" s="394" t="s">
        <v>165</v>
      </c>
      <c r="JY8" s="394">
        <v>8.0</v>
      </c>
      <c r="JZ8" s="394">
        <v>8.0</v>
      </c>
      <c r="KA8" s="394">
        <v>8.0</v>
      </c>
      <c r="KB8" s="394">
        <v>8.0</v>
      </c>
      <c r="KC8" s="394">
        <v>8.0</v>
      </c>
      <c r="KD8" s="394" t="s">
        <v>165</v>
      </c>
      <c r="KE8" s="394" t="s">
        <v>165</v>
      </c>
      <c r="KF8" s="394">
        <v>8.0</v>
      </c>
      <c r="KG8" s="394">
        <v>8.0</v>
      </c>
      <c r="KH8" s="394">
        <v>8.0</v>
      </c>
      <c r="KI8" s="394">
        <v>8.0</v>
      </c>
      <c r="KJ8" s="394">
        <v>8.0</v>
      </c>
      <c r="KK8" s="394" t="s">
        <v>165</v>
      </c>
      <c r="KL8" s="394" t="s">
        <v>165</v>
      </c>
      <c r="KM8" s="394">
        <v>8.0</v>
      </c>
      <c r="KN8" s="145">
        <f t="shared" si="4"/>
        <v>168</v>
      </c>
      <c r="KP8" s="398"/>
      <c r="KQ8" s="398"/>
      <c r="KR8" s="398"/>
      <c r="KS8" s="398"/>
      <c r="KT8" s="398"/>
      <c r="KU8" s="398"/>
      <c r="KV8" s="398"/>
      <c r="KW8" s="398"/>
      <c r="KX8" s="398"/>
      <c r="KY8" s="398"/>
      <c r="KZ8" s="398"/>
      <c r="LA8" s="398"/>
      <c r="LB8" s="398"/>
      <c r="LC8" s="398"/>
      <c r="LD8" s="398"/>
      <c r="LE8" s="398"/>
      <c r="LF8" s="398"/>
      <c r="LG8" s="398"/>
      <c r="LH8" s="398"/>
      <c r="LI8" s="398"/>
      <c r="LJ8" s="398"/>
      <c r="LK8" s="398"/>
      <c r="LL8" s="398"/>
      <c r="LM8" s="398"/>
      <c r="LN8" s="398"/>
      <c r="LO8" s="398"/>
      <c r="LP8" s="398"/>
      <c r="LQ8" s="398"/>
      <c r="LR8" s="398"/>
      <c r="LT8" s="398"/>
      <c r="LU8" s="398"/>
      <c r="LV8" s="398"/>
      <c r="LW8" s="398"/>
      <c r="LX8" s="398"/>
      <c r="LY8" s="398"/>
      <c r="LZ8" s="398"/>
      <c r="MA8" s="398"/>
      <c r="MB8" s="398"/>
      <c r="MC8" s="398"/>
      <c r="MD8" s="398"/>
      <c r="ME8" s="398"/>
      <c r="MF8" s="398"/>
      <c r="MG8" s="398"/>
      <c r="MH8" s="398"/>
      <c r="MI8" s="398"/>
      <c r="MJ8" s="398"/>
      <c r="MK8" s="398"/>
      <c r="ML8" s="398"/>
      <c r="MM8" s="398"/>
      <c r="MN8" s="398"/>
      <c r="MO8" s="398"/>
      <c r="MP8" s="398"/>
      <c r="MQ8" s="398"/>
      <c r="MR8" s="398"/>
      <c r="MS8" s="398"/>
    </row>
    <row r="9" ht="16.5" customHeight="1">
      <c r="A9" s="393" t="s">
        <v>1257</v>
      </c>
      <c r="B9" s="394" t="s">
        <v>88</v>
      </c>
      <c r="C9" s="394" t="s">
        <v>98</v>
      </c>
      <c r="D9" s="395">
        <f t="shared" si="1"/>
        <v>30</v>
      </c>
      <c r="E9" s="396" t="s">
        <v>1250</v>
      </c>
      <c r="F9" s="400">
        <f>IFERROR(__xludf.DUMMYFUNCTION("IF(A9="""","""", counta(filter(Filter(FILTER($H$4:$SH76,$H$1:$SH$1&lt;today()),$A$4:$A76=A9),not(istext(Filter(FILTER($H$4:$SH76,$H$1:$SH$1&lt;today()),$A$4:$A76=A9))),not(Filter(FILTER($H$4:$SH76,$H$1:$SH$1&lt;today()),$A$4:$A76=A9)=0),Filter(FILTER($H$4:$SH76,$H"&amp;"$1:$SH$1&lt;today()),$A$4:$A76=A9)&lt;23)))"),156.0)</f>
        <v>156</v>
      </c>
      <c r="H9" s="394" t="s">
        <v>166</v>
      </c>
      <c r="I9" s="394" t="s">
        <v>166</v>
      </c>
      <c r="J9" s="394" t="s">
        <v>166</v>
      </c>
      <c r="K9" s="394" t="s">
        <v>166</v>
      </c>
      <c r="L9" s="394" t="s">
        <v>166</v>
      </c>
      <c r="M9" s="394" t="s">
        <v>166</v>
      </c>
      <c r="N9" s="394" t="s">
        <v>166</v>
      </c>
      <c r="O9" s="394" t="s">
        <v>166</v>
      </c>
      <c r="P9" s="394" t="s">
        <v>166</v>
      </c>
      <c r="Q9" s="394" t="s">
        <v>166</v>
      </c>
      <c r="R9" s="394" t="s">
        <v>166</v>
      </c>
      <c r="S9" s="394" t="s">
        <v>166</v>
      </c>
      <c r="T9" s="394" t="s">
        <v>166</v>
      </c>
      <c r="U9" s="394" t="s">
        <v>166</v>
      </c>
      <c r="V9" s="394" t="s">
        <v>166</v>
      </c>
      <c r="W9" s="394" t="s">
        <v>166</v>
      </c>
      <c r="X9" s="394" t="s">
        <v>166</v>
      </c>
      <c r="Y9" s="394" t="s">
        <v>166</v>
      </c>
      <c r="Z9" s="394">
        <v>8.0</v>
      </c>
      <c r="AA9" s="394">
        <v>8.0</v>
      </c>
      <c r="AB9" s="394">
        <v>8.0</v>
      </c>
      <c r="AC9" s="394" t="s">
        <v>165</v>
      </c>
      <c r="AD9" s="394" t="s">
        <v>165</v>
      </c>
      <c r="AE9" s="394">
        <v>8.0</v>
      </c>
      <c r="AF9" s="394">
        <v>8.0</v>
      </c>
      <c r="AG9" s="394">
        <v>8.0</v>
      </c>
      <c r="AH9" s="394">
        <v>8.0</v>
      </c>
      <c r="AI9" s="394">
        <v>8.0</v>
      </c>
      <c r="AJ9" s="394" t="s">
        <v>165</v>
      </c>
      <c r="AK9" s="394" t="s">
        <v>165</v>
      </c>
      <c r="AL9" s="394">
        <v>8.0</v>
      </c>
      <c r="AM9" s="405">
        <f t="shared" si="5"/>
        <v>72</v>
      </c>
      <c r="AO9" s="394">
        <v>8.0</v>
      </c>
      <c r="AP9" s="394">
        <v>8.0</v>
      </c>
      <c r="AQ9" s="394" t="s">
        <v>165</v>
      </c>
      <c r="AR9" s="394">
        <v>8.0</v>
      </c>
      <c r="AS9" s="394" t="s">
        <v>165</v>
      </c>
      <c r="AT9" s="394" t="s">
        <v>165</v>
      </c>
      <c r="AU9" s="394">
        <v>8.0</v>
      </c>
      <c r="AV9" s="394">
        <v>8.0</v>
      </c>
      <c r="AW9" s="394">
        <v>8.0</v>
      </c>
      <c r="AX9" s="394">
        <v>8.0</v>
      </c>
      <c r="AY9" s="394">
        <v>8.0</v>
      </c>
      <c r="AZ9" s="394" t="s">
        <v>165</v>
      </c>
      <c r="BA9" s="394" t="s">
        <v>165</v>
      </c>
      <c r="BB9" s="394">
        <v>8.0</v>
      </c>
      <c r="BC9" s="394">
        <v>8.0</v>
      </c>
      <c r="BD9" s="394">
        <v>8.0</v>
      </c>
      <c r="BE9" s="394">
        <v>8.0</v>
      </c>
      <c r="BF9" s="394">
        <v>8.0</v>
      </c>
      <c r="BG9" s="394" t="s">
        <v>165</v>
      </c>
      <c r="BH9" s="394" t="s">
        <v>165</v>
      </c>
      <c r="BI9" s="394">
        <v>8.0</v>
      </c>
      <c r="BJ9" s="394">
        <v>8.0</v>
      </c>
      <c r="BK9" s="394">
        <v>8.0</v>
      </c>
      <c r="BL9" s="394">
        <v>8.0</v>
      </c>
      <c r="BM9" s="394">
        <v>8.0</v>
      </c>
      <c r="BN9" s="394" t="s">
        <v>165</v>
      </c>
      <c r="BO9" s="394" t="s">
        <v>165</v>
      </c>
      <c r="BP9" s="394">
        <v>8.0</v>
      </c>
      <c r="BQ9" s="394">
        <v>8.0</v>
      </c>
      <c r="BR9" s="394">
        <v>8.0</v>
      </c>
      <c r="BS9" s="406">
        <f t="shared" si="6"/>
        <v>168</v>
      </c>
      <c r="BU9" s="394">
        <v>8.0</v>
      </c>
      <c r="BV9" s="394">
        <v>8.0</v>
      </c>
      <c r="BW9" s="394" t="s">
        <v>165</v>
      </c>
      <c r="BX9" s="394" t="s">
        <v>165</v>
      </c>
      <c r="BY9" s="394">
        <v>8.0</v>
      </c>
      <c r="BZ9" s="394">
        <v>8.0</v>
      </c>
      <c r="CA9" s="394">
        <v>8.0</v>
      </c>
      <c r="CB9" s="394">
        <v>8.0</v>
      </c>
      <c r="CC9" s="394" t="s">
        <v>171</v>
      </c>
      <c r="CD9" s="394" t="s">
        <v>165</v>
      </c>
      <c r="CE9" s="394" t="s">
        <v>165</v>
      </c>
      <c r="CF9" s="394">
        <v>8.0</v>
      </c>
      <c r="CG9" s="394">
        <v>8.0</v>
      </c>
      <c r="CH9" s="394">
        <v>8.0</v>
      </c>
      <c r="CI9" s="394">
        <v>8.0</v>
      </c>
      <c r="CJ9" s="394">
        <v>8.0</v>
      </c>
      <c r="CK9" s="394" t="s">
        <v>165</v>
      </c>
      <c r="CL9" s="394" t="s">
        <v>165</v>
      </c>
      <c r="CM9" s="394">
        <v>8.0</v>
      </c>
      <c r="CN9" s="394">
        <v>8.0</v>
      </c>
      <c r="CO9" s="394">
        <v>8.0</v>
      </c>
      <c r="CP9" s="394">
        <v>8.0</v>
      </c>
      <c r="CQ9" s="394">
        <v>8.0</v>
      </c>
      <c r="CR9" s="394" t="s">
        <v>165</v>
      </c>
      <c r="CS9" s="394" t="s">
        <v>165</v>
      </c>
      <c r="CT9" s="394">
        <v>8.0</v>
      </c>
      <c r="CU9" s="394">
        <v>8.0</v>
      </c>
      <c r="CV9" s="394">
        <v>9.0</v>
      </c>
      <c r="CW9" s="394">
        <v>9.0</v>
      </c>
      <c r="CX9" s="394">
        <v>6.0</v>
      </c>
      <c r="CY9" s="394" t="s">
        <v>165</v>
      </c>
      <c r="CZ9" s="400">
        <f t="shared" si="7"/>
        <v>168</v>
      </c>
      <c r="DB9" s="394" t="s">
        <v>165</v>
      </c>
      <c r="DC9" s="394">
        <v>8.0</v>
      </c>
      <c r="DD9" s="394">
        <v>8.0</v>
      </c>
      <c r="DE9" s="394">
        <v>8.0</v>
      </c>
      <c r="DF9" s="394">
        <v>8.0</v>
      </c>
      <c r="DG9" s="394">
        <v>8.0</v>
      </c>
      <c r="DH9" s="394" t="s">
        <v>165</v>
      </c>
      <c r="DI9" s="394" t="s">
        <v>165</v>
      </c>
      <c r="DJ9" s="394">
        <v>8.0</v>
      </c>
      <c r="DK9" s="394" t="s">
        <v>245</v>
      </c>
      <c r="DL9" s="394">
        <v>8.0</v>
      </c>
      <c r="DM9" s="394">
        <v>8.0</v>
      </c>
      <c r="DN9" s="394">
        <v>8.0</v>
      </c>
      <c r="DO9" s="394" t="s">
        <v>165</v>
      </c>
      <c r="DP9" s="394" t="s">
        <v>165</v>
      </c>
      <c r="DQ9" s="394">
        <v>8.0</v>
      </c>
      <c r="DR9" s="394">
        <v>8.0</v>
      </c>
      <c r="DS9" s="394">
        <v>8.0</v>
      </c>
      <c r="DT9" s="394">
        <v>8.0</v>
      </c>
      <c r="DU9" s="394">
        <v>8.0</v>
      </c>
      <c r="DV9" s="394" t="s">
        <v>165</v>
      </c>
      <c r="DW9" s="394" t="s">
        <v>165</v>
      </c>
      <c r="DX9" s="394">
        <v>8.0</v>
      </c>
      <c r="DY9" s="394">
        <v>8.0</v>
      </c>
      <c r="DZ9" s="394">
        <v>8.0</v>
      </c>
      <c r="EA9" s="394">
        <v>8.0</v>
      </c>
      <c r="EB9" s="394">
        <v>8.0</v>
      </c>
      <c r="EC9" s="394" t="s">
        <v>165</v>
      </c>
      <c r="ED9" s="394" t="s">
        <v>165</v>
      </c>
      <c r="EE9" s="394">
        <v>8.0</v>
      </c>
      <c r="EF9" s="394">
        <v>8.0</v>
      </c>
      <c r="EG9" s="407">
        <f t="shared" si="8"/>
        <v>168</v>
      </c>
      <c r="EI9" s="394">
        <v>8.0</v>
      </c>
      <c r="EJ9" s="394">
        <v>8.0</v>
      </c>
      <c r="EK9" s="394">
        <v>8.0</v>
      </c>
      <c r="EL9" s="394" t="s">
        <v>165</v>
      </c>
      <c r="EM9" s="394" t="s">
        <v>165</v>
      </c>
      <c r="EN9" s="394">
        <v>8.0</v>
      </c>
      <c r="EO9" s="394" t="s">
        <v>171</v>
      </c>
      <c r="EP9" s="394">
        <v>8.0</v>
      </c>
      <c r="EQ9" s="394">
        <v>8.0</v>
      </c>
      <c r="ER9" s="394">
        <v>8.0</v>
      </c>
      <c r="ES9" s="394" t="s">
        <v>165</v>
      </c>
      <c r="ET9" s="394" t="s">
        <v>165</v>
      </c>
      <c r="EU9" s="394">
        <v>8.0</v>
      </c>
      <c r="EV9" s="394">
        <v>8.0</v>
      </c>
      <c r="EW9" s="394">
        <v>8.0</v>
      </c>
      <c r="EX9" s="394">
        <v>8.0</v>
      </c>
      <c r="EY9" s="394">
        <v>8.0</v>
      </c>
      <c r="EZ9" s="394" t="s">
        <v>165</v>
      </c>
      <c r="FA9" s="394" t="s">
        <v>165</v>
      </c>
      <c r="FB9" s="394">
        <v>8.0</v>
      </c>
      <c r="FC9" s="394">
        <v>8.0</v>
      </c>
      <c r="FD9" s="394">
        <v>8.0</v>
      </c>
      <c r="FE9" s="394">
        <v>8.0</v>
      </c>
      <c r="FF9" s="394">
        <v>8.0</v>
      </c>
      <c r="FG9" s="394" t="s">
        <v>165</v>
      </c>
      <c r="FH9" s="394" t="s">
        <v>165</v>
      </c>
      <c r="FI9" s="394">
        <v>8.0</v>
      </c>
      <c r="FJ9" s="394">
        <v>8.0</v>
      </c>
      <c r="FK9" s="394">
        <v>8.0</v>
      </c>
      <c r="FL9" s="394">
        <v>8.0</v>
      </c>
      <c r="FM9" s="407">
        <f t="shared" si="9"/>
        <v>168</v>
      </c>
      <c r="FO9" s="394">
        <v>8.0</v>
      </c>
      <c r="FP9" s="394" t="s">
        <v>165</v>
      </c>
      <c r="FQ9" s="394" t="s">
        <v>165</v>
      </c>
      <c r="FR9" s="394">
        <v>8.0</v>
      </c>
      <c r="FS9" s="394">
        <v>8.0</v>
      </c>
      <c r="FT9" s="394">
        <v>8.0</v>
      </c>
      <c r="FU9" s="394">
        <v>7.0</v>
      </c>
      <c r="FV9" s="394">
        <v>8.0</v>
      </c>
      <c r="FW9" s="394" t="s">
        <v>165</v>
      </c>
      <c r="FX9" s="394" t="s">
        <v>165</v>
      </c>
      <c r="FY9" s="394">
        <v>8.0</v>
      </c>
      <c r="FZ9" s="394" t="s">
        <v>171</v>
      </c>
      <c r="GA9" s="394">
        <v>8.0</v>
      </c>
      <c r="GB9" s="394">
        <v>8.0</v>
      </c>
      <c r="GC9" s="394">
        <v>8.0</v>
      </c>
      <c r="GD9" s="394" t="s">
        <v>165</v>
      </c>
      <c r="GE9" s="394" t="s">
        <v>165</v>
      </c>
      <c r="GF9" s="394">
        <v>8.0</v>
      </c>
      <c r="GG9" s="394">
        <v>8.0</v>
      </c>
      <c r="GH9" s="394">
        <v>8.0</v>
      </c>
      <c r="GI9" s="394">
        <v>8.0</v>
      </c>
      <c r="GJ9" s="394">
        <v>8.0</v>
      </c>
      <c r="GK9" s="394" t="s">
        <v>165</v>
      </c>
      <c r="GL9" s="394" t="s">
        <v>165</v>
      </c>
      <c r="GM9" s="394">
        <v>8.0</v>
      </c>
      <c r="GN9" s="394">
        <v>8.0</v>
      </c>
      <c r="GO9" s="394">
        <v>8.0</v>
      </c>
      <c r="GP9" s="394">
        <v>8.0</v>
      </c>
      <c r="GQ9" s="394">
        <v>8.0</v>
      </c>
      <c r="GR9" s="394" t="s">
        <v>165</v>
      </c>
      <c r="GS9" s="394" t="s">
        <v>165</v>
      </c>
      <c r="GT9" s="400">
        <f t="shared" si="10"/>
        <v>159</v>
      </c>
      <c r="GV9" s="394">
        <v>8.0</v>
      </c>
      <c r="GW9" s="394" t="s">
        <v>171</v>
      </c>
      <c r="GX9" s="394">
        <v>8.0</v>
      </c>
      <c r="GY9" s="394">
        <v>8.0</v>
      </c>
      <c r="GZ9" s="394">
        <v>8.0</v>
      </c>
      <c r="HA9" s="394" t="s">
        <v>165</v>
      </c>
      <c r="HB9" s="394" t="s">
        <v>165</v>
      </c>
      <c r="HC9" s="394">
        <v>8.0</v>
      </c>
      <c r="HD9" s="394">
        <v>8.0</v>
      </c>
      <c r="HE9" s="394">
        <v>8.0</v>
      </c>
      <c r="HF9" s="394">
        <v>8.0</v>
      </c>
      <c r="HG9" s="394">
        <v>8.0</v>
      </c>
      <c r="HH9" s="394" t="s">
        <v>165</v>
      </c>
      <c r="HI9" s="394" t="s">
        <v>165</v>
      </c>
      <c r="HJ9" s="394" t="s">
        <v>171</v>
      </c>
      <c r="HK9" s="394">
        <v>8.0</v>
      </c>
      <c r="HL9" s="394">
        <v>8.0</v>
      </c>
      <c r="HM9" s="394">
        <v>8.0</v>
      </c>
      <c r="HN9" s="394">
        <v>8.0</v>
      </c>
      <c r="HO9" s="394" t="s">
        <v>165</v>
      </c>
      <c r="HP9" s="394" t="s">
        <v>165</v>
      </c>
      <c r="HQ9" s="394" t="s">
        <v>245</v>
      </c>
      <c r="HR9" s="394">
        <v>8.0</v>
      </c>
      <c r="HS9" s="394">
        <v>8.0</v>
      </c>
      <c r="HT9" s="394">
        <v>8.0</v>
      </c>
      <c r="HU9" s="394">
        <v>8.0</v>
      </c>
      <c r="HV9" s="394" t="s">
        <v>165</v>
      </c>
      <c r="HW9" s="394" t="s">
        <v>165</v>
      </c>
      <c r="HX9" s="394">
        <v>8.0</v>
      </c>
      <c r="HY9" s="394">
        <v>8.0</v>
      </c>
      <c r="HZ9" s="400">
        <f t="shared" si="2"/>
        <v>152</v>
      </c>
      <c r="IB9" s="394">
        <v>8.0</v>
      </c>
      <c r="IC9" s="394">
        <v>8.0</v>
      </c>
      <c r="ID9" s="394">
        <v>8.0</v>
      </c>
      <c r="IE9" s="394" t="s">
        <v>165</v>
      </c>
      <c r="IF9" s="394" t="s">
        <v>165</v>
      </c>
      <c r="IG9" s="394">
        <v>8.0</v>
      </c>
      <c r="IH9" s="394">
        <v>8.0</v>
      </c>
      <c r="II9" s="394">
        <v>8.0</v>
      </c>
      <c r="IJ9" s="394">
        <v>8.0</v>
      </c>
      <c r="IK9" s="394">
        <v>8.0</v>
      </c>
      <c r="IL9" s="394" t="s">
        <v>165</v>
      </c>
      <c r="IM9" s="394" t="s">
        <v>165</v>
      </c>
      <c r="IN9" s="394">
        <v>8.0</v>
      </c>
      <c r="IO9" s="394">
        <v>8.0</v>
      </c>
      <c r="IP9" s="394">
        <v>8.0</v>
      </c>
      <c r="IQ9" s="394">
        <v>8.0</v>
      </c>
      <c r="IR9" s="394">
        <v>8.0</v>
      </c>
      <c r="IS9" s="394">
        <v>8.0</v>
      </c>
      <c r="IT9" s="394" t="s">
        <v>165</v>
      </c>
      <c r="IU9" s="394" t="s">
        <v>245</v>
      </c>
      <c r="IV9" s="394">
        <v>8.0</v>
      </c>
      <c r="IW9" s="394">
        <v>8.0</v>
      </c>
      <c r="IX9" s="394">
        <v>8.0</v>
      </c>
      <c r="IY9" s="394">
        <v>8.0</v>
      </c>
      <c r="IZ9" s="403" t="s">
        <v>165</v>
      </c>
      <c r="JA9" s="394" t="s">
        <v>165</v>
      </c>
      <c r="JB9" s="394">
        <v>8.0</v>
      </c>
      <c r="JC9" s="394">
        <v>8.0</v>
      </c>
      <c r="JD9" s="394">
        <v>8.0</v>
      </c>
      <c r="JE9" s="394">
        <v>8.0</v>
      </c>
      <c r="JF9" s="394">
        <v>8.0</v>
      </c>
      <c r="JG9" s="400">
        <f t="shared" si="3"/>
        <v>184</v>
      </c>
      <c r="JI9" s="403" t="s">
        <v>165</v>
      </c>
      <c r="JJ9" s="394" t="s">
        <v>165</v>
      </c>
      <c r="JK9" s="394">
        <v>8.0</v>
      </c>
      <c r="JL9" s="394">
        <v>8.0</v>
      </c>
      <c r="JM9" s="394">
        <v>8.0</v>
      </c>
      <c r="JN9" s="394">
        <v>8.0</v>
      </c>
      <c r="JO9" s="394">
        <v>8.0</v>
      </c>
      <c r="JP9" s="394" t="s">
        <v>165</v>
      </c>
      <c r="JQ9" s="394" t="s">
        <v>165</v>
      </c>
      <c r="JR9" s="394">
        <v>8.0</v>
      </c>
      <c r="JS9" s="394">
        <v>8.0</v>
      </c>
      <c r="JT9" s="394">
        <v>8.0</v>
      </c>
      <c r="JU9" s="394">
        <v>8.0</v>
      </c>
      <c r="JV9" s="394">
        <v>8.0</v>
      </c>
      <c r="JW9" s="394" t="s">
        <v>165</v>
      </c>
      <c r="JX9" s="394" t="s">
        <v>165</v>
      </c>
      <c r="JY9" s="394">
        <v>8.0</v>
      </c>
      <c r="JZ9" s="394">
        <v>8.0</v>
      </c>
      <c r="KA9" s="394">
        <v>8.0</v>
      </c>
      <c r="KB9" s="394">
        <v>8.0</v>
      </c>
      <c r="KC9" s="394">
        <v>8.0</v>
      </c>
      <c r="KD9" s="394" t="s">
        <v>165</v>
      </c>
      <c r="KE9" s="394" t="s">
        <v>165</v>
      </c>
      <c r="KF9" s="394">
        <v>8.0</v>
      </c>
      <c r="KG9" s="394">
        <v>8.0</v>
      </c>
      <c r="KH9" s="394">
        <v>8.0</v>
      </c>
      <c r="KI9" s="394">
        <v>8.0</v>
      </c>
      <c r="KJ9" s="394">
        <v>8.0</v>
      </c>
      <c r="KK9" s="394" t="s">
        <v>165</v>
      </c>
      <c r="KL9" s="394" t="s">
        <v>165</v>
      </c>
      <c r="KM9" s="394">
        <v>8.0</v>
      </c>
      <c r="KN9" s="145">
        <f t="shared" si="4"/>
        <v>168</v>
      </c>
      <c r="KP9" s="398"/>
      <c r="KQ9" s="398"/>
      <c r="KR9" s="398"/>
      <c r="KS9" s="398"/>
      <c r="KT9" s="398"/>
      <c r="KU9" s="398"/>
      <c r="KV9" s="398"/>
      <c r="KW9" s="398"/>
      <c r="KX9" s="398"/>
      <c r="KY9" s="398"/>
      <c r="KZ9" s="398"/>
      <c r="LA9" s="398"/>
      <c r="LB9" s="398"/>
      <c r="LC9" s="398"/>
      <c r="LD9" s="398"/>
      <c r="LE9" s="398"/>
      <c r="LF9" s="398"/>
      <c r="LG9" s="398"/>
      <c r="LH9" s="398"/>
      <c r="LI9" s="398"/>
      <c r="LJ9" s="398"/>
      <c r="LK9" s="398"/>
      <c r="LL9" s="398"/>
      <c r="LM9" s="398"/>
      <c r="LN9" s="398"/>
      <c r="LO9" s="398"/>
      <c r="LP9" s="398"/>
      <c r="LQ9" s="398"/>
      <c r="LR9" s="398"/>
      <c r="LT9" s="398"/>
      <c r="LU9" s="398"/>
      <c r="LV9" s="398"/>
      <c r="LW9" s="398"/>
      <c r="LX9" s="398"/>
      <c r="LY9" s="398"/>
      <c r="LZ9" s="398"/>
      <c r="MA9" s="398"/>
      <c r="MB9" s="398"/>
      <c r="MC9" s="398"/>
      <c r="MD9" s="398"/>
      <c r="ME9" s="398"/>
      <c r="MF9" s="398"/>
      <c r="MG9" s="398"/>
      <c r="MH9" s="398"/>
      <c r="MI9" s="398"/>
      <c r="MJ9" s="398"/>
      <c r="MK9" s="398"/>
      <c r="ML9" s="398"/>
      <c r="MM9" s="398"/>
      <c r="MN9" s="398"/>
      <c r="MO9" s="398"/>
      <c r="MP9" s="398"/>
      <c r="MQ9" s="398"/>
      <c r="MR9" s="398"/>
      <c r="MS9" s="398"/>
    </row>
    <row r="10" ht="16.5" hidden="1" customHeight="1">
      <c r="A10" s="411" t="s">
        <v>1258</v>
      </c>
      <c r="B10" s="412" t="s">
        <v>88</v>
      </c>
      <c r="C10" s="412" t="s">
        <v>98</v>
      </c>
      <c r="D10" s="413">
        <f t="shared" si="1"/>
        <v>13</v>
      </c>
      <c r="E10" s="414" t="s">
        <v>1259</v>
      </c>
      <c r="F10" s="415">
        <f>IFERROR(__xludf.DUMMYFUNCTION("IF(A10="""","""", counta(filter(Filter(FILTER($H$4:$SH76,$H$1:$SH$1&lt;today()),$A$4:$A76=A10),not(istext(Filter(FILTER($H$4:$SH76,$H$1:$SH$1&lt;today()),$A$4:$A76=A10))),not(Filter(FILTER($H$4:$SH76,$H$1:$SH$1&lt;today()),$A$4:$A76=A10)=0),Filter(FILTER($H$4:$SH7"&amp;"6,$H$1:$SH$1&lt;today()),$A$4:$A76=A10)&lt;23)))"),123.0)</f>
        <v>123</v>
      </c>
      <c r="H10" s="412"/>
      <c r="I10" s="412"/>
      <c r="J10" s="412"/>
      <c r="K10" s="412"/>
      <c r="L10" s="412"/>
      <c r="M10" s="412"/>
      <c r="N10" s="412"/>
      <c r="O10" s="412"/>
      <c r="P10" s="412"/>
      <c r="Q10" s="412"/>
      <c r="R10" s="412"/>
      <c r="S10" s="412"/>
      <c r="T10" s="412"/>
      <c r="U10" s="412"/>
      <c r="V10" s="412"/>
      <c r="W10" s="412"/>
      <c r="X10" s="412"/>
      <c r="Y10" s="412"/>
      <c r="Z10" s="412"/>
      <c r="AA10" s="412"/>
      <c r="AB10" s="412"/>
      <c r="AC10" s="412"/>
      <c r="AD10" s="412"/>
      <c r="AE10" s="412"/>
      <c r="AF10" s="412"/>
      <c r="AG10" s="412"/>
      <c r="AH10" s="412"/>
      <c r="AI10" s="412"/>
      <c r="AJ10" s="412"/>
      <c r="AK10" s="412"/>
      <c r="AL10" s="412"/>
      <c r="AM10" s="416"/>
      <c r="AO10" s="412">
        <v>8.0</v>
      </c>
      <c r="AP10" s="412">
        <v>8.0</v>
      </c>
      <c r="AQ10" s="412">
        <v>8.0</v>
      </c>
      <c r="AR10" s="412">
        <v>8.0</v>
      </c>
      <c r="AS10" s="412" t="s">
        <v>165</v>
      </c>
      <c r="AT10" s="412" t="s">
        <v>165</v>
      </c>
      <c r="AU10" s="412">
        <v>8.0</v>
      </c>
      <c r="AV10" s="412">
        <v>8.0</v>
      </c>
      <c r="AW10" s="412">
        <v>8.0</v>
      </c>
      <c r="AX10" s="412">
        <v>8.0</v>
      </c>
      <c r="AY10" s="412">
        <v>8.0</v>
      </c>
      <c r="AZ10" s="412" t="s">
        <v>165</v>
      </c>
      <c r="BA10" s="412" t="s">
        <v>165</v>
      </c>
      <c r="BB10" s="412">
        <v>8.0</v>
      </c>
      <c r="BC10" s="412">
        <v>8.0</v>
      </c>
      <c r="BD10" s="412">
        <v>8.0</v>
      </c>
      <c r="BE10" s="412">
        <v>8.0</v>
      </c>
      <c r="BF10" s="412">
        <v>8.0</v>
      </c>
      <c r="BG10" s="412" t="s">
        <v>165</v>
      </c>
      <c r="BH10" s="412" t="s">
        <v>165</v>
      </c>
      <c r="BI10" s="412">
        <v>8.0</v>
      </c>
      <c r="BJ10" s="412">
        <v>8.0</v>
      </c>
      <c r="BK10" s="412">
        <v>8.0</v>
      </c>
      <c r="BL10" s="412">
        <v>8.0</v>
      </c>
      <c r="BM10" s="412">
        <v>8.0</v>
      </c>
      <c r="BN10" s="412" t="s">
        <v>165</v>
      </c>
      <c r="BO10" s="412" t="s">
        <v>165</v>
      </c>
      <c r="BP10" s="412">
        <v>8.0</v>
      </c>
      <c r="BQ10" s="412">
        <v>8.0</v>
      </c>
      <c r="BR10" s="412">
        <v>8.0</v>
      </c>
      <c r="BS10" s="417">
        <f t="shared" si="6"/>
        <v>176</v>
      </c>
      <c r="BU10" s="412">
        <v>8.0</v>
      </c>
      <c r="BV10" s="412">
        <v>8.0</v>
      </c>
      <c r="BW10" s="412" t="s">
        <v>165</v>
      </c>
      <c r="BX10" s="412" t="s">
        <v>165</v>
      </c>
      <c r="BY10" s="412">
        <v>8.0</v>
      </c>
      <c r="BZ10" s="412">
        <v>9.5</v>
      </c>
      <c r="CA10" s="412">
        <v>6.5</v>
      </c>
      <c r="CB10" s="412">
        <v>8.0</v>
      </c>
      <c r="CC10" s="412">
        <v>8.0</v>
      </c>
      <c r="CD10" s="412" t="s">
        <v>165</v>
      </c>
      <c r="CE10" s="412" t="s">
        <v>165</v>
      </c>
      <c r="CF10" s="412">
        <v>8.0</v>
      </c>
      <c r="CG10" s="412">
        <v>8.0</v>
      </c>
      <c r="CH10" s="412">
        <v>8.0</v>
      </c>
      <c r="CI10" s="412">
        <v>8.0</v>
      </c>
      <c r="CJ10" s="412">
        <v>8.0</v>
      </c>
      <c r="CK10" s="412" t="s">
        <v>165</v>
      </c>
      <c r="CL10" s="412" t="s">
        <v>165</v>
      </c>
      <c r="CM10" s="412">
        <v>8.0</v>
      </c>
      <c r="CN10" s="412">
        <v>8.0</v>
      </c>
      <c r="CO10" s="412">
        <v>8.0</v>
      </c>
      <c r="CP10" s="412">
        <v>8.0</v>
      </c>
      <c r="CQ10" s="412">
        <v>8.0</v>
      </c>
      <c r="CR10" s="412" t="s">
        <v>165</v>
      </c>
      <c r="CS10" s="412" t="s">
        <v>165</v>
      </c>
      <c r="CT10" s="412">
        <v>8.0</v>
      </c>
      <c r="CU10" s="412">
        <v>8.0</v>
      </c>
      <c r="CV10" s="412">
        <v>8.0</v>
      </c>
      <c r="CW10" s="412">
        <v>8.0</v>
      </c>
      <c r="CX10" s="412">
        <v>8.0</v>
      </c>
      <c r="CY10" s="412" t="s">
        <v>165</v>
      </c>
      <c r="CZ10" s="415">
        <f t="shared" si="7"/>
        <v>176</v>
      </c>
      <c r="DB10" s="412" t="s">
        <v>165</v>
      </c>
      <c r="DC10" s="412">
        <v>8.0</v>
      </c>
      <c r="DD10" s="412">
        <v>8.0</v>
      </c>
      <c r="DE10" s="412">
        <v>8.0</v>
      </c>
      <c r="DF10" s="412">
        <v>8.0</v>
      </c>
      <c r="DG10" s="412">
        <v>8.0</v>
      </c>
      <c r="DH10" s="412" t="s">
        <v>165</v>
      </c>
      <c r="DI10" s="412" t="s">
        <v>165</v>
      </c>
      <c r="DJ10" s="412">
        <v>8.0</v>
      </c>
      <c r="DK10" s="412" t="s">
        <v>245</v>
      </c>
      <c r="DL10" s="412">
        <v>8.0</v>
      </c>
      <c r="DM10" s="412">
        <v>8.0</v>
      </c>
      <c r="DN10" s="412">
        <v>8.0</v>
      </c>
      <c r="DO10" s="412" t="s">
        <v>165</v>
      </c>
      <c r="DP10" s="412" t="s">
        <v>165</v>
      </c>
      <c r="DQ10" s="412">
        <v>8.0</v>
      </c>
      <c r="DR10" s="412" t="s">
        <v>245</v>
      </c>
      <c r="DS10" s="412">
        <v>9.0</v>
      </c>
      <c r="DT10" s="412">
        <v>9.0</v>
      </c>
      <c r="DU10" s="412">
        <v>9.0</v>
      </c>
      <c r="DV10" s="412" t="s">
        <v>165</v>
      </c>
      <c r="DW10" s="412" t="s">
        <v>165</v>
      </c>
      <c r="DX10" s="412">
        <v>9.0</v>
      </c>
      <c r="DY10" s="412">
        <v>9.0</v>
      </c>
      <c r="DZ10" s="412">
        <v>5.0</v>
      </c>
      <c r="EA10" s="412">
        <v>10.0</v>
      </c>
      <c r="EB10" s="412">
        <v>8.0</v>
      </c>
      <c r="EC10" s="412" t="s">
        <v>165</v>
      </c>
      <c r="ED10" s="412" t="s">
        <v>165</v>
      </c>
      <c r="EE10" s="412">
        <v>8.0</v>
      </c>
      <c r="EF10" s="412">
        <v>8.0</v>
      </c>
      <c r="EG10" s="418">
        <f t="shared" si="8"/>
        <v>164</v>
      </c>
      <c r="EI10" s="412" t="s">
        <v>245</v>
      </c>
      <c r="EJ10" s="412">
        <v>10.0</v>
      </c>
      <c r="EK10" s="412">
        <v>10.0</v>
      </c>
      <c r="EL10" s="412" t="s">
        <v>165</v>
      </c>
      <c r="EM10" s="412" t="s">
        <v>165</v>
      </c>
      <c r="EN10" s="412">
        <v>10.0</v>
      </c>
      <c r="EO10" s="412" t="s">
        <v>171</v>
      </c>
      <c r="EP10" s="412">
        <v>10.0</v>
      </c>
      <c r="EQ10" s="412">
        <v>8.0</v>
      </c>
      <c r="ER10" s="412">
        <v>8.0</v>
      </c>
      <c r="ES10" s="412" t="s">
        <v>165</v>
      </c>
      <c r="ET10" s="412" t="s">
        <v>165</v>
      </c>
      <c r="EU10" s="412">
        <v>8.0</v>
      </c>
      <c r="EV10" s="412">
        <v>8.0</v>
      </c>
      <c r="EW10" s="412">
        <v>8.0</v>
      </c>
      <c r="EX10" s="412">
        <v>8.0</v>
      </c>
      <c r="EY10" s="412">
        <v>8.0</v>
      </c>
      <c r="EZ10" s="412" t="s">
        <v>165</v>
      </c>
      <c r="FA10" s="412" t="s">
        <v>165</v>
      </c>
      <c r="FB10" s="412">
        <v>8.0</v>
      </c>
      <c r="FC10" s="412">
        <v>8.0</v>
      </c>
      <c r="FD10" s="412">
        <v>8.0</v>
      </c>
      <c r="FE10" s="412">
        <v>8.0</v>
      </c>
      <c r="FF10" s="412">
        <v>8.0</v>
      </c>
      <c r="FG10" s="412" t="s">
        <v>165</v>
      </c>
      <c r="FH10" s="412" t="s">
        <v>165</v>
      </c>
      <c r="FI10" s="412">
        <v>8.0</v>
      </c>
      <c r="FJ10" s="412">
        <v>8.0</v>
      </c>
      <c r="FK10" s="412">
        <v>8.0</v>
      </c>
      <c r="FL10" s="412">
        <v>8.0</v>
      </c>
      <c r="FM10" s="418">
        <f t="shared" si="9"/>
        <v>168</v>
      </c>
      <c r="FO10" s="412">
        <v>8.0</v>
      </c>
      <c r="FP10" s="412" t="s">
        <v>165</v>
      </c>
      <c r="FQ10" s="412" t="s">
        <v>165</v>
      </c>
      <c r="FR10" s="412">
        <v>8.0</v>
      </c>
      <c r="FS10" s="412">
        <v>8.0</v>
      </c>
      <c r="FT10" s="412">
        <v>8.0</v>
      </c>
      <c r="FU10" s="412">
        <v>8.0</v>
      </c>
      <c r="FV10" s="412">
        <v>8.0</v>
      </c>
      <c r="FW10" s="412" t="s">
        <v>165</v>
      </c>
      <c r="FX10" s="412" t="s">
        <v>165</v>
      </c>
      <c r="FY10" s="412">
        <v>8.0</v>
      </c>
      <c r="FZ10" s="412" t="s">
        <v>171</v>
      </c>
      <c r="GA10" s="412">
        <v>8.0</v>
      </c>
      <c r="GB10" s="412">
        <v>8.0</v>
      </c>
      <c r="GC10" s="412">
        <v>8.0</v>
      </c>
      <c r="GD10" s="412" t="s">
        <v>165</v>
      </c>
      <c r="GE10" s="412" t="s">
        <v>165</v>
      </c>
      <c r="GF10" s="412">
        <v>8.0</v>
      </c>
      <c r="GG10" s="412">
        <v>8.0</v>
      </c>
      <c r="GH10" s="412">
        <v>8.0</v>
      </c>
      <c r="GI10" s="412">
        <v>8.0</v>
      </c>
      <c r="GJ10" s="412">
        <v>8.0</v>
      </c>
      <c r="GK10" s="412" t="s">
        <v>165</v>
      </c>
      <c r="GL10" s="412" t="s">
        <v>165</v>
      </c>
      <c r="GM10" s="412">
        <v>8.0</v>
      </c>
      <c r="GN10" s="412">
        <v>8.0</v>
      </c>
      <c r="GO10" s="412">
        <v>0.5</v>
      </c>
      <c r="GP10" s="412">
        <v>8.0</v>
      </c>
      <c r="GQ10" s="412">
        <v>8.0</v>
      </c>
      <c r="GR10" s="412" t="s">
        <v>165</v>
      </c>
      <c r="GS10" s="412" t="s">
        <v>165</v>
      </c>
      <c r="GT10" s="415">
        <f t="shared" si="10"/>
        <v>152.5</v>
      </c>
      <c r="GV10" s="412">
        <v>8.0</v>
      </c>
      <c r="GW10" s="412" t="s">
        <v>171</v>
      </c>
      <c r="GX10" s="412">
        <v>8.0</v>
      </c>
      <c r="GY10" s="412">
        <v>8.0</v>
      </c>
      <c r="GZ10" s="412">
        <v>8.0</v>
      </c>
      <c r="HA10" s="412" t="s">
        <v>165</v>
      </c>
      <c r="HB10" s="412" t="s">
        <v>165</v>
      </c>
      <c r="HC10" s="412">
        <v>8.0</v>
      </c>
      <c r="HD10" s="412">
        <v>8.0</v>
      </c>
      <c r="HE10" s="412">
        <v>8.0</v>
      </c>
      <c r="HF10" s="412">
        <v>8.0</v>
      </c>
      <c r="HG10" s="412">
        <v>8.0</v>
      </c>
      <c r="HH10" s="412" t="s">
        <v>165</v>
      </c>
      <c r="HI10" s="412" t="s">
        <v>165</v>
      </c>
      <c r="HJ10" s="412" t="s">
        <v>171</v>
      </c>
      <c r="HK10" s="412">
        <v>8.0</v>
      </c>
      <c r="HL10" s="412">
        <v>8.0</v>
      </c>
      <c r="HM10" s="412">
        <v>8.0</v>
      </c>
      <c r="HN10" s="412">
        <v>8.0</v>
      </c>
      <c r="HO10" s="412" t="s">
        <v>165</v>
      </c>
      <c r="HP10" s="412" t="s">
        <v>165</v>
      </c>
      <c r="HQ10" s="412">
        <v>4.0</v>
      </c>
      <c r="HR10" s="412">
        <v>9.0</v>
      </c>
      <c r="HS10" s="412">
        <v>9.0</v>
      </c>
      <c r="HT10" s="412">
        <v>9.0</v>
      </c>
      <c r="HU10" s="412">
        <v>9.0</v>
      </c>
      <c r="HV10" s="412" t="s">
        <v>165</v>
      </c>
      <c r="HW10" s="412" t="s">
        <v>165</v>
      </c>
      <c r="HX10" s="412" t="s">
        <v>245</v>
      </c>
      <c r="HY10" s="412">
        <v>8.0</v>
      </c>
      <c r="HZ10" s="415">
        <f t="shared" si="2"/>
        <v>152</v>
      </c>
      <c r="IB10" s="412"/>
      <c r="IC10" s="412"/>
      <c r="ID10" s="412"/>
      <c r="IE10" s="412"/>
      <c r="IF10" s="412"/>
      <c r="IG10" s="412"/>
      <c r="IH10" s="412"/>
      <c r="II10" s="412"/>
      <c r="IJ10" s="412"/>
      <c r="IK10" s="412"/>
      <c r="IL10" s="412"/>
      <c r="IM10" s="412"/>
      <c r="IN10" s="412"/>
      <c r="IO10" s="412"/>
      <c r="IP10" s="412"/>
      <c r="IQ10" s="412"/>
      <c r="IR10" s="412"/>
      <c r="IS10" s="412"/>
      <c r="IT10" s="412"/>
      <c r="IU10" s="412"/>
      <c r="IV10" s="412"/>
      <c r="IW10" s="412"/>
      <c r="IX10" s="412"/>
      <c r="IY10" s="412"/>
      <c r="IZ10" s="394" t="s">
        <v>165</v>
      </c>
      <c r="JA10" s="412"/>
      <c r="JB10" s="412"/>
      <c r="JC10" s="412"/>
      <c r="JD10" s="412"/>
      <c r="JE10" s="412"/>
      <c r="JF10" s="412"/>
      <c r="JG10" s="415">
        <f t="shared" si="3"/>
        <v>0</v>
      </c>
      <c r="JI10" s="394" t="s">
        <v>165</v>
      </c>
      <c r="JJ10" s="412"/>
      <c r="JK10" s="412"/>
      <c r="JL10" s="412"/>
      <c r="JM10" s="412"/>
      <c r="JN10" s="412"/>
      <c r="JO10" s="412"/>
      <c r="JP10" s="412"/>
      <c r="JQ10" s="412"/>
      <c r="JR10" s="412"/>
      <c r="JS10" s="412"/>
      <c r="JT10" s="412"/>
      <c r="JU10" s="412"/>
      <c r="JV10" s="412"/>
      <c r="JW10" s="412"/>
      <c r="JX10" s="412"/>
      <c r="JY10" s="412"/>
      <c r="JZ10" s="412"/>
      <c r="KA10" s="412"/>
      <c r="KB10" s="412"/>
      <c r="KC10" s="412"/>
      <c r="KD10" s="412"/>
      <c r="KE10" s="412"/>
      <c r="KF10" s="412"/>
      <c r="KG10" s="412"/>
      <c r="KH10" s="412"/>
      <c r="KI10" s="412"/>
      <c r="KJ10" s="412"/>
      <c r="KK10" s="412"/>
      <c r="KL10" s="412"/>
      <c r="KM10" s="412"/>
      <c r="KN10" s="155">
        <f t="shared" si="4"/>
        <v>0</v>
      </c>
      <c r="KP10" s="419"/>
      <c r="KQ10" s="419"/>
      <c r="KR10" s="419"/>
      <c r="KS10" s="419"/>
      <c r="KT10" s="419"/>
      <c r="KU10" s="419"/>
      <c r="KV10" s="419"/>
      <c r="KW10" s="419"/>
      <c r="KX10" s="419"/>
      <c r="KY10" s="419"/>
      <c r="KZ10" s="419"/>
      <c r="LA10" s="419"/>
      <c r="LB10" s="419"/>
      <c r="LC10" s="419"/>
      <c r="LD10" s="419"/>
      <c r="LE10" s="419"/>
      <c r="LF10" s="419"/>
      <c r="LG10" s="419"/>
      <c r="LH10" s="419"/>
      <c r="LI10" s="419"/>
      <c r="LJ10" s="419"/>
      <c r="LK10" s="419"/>
      <c r="LL10" s="419"/>
      <c r="LM10" s="419"/>
      <c r="LN10" s="419"/>
      <c r="LO10" s="419"/>
      <c r="LP10" s="419"/>
      <c r="LQ10" s="419"/>
      <c r="LR10" s="419"/>
      <c r="LT10" s="419"/>
      <c r="LU10" s="419"/>
      <c r="LV10" s="419"/>
      <c r="LW10" s="419"/>
      <c r="LX10" s="419"/>
      <c r="LY10" s="419"/>
      <c r="LZ10" s="419"/>
      <c r="MA10" s="419"/>
      <c r="MB10" s="419"/>
      <c r="MC10" s="419"/>
      <c r="MD10" s="419"/>
      <c r="ME10" s="419"/>
      <c r="MF10" s="419"/>
      <c r="MG10" s="419"/>
      <c r="MH10" s="419"/>
      <c r="MI10" s="419"/>
      <c r="MJ10" s="419"/>
      <c r="MK10" s="419"/>
      <c r="ML10" s="419"/>
      <c r="MM10" s="419"/>
      <c r="MN10" s="419"/>
      <c r="MO10" s="419"/>
      <c r="MP10" s="419"/>
      <c r="MQ10" s="419"/>
      <c r="MR10" s="419"/>
      <c r="MS10" s="419"/>
    </row>
    <row r="11" ht="16.5" customHeight="1">
      <c r="A11" s="404" t="s">
        <v>1260</v>
      </c>
      <c r="B11" s="394" t="s">
        <v>1255</v>
      </c>
      <c r="C11" s="394" t="s">
        <v>98</v>
      </c>
      <c r="D11" s="395">
        <f t="shared" si="1"/>
        <v>13</v>
      </c>
      <c r="E11" s="396" t="s">
        <v>1250</v>
      </c>
      <c r="F11" s="400">
        <f>IFERROR(__xludf.DUMMYFUNCTION("IF(A11="""","""", counta(filter(Filter(FILTER($H$4:$SH76,$H$1:$SH$1&lt;today()),$A$4:$A76=A11),not(istext(Filter(FILTER($H$4:$SH76,$H$1:$SH$1&lt;today()),$A$4:$A76=A11))),not(Filter(FILTER($H$4:$SH76,$H$1:$SH$1&lt;today()),$A$4:$A76=A11)=0),Filter(FILTER($H$4:$SH7"&amp;"6,$H$1:$SH$1&lt;today()),$A$4:$A76=A11)&lt;23)))"),144.0)</f>
        <v>144</v>
      </c>
      <c r="H11" s="394" t="s">
        <v>166</v>
      </c>
      <c r="I11" s="394" t="s">
        <v>166</v>
      </c>
      <c r="J11" s="394" t="s">
        <v>166</v>
      </c>
      <c r="K11" s="394" t="s">
        <v>166</v>
      </c>
      <c r="L11" s="394" t="s">
        <v>166</v>
      </c>
      <c r="M11" s="394" t="s">
        <v>166</v>
      </c>
      <c r="N11" s="394" t="s">
        <v>166</v>
      </c>
      <c r="O11" s="394" t="s">
        <v>166</v>
      </c>
      <c r="P11" s="394" t="s">
        <v>166</v>
      </c>
      <c r="Q11" s="394" t="s">
        <v>166</v>
      </c>
      <c r="R11" s="394" t="s">
        <v>166</v>
      </c>
      <c r="S11" s="394" t="s">
        <v>166</v>
      </c>
      <c r="T11" s="394" t="s">
        <v>166</v>
      </c>
      <c r="U11" s="394" t="s">
        <v>166</v>
      </c>
      <c r="V11" s="394" t="s">
        <v>166</v>
      </c>
      <c r="W11" s="394" t="s">
        <v>166</v>
      </c>
      <c r="X11" s="394" t="s">
        <v>166</v>
      </c>
      <c r="Y11" s="394" t="s">
        <v>166</v>
      </c>
      <c r="Z11" s="394" t="s">
        <v>166</v>
      </c>
      <c r="AA11" s="394" t="s">
        <v>166</v>
      </c>
      <c r="AB11" s="394" t="s">
        <v>166</v>
      </c>
      <c r="AC11" s="394" t="s">
        <v>166</v>
      </c>
      <c r="AD11" s="394" t="s">
        <v>166</v>
      </c>
      <c r="AE11" s="394" t="s">
        <v>166</v>
      </c>
      <c r="AF11" s="394" t="s">
        <v>166</v>
      </c>
      <c r="AG11" s="394" t="s">
        <v>166</v>
      </c>
      <c r="AH11" s="394" t="s">
        <v>166</v>
      </c>
      <c r="AI11" s="394" t="s">
        <v>166</v>
      </c>
      <c r="AJ11" s="394" t="s">
        <v>166</v>
      </c>
      <c r="AK11" s="394" t="s">
        <v>166</v>
      </c>
      <c r="AL11" s="394" t="s">
        <v>166</v>
      </c>
      <c r="AM11" s="405">
        <f>sum(H11:AL11)</f>
        <v>0</v>
      </c>
      <c r="AO11" s="394">
        <v>8.0</v>
      </c>
      <c r="AP11" s="394">
        <v>8.0</v>
      </c>
      <c r="AQ11" s="394">
        <v>8.0</v>
      </c>
      <c r="AR11" s="394">
        <v>8.0</v>
      </c>
      <c r="AS11" s="394" t="s">
        <v>165</v>
      </c>
      <c r="AT11" s="394" t="s">
        <v>165</v>
      </c>
      <c r="AU11" s="394">
        <v>8.0</v>
      </c>
      <c r="AV11" s="394">
        <v>8.0</v>
      </c>
      <c r="AW11" s="394">
        <v>8.0</v>
      </c>
      <c r="AX11" s="394">
        <v>8.0</v>
      </c>
      <c r="AY11" s="394">
        <v>8.0</v>
      </c>
      <c r="AZ11" s="394" t="s">
        <v>165</v>
      </c>
      <c r="BA11" s="394" t="s">
        <v>165</v>
      </c>
      <c r="BB11" s="394">
        <v>8.0</v>
      </c>
      <c r="BC11" s="394">
        <v>8.0</v>
      </c>
      <c r="BD11" s="394">
        <v>8.0</v>
      </c>
      <c r="BE11" s="394">
        <v>8.0</v>
      </c>
      <c r="BF11" s="394">
        <v>8.0</v>
      </c>
      <c r="BG11" s="394" t="s">
        <v>165</v>
      </c>
      <c r="BH11" s="394" t="s">
        <v>165</v>
      </c>
      <c r="BI11" s="394">
        <v>8.0</v>
      </c>
      <c r="BJ11" s="394">
        <v>8.0</v>
      </c>
      <c r="BK11" s="394">
        <v>8.0</v>
      </c>
      <c r="BL11" s="394">
        <v>8.0</v>
      </c>
      <c r="BM11" s="394">
        <v>8.0</v>
      </c>
      <c r="BN11" s="394" t="s">
        <v>165</v>
      </c>
      <c r="BO11" s="394" t="s">
        <v>165</v>
      </c>
      <c r="BP11" s="394">
        <v>8.0</v>
      </c>
      <c r="BQ11" s="394">
        <v>8.0</v>
      </c>
      <c r="BR11" s="394">
        <v>8.0</v>
      </c>
      <c r="BS11" s="406">
        <f t="shared" si="6"/>
        <v>176</v>
      </c>
      <c r="BU11" s="394">
        <v>8.0</v>
      </c>
      <c r="BV11" s="394">
        <v>8.0</v>
      </c>
      <c r="BW11" s="394" t="s">
        <v>165</v>
      </c>
      <c r="BX11" s="394" t="s">
        <v>165</v>
      </c>
      <c r="BY11" s="394">
        <v>8.0</v>
      </c>
      <c r="BZ11" s="394">
        <v>8.0</v>
      </c>
      <c r="CA11" s="394">
        <v>8.0</v>
      </c>
      <c r="CB11" s="394">
        <v>8.0</v>
      </c>
      <c r="CC11" s="394">
        <v>8.0</v>
      </c>
      <c r="CD11" s="394" t="s">
        <v>165</v>
      </c>
      <c r="CE11" s="394" t="s">
        <v>165</v>
      </c>
      <c r="CF11" s="394">
        <v>8.0</v>
      </c>
      <c r="CG11" s="394">
        <v>8.0</v>
      </c>
      <c r="CH11" s="394">
        <v>8.0</v>
      </c>
      <c r="CI11" s="394">
        <v>8.0</v>
      </c>
      <c r="CJ11" s="394">
        <v>8.0</v>
      </c>
      <c r="CK11" s="394" t="s">
        <v>165</v>
      </c>
      <c r="CL11" s="394" t="s">
        <v>165</v>
      </c>
      <c r="CM11" s="394">
        <v>8.0</v>
      </c>
      <c r="CN11" s="394">
        <v>8.0</v>
      </c>
      <c r="CO11" s="394">
        <v>8.0</v>
      </c>
      <c r="CP11" s="394">
        <v>8.0</v>
      </c>
      <c r="CQ11" s="394">
        <v>8.0</v>
      </c>
      <c r="CR11" s="394" t="s">
        <v>165</v>
      </c>
      <c r="CS11" s="394" t="s">
        <v>165</v>
      </c>
      <c r="CT11" s="394">
        <v>8.0</v>
      </c>
      <c r="CU11" s="394">
        <v>8.0</v>
      </c>
      <c r="CV11" s="394">
        <v>8.0</v>
      </c>
      <c r="CW11" s="394">
        <v>8.0</v>
      </c>
      <c r="CX11" s="394">
        <v>8.0</v>
      </c>
      <c r="CY11" s="394" t="s">
        <v>165</v>
      </c>
      <c r="CZ11" s="400">
        <f t="shared" si="7"/>
        <v>176</v>
      </c>
      <c r="DB11" s="394" t="s">
        <v>165</v>
      </c>
      <c r="DC11" s="394">
        <v>8.0</v>
      </c>
      <c r="DD11" s="394">
        <v>8.0</v>
      </c>
      <c r="DE11" s="394">
        <v>8.0</v>
      </c>
      <c r="DF11" s="394">
        <v>8.0</v>
      </c>
      <c r="DG11" s="394">
        <v>8.0</v>
      </c>
      <c r="DH11" s="394" t="s">
        <v>165</v>
      </c>
      <c r="DI11" s="394" t="s">
        <v>165</v>
      </c>
      <c r="DJ11" s="394">
        <v>8.0</v>
      </c>
      <c r="DK11" s="394">
        <v>8.0</v>
      </c>
      <c r="DL11" s="394">
        <v>8.0</v>
      </c>
      <c r="DM11" s="394">
        <v>8.0</v>
      </c>
      <c r="DN11" s="394">
        <v>8.0</v>
      </c>
      <c r="DO11" s="394" t="s">
        <v>165</v>
      </c>
      <c r="DP11" s="394" t="s">
        <v>165</v>
      </c>
      <c r="DQ11" s="394">
        <v>8.0</v>
      </c>
      <c r="DR11" s="394">
        <v>8.0</v>
      </c>
      <c r="DS11" s="394">
        <v>8.0</v>
      </c>
      <c r="DT11" s="394">
        <v>8.0</v>
      </c>
      <c r="DU11" s="394">
        <v>8.0</v>
      </c>
      <c r="DV11" s="394" t="s">
        <v>165</v>
      </c>
      <c r="DW11" s="394" t="s">
        <v>165</v>
      </c>
      <c r="DX11" s="394">
        <v>8.0</v>
      </c>
      <c r="DY11" s="394">
        <v>8.0</v>
      </c>
      <c r="DZ11" s="394">
        <v>8.0</v>
      </c>
      <c r="EA11" s="394">
        <v>8.0</v>
      </c>
      <c r="EB11" s="394">
        <v>8.0</v>
      </c>
      <c r="EC11" s="394" t="s">
        <v>165</v>
      </c>
      <c r="ED11" s="394" t="s">
        <v>165</v>
      </c>
      <c r="EE11" s="394">
        <v>8.0</v>
      </c>
      <c r="EF11" s="394">
        <v>8.0</v>
      </c>
      <c r="EG11" s="407">
        <f t="shared" si="8"/>
        <v>176</v>
      </c>
      <c r="EI11" s="394">
        <v>8.0</v>
      </c>
      <c r="EJ11" s="394">
        <v>8.0</v>
      </c>
      <c r="EK11" s="394">
        <v>8.0</v>
      </c>
      <c r="EL11" s="394" t="s">
        <v>165</v>
      </c>
      <c r="EM11" s="394" t="s">
        <v>165</v>
      </c>
      <c r="EN11" s="394">
        <v>8.0</v>
      </c>
      <c r="EO11" s="394">
        <v>8.0</v>
      </c>
      <c r="EP11" s="394">
        <v>8.0</v>
      </c>
      <c r="EQ11" s="394">
        <v>8.0</v>
      </c>
      <c r="ER11" s="394">
        <v>8.0</v>
      </c>
      <c r="ES11" s="394" t="s">
        <v>165</v>
      </c>
      <c r="ET11" s="394" t="s">
        <v>165</v>
      </c>
      <c r="EU11" s="394">
        <v>8.0</v>
      </c>
      <c r="EV11" s="394">
        <v>8.0</v>
      </c>
      <c r="EW11" s="394">
        <v>8.0</v>
      </c>
      <c r="EX11" s="394">
        <v>8.0</v>
      </c>
      <c r="EY11" s="394">
        <v>8.0</v>
      </c>
      <c r="EZ11" s="394" t="s">
        <v>165</v>
      </c>
      <c r="FA11" s="394" t="s">
        <v>165</v>
      </c>
      <c r="FB11" s="394">
        <v>8.0</v>
      </c>
      <c r="FC11" s="394">
        <v>8.0</v>
      </c>
      <c r="FD11" s="394">
        <v>8.0</v>
      </c>
      <c r="FE11" s="394">
        <v>8.0</v>
      </c>
      <c r="FF11" s="394">
        <v>8.0</v>
      </c>
      <c r="FG11" s="394" t="s">
        <v>165</v>
      </c>
      <c r="FH11" s="394" t="s">
        <v>165</v>
      </c>
      <c r="FI11" s="394">
        <v>8.0</v>
      </c>
      <c r="FJ11" s="394">
        <v>8.0</v>
      </c>
      <c r="FK11" s="394">
        <v>8.0</v>
      </c>
      <c r="FL11" s="394">
        <v>8.0</v>
      </c>
      <c r="FM11" s="407">
        <f t="shared" si="9"/>
        <v>176</v>
      </c>
      <c r="FO11" s="394">
        <v>8.0</v>
      </c>
      <c r="FP11" s="394" t="s">
        <v>165</v>
      </c>
      <c r="FQ11" s="394" t="s">
        <v>165</v>
      </c>
      <c r="FR11" s="394">
        <v>10.0</v>
      </c>
      <c r="FS11" s="394">
        <v>8.5</v>
      </c>
      <c r="FT11" s="394">
        <v>8.0</v>
      </c>
      <c r="FU11" s="394">
        <v>8.0</v>
      </c>
      <c r="FV11" s="394">
        <v>5.5</v>
      </c>
      <c r="FW11" s="394" t="s">
        <v>165</v>
      </c>
      <c r="FX11" s="394" t="s">
        <v>165</v>
      </c>
      <c r="FY11" s="394">
        <v>8.0</v>
      </c>
      <c r="FZ11" s="394">
        <v>8.0</v>
      </c>
      <c r="GA11" s="394">
        <v>8.0</v>
      </c>
      <c r="GB11" s="394">
        <v>8.0</v>
      </c>
      <c r="GC11" s="394">
        <v>8.0</v>
      </c>
      <c r="GD11" s="394" t="s">
        <v>165</v>
      </c>
      <c r="GE11" s="394" t="s">
        <v>165</v>
      </c>
      <c r="GF11" s="394">
        <v>8.0</v>
      </c>
      <c r="GG11" s="394">
        <v>8.0</v>
      </c>
      <c r="GH11" s="394">
        <v>9.0</v>
      </c>
      <c r="GI11" s="394">
        <v>7.0</v>
      </c>
      <c r="GJ11" s="394">
        <v>8.0</v>
      </c>
      <c r="GK11" s="394" t="s">
        <v>165</v>
      </c>
      <c r="GL11" s="394" t="s">
        <v>165</v>
      </c>
      <c r="GM11" s="394">
        <v>8.0</v>
      </c>
      <c r="GN11" s="394">
        <v>8.0</v>
      </c>
      <c r="GO11" s="394">
        <v>8.0</v>
      </c>
      <c r="GP11" s="394" t="s">
        <v>171</v>
      </c>
      <c r="GQ11" s="394">
        <v>8.0</v>
      </c>
      <c r="GR11" s="394" t="s">
        <v>165</v>
      </c>
      <c r="GS11" s="394" t="s">
        <v>165</v>
      </c>
      <c r="GT11" s="400">
        <f t="shared" si="10"/>
        <v>160</v>
      </c>
      <c r="GV11" s="394">
        <v>8.0</v>
      </c>
      <c r="GW11" s="394">
        <v>8.0</v>
      </c>
      <c r="GX11" s="394">
        <v>8.0</v>
      </c>
      <c r="GY11" s="394">
        <v>8.0</v>
      </c>
      <c r="GZ11" s="394">
        <v>8.0</v>
      </c>
      <c r="HA11" s="394" t="s">
        <v>165</v>
      </c>
      <c r="HB11" s="394" t="s">
        <v>165</v>
      </c>
      <c r="HC11" s="394">
        <v>8.0</v>
      </c>
      <c r="HD11" s="394">
        <v>8.0</v>
      </c>
      <c r="HE11" s="394">
        <v>8.0</v>
      </c>
      <c r="HF11" s="394">
        <v>8.0</v>
      </c>
      <c r="HG11" s="394">
        <v>8.0</v>
      </c>
      <c r="HH11" s="394" t="s">
        <v>165</v>
      </c>
      <c r="HI11" s="394" t="s">
        <v>165</v>
      </c>
      <c r="HJ11" s="394">
        <v>8.0</v>
      </c>
      <c r="HK11" s="394">
        <v>8.0</v>
      </c>
      <c r="HL11" s="394">
        <v>8.0</v>
      </c>
      <c r="HM11" s="394">
        <v>8.0</v>
      </c>
      <c r="HN11" s="394">
        <v>8.0</v>
      </c>
      <c r="HO11" s="394" t="s">
        <v>165</v>
      </c>
      <c r="HP11" s="394" t="s">
        <v>165</v>
      </c>
      <c r="HQ11" s="394">
        <v>8.0</v>
      </c>
      <c r="HR11" s="394">
        <v>8.0</v>
      </c>
      <c r="HS11" s="394">
        <v>8.0</v>
      </c>
      <c r="HT11" s="394">
        <v>8.0</v>
      </c>
      <c r="HU11" s="394">
        <v>8.0</v>
      </c>
      <c r="HV11" s="394" t="s">
        <v>165</v>
      </c>
      <c r="HW11" s="394" t="s">
        <v>165</v>
      </c>
      <c r="HX11" s="394">
        <v>8.0</v>
      </c>
      <c r="HY11" s="394">
        <v>8.0</v>
      </c>
      <c r="HZ11" s="400">
        <f t="shared" si="2"/>
        <v>176</v>
      </c>
      <c r="IB11" s="394">
        <v>8.0</v>
      </c>
      <c r="IC11" s="394">
        <v>8.0</v>
      </c>
      <c r="ID11" s="394">
        <v>8.0</v>
      </c>
      <c r="IE11" s="394" t="s">
        <v>165</v>
      </c>
      <c r="IF11" s="394" t="s">
        <v>165</v>
      </c>
      <c r="IG11" s="394" t="s">
        <v>245</v>
      </c>
      <c r="IH11" s="394" t="s">
        <v>245</v>
      </c>
      <c r="II11" s="394" t="s">
        <v>245</v>
      </c>
      <c r="IJ11" s="394" t="s">
        <v>245</v>
      </c>
      <c r="IK11" s="394" t="s">
        <v>245</v>
      </c>
      <c r="IL11" s="394" t="s">
        <v>165</v>
      </c>
      <c r="IM11" s="394" t="s">
        <v>165</v>
      </c>
      <c r="IN11" s="394" t="s">
        <v>245</v>
      </c>
      <c r="IO11" s="394" t="s">
        <v>245</v>
      </c>
      <c r="IP11" s="394" t="s">
        <v>245</v>
      </c>
      <c r="IQ11" s="394" t="s">
        <v>245</v>
      </c>
      <c r="IR11" s="394" t="s">
        <v>245</v>
      </c>
      <c r="IS11" s="394" t="s">
        <v>165</v>
      </c>
      <c r="IT11" s="394" t="s">
        <v>165</v>
      </c>
      <c r="IU11" s="394">
        <v>8.0</v>
      </c>
      <c r="IV11" s="394">
        <v>8.0</v>
      </c>
      <c r="IW11" s="394">
        <v>8.0</v>
      </c>
      <c r="IX11" s="394">
        <v>8.0</v>
      </c>
      <c r="IY11" s="394">
        <v>8.0</v>
      </c>
      <c r="IZ11" s="394" t="s">
        <v>165</v>
      </c>
      <c r="JA11" s="394" t="s">
        <v>165</v>
      </c>
      <c r="JB11" s="394">
        <v>8.0</v>
      </c>
      <c r="JC11" s="394">
        <v>8.0</v>
      </c>
      <c r="JD11" s="394">
        <v>8.0</v>
      </c>
      <c r="JE11" s="394">
        <v>8.0</v>
      </c>
      <c r="JF11" s="394">
        <v>8.0</v>
      </c>
      <c r="JG11" s="400">
        <f t="shared" si="3"/>
        <v>104</v>
      </c>
      <c r="JI11" s="394" t="s">
        <v>165</v>
      </c>
      <c r="JJ11" s="394" t="s">
        <v>165</v>
      </c>
      <c r="JK11" s="394">
        <v>8.0</v>
      </c>
      <c r="JL11" s="394">
        <v>8.0</v>
      </c>
      <c r="JM11" s="394">
        <v>8.0</v>
      </c>
      <c r="JN11" s="394" t="s">
        <v>171</v>
      </c>
      <c r="JO11" s="394">
        <v>8.0</v>
      </c>
      <c r="JP11" s="394" t="s">
        <v>165</v>
      </c>
      <c r="JQ11" s="394" t="s">
        <v>165</v>
      </c>
      <c r="JR11" s="394">
        <v>8.0</v>
      </c>
      <c r="JS11" s="394">
        <v>8.0</v>
      </c>
      <c r="JT11" s="394">
        <v>8.0</v>
      </c>
      <c r="JU11" s="394">
        <v>8.0</v>
      </c>
      <c r="JV11" s="394">
        <v>8.0</v>
      </c>
      <c r="JW11" s="394" t="s">
        <v>165</v>
      </c>
      <c r="JX11" s="394" t="s">
        <v>165</v>
      </c>
      <c r="JY11" s="394">
        <v>8.0</v>
      </c>
      <c r="JZ11" s="394">
        <v>8.0</v>
      </c>
      <c r="KA11" s="394">
        <v>8.0</v>
      </c>
      <c r="KB11" s="394">
        <v>8.0</v>
      </c>
      <c r="KC11" s="394">
        <v>8.0</v>
      </c>
      <c r="KD11" s="394" t="s">
        <v>165</v>
      </c>
      <c r="KE11" s="394" t="s">
        <v>165</v>
      </c>
      <c r="KF11" s="394">
        <v>8.0</v>
      </c>
      <c r="KG11" s="394">
        <v>8.0</v>
      </c>
      <c r="KH11" s="394">
        <v>8.0</v>
      </c>
      <c r="KI11" s="394">
        <v>8.0</v>
      </c>
      <c r="KJ11" s="394">
        <v>8.0</v>
      </c>
      <c r="KK11" s="394" t="s">
        <v>165</v>
      </c>
      <c r="KL11" s="394" t="s">
        <v>165</v>
      </c>
      <c r="KM11" s="394">
        <v>8.0</v>
      </c>
      <c r="KN11" s="145">
        <f t="shared" si="4"/>
        <v>160</v>
      </c>
      <c r="KP11" s="398"/>
      <c r="KQ11" s="398"/>
      <c r="KR11" s="398"/>
      <c r="KS11" s="398"/>
      <c r="KT11" s="398"/>
      <c r="KU11" s="398"/>
      <c r="KV11" s="398"/>
      <c r="KW11" s="398"/>
      <c r="KX11" s="398"/>
      <c r="KY11" s="398"/>
      <c r="KZ11" s="398"/>
      <c r="LA11" s="398"/>
      <c r="LB11" s="398"/>
      <c r="LC11" s="398"/>
      <c r="LD11" s="398"/>
      <c r="LE11" s="398"/>
      <c r="LF11" s="398"/>
      <c r="LG11" s="398"/>
      <c r="LH11" s="398"/>
      <c r="LI11" s="398"/>
      <c r="LJ11" s="398"/>
      <c r="LK11" s="398"/>
      <c r="LL11" s="398"/>
      <c r="LM11" s="398"/>
      <c r="LN11" s="398"/>
      <c r="LO11" s="398"/>
      <c r="LP11" s="398"/>
      <c r="LQ11" s="398"/>
      <c r="LR11" s="398"/>
      <c r="LT11" s="398"/>
      <c r="LU11" s="398"/>
      <c r="LV11" s="398"/>
      <c r="LW11" s="398"/>
      <c r="LX11" s="398"/>
      <c r="LY11" s="398"/>
      <c r="LZ11" s="398"/>
      <c r="MA11" s="398"/>
      <c r="MB11" s="398"/>
      <c r="MC11" s="398"/>
      <c r="MD11" s="398"/>
      <c r="ME11" s="398"/>
      <c r="MF11" s="398"/>
      <c r="MG11" s="398"/>
      <c r="MH11" s="398"/>
      <c r="MI11" s="398"/>
      <c r="MJ11" s="398"/>
      <c r="MK11" s="398"/>
      <c r="ML11" s="398"/>
      <c r="MM11" s="398"/>
      <c r="MN11" s="398"/>
      <c r="MO11" s="398"/>
      <c r="MP11" s="398"/>
      <c r="MQ11" s="398"/>
      <c r="MR11" s="398"/>
      <c r="MS11" s="398"/>
    </row>
    <row r="12" ht="16.5" customHeight="1">
      <c r="A12" s="420" t="s">
        <v>1261</v>
      </c>
      <c r="B12" s="407" t="s">
        <v>88</v>
      </c>
      <c r="C12" s="394" t="s">
        <v>98</v>
      </c>
      <c r="D12" s="395">
        <f t="shared" si="1"/>
        <v>9</v>
      </c>
      <c r="E12" s="396" t="s">
        <v>1259</v>
      </c>
      <c r="F12" s="400">
        <f>IFERROR(__xludf.DUMMYFUNCTION("IF(A12="""","""", counta(filter(Filter(FILTER($H$4:$SH76,$H$1:$SH$1&lt;today()),$A$4:$A76=A12),not(istext(Filter(FILTER($H$4:$SH76,$H$1:$SH$1&lt;today()),$A$4:$A76=A12))),not(Filter(FILTER($H$4:$SH76,$H$1:$SH$1&lt;today()),$A$4:$A76=A12)=0),Filter(FILTER($H$4:$SH7"&amp;"6,$H$1:$SH$1&lt;today()),$A$4:$A76=A12)&lt;23)))"),151.0)</f>
        <v>151</v>
      </c>
      <c r="H12" s="394"/>
      <c r="I12" s="394"/>
      <c r="J12" s="394"/>
      <c r="K12" s="394"/>
      <c r="L12" s="394"/>
      <c r="M12" s="394"/>
      <c r="N12" s="394"/>
      <c r="O12" s="394"/>
      <c r="P12" s="394"/>
      <c r="Q12" s="394"/>
      <c r="R12" s="394"/>
      <c r="S12" s="394"/>
      <c r="T12" s="394"/>
      <c r="U12" s="394"/>
      <c r="V12" s="394"/>
      <c r="W12" s="394"/>
      <c r="X12" s="394"/>
      <c r="Y12" s="394"/>
      <c r="Z12" s="394"/>
      <c r="AA12" s="394"/>
      <c r="AB12" s="394"/>
      <c r="AC12" s="394"/>
      <c r="AD12" s="394"/>
      <c r="AE12" s="394"/>
      <c r="AF12" s="394"/>
      <c r="AG12" s="394"/>
      <c r="AH12" s="394"/>
      <c r="AI12" s="394"/>
      <c r="AJ12" s="394"/>
      <c r="AK12" s="394"/>
      <c r="AL12" s="394"/>
      <c r="AM12" s="405"/>
      <c r="AO12" s="394" t="s">
        <v>166</v>
      </c>
      <c r="AP12" s="394" t="s">
        <v>166</v>
      </c>
      <c r="AQ12" s="394" t="s">
        <v>166</v>
      </c>
      <c r="AR12" s="394" t="s">
        <v>166</v>
      </c>
      <c r="AS12" s="394" t="s">
        <v>166</v>
      </c>
      <c r="AT12" s="394" t="s">
        <v>166</v>
      </c>
      <c r="AU12" s="394">
        <v>8.0</v>
      </c>
      <c r="AV12" s="394">
        <v>8.0</v>
      </c>
      <c r="AW12" s="394">
        <v>8.0</v>
      </c>
      <c r="AX12" s="394">
        <v>8.0</v>
      </c>
      <c r="AY12" s="394">
        <v>8.0</v>
      </c>
      <c r="AZ12" s="394" t="s">
        <v>165</v>
      </c>
      <c r="BA12" s="394" t="s">
        <v>165</v>
      </c>
      <c r="BB12" s="394">
        <v>8.0</v>
      </c>
      <c r="BC12" s="394">
        <v>8.0</v>
      </c>
      <c r="BD12" s="394">
        <v>8.0</v>
      </c>
      <c r="BE12" s="394" t="s">
        <v>165</v>
      </c>
      <c r="BF12" s="394" t="s">
        <v>165</v>
      </c>
      <c r="BG12" s="394">
        <v>8.0</v>
      </c>
      <c r="BH12" s="394">
        <v>8.0</v>
      </c>
      <c r="BI12" s="394">
        <v>8.0</v>
      </c>
      <c r="BJ12" s="394">
        <v>8.0</v>
      </c>
      <c r="BK12" s="394">
        <v>8.0</v>
      </c>
      <c r="BL12" s="394" t="s">
        <v>165</v>
      </c>
      <c r="BM12" s="394" t="s">
        <v>165</v>
      </c>
      <c r="BN12" s="394">
        <v>8.0</v>
      </c>
      <c r="BO12" s="394">
        <v>8.0</v>
      </c>
      <c r="BP12" s="394">
        <v>8.0</v>
      </c>
      <c r="BQ12" s="394">
        <v>8.0</v>
      </c>
      <c r="BR12" s="394">
        <v>8.0</v>
      </c>
      <c r="BS12" s="406">
        <f t="shared" si="6"/>
        <v>144</v>
      </c>
      <c r="BU12" s="394" t="s">
        <v>165</v>
      </c>
      <c r="BV12" s="394" t="s">
        <v>165</v>
      </c>
      <c r="BW12" s="394">
        <v>8.0</v>
      </c>
      <c r="BX12" s="394">
        <v>8.0</v>
      </c>
      <c r="BY12" s="394">
        <v>8.0</v>
      </c>
      <c r="BZ12" s="394">
        <v>8.0</v>
      </c>
      <c r="CA12" s="394">
        <v>8.0</v>
      </c>
      <c r="CB12" s="394" t="s">
        <v>165</v>
      </c>
      <c r="CC12" s="394" t="s">
        <v>165</v>
      </c>
      <c r="CD12" s="394">
        <v>8.0</v>
      </c>
      <c r="CE12" s="394">
        <v>8.0</v>
      </c>
      <c r="CF12" s="394">
        <v>8.0</v>
      </c>
      <c r="CG12" s="394">
        <v>8.0</v>
      </c>
      <c r="CH12" s="394">
        <v>8.0</v>
      </c>
      <c r="CI12" s="394" t="s">
        <v>165</v>
      </c>
      <c r="CJ12" s="394" t="s">
        <v>165</v>
      </c>
      <c r="CK12" s="394">
        <v>8.0</v>
      </c>
      <c r="CL12" s="394">
        <v>8.0</v>
      </c>
      <c r="CM12" s="394">
        <v>8.0</v>
      </c>
      <c r="CN12" s="394">
        <v>8.0</v>
      </c>
      <c r="CO12" s="394">
        <v>8.0</v>
      </c>
      <c r="CP12" s="394" t="s">
        <v>165</v>
      </c>
      <c r="CQ12" s="394" t="s">
        <v>165</v>
      </c>
      <c r="CR12" s="394">
        <v>8.0</v>
      </c>
      <c r="CS12" s="394">
        <v>8.0</v>
      </c>
      <c r="CT12" s="394">
        <v>8.0</v>
      </c>
      <c r="CU12" s="394">
        <v>8.0</v>
      </c>
      <c r="CV12" s="394">
        <v>8.0</v>
      </c>
      <c r="CW12" s="394" t="s">
        <v>165</v>
      </c>
      <c r="CX12" s="394" t="s">
        <v>165</v>
      </c>
      <c r="CY12" s="394">
        <v>8.0</v>
      </c>
      <c r="CZ12" s="400">
        <f t="shared" si="7"/>
        <v>168</v>
      </c>
      <c r="DB12" s="394">
        <v>8.0</v>
      </c>
      <c r="DC12" s="394">
        <v>8.0</v>
      </c>
      <c r="DD12" s="394">
        <v>8.0</v>
      </c>
      <c r="DE12" s="394">
        <v>8.0</v>
      </c>
      <c r="DF12" s="394" t="s">
        <v>165</v>
      </c>
      <c r="DG12" s="394" t="s">
        <v>165</v>
      </c>
      <c r="DH12" s="394">
        <v>8.0</v>
      </c>
      <c r="DI12" s="394">
        <v>8.0</v>
      </c>
      <c r="DJ12" s="394">
        <v>8.0</v>
      </c>
      <c r="DK12" s="394">
        <v>8.0</v>
      </c>
      <c r="DL12" s="394">
        <v>8.0</v>
      </c>
      <c r="DM12" s="394" t="s">
        <v>165</v>
      </c>
      <c r="DN12" s="394" t="s">
        <v>165</v>
      </c>
      <c r="DO12" s="394">
        <v>8.0</v>
      </c>
      <c r="DP12" s="394">
        <v>8.0</v>
      </c>
      <c r="DQ12" s="394">
        <v>8.0</v>
      </c>
      <c r="DR12" s="394">
        <v>8.0</v>
      </c>
      <c r="DS12" s="394">
        <v>8.0</v>
      </c>
      <c r="DT12" s="394" t="s">
        <v>165</v>
      </c>
      <c r="DU12" s="394" t="s">
        <v>165</v>
      </c>
      <c r="DV12" s="394">
        <v>8.0</v>
      </c>
      <c r="DW12" s="394">
        <v>8.0</v>
      </c>
      <c r="DX12" s="394">
        <v>8.0</v>
      </c>
      <c r="DY12" s="394">
        <v>8.0</v>
      </c>
      <c r="DZ12" s="394">
        <v>6.0</v>
      </c>
      <c r="EA12" s="394" t="s">
        <v>165</v>
      </c>
      <c r="EB12" s="394" t="s">
        <v>165</v>
      </c>
      <c r="EC12" s="394">
        <v>9.0</v>
      </c>
      <c r="ED12" s="394">
        <v>9.0</v>
      </c>
      <c r="EE12" s="394">
        <v>8.0</v>
      </c>
      <c r="EF12" s="394">
        <v>8.0</v>
      </c>
      <c r="EG12" s="407">
        <f t="shared" si="8"/>
        <v>184</v>
      </c>
      <c r="EI12" s="394">
        <v>8.0</v>
      </c>
      <c r="EJ12" s="394" t="s">
        <v>165</v>
      </c>
      <c r="EK12" s="394" t="s">
        <v>165</v>
      </c>
      <c r="EL12" s="394">
        <v>8.0</v>
      </c>
      <c r="EM12" s="394">
        <v>8.0</v>
      </c>
      <c r="EN12" s="394">
        <v>8.0</v>
      </c>
      <c r="EO12" s="394">
        <v>8.0</v>
      </c>
      <c r="EP12" s="394">
        <v>8.0</v>
      </c>
      <c r="EQ12" s="394" t="s">
        <v>165</v>
      </c>
      <c r="ER12" s="394" t="s">
        <v>165</v>
      </c>
      <c r="ES12" s="394">
        <v>8.0</v>
      </c>
      <c r="ET12" s="394">
        <v>8.0</v>
      </c>
      <c r="EU12" s="394">
        <v>8.0</v>
      </c>
      <c r="EV12" s="394">
        <v>8.0</v>
      </c>
      <c r="EW12" s="394">
        <v>8.0</v>
      </c>
      <c r="EX12" s="394" t="s">
        <v>165</v>
      </c>
      <c r="EY12" s="394" t="s">
        <v>165</v>
      </c>
      <c r="EZ12" s="394">
        <v>8.0</v>
      </c>
      <c r="FA12" s="394">
        <v>8.0</v>
      </c>
      <c r="FB12" s="394">
        <v>8.0</v>
      </c>
      <c r="FC12" s="394">
        <v>8.0</v>
      </c>
      <c r="FD12" s="394">
        <v>8.0</v>
      </c>
      <c r="FE12" s="394" t="s">
        <v>165</v>
      </c>
      <c r="FF12" s="394" t="s">
        <v>165</v>
      </c>
      <c r="FG12" s="394">
        <v>8.0</v>
      </c>
      <c r="FH12" s="394">
        <v>8.0</v>
      </c>
      <c r="FI12" s="394">
        <v>8.0</v>
      </c>
      <c r="FJ12" s="394">
        <v>8.0</v>
      </c>
      <c r="FK12" s="394">
        <v>8.0</v>
      </c>
      <c r="FL12" s="394" t="s">
        <v>165</v>
      </c>
      <c r="FM12" s="407">
        <f t="shared" si="9"/>
        <v>168</v>
      </c>
      <c r="FO12" s="394" t="s">
        <v>165</v>
      </c>
      <c r="FP12" s="394">
        <v>8.0</v>
      </c>
      <c r="FQ12" s="394">
        <v>8.0</v>
      </c>
      <c r="FR12" s="394">
        <v>8.0</v>
      </c>
      <c r="FS12" s="394">
        <v>8.0</v>
      </c>
      <c r="FT12" s="394">
        <v>8.0</v>
      </c>
      <c r="FU12" s="394" t="s">
        <v>165</v>
      </c>
      <c r="FV12" s="394" t="s">
        <v>165</v>
      </c>
      <c r="FW12" s="394">
        <v>8.0</v>
      </c>
      <c r="FX12" s="394">
        <v>8.0</v>
      </c>
      <c r="FY12" s="394">
        <v>8.0</v>
      </c>
      <c r="FZ12" s="394">
        <v>8.0</v>
      </c>
      <c r="GA12" s="394">
        <v>8.0</v>
      </c>
      <c r="GB12" s="394" t="s">
        <v>165</v>
      </c>
      <c r="GC12" s="394" t="s">
        <v>165</v>
      </c>
      <c r="GD12" s="394">
        <v>8.0</v>
      </c>
      <c r="GE12" s="394">
        <v>8.0</v>
      </c>
      <c r="GF12" s="394">
        <v>8.0</v>
      </c>
      <c r="GG12" s="394">
        <v>8.0</v>
      </c>
      <c r="GH12" s="394">
        <v>8.0</v>
      </c>
      <c r="GI12" s="394" t="s">
        <v>165</v>
      </c>
      <c r="GJ12" s="394" t="s">
        <v>165</v>
      </c>
      <c r="GK12" s="394">
        <v>8.0</v>
      </c>
      <c r="GL12" s="394">
        <v>8.0</v>
      </c>
      <c r="GM12" s="394">
        <v>8.0</v>
      </c>
      <c r="GN12" s="394">
        <v>8.0</v>
      </c>
      <c r="GO12" s="394">
        <v>8.0</v>
      </c>
      <c r="GP12" s="394" t="s">
        <v>165</v>
      </c>
      <c r="GQ12" s="394" t="s">
        <v>165</v>
      </c>
      <c r="GR12" s="394">
        <v>8.0</v>
      </c>
      <c r="GS12" s="394">
        <v>8.0</v>
      </c>
      <c r="GT12" s="400">
        <f t="shared" si="10"/>
        <v>176</v>
      </c>
      <c r="GV12" s="394">
        <v>8.0</v>
      </c>
      <c r="GW12" s="394">
        <v>8.0</v>
      </c>
      <c r="GX12" s="394">
        <v>8.0</v>
      </c>
      <c r="GY12" s="394" t="s">
        <v>165</v>
      </c>
      <c r="GZ12" s="394" t="s">
        <v>165</v>
      </c>
      <c r="HA12" s="394">
        <v>8.0</v>
      </c>
      <c r="HB12" s="394">
        <v>8.0</v>
      </c>
      <c r="HC12" s="394">
        <v>8.0</v>
      </c>
      <c r="HD12" s="394">
        <v>8.0</v>
      </c>
      <c r="HE12" s="394">
        <v>8.0</v>
      </c>
      <c r="HF12" s="394" t="s">
        <v>165</v>
      </c>
      <c r="HG12" s="394" t="s">
        <v>165</v>
      </c>
      <c r="HH12" s="394">
        <v>8.0</v>
      </c>
      <c r="HI12" s="394">
        <v>8.0</v>
      </c>
      <c r="HJ12" s="394">
        <v>8.0</v>
      </c>
      <c r="HK12" s="394">
        <v>8.0</v>
      </c>
      <c r="HL12" s="394">
        <v>8.0</v>
      </c>
      <c r="HM12" s="394" t="s">
        <v>165</v>
      </c>
      <c r="HN12" s="394" t="s">
        <v>165</v>
      </c>
      <c r="HO12" s="394">
        <v>8.0</v>
      </c>
      <c r="HP12" s="394">
        <v>8.0</v>
      </c>
      <c r="HQ12" s="394">
        <v>8.0</v>
      </c>
      <c r="HR12" s="394">
        <v>8.0</v>
      </c>
      <c r="HS12" s="394">
        <v>8.0</v>
      </c>
      <c r="HT12" s="394" t="s">
        <v>165</v>
      </c>
      <c r="HU12" s="394" t="s">
        <v>165</v>
      </c>
      <c r="HV12" s="394">
        <v>8.0</v>
      </c>
      <c r="HW12" s="394">
        <v>8.0</v>
      </c>
      <c r="HX12" s="394">
        <v>8.0</v>
      </c>
      <c r="HY12" s="394">
        <v>8.0</v>
      </c>
      <c r="HZ12" s="400">
        <f t="shared" si="2"/>
        <v>176</v>
      </c>
      <c r="IB12" s="394">
        <v>8.0</v>
      </c>
      <c r="IC12" s="394" t="s">
        <v>165</v>
      </c>
      <c r="ID12" s="394" t="s">
        <v>165</v>
      </c>
      <c r="IE12" s="394">
        <v>8.0</v>
      </c>
      <c r="IF12" s="394">
        <v>8.0</v>
      </c>
      <c r="IG12" s="394">
        <v>8.0</v>
      </c>
      <c r="IH12" s="394">
        <v>8.0</v>
      </c>
      <c r="II12" s="394">
        <v>8.0</v>
      </c>
      <c r="IJ12" s="394" t="s">
        <v>165</v>
      </c>
      <c r="IK12" s="394" t="s">
        <v>165</v>
      </c>
      <c r="IL12" s="394">
        <v>8.0</v>
      </c>
      <c r="IM12" s="394">
        <v>8.0</v>
      </c>
      <c r="IN12" s="394">
        <v>8.0</v>
      </c>
      <c r="IO12" s="394">
        <v>8.0</v>
      </c>
      <c r="IP12" s="394">
        <v>8.0</v>
      </c>
      <c r="IQ12" s="394" t="s">
        <v>165</v>
      </c>
      <c r="IR12" s="394" t="s">
        <v>165</v>
      </c>
      <c r="IS12" s="394">
        <v>8.0</v>
      </c>
      <c r="IT12" s="394">
        <v>8.0</v>
      </c>
      <c r="IU12" s="394">
        <v>8.0</v>
      </c>
      <c r="IV12" s="394">
        <v>8.0</v>
      </c>
      <c r="IW12" s="394">
        <v>8.0</v>
      </c>
      <c r="IX12" s="394" t="s">
        <v>165</v>
      </c>
      <c r="IY12" s="394" t="s">
        <v>165</v>
      </c>
      <c r="IZ12" s="394">
        <v>8.0</v>
      </c>
      <c r="JA12" s="394">
        <v>8.0</v>
      </c>
      <c r="JB12" s="394">
        <v>8.0</v>
      </c>
      <c r="JC12" s="394">
        <v>8.0</v>
      </c>
      <c r="JD12" s="394">
        <v>8.0</v>
      </c>
      <c r="JE12" s="394" t="s">
        <v>165</v>
      </c>
      <c r="JF12" s="394" t="s">
        <v>165</v>
      </c>
      <c r="JG12" s="400">
        <f t="shared" si="3"/>
        <v>168</v>
      </c>
      <c r="JI12" s="394">
        <v>8.0</v>
      </c>
      <c r="JJ12" s="394">
        <v>8.0</v>
      </c>
      <c r="JK12" s="394">
        <v>8.0</v>
      </c>
      <c r="JL12" s="394">
        <v>8.0</v>
      </c>
      <c r="JM12" s="394">
        <v>8.0</v>
      </c>
      <c r="JN12" s="394" t="s">
        <v>165</v>
      </c>
      <c r="JO12" s="394" t="s">
        <v>165</v>
      </c>
      <c r="JP12" s="394">
        <v>8.0</v>
      </c>
      <c r="JQ12" s="394">
        <v>8.0</v>
      </c>
      <c r="JR12" s="394">
        <v>8.0</v>
      </c>
      <c r="JS12" s="394">
        <v>8.0</v>
      </c>
      <c r="JT12" s="394">
        <v>8.0</v>
      </c>
      <c r="JU12" s="394" t="s">
        <v>165</v>
      </c>
      <c r="JV12" s="394" t="s">
        <v>165</v>
      </c>
      <c r="JW12" s="394">
        <v>8.0</v>
      </c>
      <c r="JX12" s="394">
        <v>8.0</v>
      </c>
      <c r="JY12" s="394">
        <v>8.0</v>
      </c>
      <c r="JZ12" s="394">
        <v>8.0</v>
      </c>
      <c r="KA12" s="394">
        <v>8.0</v>
      </c>
      <c r="KB12" s="394" t="s">
        <v>165</v>
      </c>
      <c r="KC12" s="394" t="s">
        <v>165</v>
      </c>
      <c r="KD12" s="394">
        <v>8.0</v>
      </c>
      <c r="KE12" s="394">
        <v>8.0</v>
      </c>
      <c r="KF12" s="394">
        <v>8.0</v>
      </c>
      <c r="KG12" s="394">
        <v>8.0</v>
      </c>
      <c r="KH12" s="394">
        <v>8.0</v>
      </c>
      <c r="KI12" s="394" t="s">
        <v>165</v>
      </c>
      <c r="KJ12" s="394" t="s">
        <v>165</v>
      </c>
      <c r="KK12" s="394">
        <v>8.0</v>
      </c>
      <c r="KL12" s="394">
        <v>8.0</v>
      </c>
      <c r="KM12" s="394">
        <v>8.0</v>
      </c>
      <c r="KN12" s="145">
        <f t="shared" si="4"/>
        <v>184</v>
      </c>
      <c r="KP12" s="398"/>
      <c r="KQ12" s="398"/>
      <c r="KR12" s="398"/>
      <c r="KS12" s="398"/>
      <c r="KT12" s="398"/>
      <c r="KU12" s="398"/>
      <c r="KV12" s="398"/>
      <c r="KW12" s="398"/>
      <c r="KX12" s="398"/>
      <c r="KY12" s="398"/>
      <c r="KZ12" s="398"/>
      <c r="LA12" s="398"/>
      <c r="LB12" s="398"/>
      <c r="LC12" s="398"/>
      <c r="LD12" s="398"/>
      <c r="LE12" s="398"/>
      <c r="LF12" s="398"/>
      <c r="LG12" s="398"/>
      <c r="LH12" s="398"/>
      <c r="LI12" s="398"/>
      <c r="LJ12" s="398"/>
      <c r="LK12" s="398"/>
      <c r="LL12" s="398"/>
      <c r="LM12" s="398"/>
      <c r="LN12" s="398"/>
      <c r="LO12" s="398"/>
      <c r="LP12" s="398"/>
      <c r="LQ12" s="398"/>
      <c r="LR12" s="398"/>
      <c r="LT12" s="398"/>
      <c r="LU12" s="398"/>
      <c r="LV12" s="398"/>
      <c r="LW12" s="398"/>
      <c r="LX12" s="398"/>
      <c r="LY12" s="398"/>
      <c r="LZ12" s="398"/>
      <c r="MA12" s="398"/>
      <c r="MB12" s="398"/>
      <c r="MC12" s="398"/>
      <c r="MD12" s="398"/>
      <c r="ME12" s="398"/>
      <c r="MF12" s="398"/>
      <c r="MG12" s="398"/>
      <c r="MH12" s="398"/>
      <c r="MI12" s="398"/>
      <c r="MJ12" s="398"/>
      <c r="MK12" s="398"/>
      <c r="ML12" s="398"/>
      <c r="MM12" s="398"/>
      <c r="MN12" s="398"/>
      <c r="MO12" s="398"/>
      <c r="MP12" s="398"/>
      <c r="MQ12" s="398"/>
      <c r="MR12" s="398"/>
      <c r="MS12" s="398"/>
    </row>
    <row r="13" ht="16.5" customHeight="1">
      <c r="A13" s="420" t="s">
        <v>1262</v>
      </c>
      <c r="B13" s="421" t="s">
        <v>1255</v>
      </c>
      <c r="C13" s="422" t="s">
        <v>98</v>
      </c>
      <c r="D13" s="395">
        <f t="shared" si="1"/>
        <v>9</v>
      </c>
      <c r="E13" s="423" t="s">
        <v>1263</v>
      </c>
      <c r="F13" s="400">
        <f>IFERROR(__xludf.DUMMYFUNCTION("IF(A13="""","""", counta(filter(Filter(FILTER($H$4:$SH76,$H$1:$SH$1&lt;today()),$A$4:$A76=A13),not(istext(Filter(FILTER($H$4:$SH76,$H$1:$SH$1&lt;today()),$A$4:$A76=A13))),not(Filter(FILTER($H$4:$SH76,$H$1:$SH$1&lt;today()),$A$4:$A76=A13)=0),Filter(FILTER($H$4:$SH7"&amp;"6,$H$1:$SH$1&lt;today()),$A$4:$A76=A13)&lt;23)))"),136.0)</f>
        <v>136</v>
      </c>
      <c r="H13" s="394"/>
      <c r="I13" s="394"/>
      <c r="J13" s="394"/>
      <c r="K13" s="394"/>
      <c r="L13" s="394"/>
      <c r="M13" s="394"/>
      <c r="N13" s="394"/>
      <c r="O13" s="394"/>
      <c r="P13" s="394"/>
      <c r="Q13" s="394"/>
      <c r="R13" s="394"/>
      <c r="S13" s="394"/>
      <c r="T13" s="394"/>
      <c r="U13" s="394"/>
      <c r="V13" s="394"/>
      <c r="W13" s="394"/>
      <c r="X13" s="394"/>
      <c r="Y13" s="394"/>
      <c r="Z13" s="394"/>
      <c r="AA13" s="394"/>
      <c r="AB13" s="394"/>
      <c r="AC13" s="394"/>
      <c r="AD13" s="394"/>
      <c r="AE13" s="394"/>
      <c r="AF13" s="394"/>
      <c r="AG13" s="394"/>
      <c r="AH13" s="394"/>
      <c r="AI13" s="394"/>
      <c r="AJ13" s="394"/>
      <c r="AK13" s="394"/>
      <c r="AL13" s="394"/>
      <c r="AM13" s="405"/>
      <c r="AO13" s="394" t="s">
        <v>166</v>
      </c>
      <c r="AP13" s="394" t="s">
        <v>166</v>
      </c>
      <c r="AQ13" s="394" t="s">
        <v>166</v>
      </c>
      <c r="AR13" s="394" t="s">
        <v>166</v>
      </c>
      <c r="AS13" s="394" t="s">
        <v>166</v>
      </c>
      <c r="AT13" s="394" t="s">
        <v>166</v>
      </c>
      <c r="AU13" s="394" t="s">
        <v>166</v>
      </c>
      <c r="AV13" s="394">
        <v>8.0</v>
      </c>
      <c r="AW13" s="394">
        <v>8.0</v>
      </c>
      <c r="AX13" s="394">
        <v>8.0</v>
      </c>
      <c r="AY13" s="394">
        <v>8.0</v>
      </c>
      <c r="AZ13" s="394" t="s">
        <v>165</v>
      </c>
      <c r="BA13" s="394" t="s">
        <v>165</v>
      </c>
      <c r="BB13" s="394">
        <v>8.0</v>
      </c>
      <c r="BC13" s="394">
        <v>8.0</v>
      </c>
      <c r="BD13" s="394">
        <v>8.0</v>
      </c>
      <c r="BE13" s="394">
        <v>8.0</v>
      </c>
      <c r="BF13" s="394">
        <v>8.0</v>
      </c>
      <c r="BG13" s="394" t="s">
        <v>165</v>
      </c>
      <c r="BH13" s="394" t="s">
        <v>165</v>
      </c>
      <c r="BI13" s="394">
        <v>8.0</v>
      </c>
      <c r="BJ13" s="394">
        <v>8.0</v>
      </c>
      <c r="BK13" s="394">
        <v>8.0</v>
      </c>
      <c r="BL13" s="394">
        <v>8.0</v>
      </c>
      <c r="BM13" s="394">
        <v>8.0</v>
      </c>
      <c r="BN13" s="394" t="s">
        <v>165</v>
      </c>
      <c r="BO13" s="394" t="s">
        <v>165</v>
      </c>
      <c r="BP13" s="394">
        <v>8.0</v>
      </c>
      <c r="BQ13" s="394">
        <v>8.0</v>
      </c>
      <c r="BR13" s="394">
        <v>8.0</v>
      </c>
      <c r="BS13" s="406">
        <f t="shared" si="6"/>
        <v>136</v>
      </c>
      <c r="BU13" s="394">
        <v>8.0</v>
      </c>
      <c r="BV13" s="394">
        <v>8.0</v>
      </c>
      <c r="BW13" s="394" t="s">
        <v>165</v>
      </c>
      <c r="BX13" s="394" t="s">
        <v>165</v>
      </c>
      <c r="BY13" s="394">
        <v>8.0</v>
      </c>
      <c r="BZ13" s="394">
        <v>4.0</v>
      </c>
      <c r="CA13" s="394">
        <v>8.0</v>
      </c>
      <c r="CB13" s="394">
        <v>8.0</v>
      </c>
      <c r="CC13" s="394" t="s">
        <v>171</v>
      </c>
      <c r="CD13" s="394" t="s">
        <v>165</v>
      </c>
      <c r="CE13" s="394" t="s">
        <v>165</v>
      </c>
      <c r="CF13" s="394">
        <v>8.0</v>
      </c>
      <c r="CG13" s="394">
        <v>9.0</v>
      </c>
      <c r="CH13" s="394">
        <v>8.0</v>
      </c>
      <c r="CI13" s="394">
        <v>9.0</v>
      </c>
      <c r="CJ13" s="394">
        <v>8.0</v>
      </c>
      <c r="CK13" s="394" t="s">
        <v>165</v>
      </c>
      <c r="CL13" s="394" t="s">
        <v>165</v>
      </c>
      <c r="CM13" s="394">
        <v>9.0</v>
      </c>
      <c r="CN13" s="394">
        <v>8.0</v>
      </c>
      <c r="CO13" s="394">
        <v>9.0</v>
      </c>
      <c r="CP13" s="394">
        <v>8.0</v>
      </c>
      <c r="CQ13" s="394">
        <v>8.0</v>
      </c>
      <c r="CR13" s="394" t="s">
        <v>165</v>
      </c>
      <c r="CS13" s="394" t="s">
        <v>165</v>
      </c>
      <c r="CT13" s="394">
        <v>8.0</v>
      </c>
      <c r="CU13" s="394">
        <v>8.0</v>
      </c>
      <c r="CV13" s="394">
        <v>8.0</v>
      </c>
      <c r="CW13" s="394">
        <v>8.0</v>
      </c>
      <c r="CX13" s="394">
        <v>8.0</v>
      </c>
      <c r="CY13" s="394" t="s">
        <v>165</v>
      </c>
      <c r="CZ13" s="400">
        <f t="shared" si="7"/>
        <v>168</v>
      </c>
      <c r="DB13" s="394" t="s">
        <v>165</v>
      </c>
      <c r="DC13" s="394">
        <v>8.0</v>
      </c>
      <c r="DD13" s="394" t="s">
        <v>245</v>
      </c>
      <c r="DE13" s="394">
        <v>8.0</v>
      </c>
      <c r="DF13" s="394">
        <v>8.0</v>
      </c>
      <c r="DG13" s="394">
        <v>8.0</v>
      </c>
      <c r="DH13" s="394" t="s">
        <v>165</v>
      </c>
      <c r="DI13" s="394" t="s">
        <v>165</v>
      </c>
      <c r="DJ13" s="394">
        <v>8.0</v>
      </c>
      <c r="DK13" s="394">
        <v>8.0</v>
      </c>
      <c r="DL13" s="394">
        <v>8.0</v>
      </c>
      <c r="DM13" s="394">
        <v>8.0</v>
      </c>
      <c r="DN13" s="394">
        <v>8.0</v>
      </c>
      <c r="DO13" s="394" t="s">
        <v>165</v>
      </c>
      <c r="DP13" s="394" t="s">
        <v>165</v>
      </c>
      <c r="DQ13" s="394">
        <v>8.0</v>
      </c>
      <c r="DR13" s="394">
        <v>8.0</v>
      </c>
      <c r="DS13" s="394">
        <v>8.0</v>
      </c>
      <c r="DT13" s="394">
        <v>8.0</v>
      </c>
      <c r="DU13" s="394">
        <v>8.0</v>
      </c>
      <c r="DV13" s="394" t="s">
        <v>165</v>
      </c>
      <c r="DW13" s="394" t="s">
        <v>165</v>
      </c>
      <c r="DX13" s="394">
        <v>8.0</v>
      </c>
      <c r="DY13" s="394">
        <v>8.0</v>
      </c>
      <c r="DZ13" s="394">
        <v>8.0</v>
      </c>
      <c r="EA13" s="394">
        <v>8.0</v>
      </c>
      <c r="EB13" s="394">
        <v>8.0</v>
      </c>
      <c r="EC13" s="394" t="s">
        <v>165</v>
      </c>
      <c r="ED13" s="394" t="s">
        <v>165</v>
      </c>
      <c r="EE13" s="394">
        <v>8.0</v>
      </c>
      <c r="EF13" s="394">
        <v>8.0</v>
      </c>
      <c r="EG13" s="407">
        <f t="shared" si="8"/>
        <v>168</v>
      </c>
      <c r="EI13" s="394">
        <v>8.0</v>
      </c>
      <c r="EJ13" s="394">
        <v>8.0</v>
      </c>
      <c r="EK13" s="394">
        <v>8.0</v>
      </c>
      <c r="EL13" s="394" t="s">
        <v>165</v>
      </c>
      <c r="EM13" s="394" t="s">
        <v>165</v>
      </c>
      <c r="EN13" s="394">
        <v>8.0</v>
      </c>
      <c r="EO13" s="394" t="s">
        <v>171</v>
      </c>
      <c r="EP13" s="394">
        <v>8.0</v>
      </c>
      <c r="EQ13" s="394">
        <v>8.0</v>
      </c>
      <c r="ER13" s="394">
        <v>8.0</v>
      </c>
      <c r="ES13" s="394" t="s">
        <v>165</v>
      </c>
      <c r="ET13" s="394" t="s">
        <v>165</v>
      </c>
      <c r="EU13" s="394">
        <v>8.0</v>
      </c>
      <c r="EV13" s="394">
        <v>8.0</v>
      </c>
      <c r="EW13" s="394">
        <v>8.0</v>
      </c>
      <c r="EX13" s="394">
        <v>8.0</v>
      </c>
      <c r="EY13" s="394">
        <v>8.0</v>
      </c>
      <c r="EZ13" s="394" t="s">
        <v>165</v>
      </c>
      <c r="FA13" s="394" t="s">
        <v>165</v>
      </c>
      <c r="FB13" s="394">
        <v>8.0</v>
      </c>
      <c r="FC13" s="394">
        <v>8.0</v>
      </c>
      <c r="FD13" s="394">
        <v>8.0</v>
      </c>
      <c r="FE13" s="394">
        <v>8.0</v>
      </c>
      <c r="FF13" s="394">
        <v>8.0</v>
      </c>
      <c r="FG13" s="394" t="s">
        <v>165</v>
      </c>
      <c r="FH13" s="394" t="s">
        <v>165</v>
      </c>
      <c r="FI13" s="394">
        <v>8.0</v>
      </c>
      <c r="FJ13" s="394">
        <v>8.0</v>
      </c>
      <c r="FK13" s="394">
        <v>8.0</v>
      </c>
      <c r="FL13" s="394">
        <v>8.0</v>
      </c>
      <c r="FM13" s="407">
        <f t="shared" si="9"/>
        <v>168</v>
      </c>
      <c r="FO13" s="394">
        <v>8.0</v>
      </c>
      <c r="FP13" s="394" t="s">
        <v>165</v>
      </c>
      <c r="FQ13" s="394" t="s">
        <v>165</v>
      </c>
      <c r="FR13" s="394">
        <v>8.0</v>
      </c>
      <c r="FS13" s="394">
        <v>8.0</v>
      </c>
      <c r="FT13" s="394">
        <v>8.0</v>
      </c>
      <c r="FU13" s="394">
        <v>8.0</v>
      </c>
      <c r="FV13" s="394">
        <v>8.0</v>
      </c>
      <c r="FW13" s="394" t="s">
        <v>165</v>
      </c>
      <c r="FX13" s="394" t="s">
        <v>165</v>
      </c>
      <c r="FY13" s="394">
        <v>8.0</v>
      </c>
      <c r="FZ13" s="394" t="s">
        <v>171</v>
      </c>
      <c r="GA13" s="394">
        <v>8.0</v>
      </c>
      <c r="GB13" s="394">
        <v>8.0</v>
      </c>
      <c r="GC13" s="394">
        <v>8.0</v>
      </c>
      <c r="GD13" s="394" t="s">
        <v>165</v>
      </c>
      <c r="GE13" s="394" t="s">
        <v>165</v>
      </c>
      <c r="GF13" s="394">
        <v>8.0</v>
      </c>
      <c r="GG13" s="394">
        <v>8.0</v>
      </c>
      <c r="GH13" s="394">
        <v>8.0</v>
      </c>
      <c r="GI13" s="394">
        <v>8.0</v>
      </c>
      <c r="GJ13" s="394">
        <v>8.0</v>
      </c>
      <c r="GK13" s="394" t="s">
        <v>165</v>
      </c>
      <c r="GL13" s="394" t="s">
        <v>165</v>
      </c>
      <c r="GM13" s="394">
        <v>8.0</v>
      </c>
      <c r="GN13" s="394">
        <v>8.0</v>
      </c>
      <c r="GO13" s="394">
        <v>8.0</v>
      </c>
      <c r="GP13" s="394">
        <v>8.0</v>
      </c>
      <c r="GQ13" s="394">
        <v>8.0</v>
      </c>
      <c r="GR13" s="394" t="s">
        <v>165</v>
      </c>
      <c r="GS13" s="394" t="s">
        <v>165</v>
      </c>
      <c r="GT13" s="400">
        <f t="shared" si="10"/>
        <v>160</v>
      </c>
      <c r="GV13" s="394">
        <v>8.0</v>
      </c>
      <c r="GW13" s="394" t="s">
        <v>171</v>
      </c>
      <c r="GX13" s="394">
        <v>8.0</v>
      </c>
      <c r="GY13" s="394">
        <v>8.0</v>
      </c>
      <c r="GZ13" s="394" t="s">
        <v>245</v>
      </c>
      <c r="HA13" s="394" t="s">
        <v>165</v>
      </c>
      <c r="HB13" s="394" t="s">
        <v>165</v>
      </c>
      <c r="HC13" s="394">
        <v>8.0</v>
      </c>
      <c r="HD13" s="394">
        <v>8.0</v>
      </c>
      <c r="HE13" s="394">
        <v>8.0</v>
      </c>
      <c r="HF13" s="394">
        <v>8.0</v>
      </c>
      <c r="HG13" s="394">
        <v>8.0</v>
      </c>
      <c r="HH13" s="394" t="s">
        <v>165</v>
      </c>
      <c r="HI13" s="394" t="s">
        <v>165</v>
      </c>
      <c r="HJ13" s="394" t="s">
        <v>171</v>
      </c>
      <c r="HK13" s="394">
        <v>8.0</v>
      </c>
      <c r="HL13" s="394">
        <v>8.0</v>
      </c>
      <c r="HM13" s="394">
        <v>8.0</v>
      </c>
      <c r="HN13" s="394">
        <v>8.0</v>
      </c>
      <c r="HO13" s="394" t="s">
        <v>165</v>
      </c>
      <c r="HP13" s="394" t="s">
        <v>165</v>
      </c>
      <c r="HQ13" s="394">
        <v>8.0</v>
      </c>
      <c r="HR13" s="394">
        <v>8.0</v>
      </c>
      <c r="HS13" s="394">
        <v>8.0</v>
      </c>
      <c r="HT13" s="394">
        <v>8.0</v>
      </c>
      <c r="HU13" s="394">
        <v>8.0</v>
      </c>
      <c r="HV13" s="394" t="s">
        <v>165</v>
      </c>
      <c r="HW13" s="394" t="s">
        <v>165</v>
      </c>
      <c r="HX13" s="394">
        <v>8.0</v>
      </c>
      <c r="HY13" s="394">
        <v>8.0</v>
      </c>
      <c r="HZ13" s="400">
        <f t="shared" si="2"/>
        <v>152</v>
      </c>
      <c r="IB13" s="394">
        <v>8.0</v>
      </c>
      <c r="IC13" s="394">
        <v>8.0</v>
      </c>
      <c r="ID13" s="394">
        <v>8.0</v>
      </c>
      <c r="IE13" s="394" t="s">
        <v>165</v>
      </c>
      <c r="IF13" s="394" t="s">
        <v>165</v>
      </c>
      <c r="IG13" s="394">
        <v>8.0</v>
      </c>
      <c r="IH13" s="394">
        <v>8.0</v>
      </c>
      <c r="II13" s="394">
        <v>8.0</v>
      </c>
      <c r="IJ13" s="394">
        <v>8.0</v>
      </c>
      <c r="IK13" s="394">
        <v>8.0</v>
      </c>
      <c r="IL13" s="394" t="s">
        <v>165</v>
      </c>
      <c r="IM13" s="394" t="s">
        <v>165</v>
      </c>
      <c r="IN13" s="394">
        <v>8.0</v>
      </c>
      <c r="IO13" s="394">
        <v>8.0</v>
      </c>
      <c r="IP13" s="394">
        <v>8.0</v>
      </c>
      <c r="IQ13" s="394">
        <v>8.0</v>
      </c>
      <c r="IR13" s="394">
        <v>8.0</v>
      </c>
      <c r="IS13" s="394" t="s">
        <v>165</v>
      </c>
      <c r="IT13" s="394" t="s">
        <v>165</v>
      </c>
      <c r="IU13" s="394" t="s">
        <v>165</v>
      </c>
      <c r="IV13" s="394" t="s">
        <v>165</v>
      </c>
      <c r="IW13" s="394">
        <v>8.0</v>
      </c>
      <c r="IX13" s="394">
        <v>8.0</v>
      </c>
      <c r="IY13" s="394">
        <v>8.0</v>
      </c>
      <c r="IZ13" s="394" t="s">
        <v>171</v>
      </c>
      <c r="JA13" s="394">
        <v>4.0</v>
      </c>
      <c r="JB13" s="394" t="s">
        <v>165</v>
      </c>
      <c r="JC13" s="394" t="s">
        <v>165</v>
      </c>
      <c r="JD13" s="394" t="s">
        <v>245</v>
      </c>
      <c r="JE13" s="394" t="s">
        <v>245</v>
      </c>
      <c r="JF13" s="394" t="s">
        <v>245</v>
      </c>
      <c r="JG13" s="400">
        <f t="shared" si="3"/>
        <v>132</v>
      </c>
      <c r="JI13" s="394" t="s">
        <v>171</v>
      </c>
      <c r="JJ13" s="394" t="s">
        <v>245</v>
      </c>
      <c r="JK13" s="394" t="s">
        <v>165</v>
      </c>
      <c r="JL13" s="394" t="s">
        <v>165</v>
      </c>
      <c r="JM13" s="394">
        <v>8.0</v>
      </c>
      <c r="JN13" s="394">
        <v>8.0</v>
      </c>
      <c r="JO13" s="394">
        <v>8.0</v>
      </c>
      <c r="JP13" s="394" t="s">
        <v>165</v>
      </c>
      <c r="JQ13" s="394" t="s">
        <v>165</v>
      </c>
      <c r="JR13" s="394">
        <v>8.0</v>
      </c>
      <c r="JS13" s="394">
        <v>8.0</v>
      </c>
      <c r="JT13" s="394">
        <v>8.0</v>
      </c>
      <c r="JU13" s="394">
        <v>8.0</v>
      </c>
      <c r="JV13" s="394">
        <v>8.0</v>
      </c>
      <c r="JW13" s="394" t="s">
        <v>165</v>
      </c>
      <c r="JX13" s="394" t="s">
        <v>165</v>
      </c>
      <c r="JY13" s="394">
        <v>8.0</v>
      </c>
      <c r="JZ13" s="394">
        <v>8.0</v>
      </c>
      <c r="KA13" s="394">
        <v>8.0</v>
      </c>
      <c r="KB13" s="394">
        <v>8.0</v>
      </c>
      <c r="KC13" s="394">
        <v>8.0</v>
      </c>
      <c r="KD13" s="394" t="s">
        <v>165</v>
      </c>
      <c r="KE13" s="394" t="s">
        <v>165</v>
      </c>
      <c r="KF13" s="394">
        <v>8.0</v>
      </c>
      <c r="KG13" s="394">
        <v>8.0</v>
      </c>
      <c r="KH13" s="394">
        <v>8.0</v>
      </c>
      <c r="KI13" s="394">
        <v>8.0</v>
      </c>
      <c r="KJ13" s="394">
        <v>8.0</v>
      </c>
      <c r="KK13" s="394" t="s">
        <v>165</v>
      </c>
      <c r="KL13" s="394" t="s">
        <v>165</v>
      </c>
      <c r="KM13" s="394">
        <v>8.0</v>
      </c>
      <c r="KN13" s="145">
        <f t="shared" si="4"/>
        <v>152</v>
      </c>
      <c r="KP13" s="398"/>
      <c r="KQ13" s="398"/>
      <c r="KR13" s="398"/>
      <c r="KS13" s="398"/>
      <c r="KT13" s="398"/>
      <c r="KU13" s="398"/>
      <c r="KV13" s="398"/>
      <c r="KW13" s="398"/>
      <c r="KX13" s="398"/>
      <c r="KY13" s="398"/>
      <c r="KZ13" s="398"/>
      <c r="LA13" s="398"/>
      <c r="LB13" s="398"/>
      <c r="LC13" s="398"/>
      <c r="LD13" s="398"/>
      <c r="LE13" s="398"/>
      <c r="LF13" s="398"/>
      <c r="LG13" s="398"/>
      <c r="LH13" s="398"/>
      <c r="LI13" s="398"/>
      <c r="LJ13" s="398"/>
      <c r="LK13" s="398"/>
      <c r="LL13" s="398"/>
      <c r="LM13" s="398"/>
      <c r="LN13" s="398"/>
      <c r="LO13" s="398"/>
      <c r="LP13" s="398"/>
      <c r="LQ13" s="398"/>
      <c r="LR13" s="398"/>
      <c r="LT13" s="398"/>
      <c r="LU13" s="398"/>
      <c r="LV13" s="398"/>
      <c r="LW13" s="398"/>
      <c r="LX13" s="398"/>
      <c r="LY13" s="398"/>
      <c r="LZ13" s="398"/>
      <c r="MA13" s="398"/>
      <c r="MB13" s="398"/>
      <c r="MC13" s="398"/>
      <c r="MD13" s="398"/>
      <c r="ME13" s="398"/>
      <c r="MF13" s="398"/>
      <c r="MG13" s="398"/>
      <c r="MH13" s="398"/>
      <c r="MI13" s="398"/>
      <c r="MJ13" s="398"/>
      <c r="MK13" s="398"/>
      <c r="ML13" s="398"/>
      <c r="MM13" s="398"/>
      <c r="MN13" s="398"/>
      <c r="MO13" s="398"/>
      <c r="MP13" s="398"/>
      <c r="MQ13" s="398"/>
      <c r="MR13" s="398"/>
      <c r="MS13" s="398"/>
    </row>
    <row r="14" ht="16.5" customHeight="1">
      <c r="A14" s="420" t="s">
        <v>1264</v>
      </c>
      <c r="B14" s="422" t="s">
        <v>88</v>
      </c>
      <c r="C14" s="421" t="s">
        <v>98</v>
      </c>
      <c r="D14" s="395">
        <f t="shared" si="1"/>
        <v>9</v>
      </c>
      <c r="E14" s="424" t="s">
        <v>1259</v>
      </c>
      <c r="F14" s="400">
        <f>IFERROR(__xludf.DUMMYFUNCTION("IF(A14="""","""", counta(filter(Filter(FILTER($H$4:$SH76,$H$1:$SH$1&lt;today()),$A$4:$A76=A14),not(istext(Filter(FILTER($H$4:$SH76,$H$1:$SH$1&lt;today()),$A$4:$A76=A14))),not(Filter(FILTER($H$4:$SH76,$H$1:$SH$1&lt;today()),$A$4:$A76=A14)=0),Filter(FILTER($H$4:$SH7"&amp;"6,$H$1:$SH$1&lt;today()),$A$4:$A76=A14)&lt;23)))"),143.0)</f>
        <v>143</v>
      </c>
      <c r="H14" s="394"/>
      <c r="I14" s="394"/>
      <c r="J14" s="394"/>
      <c r="K14" s="394"/>
      <c r="L14" s="394"/>
      <c r="M14" s="394"/>
      <c r="N14" s="394"/>
      <c r="O14" s="394"/>
      <c r="P14" s="394"/>
      <c r="Q14" s="394"/>
      <c r="R14" s="394"/>
      <c r="S14" s="394"/>
      <c r="T14" s="394"/>
      <c r="U14" s="394"/>
      <c r="V14" s="394"/>
      <c r="W14" s="394"/>
      <c r="X14" s="394"/>
      <c r="Y14" s="394"/>
      <c r="Z14" s="394"/>
      <c r="AA14" s="394"/>
      <c r="AB14" s="394"/>
      <c r="AC14" s="394"/>
      <c r="AD14" s="394"/>
      <c r="AE14" s="394"/>
      <c r="AF14" s="394"/>
      <c r="AG14" s="394"/>
      <c r="AH14" s="394"/>
      <c r="AI14" s="394"/>
      <c r="AJ14" s="394"/>
      <c r="AK14" s="394"/>
      <c r="AL14" s="394"/>
      <c r="AM14" s="405"/>
      <c r="AO14" s="394" t="s">
        <v>166</v>
      </c>
      <c r="AP14" s="394" t="s">
        <v>166</v>
      </c>
      <c r="AQ14" s="394" t="s">
        <v>166</v>
      </c>
      <c r="AR14" s="394" t="s">
        <v>166</v>
      </c>
      <c r="AS14" s="394" t="s">
        <v>166</v>
      </c>
      <c r="AT14" s="394" t="s">
        <v>166</v>
      </c>
      <c r="AU14" s="394" t="s">
        <v>166</v>
      </c>
      <c r="AV14" s="394">
        <v>8.0</v>
      </c>
      <c r="AW14" s="394">
        <v>8.0</v>
      </c>
      <c r="AX14" s="394">
        <v>8.0</v>
      </c>
      <c r="AY14" s="394">
        <v>8.0</v>
      </c>
      <c r="AZ14" s="394" t="s">
        <v>165</v>
      </c>
      <c r="BA14" s="394" t="s">
        <v>165</v>
      </c>
      <c r="BB14" s="394">
        <v>8.0</v>
      </c>
      <c r="BC14" s="394">
        <v>8.0</v>
      </c>
      <c r="BD14" s="394">
        <v>8.0</v>
      </c>
      <c r="BE14" s="394">
        <v>8.0</v>
      </c>
      <c r="BF14" s="394">
        <v>8.0</v>
      </c>
      <c r="BG14" s="394" t="s">
        <v>165</v>
      </c>
      <c r="BH14" s="394" t="s">
        <v>165</v>
      </c>
      <c r="BI14" s="394">
        <v>8.0</v>
      </c>
      <c r="BJ14" s="394">
        <v>8.0</v>
      </c>
      <c r="BK14" s="394">
        <v>8.0</v>
      </c>
      <c r="BL14" s="394">
        <v>8.0</v>
      </c>
      <c r="BM14" s="394">
        <v>8.0</v>
      </c>
      <c r="BN14" s="394" t="s">
        <v>165</v>
      </c>
      <c r="BO14" s="394" t="s">
        <v>165</v>
      </c>
      <c r="BP14" s="394">
        <v>8.0</v>
      </c>
      <c r="BQ14" s="394">
        <v>8.0</v>
      </c>
      <c r="BR14" s="394">
        <v>8.0</v>
      </c>
      <c r="BS14" s="406">
        <f t="shared" si="6"/>
        <v>136</v>
      </c>
      <c r="BU14" s="394">
        <v>8.0</v>
      </c>
      <c r="BV14" s="394">
        <v>8.0</v>
      </c>
      <c r="BW14" s="394" t="s">
        <v>165</v>
      </c>
      <c r="BX14" s="394" t="s">
        <v>165</v>
      </c>
      <c r="BY14" s="394">
        <v>8.0</v>
      </c>
      <c r="BZ14" s="394">
        <v>8.0</v>
      </c>
      <c r="CA14" s="394">
        <v>8.0</v>
      </c>
      <c r="CB14" s="394">
        <v>8.0</v>
      </c>
      <c r="CC14" s="394" t="s">
        <v>171</v>
      </c>
      <c r="CD14" s="394" t="s">
        <v>165</v>
      </c>
      <c r="CE14" s="394" t="s">
        <v>165</v>
      </c>
      <c r="CF14" s="394">
        <v>8.0</v>
      </c>
      <c r="CG14" s="394">
        <v>8.0</v>
      </c>
      <c r="CH14" s="394">
        <v>8.0</v>
      </c>
      <c r="CI14" s="394">
        <v>8.0</v>
      </c>
      <c r="CJ14" s="394">
        <v>8.0</v>
      </c>
      <c r="CK14" s="394" t="s">
        <v>165</v>
      </c>
      <c r="CL14" s="394" t="s">
        <v>165</v>
      </c>
      <c r="CM14" s="394">
        <v>8.0</v>
      </c>
      <c r="CN14" s="394">
        <v>8.0</v>
      </c>
      <c r="CO14" s="394">
        <v>8.0</v>
      </c>
      <c r="CP14" s="394">
        <v>8.0</v>
      </c>
      <c r="CQ14" s="394">
        <v>8.0</v>
      </c>
      <c r="CR14" s="394" t="s">
        <v>165</v>
      </c>
      <c r="CS14" s="394" t="s">
        <v>165</v>
      </c>
      <c r="CT14" s="394">
        <v>8.0</v>
      </c>
      <c r="CU14" s="394">
        <v>8.0</v>
      </c>
      <c r="CV14" s="394">
        <v>8.0</v>
      </c>
      <c r="CW14" s="394">
        <v>8.0</v>
      </c>
      <c r="CX14" s="394">
        <v>8.0</v>
      </c>
      <c r="CY14" s="394" t="s">
        <v>165</v>
      </c>
      <c r="CZ14" s="400">
        <f t="shared" si="7"/>
        <v>168</v>
      </c>
      <c r="DB14" s="394" t="s">
        <v>165</v>
      </c>
      <c r="DC14" s="394">
        <v>8.0</v>
      </c>
      <c r="DD14" s="394">
        <v>8.0</v>
      </c>
      <c r="DE14" s="394">
        <v>8.0</v>
      </c>
      <c r="DF14" s="394">
        <v>8.0</v>
      </c>
      <c r="DG14" s="394">
        <v>8.0</v>
      </c>
      <c r="DH14" s="394" t="s">
        <v>165</v>
      </c>
      <c r="DI14" s="394" t="s">
        <v>165</v>
      </c>
      <c r="DJ14" s="394">
        <v>8.0</v>
      </c>
      <c r="DK14" s="394">
        <v>8.0</v>
      </c>
      <c r="DL14" s="394">
        <v>8.0</v>
      </c>
      <c r="DM14" s="394">
        <v>8.0</v>
      </c>
      <c r="DN14" s="394">
        <v>8.0</v>
      </c>
      <c r="DO14" s="394" t="s">
        <v>165</v>
      </c>
      <c r="DP14" s="394" t="s">
        <v>165</v>
      </c>
      <c r="DQ14" s="394">
        <v>8.0</v>
      </c>
      <c r="DR14" s="394">
        <v>8.0</v>
      </c>
      <c r="DS14" s="394">
        <v>8.0</v>
      </c>
      <c r="DT14" s="394">
        <v>8.0</v>
      </c>
      <c r="DU14" s="394">
        <v>8.0</v>
      </c>
      <c r="DV14" s="394" t="s">
        <v>165</v>
      </c>
      <c r="DW14" s="394" t="s">
        <v>165</v>
      </c>
      <c r="DX14" s="394">
        <v>8.0</v>
      </c>
      <c r="DY14" s="394">
        <v>8.0</v>
      </c>
      <c r="DZ14" s="394">
        <v>8.0</v>
      </c>
      <c r="EA14" s="394">
        <v>8.0</v>
      </c>
      <c r="EB14" s="394">
        <v>8.0</v>
      </c>
      <c r="EC14" s="394" t="s">
        <v>165</v>
      </c>
      <c r="ED14" s="394" t="s">
        <v>165</v>
      </c>
      <c r="EE14" s="394">
        <v>8.0</v>
      </c>
      <c r="EF14" s="394">
        <v>8.0</v>
      </c>
      <c r="EG14" s="407">
        <f t="shared" si="8"/>
        <v>176</v>
      </c>
      <c r="EI14" s="394">
        <v>8.0</v>
      </c>
      <c r="EJ14" s="394">
        <v>8.0</v>
      </c>
      <c r="EK14" s="394">
        <v>8.0</v>
      </c>
      <c r="EL14" s="394" t="s">
        <v>165</v>
      </c>
      <c r="EM14" s="394" t="s">
        <v>165</v>
      </c>
      <c r="EN14" s="394">
        <v>8.0</v>
      </c>
      <c r="EO14" s="394" t="s">
        <v>171</v>
      </c>
      <c r="EP14" s="394">
        <v>8.0</v>
      </c>
      <c r="EQ14" s="394">
        <v>8.0</v>
      </c>
      <c r="ER14" s="394">
        <v>8.0</v>
      </c>
      <c r="ES14" s="394" t="s">
        <v>165</v>
      </c>
      <c r="ET14" s="394" t="s">
        <v>165</v>
      </c>
      <c r="EU14" s="394">
        <v>8.0</v>
      </c>
      <c r="EV14" s="394">
        <v>8.0</v>
      </c>
      <c r="EW14" s="394">
        <v>8.0</v>
      </c>
      <c r="EX14" s="394">
        <v>8.0</v>
      </c>
      <c r="EY14" s="394">
        <v>8.0</v>
      </c>
      <c r="EZ14" s="394" t="s">
        <v>165</v>
      </c>
      <c r="FA14" s="394" t="s">
        <v>165</v>
      </c>
      <c r="FB14" s="394">
        <v>8.0</v>
      </c>
      <c r="FC14" s="394">
        <v>8.0</v>
      </c>
      <c r="FD14" s="394">
        <v>8.0</v>
      </c>
      <c r="FE14" s="394">
        <v>8.0</v>
      </c>
      <c r="FF14" s="394">
        <v>8.0</v>
      </c>
      <c r="FG14" s="394" t="s">
        <v>165</v>
      </c>
      <c r="FH14" s="394" t="s">
        <v>165</v>
      </c>
      <c r="FI14" s="394">
        <v>8.0</v>
      </c>
      <c r="FJ14" s="394">
        <v>8.0</v>
      </c>
      <c r="FK14" s="394">
        <v>8.0</v>
      </c>
      <c r="FL14" s="394">
        <v>8.0</v>
      </c>
      <c r="FM14" s="407">
        <f t="shared" si="9"/>
        <v>168</v>
      </c>
      <c r="FO14" s="394">
        <v>8.0</v>
      </c>
      <c r="FP14" s="394" t="s">
        <v>165</v>
      </c>
      <c r="FQ14" s="394" t="s">
        <v>165</v>
      </c>
      <c r="FR14" s="394">
        <v>8.0</v>
      </c>
      <c r="FS14" s="394">
        <v>8.0</v>
      </c>
      <c r="FT14" s="394">
        <v>8.0</v>
      </c>
      <c r="FU14" s="394">
        <v>8.0</v>
      </c>
      <c r="FV14" s="394">
        <v>8.0</v>
      </c>
      <c r="FW14" s="394" t="s">
        <v>165</v>
      </c>
      <c r="FX14" s="394" t="s">
        <v>165</v>
      </c>
      <c r="FY14" s="394">
        <v>8.0</v>
      </c>
      <c r="FZ14" s="394" t="s">
        <v>171</v>
      </c>
      <c r="GA14" s="394">
        <v>8.0</v>
      </c>
      <c r="GB14" s="394">
        <v>8.0</v>
      </c>
      <c r="GC14" s="394">
        <v>8.0</v>
      </c>
      <c r="GD14" s="394" t="s">
        <v>165</v>
      </c>
      <c r="GE14" s="394" t="s">
        <v>165</v>
      </c>
      <c r="GF14" s="394">
        <v>8.0</v>
      </c>
      <c r="GG14" s="394">
        <v>8.0</v>
      </c>
      <c r="GH14" s="394">
        <v>8.0</v>
      </c>
      <c r="GI14" s="394">
        <v>8.0</v>
      </c>
      <c r="GJ14" s="394">
        <v>8.0</v>
      </c>
      <c r="GK14" s="394" t="s">
        <v>165</v>
      </c>
      <c r="GL14" s="394" t="s">
        <v>165</v>
      </c>
      <c r="GM14" s="394">
        <v>8.0</v>
      </c>
      <c r="GN14" s="394">
        <v>8.0</v>
      </c>
      <c r="GO14" s="394">
        <v>8.0</v>
      </c>
      <c r="GP14" s="394">
        <v>9.0</v>
      </c>
      <c r="GQ14" s="394">
        <v>10.0</v>
      </c>
      <c r="GR14" s="394" t="s">
        <v>165</v>
      </c>
      <c r="GS14" s="394" t="s">
        <v>165</v>
      </c>
      <c r="GT14" s="400">
        <f t="shared" si="10"/>
        <v>163</v>
      </c>
      <c r="GV14" s="394">
        <v>8.0</v>
      </c>
      <c r="GW14" s="394" t="s">
        <v>171</v>
      </c>
      <c r="GX14" s="394">
        <v>8.0</v>
      </c>
      <c r="GY14" s="394">
        <v>8.0</v>
      </c>
      <c r="GZ14" s="394">
        <v>8.0</v>
      </c>
      <c r="HA14" s="394" t="s">
        <v>165</v>
      </c>
      <c r="HB14" s="394" t="s">
        <v>165</v>
      </c>
      <c r="HC14" s="394">
        <v>8.0</v>
      </c>
      <c r="HD14" s="394" t="s">
        <v>245</v>
      </c>
      <c r="HE14" s="394">
        <v>8.0</v>
      </c>
      <c r="HF14" s="394">
        <v>8.0</v>
      </c>
      <c r="HG14" s="394">
        <v>8.0</v>
      </c>
      <c r="HH14" s="394">
        <v>8.0</v>
      </c>
      <c r="HI14" s="394" t="s">
        <v>165</v>
      </c>
      <c r="HJ14" s="394" t="s">
        <v>171</v>
      </c>
      <c r="HK14" s="394">
        <v>8.0</v>
      </c>
      <c r="HL14" s="394">
        <v>8.0</v>
      </c>
      <c r="HM14" s="394">
        <v>8.0</v>
      </c>
      <c r="HN14" s="394">
        <v>8.0</v>
      </c>
      <c r="HO14" s="394" t="s">
        <v>165</v>
      </c>
      <c r="HP14" s="394" t="s">
        <v>165</v>
      </c>
      <c r="HQ14" s="394">
        <v>8.0</v>
      </c>
      <c r="HR14" s="394">
        <v>8.0</v>
      </c>
      <c r="HS14" s="394">
        <v>8.0</v>
      </c>
      <c r="HT14" s="394">
        <v>8.0</v>
      </c>
      <c r="HU14" s="394">
        <v>8.0</v>
      </c>
      <c r="HV14" s="394" t="s">
        <v>165</v>
      </c>
      <c r="HW14" s="394" t="s">
        <v>165</v>
      </c>
      <c r="HX14" s="394">
        <v>8.0</v>
      </c>
      <c r="HY14" s="394">
        <v>8.0</v>
      </c>
      <c r="HZ14" s="400">
        <f t="shared" si="2"/>
        <v>160</v>
      </c>
      <c r="IB14" s="394">
        <v>8.0</v>
      </c>
      <c r="IC14" s="394">
        <v>8.0</v>
      </c>
      <c r="ID14" s="394">
        <v>8.0</v>
      </c>
      <c r="IE14" s="394" t="s">
        <v>165</v>
      </c>
      <c r="IF14" s="394" t="s">
        <v>165</v>
      </c>
      <c r="IG14" s="394">
        <v>8.0</v>
      </c>
      <c r="IH14" s="394">
        <v>8.0</v>
      </c>
      <c r="II14" s="394">
        <v>8.0</v>
      </c>
      <c r="IJ14" s="394">
        <v>8.0</v>
      </c>
      <c r="IK14" s="394">
        <v>8.0</v>
      </c>
      <c r="IL14" s="394" t="s">
        <v>165</v>
      </c>
      <c r="IM14" s="394" t="s">
        <v>165</v>
      </c>
      <c r="IN14" s="394" t="s">
        <v>245</v>
      </c>
      <c r="IO14" s="394">
        <v>8.0</v>
      </c>
      <c r="IP14" s="394">
        <v>8.0</v>
      </c>
      <c r="IQ14" s="394">
        <v>8.0</v>
      </c>
      <c r="IR14" s="394">
        <v>8.0</v>
      </c>
      <c r="IS14" s="394" t="s">
        <v>165</v>
      </c>
      <c r="IT14" s="394" t="s">
        <v>165</v>
      </c>
      <c r="IU14" s="394">
        <v>8.0</v>
      </c>
      <c r="IV14" s="394">
        <v>8.0</v>
      </c>
      <c r="IW14" s="394">
        <v>8.0</v>
      </c>
      <c r="IX14" s="394">
        <v>8.0</v>
      </c>
      <c r="IY14" s="394">
        <v>8.0</v>
      </c>
      <c r="IZ14" s="403" t="s">
        <v>165</v>
      </c>
      <c r="JA14" s="394" t="s">
        <v>165</v>
      </c>
      <c r="JB14" s="394">
        <v>8.0</v>
      </c>
      <c r="JC14" s="394">
        <v>8.0</v>
      </c>
      <c r="JD14" s="394">
        <v>8.0</v>
      </c>
      <c r="JE14" s="394">
        <v>8.0</v>
      </c>
      <c r="JF14" s="394">
        <v>8.0</v>
      </c>
      <c r="JG14" s="400">
        <f t="shared" si="3"/>
        <v>176</v>
      </c>
      <c r="JI14" s="403" t="s">
        <v>165</v>
      </c>
      <c r="JJ14" s="394" t="s">
        <v>165</v>
      </c>
      <c r="JK14" s="394" t="s">
        <v>245</v>
      </c>
      <c r="JL14" s="394">
        <v>9.0</v>
      </c>
      <c r="JM14" s="394">
        <v>9.0</v>
      </c>
      <c r="JN14" s="394">
        <v>9.0</v>
      </c>
      <c r="JO14" s="394">
        <v>9.0</v>
      </c>
      <c r="JP14" s="394" t="s">
        <v>165</v>
      </c>
      <c r="JQ14" s="394" t="s">
        <v>165</v>
      </c>
      <c r="JR14" s="394">
        <v>8.0</v>
      </c>
      <c r="JS14" s="394">
        <v>8.0</v>
      </c>
      <c r="JT14" s="394">
        <v>8.0</v>
      </c>
      <c r="JU14" s="394">
        <v>8.0</v>
      </c>
      <c r="JV14" s="394">
        <v>8.0</v>
      </c>
      <c r="JW14" s="394" t="s">
        <v>165</v>
      </c>
      <c r="JX14" s="394" t="s">
        <v>165</v>
      </c>
      <c r="JY14" s="394">
        <v>8.0</v>
      </c>
      <c r="JZ14" s="394">
        <v>8.0</v>
      </c>
      <c r="KA14" s="394">
        <v>8.0</v>
      </c>
      <c r="KB14" s="394">
        <v>8.0</v>
      </c>
      <c r="KC14" s="394">
        <v>8.0</v>
      </c>
      <c r="KD14" s="394" t="s">
        <v>165</v>
      </c>
      <c r="KE14" s="394" t="s">
        <v>165</v>
      </c>
      <c r="KF14" s="394">
        <v>8.0</v>
      </c>
      <c r="KG14" s="394">
        <v>8.0</v>
      </c>
      <c r="KH14" s="394">
        <v>8.0</v>
      </c>
      <c r="KI14" s="394">
        <v>8.0</v>
      </c>
      <c r="KJ14" s="394">
        <v>8.0</v>
      </c>
      <c r="KK14" s="394" t="s">
        <v>165</v>
      </c>
      <c r="KL14" s="394" t="s">
        <v>165</v>
      </c>
      <c r="KM14" s="394">
        <v>8.0</v>
      </c>
      <c r="KN14" s="145">
        <f t="shared" si="4"/>
        <v>164</v>
      </c>
      <c r="KP14" s="398"/>
      <c r="KQ14" s="398"/>
      <c r="KR14" s="398"/>
      <c r="KS14" s="398"/>
      <c r="KT14" s="398"/>
      <c r="KU14" s="398"/>
      <c r="KV14" s="398"/>
      <c r="KW14" s="398"/>
      <c r="KX14" s="398"/>
      <c r="KY14" s="398"/>
      <c r="KZ14" s="398"/>
      <c r="LA14" s="398"/>
      <c r="LB14" s="398"/>
      <c r="LC14" s="398"/>
      <c r="LD14" s="398"/>
      <c r="LE14" s="398"/>
      <c r="LF14" s="398"/>
      <c r="LG14" s="398"/>
      <c r="LH14" s="398"/>
      <c r="LI14" s="398"/>
      <c r="LJ14" s="398"/>
      <c r="LK14" s="398"/>
      <c r="LL14" s="398"/>
      <c r="LM14" s="398"/>
      <c r="LN14" s="398"/>
      <c r="LO14" s="398"/>
      <c r="LP14" s="398"/>
      <c r="LQ14" s="398"/>
      <c r="LR14" s="398"/>
      <c r="LT14" s="398"/>
      <c r="LU14" s="398"/>
      <c r="LV14" s="398"/>
      <c r="LW14" s="398"/>
      <c r="LX14" s="398"/>
      <c r="LY14" s="398"/>
      <c r="LZ14" s="398"/>
      <c r="MA14" s="398"/>
      <c r="MB14" s="398"/>
      <c r="MC14" s="398"/>
      <c r="MD14" s="398"/>
      <c r="ME14" s="398"/>
      <c r="MF14" s="398"/>
      <c r="MG14" s="398"/>
      <c r="MH14" s="398"/>
      <c r="MI14" s="398"/>
      <c r="MJ14" s="398"/>
      <c r="MK14" s="398"/>
      <c r="ML14" s="398"/>
      <c r="MM14" s="398"/>
      <c r="MN14" s="398"/>
      <c r="MO14" s="398"/>
      <c r="MP14" s="398"/>
      <c r="MQ14" s="398"/>
      <c r="MR14" s="398"/>
      <c r="MS14" s="398"/>
    </row>
    <row r="15" ht="16.5" customHeight="1">
      <c r="A15" s="420" t="s">
        <v>1265</v>
      </c>
      <c r="B15" s="407" t="s">
        <v>88</v>
      </c>
      <c r="C15" s="422" t="s">
        <v>98</v>
      </c>
      <c r="D15" s="395">
        <f t="shared" si="1"/>
        <v>9</v>
      </c>
      <c r="E15" s="422" t="s">
        <v>1237</v>
      </c>
      <c r="F15" s="400">
        <f>IFERROR(__xludf.DUMMYFUNCTION("IF(A15="""","""", counta(filter(Filter(FILTER($H$4:$SH76,$H$1:$SH$1&lt;today()),$A$4:$A76=A15),not(istext(Filter(FILTER($H$4:$SH76,$H$1:$SH$1&lt;today()),$A$4:$A76=A15))),not(Filter(FILTER($H$4:$SH76,$H$1:$SH$1&lt;today()),$A$4:$A76=A15)=0),Filter(FILTER($H$4:$SH7"&amp;"6,$H$1:$SH$1&lt;today()),$A$4:$A76=A15)&lt;23)))"),149.0)</f>
        <v>149</v>
      </c>
      <c r="H15" s="394"/>
      <c r="I15" s="394"/>
      <c r="J15" s="394"/>
      <c r="K15" s="394"/>
      <c r="L15" s="394"/>
      <c r="M15" s="394"/>
      <c r="N15" s="394"/>
      <c r="O15" s="394"/>
      <c r="P15" s="394"/>
      <c r="Q15" s="394"/>
      <c r="R15" s="394"/>
      <c r="S15" s="394"/>
      <c r="T15" s="394"/>
      <c r="U15" s="394"/>
      <c r="V15" s="394"/>
      <c r="W15" s="394"/>
      <c r="X15" s="394"/>
      <c r="Y15" s="394"/>
      <c r="Z15" s="394"/>
      <c r="AA15" s="394"/>
      <c r="AB15" s="394"/>
      <c r="AC15" s="394"/>
      <c r="AD15" s="394"/>
      <c r="AE15" s="394"/>
      <c r="AF15" s="394"/>
      <c r="AG15" s="394"/>
      <c r="AH15" s="394"/>
      <c r="AI15" s="394"/>
      <c r="AJ15" s="394"/>
      <c r="AK15" s="394"/>
      <c r="AL15" s="394"/>
      <c r="AM15" s="405"/>
      <c r="AO15" s="394" t="s">
        <v>166</v>
      </c>
      <c r="AP15" s="394" t="s">
        <v>166</v>
      </c>
      <c r="AQ15" s="394" t="s">
        <v>166</v>
      </c>
      <c r="AR15" s="394" t="s">
        <v>166</v>
      </c>
      <c r="AS15" s="394" t="s">
        <v>166</v>
      </c>
      <c r="AT15" s="394" t="s">
        <v>166</v>
      </c>
      <c r="AU15" s="394">
        <v>8.0</v>
      </c>
      <c r="AV15" s="394">
        <v>8.0</v>
      </c>
      <c r="AW15" s="394">
        <v>8.0</v>
      </c>
      <c r="AX15" s="394">
        <v>8.0</v>
      </c>
      <c r="AY15" s="394">
        <v>8.0</v>
      </c>
      <c r="AZ15" s="394" t="s">
        <v>165</v>
      </c>
      <c r="BA15" s="394" t="s">
        <v>165</v>
      </c>
      <c r="BB15" s="394">
        <v>8.0</v>
      </c>
      <c r="BC15" s="394">
        <v>8.0</v>
      </c>
      <c r="BD15" s="394" t="s">
        <v>165</v>
      </c>
      <c r="BE15" s="394" t="s">
        <v>165</v>
      </c>
      <c r="BF15" s="394">
        <v>8.0</v>
      </c>
      <c r="BG15" s="394">
        <v>8.0</v>
      </c>
      <c r="BH15" s="394">
        <v>8.0</v>
      </c>
      <c r="BI15" s="394" t="s">
        <v>245</v>
      </c>
      <c r="BJ15" s="394" t="s">
        <v>245</v>
      </c>
      <c r="BK15" s="394" t="s">
        <v>165</v>
      </c>
      <c r="BL15" s="394" t="s">
        <v>165</v>
      </c>
      <c r="BM15" s="394">
        <v>8.0</v>
      </c>
      <c r="BN15" s="394">
        <v>8.0</v>
      </c>
      <c r="BO15" s="394">
        <v>8.0</v>
      </c>
      <c r="BP15" s="394">
        <v>8.0</v>
      </c>
      <c r="BQ15" s="394">
        <v>8.0</v>
      </c>
      <c r="BR15" s="394" t="s">
        <v>165</v>
      </c>
      <c r="BS15" s="406">
        <f t="shared" si="6"/>
        <v>120</v>
      </c>
      <c r="BU15" s="394" t="s">
        <v>165</v>
      </c>
      <c r="BV15" s="394">
        <v>8.0</v>
      </c>
      <c r="BW15" s="394">
        <v>8.0</v>
      </c>
      <c r="BX15" s="394">
        <v>8.0</v>
      </c>
      <c r="BY15" s="394">
        <v>8.0</v>
      </c>
      <c r="BZ15" s="394">
        <v>8.0</v>
      </c>
      <c r="CA15" s="394" t="s">
        <v>165</v>
      </c>
      <c r="CB15" s="394" t="s">
        <v>165</v>
      </c>
      <c r="CC15" s="394">
        <v>8.0</v>
      </c>
      <c r="CD15" s="394">
        <v>8.0</v>
      </c>
      <c r="CE15" s="394">
        <v>8.0</v>
      </c>
      <c r="CF15" s="394">
        <v>8.0</v>
      </c>
      <c r="CG15" s="394">
        <v>8.0</v>
      </c>
      <c r="CH15" s="394" t="s">
        <v>165</v>
      </c>
      <c r="CI15" s="394" t="s">
        <v>165</v>
      </c>
      <c r="CJ15" s="394">
        <v>8.0</v>
      </c>
      <c r="CK15" s="394">
        <v>8.0</v>
      </c>
      <c r="CL15" s="394">
        <v>8.0</v>
      </c>
      <c r="CM15" s="394">
        <v>8.0</v>
      </c>
      <c r="CN15" s="394">
        <v>8.0</v>
      </c>
      <c r="CO15" s="394" t="s">
        <v>165</v>
      </c>
      <c r="CP15" s="394" t="s">
        <v>165</v>
      </c>
      <c r="CQ15" s="394">
        <v>8.0</v>
      </c>
      <c r="CR15" s="394">
        <v>8.0</v>
      </c>
      <c r="CS15" s="394">
        <v>8.0</v>
      </c>
      <c r="CT15" s="394">
        <v>8.0</v>
      </c>
      <c r="CU15" s="394">
        <v>8.0</v>
      </c>
      <c r="CV15" s="394" t="s">
        <v>165</v>
      </c>
      <c r="CW15" s="394" t="s">
        <v>165</v>
      </c>
      <c r="CX15" s="394">
        <v>8.0</v>
      </c>
      <c r="CY15" s="394">
        <v>8.0</v>
      </c>
      <c r="CZ15" s="400">
        <f t="shared" si="7"/>
        <v>176</v>
      </c>
      <c r="DB15" s="394">
        <v>8.0</v>
      </c>
      <c r="DC15" s="394">
        <v>8.0</v>
      </c>
      <c r="DD15" s="394">
        <v>8.0</v>
      </c>
      <c r="DE15" s="394" t="s">
        <v>165</v>
      </c>
      <c r="DF15" s="394" t="s">
        <v>165</v>
      </c>
      <c r="DG15" s="394">
        <v>8.0</v>
      </c>
      <c r="DH15" s="394">
        <v>8.0</v>
      </c>
      <c r="DI15" s="394">
        <v>8.0</v>
      </c>
      <c r="DJ15" s="394">
        <v>8.0</v>
      </c>
      <c r="DK15" s="394">
        <v>8.0</v>
      </c>
      <c r="DL15" s="394" t="s">
        <v>165</v>
      </c>
      <c r="DM15" s="394" t="s">
        <v>165</v>
      </c>
      <c r="DN15" s="394">
        <v>8.0</v>
      </c>
      <c r="DO15" s="394">
        <v>8.0</v>
      </c>
      <c r="DP15" s="394">
        <v>8.0</v>
      </c>
      <c r="DQ15" s="394">
        <v>8.0</v>
      </c>
      <c r="DR15" s="394">
        <v>8.0</v>
      </c>
      <c r="DS15" s="394" t="s">
        <v>165</v>
      </c>
      <c r="DT15" s="394" t="s">
        <v>165</v>
      </c>
      <c r="DU15" s="394">
        <v>8.0</v>
      </c>
      <c r="DV15" s="394">
        <v>8.0</v>
      </c>
      <c r="DW15" s="394">
        <v>8.0</v>
      </c>
      <c r="DX15" s="394">
        <v>8.0</v>
      </c>
      <c r="DY15" s="394">
        <v>8.0</v>
      </c>
      <c r="DZ15" s="394" t="s">
        <v>165</v>
      </c>
      <c r="EA15" s="394" t="s">
        <v>165</v>
      </c>
      <c r="EB15" s="394">
        <v>8.0</v>
      </c>
      <c r="EC15" s="394">
        <v>8.0</v>
      </c>
      <c r="ED15" s="394">
        <v>8.0</v>
      </c>
      <c r="EE15" s="394">
        <v>8.0</v>
      </c>
      <c r="EF15" s="394">
        <v>8.0</v>
      </c>
      <c r="EG15" s="407">
        <f t="shared" si="8"/>
        <v>184</v>
      </c>
      <c r="EI15" s="394" t="s">
        <v>165</v>
      </c>
      <c r="EJ15" s="394" t="s">
        <v>165</v>
      </c>
      <c r="EK15" s="394">
        <v>8.0</v>
      </c>
      <c r="EL15" s="394">
        <v>8.0</v>
      </c>
      <c r="EM15" s="394">
        <v>8.0</v>
      </c>
      <c r="EN15" s="394">
        <v>8.0</v>
      </c>
      <c r="EO15" s="394">
        <v>8.0</v>
      </c>
      <c r="EP15" s="394" t="s">
        <v>165</v>
      </c>
      <c r="EQ15" s="394" t="s">
        <v>165</v>
      </c>
      <c r="ER15" s="394">
        <v>8.0</v>
      </c>
      <c r="ES15" s="394">
        <v>8.0</v>
      </c>
      <c r="ET15" s="394">
        <v>8.0</v>
      </c>
      <c r="EU15" s="394">
        <v>8.0</v>
      </c>
      <c r="EV15" s="394">
        <v>8.0</v>
      </c>
      <c r="EW15" s="394" t="s">
        <v>165</v>
      </c>
      <c r="EX15" s="394" t="s">
        <v>165</v>
      </c>
      <c r="EY15" s="394">
        <v>8.0</v>
      </c>
      <c r="EZ15" s="394">
        <v>8.0</v>
      </c>
      <c r="FA15" s="394">
        <v>8.0</v>
      </c>
      <c r="FB15" s="394">
        <v>8.0</v>
      </c>
      <c r="FC15" s="394">
        <v>8.0</v>
      </c>
      <c r="FD15" s="394" t="s">
        <v>165</v>
      </c>
      <c r="FE15" s="394" t="s">
        <v>165</v>
      </c>
      <c r="FF15" s="394">
        <v>8.0</v>
      </c>
      <c r="FG15" s="394">
        <v>8.0</v>
      </c>
      <c r="FH15" s="394">
        <v>8.0</v>
      </c>
      <c r="FI15" s="394">
        <v>8.0</v>
      </c>
      <c r="FJ15" s="394">
        <v>8.0</v>
      </c>
      <c r="FK15" s="394" t="s">
        <v>165</v>
      </c>
      <c r="FL15" s="394" t="s">
        <v>165</v>
      </c>
      <c r="FM15" s="407">
        <f t="shared" si="9"/>
        <v>160</v>
      </c>
      <c r="FO15" s="394">
        <v>8.0</v>
      </c>
      <c r="FP15" s="394">
        <v>8.0</v>
      </c>
      <c r="FQ15" s="394">
        <v>8.0</v>
      </c>
      <c r="FR15" s="394">
        <v>8.0</v>
      </c>
      <c r="FS15" s="394">
        <v>8.0</v>
      </c>
      <c r="FT15" s="394" t="s">
        <v>165</v>
      </c>
      <c r="FU15" s="394" t="s">
        <v>165</v>
      </c>
      <c r="FV15" s="394">
        <v>8.0</v>
      </c>
      <c r="FW15" s="394">
        <v>8.0</v>
      </c>
      <c r="FX15" s="394">
        <v>8.0</v>
      </c>
      <c r="FY15" s="394">
        <v>8.0</v>
      </c>
      <c r="FZ15" s="394">
        <v>8.0</v>
      </c>
      <c r="GA15" s="394" t="s">
        <v>165</v>
      </c>
      <c r="GB15" s="394" t="s">
        <v>165</v>
      </c>
      <c r="GC15" s="394">
        <v>8.0</v>
      </c>
      <c r="GD15" s="394">
        <v>8.0</v>
      </c>
      <c r="GE15" s="394">
        <v>8.0</v>
      </c>
      <c r="GF15" s="394">
        <v>8.0</v>
      </c>
      <c r="GG15" s="394">
        <v>8.0</v>
      </c>
      <c r="GH15" s="394" t="s">
        <v>165</v>
      </c>
      <c r="GI15" s="394" t="s">
        <v>165</v>
      </c>
      <c r="GJ15" s="394">
        <v>8.0</v>
      </c>
      <c r="GK15" s="394">
        <v>8.0</v>
      </c>
      <c r="GL15" s="394">
        <v>8.0</v>
      </c>
      <c r="GM15" s="394">
        <v>8.0</v>
      </c>
      <c r="GN15" s="394">
        <v>8.0</v>
      </c>
      <c r="GO15" s="394" t="s">
        <v>165</v>
      </c>
      <c r="GP15" s="394" t="s">
        <v>165</v>
      </c>
      <c r="GQ15" s="394">
        <v>8.0</v>
      </c>
      <c r="GR15" s="394">
        <v>8.0</v>
      </c>
      <c r="GS15" s="394">
        <v>8.0</v>
      </c>
      <c r="GT15" s="400">
        <f t="shared" si="10"/>
        <v>184</v>
      </c>
      <c r="GV15" s="394">
        <v>8.0</v>
      </c>
      <c r="GW15" s="394">
        <v>8.0</v>
      </c>
      <c r="GX15" s="394" t="s">
        <v>165</v>
      </c>
      <c r="GY15" s="394" t="s">
        <v>165</v>
      </c>
      <c r="GZ15" s="394">
        <v>8.0</v>
      </c>
      <c r="HA15" s="394">
        <v>8.0</v>
      </c>
      <c r="HB15" s="394">
        <v>8.0</v>
      </c>
      <c r="HC15" s="394">
        <v>8.0</v>
      </c>
      <c r="HD15" s="394">
        <v>8.0</v>
      </c>
      <c r="HE15" s="394" t="s">
        <v>165</v>
      </c>
      <c r="HF15" s="394" t="s">
        <v>165</v>
      </c>
      <c r="HG15" s="394">
        <v>8.0</v>
      </c>
      <c r="HH15" s="394">
        <v>8.0</v>
      </c>
      <c r="HI15" s="394">
        <v>8.0</v>
      </c>
      <c r="HJ15" s="394">
        <v>8.0</v>
      </c>
      <c r="HK15" s="394">
        <v>8.0</v>
      </c>
      <c r="HL15" s="394" t="s">
        <v>165</v>
      </c>
      <c r="HM15" s="394" t="s">
        <v>165</v>
      </c>
      <c r="HN15" s="394">
        <v>8.0</v>
      </c>
      <c r="HO15" s="394">
        <v>8.0</v>
      </c>
      <c r="HP15" s="394">
        <v>8.0</v>
      </c>
      <c r="HQ15" s="394">
        <v>8.0</v>
      </c>
      <c r="HR15" s="394">
        <v>8.0</v>
      </c>
      <c r="HS15" s="394" t="s">
        <v>165</v>
      </c>
      <c r="HT15" s="394" t="s">
        <v>165</v>
      </c>
      <c r="HU15" s="394">
        <v>8.0</v>
      </c>
      <c r="HV15" s="394">
        <v>8.0</v>
      </c>
      <c r="HW15" s="394">
        <v>8.0</v>
      </c>
      <c r="HX15" s="394">
        <v>8.0</v>
      </c>
      <c r="HY15" s="394">
        <v>8.0</v>
      </c>
      <c r="HZ15" s="400">
        <f t="shared" si="2"/>
        <v>176</v>
      </c>
      <c r="IB15" s="394" t="s">
        <v>165</v>
      </c>
      <c r="IC15" s="394" t="s">
        <v>165</v>
      </c>
      <c r="ID15" s="394" t="s">
        <v>245</v>
      </c>
      <c r="IE15" s="394">
        <v>8.0</v>
      </c>
      <c r="IF15" s="394">
        <v>8.0</v>
      </c>
      <c r="IG15" s="394">
        <v>8.0</v>
      </c>
      <c r="IH15" s="394">
        <v>8.0</v>
      </c>
      <c r="II15" s="394">
        <v>8.0</v>
      </c>
      <c r="IJ15" s="394" t="s">
        <v>165</v>
      </c>
      <c r="IK15" s="394">
        <v>8.0</v>
      </c>
      <c r="IL15" s="394">
        <v>8.0</v>
      </c>
      <c r="IM15" s="394">
        <v>8.0</v>
      </c>
      <c r="IN15" s="394">
        <v>8.0</v>
      </c>
      <c r="IO15" s="394">
        <v>8.0</v>
      </c>
      <c r="IP15" s="394" t="s">
        <v>165</v>
      </c>
      <c r="IQ15" s="394" t="s">
        <v>165</v>
      </c>
      <c r="IR15" s="394">
        <v>8.0</v>
      </c>
      <c r="IS15" s="394">
        <v>8.0</v>
      </c>
      <c r="IT15" s="394">
        <v>8.0</v>
      </c>
      <c r="IU15" s="394">
        <v>8.0</v>
      </c>
      <c r="IV15" s="394">
        <v>8.0</v>
      </c>
      <c r="IW15" s="394" t="s">
        <v>165</v>
      </c>
      <c r="IX15" s="394" t="s">
        <v>165</v>
      </c>
      <c r="IY15" s="394">
        <v>8.0</v>
      </c>
      <c r="IZ15" s="394">
        <v>8.0</v>
      </c>
      <c r="JA15" s="394">
        <v>8.0</v>
      </c>
      <c r="JB15" s="394">
        <v>8.0</v>
      </c>
      <c r="JC15" s="394">
        <v>8.0</v>
      </c>
      <c r="JD15" s="394" t="s">
        <v>165</v>
      </c>
      <c r="JE15" s="394" t="s">
        <v>165</v>
      </c>
      <c r="JF15" s="394">
        <v>8.0</v>
      </c>
      <c r="JG15" s="400">
        <f t="shared" si="3"/>
        <v>168</v>
      </c>
      <c r="JI15" s="394">
        <v>8.0</v>
      </c>
      <c r="JJ15" s="394">
        <v>8.0</v>
      </c>
      <c r="JK15" s="394">
        <v>8.0</v>
      </c>
      <c r="JL15" s="394">
        <v>8.0</v>
      </c>
      <c r="JM15" s="394" t="s">
        <v>165</v>
      </c>
      <c r="JN15" s="394" t="s">
        <v>165</v>
      </c>
      <c r="JO15" s="394">
        <v>8.0</v>
      </c>
      <c r="JP15" s="394">
        <v>8.0</v>
      </c>
      <c r="JQ15" s="394">
        <v>8.0</v>
      </c>
      <c r="JR15" s="394">
        <v>8.0</v>
      </c>
      <c r="JS15" s="394">
        <v>8.0</v>
      </c>
      <c r="JT15" s="394" t="s">
        <v>165</v>
      </c>
      <c r="JU15" s="394" t="s">
        <v>165</v>
      </c>
      <c r="JV15" s="394">
        <v>8.0</v>
      </c>
      <c r="JW15" s="394">
        <v>8.0</v>
      </c>
      <c r="JX15" s="394">
        <v>8.0</v>
      </c>
      <c r="JY15" s="394">
        <v>8.0</v>
      </c>
      <c r="JZ15" s="394">
        <v>8.0</v>
      </c>
      <c r="KA15" s="394" t="s">
        <v>165</v>
      </c>
      <c r="KB15" s="394" t="s">
        <v>165</v>
      </c>
      <c r="KC15" s="394">
        <v>8.0</v>
      </c>
      <c r="KD15" s="394">
        <v>8.0</v>
      </c>
      <c r="KE15" s="394">
        <v>8.0</v>
      </c>
      <c r="KF15" s="394">
        <v>8.0</v>
      </c>
      <c r="KG15" s="394">
        <v>8.0</v>
      </c>
      <c r="KH15" s="394" t="s">
        <v>165</v>
      </c>
      <c r="KI15" s="394" t="s">
        <v>165</v>
      </c>
      <c r="KJ15" s="394">
        <v>8.0</v>
      </c>
      <c r="KK15" s="394">
        <v>8.0</v>
      </c>
      <c r="KL15" s="394">
        <v>8.0</v>
      </c>
      <c r="KM15" s="394">
        <v>8.0</v>
      </c>
      <c r="KN15" s="145">
        <f t="shared" si="4"/>
        <v>184</v>
      </c>
      <c r="KP15" s="398"/>
      <c r="KQ15" s="398"/>
      <c r="KR15" s="398"/>
      <c r="KS15" s="398"/>
      <c r="KT15" s="398"/>
      <c r="KU15" s="398"/>
      <c r="KV15" s="398"/>
      <c r="KW15" s="398"/>
      <c r="KX15" s="398"/>
      <c r="KY15" s="398"/>
      <c r="KZ15" s="398"/>
      <c r="LA15" s="398"/>
      <c r="LB15" s="398"/>
      <c r="LC15" s="398"/>
      <c r="LD15" s="398"/>
      <c r="LE15" s="398"/>
      <c r="LF15" s="398"/>
      <c r="LG15" s="398"/>
      <c r="LH15" s="398"/>
      <c r="LI15" s="398"/>
      <c r="LJ15" s="398"/>
      <c r="LK15" s="398"/>
      <c r="LL15" s="398"/>
      <c r="LM15" s="398"/>
      <c r="LN15" s="398"/>
      <c r="LO15" s="398"/>
      <c r="LP15" s="398"/>
      <c r="LQ15" s="398"/>
      <c r="LR15" s="398"/>
      <c r="LT15" s="398"/>
      <c r="LU15" s="398"/>
      <c r="LV15" s="398"/>
      <c r="LW15" s="398"/>
      <c r="LX15" s="398"/>
      <c r="LY15" s="398"/>
      <c r="LZ15" s="398"/>
      <c r="MA15" s="398"/>
      <c r="MB15" s="398"/>
      <c r="MC15" s="398"/>
      <c r="MD15" s="398"/>
      <c r="ME15" s="398"/>
      <c r="MF15" s="398"/>
      <c r="MG15" s="398"/>
      <c r="MH15" s="398"/>
      <c r="MI15" s="398"/>
      <c r="MJ15" s="398"/>
      <c r="MK15" s="398"/>
      <c r="ML15" s="398"/>
      <c r="MM15" s="398"/>
      <c r="MN15" s="398"/>
      <c r="MO15" s="398"/>
      <c r="MP15" s="398"/>
      <c r="MQ15" s="398"/>
      <c r="MR15" s="398"/>
      <c r="MS15" s="398"/>
    </row>
    <row r="16" ht="16.5" hidden="1" customHeight="1">
      <c r="A16" s="411" t="s">
        <v>1266</v>
      </c>
      <c r="B16" s="412" t="s">
        <v>692</v>
      </c>
      <c r="C16" s="412" t="s">
        <v>99</v>
      </c>
      <c r="D16" s="413">
        <f t="shared" si="1"/>
        <v>19</v>
      </c>
      <c r="E16" s="414" t="s">
        <v>1259</v>
      </c>
      <c r="F16" s="415">
        <f>IFERROR(__xludf.DUMMYFUNCTION("IF(A16="""","""", counta(filter(Filter(FILTER($H$4:$SH76,$H$1:$SH$1&lt;today()),$A$4:$A76=A16),not(istext(Filter(FILTER($H$4:$SH76,$H$1:$SH$1&lt;today()),$A$4:$A76=A16))),not(Filter(FILTER($H$4:$SH76,$H$1:$SH$1&lt;today()),$A$4:$A76=A16)=0),Filter(FILTER($H$4:$SH7"&amp;"6,$H$1:$SH$1&lt;today()),$A$4:$A76=A16)&lt;23)))"),86.0)</f>
        <v>86</v>
      </c>
      <c r="H16" s="412" t="s">
        <v>166</v>
      </c>
      <c r="I16" s="412" t="s">
        <v>166</v>
      </c>
      <c r="J16" s="412" t="s">
        <v>166</v>
      </c>
      <c r="K16" s="412" t="s">
        <v>166</v>
      </c>
      <c r="L16" s="412" t="s">
        <v>166</v>
      </c>
      <c r="M16" s="412" t="s">
        <v>166</v>
      </c>
      <c r="N16" s="412" t="s">
        <v>166</v>
      </c>
      <c r="O16" s="412" t="s">
        <v>166</v>
      </c>
      <c r="P16" s="412" t="s">
        <v>166</v>
      </c>
      <c r="Q16" s="412" t="s">
        <v>166</v>
      </c>
      <c r="R16" s="412" t="s">
        <v>166</v>
      </c>
      <c r="S16" s="412" t="s">
        <v>166</v>
      </c>
      <c r="T16" s="412" t="s">
        <v>166</v>
      </c>
      <c r="U16" s="412" t="s">
        <v>166</v>
      </c>
      <c r="V16" s="412" t="s">
        <v>166</v>
      </c>
      <c r="W16" s="412" t="s">
        <v>166</v>
      </c>
      <c r="X16" s="412">
        <v>8.0</v>
      </c>
      <c r="Y16" s="412">
        <v>8.0</v>
      </c>
      <c r="Z16" s="412">
        <v>8.0</v>
      </c>
      <c r="AA16" s="412">
        <v>8.0</v>
      </c>
      <c r="AB16" s="412">
        <v>8.0</v>
      </c>
      <c r="AC16" s="412" t="s">
        <v>165</v>
      </c>
      <c r="AD16" s="412" t="s">
        <v>165</v>
      </c>
      <c r="AE16" s="412" t="s">
        <v>165</v>
      </c>
      <c r="AF16" s="412" t="s">
        <v>165</v>
      </c>
      <c r="AG16" s="412" t="s">
        <v>165</v>
      </c>
      <c r="AH16" s="412" t="s">
        <v>165</v>
      </c>
      <c r="AI16" s="412" t="s">
        <v>165</v>
      </c>
      <c r="AJ16" s="425">
        <v>8.0</v>
      </c>
      <c r="AK16" s="425">
        <v>8.0</v>
      </c>
      <c r="AL16" s="412" t="s">
        <v>165</v>
      </c>
      <c r="AM16" s="416">
        <f>sum(H16:AL16)</f>
        <v>56</v>
      </c>
      <c r="AO16" s="412" t="s">
        <v>165</v>
      </c>
      <c r="AP16" s="412" t="s">
        <v>165</v>
      </c>
      <c r="AQ16" s="412" t="s">
        <v>165</v>
      </c>
      <c r="AR16" s="412" t="s">
        <v>165</v>
      </c>
      <c r="AS16" s="412">
        <v>8.0</v>
      </c>
      <c r="AT16" s="412">
        <v>8.0</v>
      </c>
      <c r="AU16" s="412" t="s">
        <v>165</v>
      </c>
      <c r="AV16" s="412" t="s">
        <v>165</v>
      </c>
      <c r="AW16" s="412" t="s">
        <v>165</v>
      </c>
      <c r="AX16" s="412" t="s">
        <v>165</v>
      </c>
      <c r="AY16" s="412" t="s">
        <v>165</v>
      </c>
      <c r="AZ16" s="412">
        <v>8.0</v>
      </c>
      <c r="BA16" s="412">
        <v>8.0</v>
      </c>
      <c r="BB16" s="412" t="s">
        <v>165</v>
      </c>
      <c r="BC16" s="412" t="s">
        <v>165</v>
      </c>
      <c r="BD16" s="412" t="s">
        <v>165</v>
      </c>
      <c r="BE16" s="412" t="s">
        <v>165</v>
      </c>
      <c r="BF16" s="412" t="s">
        <v>165</v>
      </c>
      <c r="BG16" s="412">
        <v>8.0</v>
      </c>
      <c r="BH16" s="412">
        <v>8.0</v>
      </c>
      <c r="BI16" s="412" t="s">
        <v>165</v>
      </c>
      <c r="BJ16" s="412" t="s">
        <v>165</v>
      </c>
      <c r="BK16" s="412" t="s">
        <v>165</v>
      </c>
      <c r="BL16" s="412" t="s">
        <v>165</v>
      </c>
      <c r="BM16" s="412" t="s">
        <v>165</v>
      </c>
      <c r="BN16" s="412">
        <v>8.0</v>
      </c>
      <c r="BO16" s="412">
        <v>8.0</v>
      </c>
      <c r="BP16" s="412" t="s">
        <v>165</v>
      </c>
      <c r="BQ16" s="412" t="s">
        <v>165</v>
      </c>
      <c r="BR16" s="412" t="s">
        <v>165</v>
      </c>
      <c r="BS16" s="417">
        <f t="shared" si="6"/>
        <v>64</v>
      </c>
      <c r="BU16" s="412" t="s">
        <v>165</v>
      </c>
      <c r="BV16" s="412" t="s">
        <v>165</v>
      </c>
      <c r="BW16" s="412">
        <v>8.0</v>
      </c>
      <c r="BX16" s="412">
        <v>8.0</v>
      </c>
      <c r="BY16" s="412" t="s">
        <v>165</v>
      </c>
      <c r="BZ16" s="412" t="s">
        <v>165</v>
      </c>
      <c r="CA16" s="412" t="s">
        <v>165</v>
      </c>
      <c r="CB16" s="412" t="s">
        <v>165</v>
      </c>
      <c r="CC16" s="412">
        <v>8.0</v>
      </c>
      <c r="CD16" s="412">
        <v>8.0</v>
      </c>
      <c r="CE16" s="412">
        <v>8.0</v>
      </c>
      <c r="CF16" s="412" t="s">
        <v>165</v>
      </c>
      <c r="CG16" s="412" t="s">
        <v>165</v>
      </c>
      <c r="CH16" s="412">
        <v>8.0</v>
      </c>
      <c r="CI16" s="412" t="s">
        <v>165</v>
      </c>
      <c r="CJ16" s="412" t="s">
        <v>165</v>
      </c>
      <c r="CK16" s="412" t="s">
        <v>245</v>
      </c>
      <c r="CL16" s="412" t="s">
        <v>245</v>
      </c>
      <c r="CM16" s="412" t="s">
        <v>165</v>
      </c>
      <c r="CN16" s="412" t="s">
        <v>165</v>
      </c>
      <c r="CO16" s="412" t="s">
        <v>165</v>
      </c>
      <c r="CP16" s="412" t="s">
        <v>165</v>
      </c>
      <c r="CQ16" s="412" t="s">
        <v>165</v>
      </c>
      <c r="CR16" s="412">
        <v>8.0</v>
      </c>
      <c r="CS16" s="412">
        <v>8.0</v>
      </c>
      <c r="CT16" s="412" t="s">
        <v>165</v>
      </c>
      <c r="CU16" s="412" t="s">
        <v>165</v>
      </c>
      <c r="CV16" s="412" t="s">
        <v>165</v>
      </c>
      <c r="CW16" s="412" t="s">
        <v>165</v>
      </c>
      <c r="CX16" s="412" t="s">
        <v>165</v>
      </c>
      <c r="CY16" s="412">
        <v>8.0</v>
      </c>
      <c r="CZ16" s="415">
        <f t="shared" si="7"/>
        <v>72</v>
      </c>
      <c r="DB16" s="412">
        <v>8.0</v>
      </c>
      <c r="DC16" s="412" t="s">
        <v>165</v>
      </c>
      <c r="DD16" s="412" t="s">
        <v>165</v>
      </c>
      <c r="DE16" s="412" t="s">
        <v>165</v>
      </c>
      <c r="DF16" s="412" t="s">
        <v>165</v>
      </c>
      <c r="DG16" s="412" t="s">
        <v>165</v>
      </c>
      <c r="DH16" s="412">
        <v>8.0</v>
      </c>
      <c r="DI16" s="412">
        <v>8.0</v>
      </c>
      <c r="DJ16" s="412" t="s">
        <v>165</v>
      </c>
      <c r="DK16" s="412" t="s">
        <v>165</v>
      </c>
      <c r="DL16" s="412" t="s">
        <v>165</v>
      </c>
      <c r="DM16" s="412" t="s">
        <v>165</v>
      </c>
      <c r="DN16" s="412" t="s">
        <v>165</v>
      </c>
      <c r="DO16" s="412">
        <v>8.0</v>
      </c>
      <c r="DP16" s="412">
        <v>8.0</v>
      </c>
      <c r="DQ16" s="412" t="s">
        <v>165</v>
      </c>
      <c r="DR16" s="412" t="s">
        <v>165</v>
      </c>
      <c r="DS16" s="412" t="s">
        <v>165</v>
      </c>
      <c r="DT16" s="412" t="s">
        <v>165</v>
      </c>
      <c r="DU16" s="412" t="s">
        <v>165</v>
      </c>
      <c r="DV16" s="412">
        <v>8.0</v>
      </c>
      <c r="DW16" s="412">
        <v>8.0</v>
      </c>
      <c r="DX16" s="412" t="s">
        <v>165</v>
      </c>
      <c r="DY16" s="412" t="s">
        <v>165</v>
      </c>
      <c r="DZ16" s="412" t="s">
        <v>165</v>
      </c>
      <c r="EA16" s="412" t="s">
        <v>165</v>
      </c>
      <c r="EB16" s="412" t="s">
        <v>165</v>
      </c>
      <c r="EC16" s="412">
        <v>8.0</v>
      </c>
      <c r="ED16" s="412">
        <v>8.0</v>
      </c>
      <c r="EE16" s="412" t="s">
        <v>165</v>
      </c>
      <c r="EF16" s="412" t="s">
        <v>165</v>
      </c>
      <c r="EG16" s="418">
        <f t="shared" si="8"/>
        <v>72</v>
      </c>
      <c r="EI16" s="412" t="s">
        <v>165</v>
      </c>
      <c r="EJ16" s="412" t="s">
        <v>165</v>
      </c>
      <c r="EK16" s="412" t="s">
        <v>165</v>
      </c>
      <c r="EL16" s="412">
        <v>8.0</v>
      </c>
      <c r="EM16" s="412">
        <v>8.0</v>
      </c>
      <c r="EN16" s="412" t="s">
        <v>165</v>
      </c>
      <c r="EO16" s="412" t="s">
        <v>165</v>
      </c>
      <c r="EP16" s="412" t="s">
        <v>165</v>
      </c>
      <c r="EQ16" s="412" t="s">
        <v>165</v>
      </c>
      <c r="ER16" s="412" t="s">
        <v>165</v>
      </c>
      <c r="ES16" s="412">
        <v>8.0</v>
      </c>
      <c r="ET16" s="412">
        <v>8.0</v>
      </c>
      <c r="EU16" s="412" t="s">
        <v>165</v>
      </c>
      <c r="EV16" s="412" t="s">
        <v>165</v>
      </c>
      <c r="EW16" s="412" t="s">
        <v>165</v>
      </c>
      <c r="EX16" s="412" t="s">
        <v>165</v>
      </c>
      <c r="EY16" s="412" t="s">
        <v>165</v>
      </c>
      <c r="EZ16" s="412">
        <v>8.0</v>
      </c>
      <c r="FA16" s="412">
        <v>8.0</v>
      </c>
      <c r="FB16" s="412" t="s">
        <v>165</v>
      </c>
      <c r="FC16" s="412" t="s">
        <v>165</v>
      </c>
      <c r="FD16" s="412" t="s">
        <v>165</v>
      </c>
      <c r="FE16" s="412" t="s">
        <v>165</v>
      </c>
      <c r="FF16" s="412" t="s">
        <v>165</v>
      </c>
      <c r="FG16" s="412">
        <v>8.0</v>
      </c>
      <c r="FH16" s="412">
        <v>8.0</v>
      </c>
      <c r="FI16" s="412" t="s">
        <v>165</v>
      </c>
      <c r="FJ16" s="412" t="s">
        <v>165</v>
      </c>
      <c r="FK16" s="412" t="s">
        <v>165</v>
      </c>
      <c r="FL16" s="412" t="s">
        <v>165</v>
      </c>
      <c r="FM16" s="418">
        <f t="shared" si="9"/>
        <v>64</v>
      </c>
      <c r="FO16" s="412" t="s">
        <v>165</v>
      </c>
      <c r="FP16" s="412">
        <v>8.0</v>
      </c>
      <c r="FQ16" s="412">
        <v>8.0</v>
      </c>
      <c r="FR16" s="412" t="s">
        <v>165</v>
      </c>
      <c r="FS16" s="412" t="s">
        <v>165</v>
      </c>
      <c r="FT16" s="412" t="s">
        <v>165</v>
      </c>
      <c r="FU16" s="412" t="s">
        <v>165</v>
      </c>
      <c r="FV16" s="412" t="s">
        <v>165</v>
      </c>
      <c r="FW16" s="412">
        <v>0.0</v>
      </c>
      <c r="FX16" s="412">
        <v>8.0</v>
      </c>
      <c r="FY16" s="412" t="s">
        <v>165</v>
      </c>
      <c r="FZ16" s="412">
        <v>8.0</v>
      </c>
      <c r="GA16" s="412">
        <v>9.5</v>
      </c>
      <c r="GB16" s="412">
        <v>10.5</v>
      </c>
      <c r="GC16" s="412" t="s">
        <v>165</v>
      </c>
      <c r="GD16" s="426" t="s">
        <v>170</v>
      </c>
      <c r="GE16" s="412">
        <v>8.0</v>
      </c>
      <c r="GF16" s="412" t="s">
        <v>165</v>
      </c>
      <c r="GG16" s="412">
        <v>8.0</v>
      </c>
      <c r="GH16" s="412">
        <v>8.0</v>
      </c>
      <c r="GI16" s="412">
        <v>8.0</v>
      </c>
      <c r="GJ16" s="412" t="s">
        <v>165</v>
      </c>
      <c r="GK16" s="412">
        <v>8.0</v>
      </c>
      <c r="GL16" s="412">
        <v>8.0</v>
      </c>
      <c r="GM16" s="412" t="s">
        <v>165</v>
      </c>
      <c r="GN16" s="412">
        <v>8.0</v>
      </c>
      <c r="GO16" s="412">
        <v>8.0</v>
      </c>
      <c r="GP16" s="412">
        <v>8.0</v>
      </c>
      <c r="GQ16" s="412" t="s">
        <v>165</v>
      </c>
      <c r="GR16" s="412">
        <v>8.0</v>
      </c>
      <c r="GS16" s="412">
        <v>8.0</v>
      </c>
      <c r="GT16" s="415">
        <f t="shared" si="10"/>
        <v>140</v>
      </c>
      <c r="GV16" s="412" t="s">
        <v>165</v>
      </c>
      <c r="GW16" s="412">
        <v>8.0</v>
      </c>
      <c r="GX16" s="412">
        <v>8.0</v>
      </c>
      <c r="GY16" s="412">
        <v>8.0</v>
      </c>
      <c r="GZ16" s="412" t="s">
        <v>165</v>
      </c>
      <c r="HA16" s="412">
        <v>8.0</v>
      </c>
      <c r="HB16" s="412">
        <v>4.0</v>
      </c>
      <c r="HC16" s="412" t="s">
        <v>165</v>
      </c>
      <c r="HD16" s="412">
        <v>9.0</v>
      </c>
      <c r="HE16" s="412">
        <v>9.0</v>
      </c>
      <c r="HF16" s="412">
        <v>9.0</v>
      </c>
      <c r="HG16" s="412" t="s">
        <v>165</v>
      </c>
      <c r="HH16" s="412">
        <v>9.0</v>
      </c>
      <c r="HI16" s="412">
        <v>8.0</v>
      </c>
      <c r="HJ16" s="412" t="s">
        <v>165</v>
      </c>
      <c r="HK16" s="412">
        <v>4.0</v>
      </c>
      <c r="HL16" s="412">
        <v>8.0</v>
      </c>
      <c r="HM16" s="412">
        <v>4.0</v>
      </c>
      <c r="HN16" s="412" t="s">
        <v>165</v>
      </c>
      <c r="HO16" s="412">
        <v>8.0</v>
      </c>
      <c r="HP16" s="412">
        <v>8.0</v>
      </c>
      <c r="HQ16" s="412" t="s">
        <v>165</v>
      </c>
      <c r="HR16" s="412">
        <v>8.0</v>
      </c>
      <c r="HS16" s="412">
        <v>8.0</v>
      </c>
      <c r="HT16" s="412">
        <v>8.0</v>
      </c>
      <c r="HU16" s="412">
        <v>8.0</v>
      </c>
      <c r="HV16" s="412">
        <v>8.0</v>
      </c>
      <c r="HW16" s="412">
        <v>8.0</v>
      </c>
      <c r="HX16" s="412" t="s">
        <v>165</v>
      </c>
      <c r="HY16" s="412">
        <v>8.0</v>
      </c>
      <c r="HZ16" s="415">
        <f t="shared" si="2"/>
        <v>168</v>
      </c>
      <c r="IB16" s="412">
        <v>8.0</v>
      </c>
      <c r="IC16" s="412">
        <v>8.0</v>
      </c>
      <c r="ID16" s="412" t="s">
        <v>165</v>
      </c>
      <c r="IE16" s="412">
        <v>8.0</v>
      </c>
      <c r="IF16" s="412">
        <v>8.0</v>
      </c>
      <c r="IG16" s="412" t="s">
        <v>165</v>
      </c>
      <c r="IH16" s="412">
        <v>8.0</v>
      </c>
      <c r="II16" s="412" t="s">
        <v>245</v>
      </c>
      <c r="IJ16" s="412">
        <v>8.0</v>
      </c>
      <c r="IK16" s="412" t="s">
        <v>165</v>
      </c>
      <c r="IL16" s="412"/>
      <c r="IM16" s="412"/>
      <c r="IN16" s="412"/>
      <c r="IO16" s="412"/>
      <c r="IP16" s="412"/>
      <c r="IQ16" s="412"/>
      <c r="IR16" s="412"/>
      <c r="IS16" s="412"/>
      <c r="IT16" s="412"/>
      <c r="IU16" s="412"/>
      <c r="IV16" s="412"/>
      <c r="IW16" s="412"/>
      <c r="IX16" s="412"/>
      <c r="IY16" s="412"/>
      <c r="IZ16" s="412"/>
      <c r="JA16" s="412"/>
      <c r="JB16" s="412"/>
      <c r="JC16" s="412"/>
      <c r="JD16" s="412"/>
      <c r="JE16" s="412"/>
      <c r="JF16" s="412"/>
      <c r="JG16" s="415">
        <f t="shared" si="3"/>
        <v>48</v>
      </c>
      <c r="JI16" s="412"/>
      <c r="JJ16" s="412"/>
      <c r="JK16" s="412"/>
      <c r="JL16" s="412"/>
      <c r="JM16" s="412"/>
      <c r="JN16" s="412"/>
      <c r="JO16" s="412"/>
      <c r="JP16" s="412"/>
      <c r="JQ16" s="412"/>
      <c r="JR16" s="412"/>
      <c r="JS16" s="412"/>
      <c r="JT16" s="412"/>
      <c r="JU16" s="412"/>
      <c r="JV16" s="412"/>
      <c r="JW16" s="412"/>
      <c r="JX16" s="412"/>
      <c r="JY16" s="412"/>
      <c r="JZ16" s="412"/>
      <c r="KA16" s="412"/>
      <c r="KB16" s="412"/>
      <c r="KC16" s="412"/>
      <c r="KD16" s="412"/>
      <c r="KE16" s="412"/>
      <c r="KF16" s="412"/>
      <c r="KG16" s="412"/>
      <c r="KH16" s="412"/>
      <c r="KI16" s="412"/>
      <c r="KJ16" s="412"/>
      <c r="KK16" s="412"/>
      <c r="KL16" s="412"/>
      <c r="KM16" s="412"/>
      <c r="KN16" s="155">
        <f t="shared" si="4"/>
        <v>0</v>
      </c>
      <c r="KP16" s="419"/>
      <c r="KQ16" s="419"/>
      <c r="KR16" s="419"/>
      <c r="KS16" s="419"/>
      <c r="KT16" s="419"/>
      <c r="KU16" s="419"/>
      <c r="KV16" s="419"/>
      <c r="KW16" s="419"/>
      <c r="KX16" s="419"/>
      <c r="KY16" s="419"/>
      <c r="KZ16" s="419"/>
      <c r="LA16" s="419"/>
      <c r="LB16" s="419"/>
      <c r="LC16" s="419"/>
      <c r="LD16" s="419"/>
      <c r="LE16" s="419"/>
      <c r="LF16" s="419"/>
      <c r="LG16" s="419"/>
      <c r="LH16" s="419"/>
      <c r="LI16" s="419"/>
      <c r="LJ16" s="419"/>
      <c r="LK16" s="419"/>
      <c r="LL16" s="419"/>
      <c r="LM16" s="419"/>
      <c r="LN16" s="419"/>
      <c r="LO16" s="419"/>
      <c r="LP16" s="419"/>
      <c r="LQ16" s="419"/>
      <c r="LR16" s="419"/>
      <c r="LT16" s="419"/>
      <c r="LU16" s="419"/>
      <c r="LV16" s="419"/>
      <c r="LW16" s="419"/>
      <c r="LX16" s="419"/>
      <c r="LY16" s="419"/>
      <c r="LZ16" s="419"/>
      <c r="MA16" s="419"/>
      <c r="MB16" s="419"/>
      <c r="MC16" s="419"/>
      <c r="MD16" s="419"/>
      <c r="ME16" s="419"/>
      <c r="MF16" s="419"/>
      <c r="MG16" s="419"/>
      <c r="MH16" s="419"/>
      <c r="MI16" s="419"/>
      <c r="MJ16" s="419"/>
      <c r="MK16" s="419"/>
      <c r="ML16" s="419"/>
      <c r="MM16" s="419"/>
      <c r="MN16" s="419"/>
      <c r="MO16" s="419"/>
      <c r="MP16" s="419"/>
      <c r="MQ16" s="419"/>
      <c r="MR16" s="419"/>
      <c r="MS16" s="419"/>
    </row>
    <row r="17" ht="16.5" hidden="1" customHeight="1">
      <c r="A17" s="427" t="s">
        <v>1267</v>
      </c>
      <c r="B17" s="418" t="s">
        <v>88</v>
      </c>
      <c r="C17" s="428" t="s">
        <v>99</v>
      </c>
      <c r="D17" s="413">
        <f t="shared" si="1"/>
        <v>5</v>
      </c>
      <c r="E17" s="429" t="s">
        <v>1259</v>
      </c>
      <c r="F17" s="415">
        <f>IFERROR(__xludf.DUMMYFUNCTION("IF(A17="""","""", counta(filter(Filter(FILTER($H$4:$SH76,$H$1:$SH$1&lt;today()),$A$4:$A76=A17),not(istext(Filter(FILTER($H$4:$SH76,$H$1:$SH$1&lt;today()),$A$4:$A76=A17))),not(Filter(FILTER($H$4:$SH76,$H$1:$SH$1&lt;today()),$A$4:$A76=A17)=0),Filter(FILTER($H$4:$SH7"&amp;"6,$H$1:$SH$1&lt;today()),$A$4:$A76=A17)&lt;23)))"),102.0)</f>
        <v>102</v>
      </c>
      <c r="H17" s="412"/>
      <c r="I17" s="412"/>
      <c r="J17" s="412"/>
      <c r="K17" s="412"/>
      <c r="L17" s="412"/>
      <c r="M17" s="412"/>
      <c r="N17" s="412"/>
      <c r="O17" s="412"/>
      <c r="P17" s="412"/>
      <c r="Q17" s="412"/>
      <c r="R17" s="412"/>
      <c r="S17" s="412"/>
      <c r="T17" s="412"/>
      <c r="U17" s="412"/>
      <c r="V17" s="412"/>
      <c r="W17" s="412"/>
      <c r="X17" s="412"/>
      <c r="Y17" s="412"/>
      <c r="Z17" s="412"/>
      <c r="AA17" s="412"/>
      <c r="AB17" s="412"/>
      <c r="AC17" s="412"/>
      <c r="AD17" s="412"/>
      <c r="AE17" s="412"/>
      <c r="AF17" s="412"/>
      <c r="AG17" s="412"/>
      <c r="AH17" s="412"/>
      <c r="AI17" s="412"/>
      <c r="AJ17" s="412"/>
      <c r="AK17" s="412"/>
      <c r="AL17" s="412"/>
      <c r="AM17" s="416"/>
      <c r="AO17" s="412" t="s">
        <v>166</v>
      </c>
      <c r="AP17" s="412" t="s">
        <v>166</v>
      </c>
      <c r="AQ17" s="412" t="s">
        <v>166</v>
      </c>
      <c r="AR17" s="412" t="s">
        <v>166</v>
      </c>
      <c r="AS17" s="412" t="s">
        <v>166</v>
      </c>
      <c r="AT17" s="412" t="s">
        <v>166</v>
      </c>
      <c r="AU17" s="412" t="s">
        <v>166</v>
      </c>
      <c r="AV17" s="412" t="s">
        <v>166</v>
      </c>
      <c r="AW17" s="412" t="s">
        <v>166</v>
      </c>
      <c r="AX17" s="412" t="s">
        <v>166</v>
      </c>
      <c r="AY17" s="412" t="s">
        <v>166</v>
      </c>
      <c r="AZ17" s="412" t="s">
        <v>166</v>
      </c>
      <c r="BA17" s="412" t="s">
        <v>166</v>
      </c>
      <c r="BB17" s="412">
        <v>8.0</v>
      </c>
      <c r="BC17" s="412">
        <v>8.0</v>
      </c>
      <c r="BD17" s="412" t="s">
        <v>165</v>
      </c>
      <c r="BE17" s="412">
        <v>8.0</v>
      </c>
      <c r="BF17" s="412">
        <v>8.0</v>
      </c>
      <c r="BG17" s="412">
        <v>8.0</v>
      </c>
      <c r="BH17" s="412" t="s">
        <v>165</v>
      </c>
      <c r="BI17" s="412">
        <v>8.0</v>
      </c>
      <c r="BJ17" s="412">
        <v>8.0</v>
      </c>
      <c r="BK17" s="412" t="s">
        <v>165</v>
      </c>
      <c r="BL17" s="412">
        <v>8.0</v>
      </c>
      <c r="BM17" s="412">
        <v>8.0</v>
      </c>
      <c r="BN17" s="412">
        <v>8.0</v>
      </c>
      <c r="BO17" s="412" t="s">
        <v>165</v>
      </c>
      <c r="BP17" s="412">
        <v>8.0</v>
      </c>
      <c r="BQ17" s="412">
        <v>8.0</v>
      </c>
      <c r="BR17" s="412" t="s">
        <v>165</v>
      </c>
      <c r="BS17" s="417">
        <f t="shared" si="6"/>
        <v>96</v>
      </c>
      <c r="BU17" s="412">
        <v>8.0</v>
      </c>
      <c r="BV17" s="412">
        <v>8.0</v>
      </c>
      <c r="BW17" s="412">
        <v>8.0</v>
      </c>
      <c r="BX17" s="412" t="s">
        <v>165</v>
      </c>
      <c r="BY17" s="412">
        <v>8.0</v>
      </c>
      <c r="BZ17" s="412">
        <v>8.0</v>
      </c>
      <c r="CA17" s="412" t="s">
        <v>165</v>
      </c>
      <c r="CB17" s="412">
        <v>8.0</v>
      </c>
      <c r="CC17" s="412">
        <v>8.0</v>
      </c>
      <c r="CD17" s="412">
        <v>8.0</v>
      </c>
      <c r="CE17" s="412" t="s">
        <v>165</v>
      </c>
      <c r="CF17" s="412">
        <v>8.0</v>
      </c>
      <c r="CG17" s="412">
        <v>8.0</v>
      </c>
      <c r="CH17" s="412" t="s">
        <v>165</v>
      </c>
      <c r="CI17" s="412">
        <v>8.0</v>
      </c>
      <c r="CJ17" s="412">
        <v>8.0</v>
      </c>
      <c r="CK17" s="412">
        <v>8.0</v>
      </c>
      <c r="CL17" s="412" t="s">
        <v>165</v>
      </c>
      <c r="CM17" s="412">
        <v>8.0</v>
      </c>
      <c r="CN17" s="412">
        <v>8.0</v>
      </c>
      <c r="CO17" s="412" t="s">
        <v>165</v>
      </c>
      <c r="CP17" s="412">
        <v>8.0</v>
      </c>
      <c r="CQ17" s="412">
        <v>8.0</v>
      </c>
      <c r="CR17" s="412">
        <v>8.0</v>
      </c>
      <c r="CS17" s="412" t="s">
        <v>165</v>
      </c>
      <c r="CT17" s="412">
        <v>8.0</v>
      </c>
      <c r="CU17" s="412">
        <v>8.0</v>
      </c>
      <c r="CV17" s="412" t="s">
        <v>165</v>
      </c>
      <c r="CW17" s="412">
        <v>8.0</v>
      </c>
      <c r="CX17" s="412">
        <v>8.0</v>
      </c>
      <c r="CY17" s="412">
        <v>8.0</v>
      </c>
      <c r="CZ17" s="415">
        <f t="shared" si="7"/>
        <v>184</v>
      </c>
      <c r="DB17" s="412" t="s">
        <v>165</v>
      </c>
      <c r="DC17" s="412">
        <v>8.0</v>
      </c>
      <c r="DD17" s="412">
        <v>8.0</v>
      </c>
      <c r="DE17" s="412" t="s">
        <v>165</v>
      </c>
      <c r="DF17" s="412">
        <v>8.0</v>
      </c>
      <c r="DG17" s="412">
        <v>8.0</v>
      </c>
      <c r="DH17" s="412">
        <v>8.0</v>
      </c>
      <c r="DI17" s="412" t="s">
        <v>165</v>
      </c>
      <c r="DJ17" s="412">
        <v>8.0</v>
      </c>
      <c r="DK17" s="412">
        <v>8.0</v>
      </c>
      <c r="DL17" s="412" t="s">
        <v>165</v>
      </c>
      <c r="DM17" s="412">
        <v>8.0</v>
      </c>
      <c r="DN17" s="412">
        <v>8.0</v>
      </c>
      <c r="DO17" s="412">
        <v>8.0</v>
      </c>
      <c r="DP17" s="412" t="s">
        <v>165</v>
      </c>
      <c r="DQ17" s="412">
        <v>8.0</v>
      </c>
      <c r="DR17" s="412">
        <v>8.0</v>
      </c>
      <c r="DS17" s="412" t="s">
        <v>165</v>
      </c>
      <c r="DT17" s="412">
        <v>8.0</v>
      </c>
      <c r="DU17" s="412">
        <v>8.0</v>
      </c>
      <c r="DV17" s="412">
        <v>8.0</v>
      </c>
      <c r="DW17" s="412" t="s">
        <v>165</v>
      </c>
      <c r="DX17" s="412">
        <v>8.0</v>
      </c>
      <c r="DY17" s="412">
        <v>8.0</v>
      </c>
      <c r="DZ17" s="412" t="s">
        <v>165</v>
      </c>
      <c r="EA17" s="412">
        <v>8.0</v>
      </c>
      <c r="EB17" s="412">
        <v>8.0</v>
      </c>
      <c r="EC17" s="412">
        <v>8.0</v>
      </c>
      <c r="ED17" s="412" t="s">
        <v>165</v>
      </c>
      <c r="EE17" s="412">
        <v>8.0</v>
      </c>
      <c r="EF17" s="412">
        <v>8.0</v>
      </c>
      <c r="EG17" s="418">
        <f t="shared" si="8"/>
        <v>176</v>
      </c>
      <c r="EI17" s="412" t="s">
        <v>165</v>
      </c>
      <c r="EJ17" s="412">
        <v>8.0</v>
      </c>
      <c r="EK17" s="412">
        <v>8.0</v>
      </c>
      <c r="EL17" s="412">
        <v>8.0</v>
      </c>
      <c r="EM17" s="412" t="s">
        <v>165</v>
      </c>
      <c r="EN17" s="412">
        <v>8.0</v>
      </c>
      <c r="EO17" s="412" t="s">
        <v>171</v>
      </c>
      <c r="EP17" s="412" t="s">
        <v>165</v>
      </c>
      <c r="EQ17" s="412">
        <v>8.0</v>
      </c>
      <c r="ER17" s="412">
        <v>8.0</v>
      </c>
      <c r="ES17" s="412">
        <v>8.0</v>
      </c>
      <c r="ET17" s="412" t="s">
        <v>165</v>
      </c>
      <c r="EU17" s="412">
        <v>8.0</v>
      </c>
      <c r="EV17" s="412">
        <v>8.0</v>
      </c>
      <c r="EW17" s="412" t="s">
        <v>165</v>
      </c>
      <c r="EX17" s="412">
        <v>8.0</v>
      </c>
      <c r="EY17" s="412">
        <v>8.0</v>
      </c>
      <c r="EZ17" s="412">
        <v>8.0</v>
      </c>
      <c r="FA17" s="412" t="s">
        <v>165</v>
      </c>
      <c r="FB17" s="412">
        <v>8.0</v>
      </c>
      <c r="FC17" s="412">
        <v>8.0</v>
      </c>
      <c r="FD17" s="412" t="s">
        <v>165</v>
      </c>
      <c r="FE17" s="412">
        <v>8.0</v>
      </c>
      <c r="FF17" s="412">
        <v>8.0</v>
      </c>
      <c r="FG17" s="412" t="s">
        <v>245</v>
      </c>
      <c r="FH17" s="412">
        <v>8.0</v>
      </c>
      <c r="FI17" s="412">
        <v>8.0</v>
      </c>
      <c r="FJ17" s="412">
        <v>8.0</v>
      </c>
      <c r="FK17" s="412" t="s">
        <v>165</v>
      </c>
      <c r="FL17" s="412">
        <v>8.0</v>
      </c>
      <c r="FM17" s="418">
        <f t="shared" si="9"/>
        <v>160</v>
      </c>
      <c r="FO17" s="412">
        <v>8.0</v>
      </c>
      <c r="FP17" s="412">
        <v>8.0</v>
      </c>
      <c r="FQ17" s="412" t="s">
        <v>165</v>
      </c>
      <c r="FR17" s="412">
        <v>8.0</v>
      </c>
      <c r="FS17" s="412">
        <v>8.0</v>
      </c>
      <c r="FT17" s="412" t="s">
        <v>165</v>
      </c>
      <c r="FU17" s="412">
        <v>8.0</v>
      </c>
      <c r="FV17" s="412">
        <v>8.0</v>
      </c>
      <c r="FW17" s="412">
        <v>8.0</v>
      </c>
      <c r="FX17" s="412" t="s">
        <v>165</v>
      </c>
      <c r="FY17" s="412" t="s">
        <v>245</v>
      </c>
      <c r="FZ17" s="412" t="s">
        <v>171</v>
      </c>
      <c r="GA17" s="412" t="s">
        <v>165</v>
      </c>
      <c r="GB17" s="412">
        <v>8.0</v>
      </c>
      <c r="GC17" s="412">
        <v>8.0</v>
      </c>
      <c r="GD17" s="412">
        <v>8.0</v>
      </c>
      <c r="GE17" s="412" t="s">
        <v>165</v>
      </c>
      <c r="GF17" s="412">
        <v>8.0</v>
      </c>
      <c r="GG17" s="412">
        <v>8.0</v>
      </c>
      <c r="GH17" s="412" t="s">
        <v>165</v>
      </c>
      <c r="GI17" s="412">
        <v>8.0</v>
      </c>
      <c r="GJ17" s="412">
        <v>8.0</v>
      </c>
      <c r="GK17" s="412">
        <v>8.0</v>
      </c>
      <c r="GL17" s="412" t="s">
        <v>165</v>
      </c>
      <c r="GM17" s="412">
        <v>8.0</v>
      </c>
      <c r="GN17" s="412">
        <v>8.0</v>
      </c>
      <c r="GO17" s="412" t="s">
        <v>165</v>
      </c>
      <c r="GP17" s="412">
        <v>8.0</v>
      </c>
      <c r="GQ17" s="412">
        <v>8.0</v>
      </c>
      <c r="GR17" s="412">
        <v>8.0</v>
      </c>
      <c r="GS17" s="412" t="s">
        <v>165</v>
      </c>
      <c r="GT17" s="415">
        <f t="shared" si="10"/>
        <v>160</v>
      </c>
      <c r="GV17" s="412">
        <v>8.0</v>
      </c>
      <c r="GW17" s="412" t="s">
        <v>171</v>
      </c>
      <c r="GX17" s="412" t="s">
        <v>165</v>
      </c>
      <c r="GY17" s="412">
        <v>8.0</v>
      </c>
      <c r="GZ17" s="412">
        <v>8.0</v>
      </c>
      <c r="HA17" s="412" t="s">
        <v>170</v>
      </c>
      <c r="HB17" s="412" t="s">
        <v>165</v>
      </c>
      <c r="HC17" s="412">
        <v>8.0</v>
      </c>
      <c r="HD17" s="412">
        <v>8.0</v>
      </c>
      <c r="HE17" s="412" t="s">
        <v>165</v>
      </c>
      <c r="HF17" s="412" t="s">
        <v>170</v>
      </c>
      <c r="HG17" s="412"/>
      <c r="HH17" s="412"/>
      <c r="HI17" s="412"/>
      <c r="HJ17" s="412"/>
      <c r="HK17" s="412"/>
      <c r="HL17" s="412"/>
      <c r="HM17" s="412"/>
      <c r="HN17" s="412"/>
      <c r="HO17" s="412"/>
      <c r="HP17" s="412"/>
      <c r="HQ17" s="412"/>
      <c r="HR17" s="412"/>
      <c r="HS17" s="412"/>
      <c r="HT17" s="412"/>
      <c r="HU17" s="412"/>
      <c r="HV17" s="412"/>
      <c r="HW17" s="412"/>
      <c r="HX17" s="412"/>
      <c r="HY17" s="412"/>
      <c r="HZ17" s="415">
        <f t="shared" si="2"/>
        <v>40</v>
      </c>
      <c r="IB17" s="412"/>
      <c r="IC17" s="412"/>
      <c r="ID17" s="412"/>
      <c r="IE17" s="412"/>
      <c r="IF17" s="412"/>
      <c r="IG17" s="412"/>
      <c r="IH17" s="412"/>
      <c r="II17" s="412"/>
      <c r="IJ17" s="412"/>
      <c r="IK17" s="412"/>
      <c r="IL17" s="412"/>
      <c r="IM17" s="412"/>
      <c r="IN17" s="412"/>
      <c r="IO17" s="412"/>
      <c r="IP17" s="412"/>
      <c r="IQ17" s="412"/>
      <c r="IR17" s="412"/>
      <c r="IS17" s="412"/>
      <c r="IT17" s="412"/>
      <c r="IU17" s="412"/>
      <c r="IV17" s="412"/>
      <c r="IW17" s="412"/>
      <c r="IX17" s="412"/>
      <c r="IY17" s="412"/>
      <c r="IZ17" s="412"/>
      <c r="JA17" s="412"/>
      <c r="JB17" s="412"/>
      <c r="JC17" s="412"/>
      <c r="JD17" s="412"/>
      <c r="JE17" s="412"/>
      <c r="JF17" s="412"/>
      <c r="JG17" s="415">
        <f t="shared" si="3"/>
        <v>0</v>
      </c>
      <c r="JI17" s="412"/>
      <c r="JJ17" s="412"/>
      <c r="JK17" s="412"/>
      <c r="JL17" s="412"/>
      <c r="JM17" s="412"/>
      <c r="JN17" s="412"/>
      <c r="JO17" s="412"/>
      <c r="JP17" s="412"/>
      <c r="JQ17" s="412"/>
      <c r="JR17" s="412"/>
      <c r="JS17" s="412"/>
      <c r="JT17" s="412"/>
      <c r="JU17" s="412"/>
      <c r="JV17" s="412"/>
      <c r="JW17" s="412"/>
      <c r="JX17" s="412"/>
      <c r="JY17" s="412"/>
      <c r="JZ17" s="412"/>
      <c r="KA17" s="412"/>
      <c r="KB17" s="412"/>
      <c r="KC17" s="412"/>
      <c r="KD17" s="412"/>
      <c r="KE17" s="412"/>
      <c r="KF17" s="412"/>
      <c r="KG17" s="412"/>
      <c r="KH17" s="412"/>
      <c r="KI17" s="412"/>
      <c r="KJ17" s="412"/>
      <c r="KK17" s="412"/>
      <c r="KL17" s="412"/>
      <c r="KM17" s="412"/>
      <c r="KN17" s="145">
        <f t="shared" si="4"/>
        <v>0</v>
      </c>
      <c r="KP17" s="398"/>
      <c r="KQ17" s="398"/>
      <c r="KR17" s="398"/>
      <c r="KS17" s="398"/>
      <c r="KT17" s="398"/>
      <c r="KU17" s="398"/>
      <c r="KV17" s="398"/>
      <c r="KW17" s="398"/>
      <c r="KX17" s="398"/>
      <c r="KY17" s="398"/>
      <c r="KZ17" s="398"/>
      <c r="LA17" s="398"/>
      <c r="LB17" s="398"/>
      <c r="LC17" s="398"/>
      <c r="LD17" s="398"/>
      <c r="LE17" s="398"/>
      <c r="LF17" s="398"/>
      <c r="LG17" s="398"/>
      <c r="LH17" s="398"/>
      <c r="LI17" s="398"/>
      <c r="LJ17" s="398"/>
      <c r="LK17" s="398"/>
      <c r="LL17" s="398"/>
      <c r="LM17" s="398"/>
      <c r="LN17" s="398"/>
      <c r="LO17" s="398"/>
      <c r="LP17" s="398"/>
      <c r="LQ17" s="398"/>
      <c r="LR17" s="398"/>
      <c r="LT17" s="398"/>
      <c r="LU17" s="398"/>
      <c r="LV17" s="398"/>
      <c r="LW17" s="398"/>
      <c r="LX17" s="398"/>
      <c r="LY17" s="398"/>
      <c r="LZ17" s="398"/>
      <c r="MA17" s="398"/>
      <c r="MB17" s="398"/>
      <c r="MC17" s="398"/>
      <c r="MD17" s="398"/>
      <c r="ME17" s="398"/>
      <c r="MF17" s="398"/>
      <c r="MG17" s="398"/>
      <c r="MH17" s="398"/>
      <c r="MI17" s="398"/>
      <c r="MJ17" s="398"/>
      <c r="MK17" s="398"/>
      <c r="ML17" s="398"/>
      <c r="MM17" s="398"/>
      <c r="MN17" s="398"/>
      <c r="MO17" s="398"/>
      <c r="MP17" s="398"/>
      <c r="MQ17" s="398"/>
      <c r="MR17" s="398"/>
      <c r="MS17" s="398"/>
    </row>
    <row r="18" ht="16.5" customHeight="1">
      <c r="A18" s="393" t="s">
        <v>1268</v>
      </c>
      <c r="B18" s="394" t="s">
        <v>969</v>
      </c>
      <c r="C18" s="394" t="s">
        <v>99</v>
      </c>
      <c r="D18" s="395">
        <f t="shared" si="1"/>
        <v>15</v>
      </c>
      <c r="E18" s="430" t="s">
        <v>1259</v>
      </c>
      <c r="F18" s="400">
        <f>IFERROR(__xludf.DUMMYFUNCTION("IF(A18="""","""", counta(filter(Filter(FILTER($H$4:$SH76,$H$1:$SH$1&lt;today()),$A$4:$A76=A18),not(istext(Filter(FILTER($H$4:$SH76,$H$1:$SH$1&lt;today()),$A$4:$A76=A18))),not(Filter(FILTER($H$4:$SH76,$H$1:$SH$1&lt;today()),$A$4:$A76=A18)=0),Filter(FILTER($H$4:$SH7"&amp;"6,$H$1:$SH$1&lt;today()),$A$4:$A76=A18)&lt;23)))"),107.0)</f>
        <v>107</v>
      </c>
      <c r="H18" s="394" t="s">
        <v>166</v>
      </c>
      <c r="I18" s="394" t="s">
        <v>166</v>
      </c>
      <c r="J18" s="394" t="s">
        <v>166</v>
      </c>
      <c r="K18" s="394" t="s">
        <v>166</v>
      </c>
      <c r="L18" s="394" t="s">
        <v>166</v>
      </c>
      <c r="M18" s="394" t="s">
        <v>166</v>
      </c>
      <c r="N18" s="394" t="s">
        <v>166</v>
      </c>
      <c r="O18" s="394" t="s">
        <v>166</v>
      </c>
      <c r="P18" s="394" t="s">
        <v>166</v>
      </c>
      <c r="Q18" s="394" t="s">
        <v>166</v>
      </c>
      <c r="R18" s="394" t="s">
        <v>166</v>
      </c>
      <c r="S18" s="394" t="s">
        <v>166</v>
      </c>
      <c r="T18" s="394" t="s">
        <v>166</v>
      </c>
      <c r="U18" s="394" t="s">
        <v>166</v>
      </c>
      <c r="V18" s="394" t="s">
        <v>166</v>
      </c>
      <c r="W18" s="394" t="s">
        <v>166</v>
      </c>
      <c r="X18" s="394" t="s">
        <v>166</v>
      </c>
      <c r="Y18" s="394" t="s">
        <v>166</v>
      </c>
      <c r="Z18" s="394" t="s">
        <v>166</v>
      </c>
      <c r="AA18" s="394" t="s">
        <v>166</v>
      </c>
      <c r="AB18" s="394" t="s">
        <v>166</v>
      </c>
      <c r="AC18" s="394" t="s">
        <v>166</v>
      </c>
      <c r="AD18" s="394" t="s">
        <v>166</v>
      </c>
      <c r="AE18" s="394">
        <v>8.0</v>
      </c>
      <c r="AF18" s="394">
        <v>8.0</v>
      </c>
      <c r="AG18" s="394">
        <v>8.0</v>
      </c>
      <c r="AH18" s="394">
        <v>8.0</v>
      </c>
      <c r="AI18" s="394">
        <v>8.0</v>
      </c>
      <c r="AJ18" s="394" t="s">
        <v>165</v>
      </c>
      <c r="AK18" s="394" t="s">
        <v>165</v>
      </c>
      <c r="AL18" s="394" t="s">
        <v>165</v>
      </c>
      <c r="AM18" s="405">
        <f>sum(H18:AL18)</f>
        <v>40</v>
      </c>
      <c r="AO18" s="394" t="s">
        <v>165</v>
      </c>
      <c r="AP18" s="394" t="s">
        <v>165</v>
      </c>
      <c r="AQ18" s="394" t="s">
        <v>165</v>
      </c>
      <c r="AR18" s="394" t="s">
        <v>165</v>
      </c>
      <c r="AS18" s="394">
        <v>8.0</v>
      </c>
      <c r="AT18" s="394">
        <v>8.0</v>
      </c>
      <c r="AU18" s="394" t="s">
        <v>165</v>
      </c>
      <c r="AV18" s="394" t="s">
        <v>165</v>
      </c>
      <c r="AW18" s="394" t="s">
        <v>165</v>
      </c>
      <c r="AX18" s="394" t="s">
        <v>165</v>
      </c>
      <c r="AY18" s="394" t="s">
        <v>165</v>
      </c>
      <c r="AZ18" s="394">
        <v>8.0</v>
      </c>
      <c r="BA18" s="394">
        <v>8.0</v>
      </c>
      <c r="BB18" s="394" t="s">
        <v>165</v>
      </c>
      <c r="BC18" s="394" t="s">
        <v>165</v>
      </c>
      <c r="BD18" s="394" t="s">
        <v>165</v>
      </c>
      <c r="BE18" s="394" t="s">
        <v>165</v>
      </c>
      <c r="BF18" s="394" t="s">
        <v>165</v>
      </c>
      <c r="BG18" s="394">
        <v>8.0</v>
      </c>
      <c r="BH18" s="394">
        <v>8.0</v>
      </c>
      <c r="BI18" s="394" t="s">
        <v>165</v>
      </c>
      <c r="BJ18" s="394" t="s">
        <v>165</v>
      </c>
      <c r="BK18" s="394" t="s">
        <v>165</v>
      </c>
      <c r="BL18" s="394" t="s">
        <v>165</v>
      </c>
      <c r="BM18" s="394" t="s">
        <v>165</v>
      </c>
      <c r="BN18" s="394">
        <v>8.0</v>
      </c>
      <c r="BO18" s="394">
        <v>8.0</v>
      </c>
      <c r="BP18" s="394" t="s">
        <v>165</v>
      </c>
      <c r="BQ18" s="394" t="s">
        <v>165</v>
      </c>
      <c r="BR18" s="394" t="s">
        <v>165</v>
      </c>
      <c r="BS18" s="406">
        <f t="shared" si="6"/>
        <v>64</v>
      </c>
      <c r="BU18" s="394" t="s">
        <v>165</v>
      </c>
      <c r="BV18" s="394" t="s">
        <v>165</v>
      </c>
      <c r="BW18" s="394">
        <v>8.0</v>
      </c>
      <c r="BX18" s="394">
        <v>8.0</v>
      </c>
      <c r="BY18" s="394" t="s">
        <v>165</v>
      </c>
      <c r="BZ18" s="394" t="s">
        <v>165</v>
      </c>
      <c r="CA18" s="394" t="s">
        <v>165</v>
      </c>
      <c r="CB18" s="394" t="s">
        <v>165</v>
      </c>
      <c r="CC18" s="394" t="s">
        <v>165</v>
      </c>
      <c r="CD18" s="394">
        <v>8.0</v>
      </c>
      <c r="CE18" s="394">
        <v>8.0</v>
      </c>
      <c r="CF18" s="394" t="s">
        <v>165</v>
      </c>
      <c r="CG18" s="394" t="s">
        <v>165</v>
      </c>
      <c r="CH18" s="394" t="s">
        <v>165</v>
      </c>
      <c r="CI18" s="394" t="s">
        <v>165</v>
      </c>
      <c r="CJ18" s="394" t="s">
        <v>165</v>
      </c>
      <c r="CK18" s="394">
        <v>8.0</v>
      </c>
      <c r="CL18" s="394">
        <v>8.0</v>
      </c>
      <c r="CM18" s="394" t="s">
        <v>165</v>
      </c>
      <c r="CN18" s="394" t="s">
        <v>165</v>
      </c>
      <c r="CO18" s="394" t="s">
        <v>165</v>
      </c>
      <c r="CP18" s="394" t="s">
        <v>165</v>
      </c>
      <c r="CQ18" s="394" t="s">
        <v>165</v>
      </c>
      <c r="CR18" s="394">
        <v>8.0</v>
      </c>
      <c r="CS18" s="394">
        <v>8.0</v>
      </c>
      <c r="CT18" s="394" t="s">
        <v>165</v>
      </c>
      <c r="CU18" s="394" t="s">
        <v>165</v>
      </c>
      <c r="CV18" s="394" t="s">
        <v>165</v>
      </c>
      <c r="CW18" s="394" t="s">
        <v>165</v>
      </c>
      <c r="CX18" s="394" t="s">
        <v>165</v>
      </c>
      <c r="CY18" s="394">
        <v>8.0</v>
      </c>
      <c r="CZ18" s="400">
        <f t="shared" si="7"/>
        <v>72</v>
      </c>
      <c r="DB18" s="394">
        <v>8.0</v>
      </c>
      <c r="DC18" s="394" t="s">
        <v>165</v>
      </c>
      <c r="DD18" s="394" t="s">
        <v>165</v>
      </c>
      <c r="DE18" s="394" t="s">
        <v>165</v>
      </c>
      <c r="DF18" s="394" t="s">
        <v>165</v>
      </c>
      <c r="DG18" s="394" t="s">
        <v>165</v>
      </c>
      <c r="DH18" s="394">
        <v>8.0</v>
      </c>
      <c r="DI18" s="394">
        <v>8.0</v>
      </c>
      <c r="DJ18" s="394" t="s">
        <v>165</v>
      </c>
      <c r="DK18" s="394" t="s">
        <v>165</v>
      </c>
      <c r="DL18" s="394" t="s">
        <v>165</v>
      </c>
      <c r="DM18" s="394" t="s">
        <v>165</v>
      </c>
      <c r="DN18" s="394" t="s">
        <v>165</v>
      </c>
      <c r="DO18" s="394">
        <v>8.0</v>
      </c>
      <c r="DP18" s="394">
        <v>8.0</v>
      </c>
      <c r="DQ18" s="394" t="s">
        <v>165</v>
      </c>
      <c r="DR18" s="394" t="s">
        <v>165</v>
      </c>
      <c r="DS18" s="394" t="s">
        <v>165</v>
      </c>
      <c r="DT18" s="394" t="s">
        <v>165</v>
      </c>
      <c r="DU18" s="394" t="s">
        <v>165</v>
      </c>
      <c r="DV18" s="394">
        <v>8.0</v>
      </c>
      <c r="DW18" s="394">
        <v>8.0</v>
      </c>
      <c r="DX18" s="394" t="s">
        <v>165</v>
      </c>
      <c r="DY18" s="394" t="s">
        <v>165</v>
      </c>
      <c r="DZ18" s="394" t="s">
        <v>165</v>
      </c>
      <c r="EA18" s="394" t="s">
        <v>165</v>
      </c>
      <c r="EB18" s="394" t="s">
        <v>165</v>
      </c>
      <c r="EC18" s="394">
        <v>8.0</v>
      </c>
      <c r="ED18" s="394">
        <v>8.0</v>
      </c>
      <c r="EE18" s="394" t="s">
        <v>165</v>
      </c>
      <c r="EF18" s="394" t="s">
        <v>165</v>
      </c>
      <c r="EG18" s="407">
        <f t="shared" si="8"/>
        <v>72</v>
      </c>
      <c r="EI18" s="394" t="s">
        <v>165</v>
      </c>
      <c r="EJ18" s="394" t="s">
        <v>165</v>
      </c>
      <c r="EK18" s="394" t="s">
        <v>165</v>
      </c>
      <c r="EL18" s="394">
        <v>8.0</v>
      </c>
      <c r="EM18" s="394">
        <v>8.0</v>
      </c>
      <c r="EN18" s="394" t="s">
        <v>165</v>
      </c>
      <c r="EO18" s="394" t="s">
        <v>165</v>
      </c>
      <c r="EP18" s="394" t="s">
        <v>165</v>
      </c>
      <c r="EQ18" s="394" t="s">
        <v>165</v>
      </c>
      <c r="ER18" s="394" t="s">
        <v>165</v>
      </c>
      <c r="ES18" s="394">
        <v>8.0</v>
      </c>
      <c r="ET18" s="394">
        <v>8.0</v>
      </c>
      <c r="EU18" s="394" t="s">
        <v>165</v>
      </c>
      <c r="EV18" s="394" t="s">
        <v>165</v>
      </c>
      <c r="EW18" s="394" t="s">
        <v>165</v>
      </c>
      <c r="EX18" s="394" t="s">
        <v>165</v>
      </c>
      <c r="EY18" s="394" t="s">
        <v>165</v>
      </c>
      <c r="EZ18" s="394">
        <v>8.0</v>
      </c>
      <c r="FA18" s="394">
        <v>8.0</v>
      </c>
      <c r="FB18" s="394" t="s">
        <v>165</v>
      </c>
      <c r="FC18" s="394" t="s">
        <v>165</v>
      </c>
      <c r="FD18" s="394" t="s">
        <v>165</v>
      </c>
      <c r="FE18" s="394" t="s">
        <v>165</v>
      </c>
      <c r="FF18" s="394" t="s">
        <v>165</v>
      </c>
      <c r="FG18" s="394">
        <v>8.0</v>
      </c>
      <c r="FH18" s="394">
        <v>8.0</v>
      </c>
      <c r="FI18" s="394" t="s">
        <v>165</v>
      </c>
      <c r="FJ18" s="394" t="s">
        <v>165</v>
      </c>
      <c r="FK18" s="394" t="s">
        <v>165</v>
      </c>
      <c r="FL18" s="394" t="s">
        <v>165</v>
      </c>
      <c r="FM18" s="407">
        <f t="shared" si="9"/>
        <v>64</v>
      </c>
      <c r="FO18" s="394" t="s">
        <v>165</v>
      </c>
      <c r="FP18" s="394">
        <v>8.0</v>
      </c>
      <c r="FQ18" s="394">
        <v>8.0</v>
      </c>
      <c r="FR18" s="394">
        <v>8.0</v>
      </c>
      <c r="FS18" s="394" t="s">
        <v>165</v>
      </c>
      <c r="FT18" s="394" t="s">
        <v>165</v>
      </c>
      <c r="FU18" s="394">
        <v>8.0</v>
      </c>
      <c r="FV18" s="394">
        <v>8.0</v>
      </c>
      <c r="FW18" s="394">
        <v>8.0</v>
      </c>
      <c r="FX18" s="394">
        <v>8.0</v>
      </c>
      <c r="FY18" s="394">
        <v>8.0</v>
      </c>
      <c r="FZ18" s="394" t="s">
        <v>165</v>
      </c>
      <c r="GA18" s="394" t="s">
        <v>165</v>
      </c>
      <c r="GB18" s="394">
        <v>8.0</v>
      </c>
      <c r="GC18" s="394">
        <v>8.0</v>
      </c>
      <c r="GD18" s="394">
        <v>8.0</v>
      </c>
      <c r="GE18" s="394">
        <v>8.0</v>
      </c>
      <c r="GF18" s="394">
        <v>8.0</v>
      </c>
      <c r="GG18" s="394" t="s">
        <v>165</v>
      </c>
      <c r="GH18" s="394" t="s">
        <v>165</v>
      </c>
      <c r="GI18" s="394">
        <v>8.0</v>
      </c>
      <c r="GJ18" s="394">
        <v>8.0</v>
      </c>
      <c r="GK18" s="394">
        <v>8.0</v>
      </c>
      <c r="GL18" s="394">
        <v>8.0</v>
      </c>
      <c r="GM18" s="394">
        <v>8.0</v>
      </c>
      <c r="GN18" s="394" t="s">
        <v>165</v>
      </c>
      <c r="GO18" s="394" t="s">
        <v>165</v>
      </c>
      <c r="GP18" s="394">
        <v>8.0</v>
      </c>
      <c r="GQ18" s="394">
        <v>8.0</v>
      </c>
      <c r="GR18" s="394">
        <v>8.0</v>
      </c>
      <c r="GS18" s="394">
        <v>8.0</v>
      </c>
      <c r="GT18" s="400">
        <f t="shared" si="10"/>
        <v>176</v>
      </c>
      <c r="GV18" s="394">
        <v>8.0</v>
      </c>
      <c r="GW18" s="394" t="s">
        <v>165</v>
      </c>
      <c r="GX18" s="394" t="s">
        <v>165</v>
      </c>
      <c r="GY18" s="394">
        <v>8.0</v>
      </c>
      <c r="GZ18" s="394">
        <v>8.0</v>
      </c>
      <c r="HA18" s="394">
        <v>8.0</v>
      </c>
      <c r="HB18" s="394">
        <v>8.0</v>
      </c>
      <c r="HC18" s="394">
        <v>8.0</v>
      </c>
      <c r="HD18" s="394" t="s">
        <v>165</v>
      </c>
      <c r="HE18" s="394" t="s">
        <v>165</v>
      </c>
      <c r="HF18" s="394">
        <v>8.0</v>
      </c>
      <c r="HG18" s="394">
        <v>8.0</v>
      </c>
      <c r="HH18" s="394">
        <v>8.0</v>
      </c>
      <c r="HI18" s="394">
        <v>8.0</v>
      </c>
      <c r="HJ18" s="394">
        <v>8.0</v>
      </c>
      <c r="HK18" s="394">
        <v>8.0</v>
      </c>
      <c r="HL18" s="394" t="s">
        <v>165</v>
      </c>
      <c r="HM18" s="394" t="s">
        <v>165</v>
      </c>
      <c r="HN18" s="394">
        <v>8.0</v>
      </c>
      <c r="HO18" s="394">
        <v>8.0</v>
      </c>
      <c r="HP18" s="394">
        <v>8.0</v>
      </c>
      <c r="HQ18" s="394">
        <v>8.0</v>
      </c>
      <c r="HR18" s="394" t="s">
        <v>165</v>
      </c>
      <c r="HS18" s="394" t="s">
        <v>165</v>
      </c>
      <c r="HT18" s="394">
        <v>8.0</v>
      </c>
      <c r="HU18" s="394">
        <v>8.0</v>
      </c>
      <c r="HV18" s="394">
        <v>8.0</v>
      </c>
      <c r="HW18" s="394">
        <v>8.0</v>
      </c>
      <c r="HX18" s="394">
        <v>8.0</v>
      </c>
      <c r="HY18" s="394" t="s">
        <v>165</v>
      </c>
      <c r="HZ18" s="400">
        <f t="shared" si="2"/>
        <v>168</v>
      </c>
      <c r="IB18" s="394" t="s">
        <v>165</v>
      </c>
      <c r="IC18" s="394">
        <v>8.0</v>
      </c>
      <c r="ID18" s="394">
        <v>8.0</v>
      </c>
      <c r="IE18" s="394">
        <v>8.0</v>
      </c>
      <c r="IF18" s="394">
        <v>8.0</v>
      </c>
      <c r="IG18" s="394">
        <v>8.0</v>
      </c>
      <c r="IH18" s="394" t="s">
        <v>165</v>
      </c>
      <c r="II18" s="394" t="s">
        <v>165</v>
      </c>
      <c r="IJ18" s="394">
        <v>8.0</v>
      </c>
      <c r="IK18" s="394">
        <v>8.0</v>
      </c>
      <c r="IL18" s="394">
        <v>8.0</v>
      </c>
      <c r="IM18" s="394">
        <v>8.0</v>
      </c>
      <c r="IN18" s="394">
        <v>8.0</v>
      </c>
      <c r="IO18" s="394" t="s">
        <v>165</v>
      </c>
      <c r="IP18" s="394" t="s">
        <v>165</v>
      </c>
      <c r="IQ18" s="394">
        <v>8.0</v>
      </c>
      <c r="IR18" s="394">
        <v>8.0</v>
      </c>
      <c r="IS18" s="394">
        <v>8.0</v>
      </c>
      <c r="IT18" s="394">
        <v>8.0</v>
      </c>
      <c r="IU18" s="394">
        <v>8.0</v>
      </c>
      <c r="IV18" s="394" t="s">
        <v>165</v>
      </c>
      <c r="IW18" s="394" t="s">
        <v>165</v>
      </c>
      <c r="IX18" s="394">
        <v>8.0</v>
      </c>
      <c r="IY18" s="394">
        <v>8.0</v>
      </c>
      <c r="IZ18" s="394">
        <v>8.0</v>
      </c>
      <c r="JA18" s="394">
        <v>8.0</v>
      </c>
      <c r="JB18" s="394">
        <v>8.0</v>
      </c>
      <c r="JC18" s="394" t="s">
        <v>165</v>
      </c>
      <c r="JD18" s="394" t="s">
        <v>165</v>
      </c>
      <c r="JE18" s="394">
        <v>8.0</v>
      </c>
      <c r="JF18" s="394">
        <v>8.0</v>
      </c>
      <c r="JG18" s="400">
        <f t="shared" si="3"/>
        <v>176</v>
      </c>
      <c r="JI18" s="394">
        <v>8.0</v>
      </c>
      <c r="JJ18" s="394">
        <v>8.0</v>
      </c>
      <c r="JK18" s="394">
        <v>8.0</v>
      </c>
      <c r="JL18" s="394" t="s">
        <v>165</v>
      </c>
      <c r="JM18" s="394" t="s">
        <v>165</v>
      </c>
      <c r="JN18" s="394">
        <v>8.0</v>
      </c>
      <c r="JO18" s="394">
        <v>8.0</v>
      </c>
      <c r="JP18" s="394">
        <v>8.0</v>
      </c>
      <c r="JQ18" s="394">
        <v>8.0</v>
      </c>
      <c r="JR18" s="394">
        <v>8.0</v>
      </c>
      <c r="JS18" s="394" t="s">
        <v>165</v>
      </c>
      <c r="JT18" s="394" t="s">
        <v>165</v>
      </c>
      <c r="JU18" s="394">
        <v>8.0</v>
      </c>
      <c r="JV18" s="394">
        <v>8.0</v>
      </c>
      <c r="JW18" s="394">
        <v>8.0</v>
      </c>
      <c r="JX18" s="394">
        <v>8.0</v>
      </c>
      <c r="JY18" s="394">
        <v>8.0</v>
      </c>
      <c r="JZ18" s="394" t="s">
        <v>165</v>
      </c>
      <c r="KA18" s="394" t="s">
        <v>165</v>
      </c>
      <c r="KB18" s="394">
        <v>8.0</v>
      </c>
      <c r="KC18" s="394">
        <v>8.0</v>
      </c>
      <c r="KD18" s="394">
        <v>8.0</v>
      </c>
      <c r="KE18" s="394">
        <v>8.0</v>
      </c>
      <c r="KF18" s="394">
        <v>8.0</v>
      </c>
      <c r="KG18" s="394" t="s">
        <v>165</v>
      </c>
      <c r="KH18" s="394" t="s">
        <v>165</v>
      </c>
      <c r="KI18" s="394">
        <v>8.0</v>
      </c>
      <c r="KJ18" s="394">
        <v>8.0</v>
      </c>
      <c r="KK18" s="394">
        <v>8.0</v>
      </c>
      <c r="KL18" s="394">
        <v>8.0</v>
      </c>
      <c r="KM18" s="394">
        <v>8.0</v>
      </c>
      <c r="KN18" s="145">
        <f t="shared" si="4"/>
        <v>184</v>
      </c>
      <c r="KP18" s="398"/>
      <c r="KQ18" s="398"/>
      <c r="KR18" s="398"/>
      <c r="KS18" s="398"/>
      <c r="KT18" s="398"/>
      <c r="KU18" s="398"/>
      <c r="KV18" s="398"/>
      <c r="KW18" s="398"/>
      <c r="KX18" s="398"/>
      <c r="KY18" s="398"/>
      <c r="KZ18" s="398"/>
      <c r="LA18" s="398"/>
      <c r="LB18" s="398"/>
      <c r="LC18" s="398"/>
      <c r="LD18" s="398"/>
      <c r="LE18" s="398"/>
      <c r="LF18" s="398"/>
      <c r="LG18" s="398"/>
      <c r="LH18" s="398"/>
      <c r="LI18" s="398"/>
      <c r="LJ18" s="398"/>
      <c r="LK18" s="398"/>
      <c r="LL18" s="398"/>
      <c r="LM18" s="398"/>
      <c r="LN18" s="398"/>
      <c r="LO18" s="398"/>
      <c r="LP18" s="398"/>
      <c r="LQ18" s="398"/>
      <c r="LR18" s="398"/>
      <c r="LT18" s="398"/>
      <c r="LU18" s="398"/>
      <c r="LV18" s="398"/>
      <c r="LW18" s="398"/>
      <c r="LX18" s="398"/>
      <c r="LY18" s="398"/>
      <c r="LZ18" s="398"/>
      <c r="MA18" s="398"/>
      <c r="MB18" s="398"/>
      <c r="MC18" s="398"/>
      <c r="MD18" s="398"/>
      <c r="ME18" s="398"/>
      <c r="MF18" s="398"/>
      <c r="MG18" s="398"/>
      <c r="MH18" s="398"/>
      <c r="MI18" s="398"/>
      <c r="MJ18" s="398"/>
      <c r="MK18" s="398"/>
      <c r="ML18" s="398"/>
      <c r="MM18" s="398"/>
      <c r="MN18" s="398"/>
      <c r="MO18" s="398"/>
      <c r="MP18" s="398"/>
      <c r="MQ18" s="398"/>
      <c r="MR18" s="398"/>
      <c r="MS18" s="398"/>
    </row>
    <row r="19" ht="16.5" customHeight="1">
      <c r="A19" s="404" t="s">
        <v>1269</v>
      </c>
      <c r="B19" s="407" t="s">
        <v>89</v>
      </c>
      <c r="C19" s="422" t="s">
        <v>98</v>
      </c>
      <c r="D19" s="395">
        <f t="shared" si="1"/>
        <v>5</v>
      </c>
      <c r="E19" s="396" t="s">
        <v>1250</v>
      </c>
      <c r="F19" s="400">
        <f>IFERROR(__xludf.DUMMYFUNCTION("IF(A19="""","""", counta(filter(Filter(FILTER($H$4:$SH76,$H$1:$SH$1&lt;today()),$A$4:$A76=A19),not(istext(Filter(FILTER($H$4:$SH76,$H$1:$SH$1&lt;today()),$A$4:$A76=A19))),not(Filter(FILTER($H$4:$SH76,$H$1:$SH$1&lt;today()),$A$4:$A76=A19)=0),Filter(FILTER($H$4:$SH7"&amp;"6,$H$1:$SH$1&lt;today()),$A$4:$A76=A19)&lt;23)))"),121.0)</f>
        <v>121</v>
      </c>
      <c r="H19" s="394"/>
      <c r="I19" s="394"/>
      <c r="J19" s="394"/>
      <c r="K19" s="394"/>
      <c r="L19" s="394"/>
      <c r="M19" s="394"/>
      <c r="N19" s="394"/>
      <c r="O19" s="394"/>
      <c r="P19" s="394"/>
      <c r="Q19" s="394"/>
      <c r="R19" s="394"/>
      <c r="S19" s="394"/>
      <c r="T19" s="394"/>
      <c r="U19" s="394"/>
      <c r="V19" s="394"/>
      <c r="W19" s="394"/>
      <c r="X19" s="394"/>
      <c r="Y19" s="394"/>
      <c r="Z19" s="394"/>
      <c r="AA19" s="394"/>
      <c r="AB19" s="394"/>
      <c r="AC19" s="394"/>
      <c r="AD19" s="394"/>
      <c r="AE19" s="394"/>
      <c r="AF19" s="394"/>
      <c r="AG19" s="394"/>
      <c r="AH19" s="394"/>
      <c r="AI19" s="394"/>
      <c r="AJ19" s="394"/>
      <c r="AK19" s="394"/>
      <c r="AL19" s="394"/>
      <c r="AM19" s="405"/>
      <c r="AO19" s="394" t="s">
        <v>166</v>
      </c>
      <c r="AP19" s="394" t="s">
        <v>166</v>
      </c>
      <c r="AQ19" s="394" t="s">
        <v>166</v>
      </c>
      <c r="AR19" s="394" t="s">
        <v>166</v>
      </c>
      <c r="AS19" s="394" t="s">
        <v>166</v>
      </c>
      <c r="AT19" s="394" t="s">
        <v>166</v>
      </c>
      <c r="AU19" s="394" t="s">
        <v>166</v>
      </c>
      <c r="AV19" s="394" t="s">
        <v>166</v>
      </c>
      <c r="AW19" s="394" t="s">
        <v>166</v>
      </c>
      <c r="AX19" s="394" t="s">
        <v>166</v>
      </c>
      <c r="AY19" s="394" t="s">
        <v>166</v>
      </c>
      <c r="AZ19" s="394" t="s">
        <v>166</v>
      </c>
      <c r="BA19" s="394" t="s">
        <v>166</v>
      </c>
      <c r="BB19" s="394">
        <v>8.0</v>
      </c>
      <c r="BC19" s="394">
        <v>8.0</v>
      </c>
      <c r="BD19" s="394">
        <v>8.0</v>
      </c>
      <c r="BE19" s="394">
        <v>8.0</v>
      </c>
      <c r="BF19" s="394">
        <v>8.0</v>
      </c>
      <c r="BG19" s="394" t="s">
        <v>165</v>
      </c>
      <c r="BH19" s="394" t="s">
        <v>165</v>
      </c>
      <c r="BI19" s="394">
        <v>8.0</v>
      </c>
      <c r="BJ19" s="394">
        <v>8.0</v>
      </c>
      <c r="BK19" s="394">
        <v>8.0</v>
      </c>
      <c r="BL19" s="394">
        <v>8.0</v>
      </c>
      <c r="BM19" s="394">
        <v>8.0</v>
      </c>
      <c r="BN19" s="394" t="s">
        <v>165</v>
      </c>
      <c r="BO19" s="394" t="s">
        <v>165</v>
      </c>
      <c r="BP19" s="394">
        <v>6.0</v>
      </c>
      <c r="BQ19" s="394">
        <v>8.0</v>
      </c>
      <c r="BR19" s="394">
        <v>8.0</v>
      </c>
      <c r="BS19" s="406">
        <f t="shared" si="6"/>
        <v>102</v>
      </c>
      <c r="BU19" s="394" t="s">
        <v>245</v>
      </c>
      <c r="BV19" s="394">
        <v>8.0</v>
      </c>
      <c r="BW19" s="394" t="s">
        <v>165</v>
      </c>
      <c r="BX19" s="394" t="s">
        <v>165</v>
      </c>
      <c r="BY19" s="394">
        <v>8.0</v>
      </c>
      <c r="BZ19" s="394">
        <v>8.0</v>
      </c>
      <c r="CA19" s="394">
        <v>8.0</v>
      </c>
      <c r="CB19" s="394">
        <v>8.0</v>
      </c>
      <c r="CC19" s="394">
        <v>8.0</v>
      </c>
      <c r="CD19" s="394" t="s">
        <v>165</v>
      </c>
      <c r="CE19" s="394" t="s">
        <v>165</v>
      </c>
      <c r="CF19" s="394">
        <v>8.0</v>
      </c>
      <c r="CG19" s="394">
        <v>8.0</v>
      </c>
      <c r="CH19" s="394">
        <v>8.0</v>
      </c>
      <c r="CI19" s="394">
        <v>8.0</v>
      </c>
      <c r="CJ19" s="394">
        <v>8.0</v>
      </c>
      <c r="CK19" s="394" t="s">
        <v>165</v>
      </c>
      <c r="CL19" s="394" t="s">
        <v>165</v>
      </c>
      <c r="CM19" s="394">
        <v>8.0</v>
      </c>
      <c r="CN19" s="394">
        <v>8.0</v>
      </c>
      <c r="CO19" s="394">
        <v>8.0</v>
      </c>
      <c r="CP19" s="394" t="s">
        <v>245</v>
      </c>
      <c r="CQ19" s="394" t="s">
        <v>245</v>
      </c>
      <c r="CR19" s="394" t="s">
        <v>165</v>
      </c>
      <c r="CS19" s="394" t="s">
        <v>165</v>
      </c>
      <c r="CT19" s="394">
        <v>6.5</v>
      </c>
      <c r="CU19" s="394" t="s">
        <v>245</v>
      </c>
      <c r="CV19" s="394" t="s">
        <v>245</v>
      </c>
      <c r="CW19" s="394" t="s">
        <v>245</v>
      </c>
      <c r="CX19" s="394" t="s">
        <v>245</v>
      </c>
      <c r="CY19" s="394" t="s">
        <v>165</v>
      </c>
      <c r="CZ19" s="400">
        <f t="shared" si="7"/>
        <v>118.5</v>
      </c>
      <c r="DB19" s="394" t="s">
        <v>165</v>
      </c>
      <c r="DC19" s="394" t="s">
        <v>245</v>
      </c>
      <c r="DD19" s="394" t="s">
        <v>245</v>
      </c>
      <c r="DE19" s="394">
        <v>8.0</v>
      </c>
      <c r="DF19" s="394">
        <v>8.0</v>
      </c>
      <c r="DG19" s="394">
        <v>8.0</v>
      </c>
      <c r="DH19" s="394" t="s">
        <v>165</v>
      </c>
      <c r="DI19" s="394" t="s">
        <v>165</v>
      </c>
      <c r="DJ19" s="394">
        <v>8.0</v>
      </c>
      <c r="DK19" s="394">
        <v>8.0</v>
      </c>
      <c r="DL19" s="394">
        <v>8.0</v>
      </c>
      <c r="DM19" s="394">
        <v>8.0</v>
      </c>
      <c r="DN19" s="394">
        <v>8.0</v>
      </c>
      <c r="DO19" s="394" t="s">
        <v>165</v>
      </c>
      <c r="DP19" s="394" t="s">
        <v>165</v>
      </c>
      <c r="DQ19" s="394">
        <v>8.0</v>
      </c>
      <c r="DR19" s="394">
        <v>8.0</v>
      </c>
      <c r="DS19" s="394">
        <v>8.0</v>
      </c>
      <c r="DT19" s="394">
        <v>8.0</v>
      </c>
      <c r="DU19" s="394" t="s">
        <v>245</v>
      </c>
      <c r="DV19" s="394" t="s">
        <v>165</v>
      </c>
      <c r="DW19" s="394" t="s">
        <v>165</v>
      </c>
      <c r="DX19" s="394">
        <v>8.0</v>
      </c>
      <c r="DY19" s="394">
        <v>8.0</v>
      </c>
      <c r="DZ19" s="394">
        <v>8.0</v>
      </c>
      <c r="EA19" s="394">
        <v>8.0</v>
      </c>
      <c r="EB19" s="394">
        <v>8.0</v>
      </c>
      <c r="EC19" s="394" t="s">
        <v>165</v>
      </c>
      <c r="ED19" s="394" t="s">
        <v>165</v>
      </c>
      <c r="EE19" s="394">
        <v>8.0</v>
      </c>
      <c r="EF19" s="394">
        <v>4.0</v>
      </c>
      <c r="EG19" s="407">
        <f t="shared" si="8"/>
        <v>148</v>
      </c>
      <c r="EI19" s="394">
        <v>8.0</v>
      </c>
      <c r="EJ19" s="394">
        <v>8.0</v>
      </c>
      <c r="EK19" s="394">
        <v>8.0</v>
      </c>
      <c r="EL19" s="394" t="s">
        <v>165</v>
      </c>
      <c r="EM19" s="394" t="s">
        <v>165</v>
      </c>
      <c r="EN19" s="394">
        <v>6.0</v>
      </c>
      <c r="EO19" s="394">
        <v>8.0</v>
      </c>
      <c r="EP19" s="394">
        <v>8.0</v>
      </c>
      <c r="EQ19" s="394">
        <v>8.0</v>
      </c>
      <c r="ER19" s="394">
        <v>8.0</v>
      </c>
      <c r="ES19" s="394" t="s">
        <v>165</v>
      </c>
      <c r="ET19" s="394" t="s">
        <v>165</v>
      </c>
      <c r="EU19" s="394">
        <v>8.0</v>
      </c>
      <c r="EV19" s="394">
        <v>8.0</v>
      </c>
      <c r="EW19" s="394">
        <v>8.0</v>
      </c>
      <c r="EX19" s="394">
        <v>8.0</v>
      </c>
      <c r="EY19" s="394">
        <v>8.0</v>
      </c>
      <c r="EZ19" s="394" t="s">
        <v>165</v>
      </c>
      <c r="FA19" s="394" t="s">
        <v>165</v>
      </c>
      <c r="FB19" s="394">
        <v>8.0</v>
      </c>
      <c r="FC19" s="394">
        <v>8.0</v>
      </c>
      <c r="FD19" s="394">
        <v>8.0</v>
      </c>
      <c r="FE19" s="394">
        <v>8.0</v>
      </c>
      <c r="FF19" s="394">
        <v>8.0</v>
      </c>
      <c r="FG19" s="394" t="s">
        <v>165</v>
      </c>
      <c r="FH19" s="394" t="s">
        <v>165</v>
      </c>
      <c r="FI19" s="394">
        <v>8.0</v>
      </c>
      <c r="FJ19" s="394">
        <v>8.0</v>
      </c>
      <c r="FK19" s="394">
        <v>8.0</v>
      </c>
      <c r="FL19" s="394">
        <v>8.0</v>
      </c>
      <c r="FM19" s="407">
        <f t="shared" si="9"/>
        <v>174</v>
      </c>
      <c r="FO19" s="394">
        <v>8.0</v>
      </c>
      <c r="FP19" s="394" t="s">
        <v>165</v>
      </c>
      <c r="FQ19" s="394" t="s">
        <v>165</v>
      </c>
      <c r="FR19" s="394">
        <v>8.0</v>
      </c>
      <c r="FS19" s="394">
        <v>8.0</v>
      </c>
      <c r="FT19" s="394">
        <v>8.0</v>
      </c>
      <c r="FU19" s="394">
        <v>8.0</v>
      </c>
      <c r="FV19" s="394">
        <v>8.0</v>
      </c>
      <c r="FW19" s="394" t="s">
        <v>165</v>
      </c>
      <c r="FX19" s="394" t="s">
        <v>165</v>
      </c>
      <c r="FY19" s="394">
        <v>8.0</v>
      </c>
      <c r="FZ19" s="394" t="s">
        <v>245</v>
      </c>
      <c r="GA19" s="394" t="s">
        <v>245</v>
      </c>
      <c r="GB19" s="394">
        <v>8.0</v>
      </c>
      <c r="GC19" s="394">
        <v>8.0</v>
      </c>
      <c r="GD19" s="394" t="s">
        <v>165</v>
      </c>
      <c r="GE19" s="394" t="s">
        <v>165</v>
      </c>
      <c r="GF19" s="394">
        <v>8.0</v>
      </c>
      <c r="GG19" s="394">
        <v>8.0</v>
      </c>
      <c r="GH19" s="394">
        <v>8.0</v>
      </c>
      <c r="GI19" s="394">
        <v>8.0</v>
      </c>
      <c r="GJ19" s="394">
        <v>8.0</v>
      </c>
      <c r="GK19" s="394" t="s">
        <v>165</v>
      </c>
      <c r="GL19" s="394" t="s">
        <v>165</v>
      </c>
      <c r="GM19" s="394">
        <v>8.0</v>
      </c>
      <c r="GN19" s="394">
        <v>8.0</v>
      </c>
      <c r="GO19" s="394">
        <v>8.0</v>
      </c>
      <c r="GP19" s="394">
        <v>8.0</v>
      </c>
      <c r="GQ19" s="394">
        <v>8.0</v>
      </c>
      <c r="GR19" s="394" t="s">
        <v>165</v>
      </c>
      <c r="GS19" s="394" t="s">
        <v>165</v>
      </c>
      <c r="GT19" s="400">
        <f t="shared" si="10"/>
        <v>152</v>
      </c>
      <c r="GV19" s="394">
        <v>8.0</v>
      </c>
      <c r="GW19" s="394">
        <v>8.0</v>
      </c>
      <c r="GX19" s="394">
        <v>8.0</v>
      </c>
      <c r="GY19" s="394">
        <v>8.0</v>
      </c>
      <c r="GZ19" s="394">
        <v>8.0</v>
      </c>
      <c r="HA19" s="394" t="s">
        <v>165</v>
      </c>
      <c r="HB19" s="394" t="s">
        <v>165</v>
      </c>
      <c r="HC19" s="394">
        <v>8.0</v>
      </c>
      <c r="HD19" s="394" t="s">
        <v>245</v>
      </c>
      <c r="HE19" s="394" t="s">
        <v>245</v>
      </c>
      <c r="HF19" s="394" t="s">
        <v>245</v>
      </c>
      <c r="HG19" s="394" t="s">
        <v>245</v>
      </c>
      <c r="HH19" s="394" t="s">
        <v>165</v>
      </c>
      <c r="HI19" s="394" t="s">
        <v>165</v>
      </c>
      <c r="HJ19" s="394">
        <v>8.0</v>
      </c>
      <c r="HK19" s="394">
        <v>8.0</v>
      </c>
      <c r="HL19" s="394" t="s">
        <v>171</v>
      </c>
      <c r="HM19" s="394">
        <v>8.0</v>
      </c>
      <c r="HN19" s="394">
        <v>8.0</v>
      </c>
      <c r="HO19" s="394" t="s">
        <v>165</v>
      </c>
      <c r="HP19" s="394" t="s">
        <v>165</v>
      </c>
      <c r="HQ19" s="394">
        <v>8.0</v>
      </c>
      <c r="HR19" s="394">
        <v>8.0</v>
      </c>
      <c r="HS19" s="394">
        <v>8.0</v>
      </c>
      <c r="HT19" s="394">
        <v>8.0</v>
      </c>
      <c r="HU19" s="394" t="s">
        <v>245</v>
      </c>
      <c r="HV19" s="394" t="s">
        <v>165</v>
      </c>
      <c r="HW19" s="394" t="s">
        <v>165</v>
      </c>
      <c r="HX19" s="394" t="s">
        <v>245</v>
      </c>
      <c r="HY19" s="394" t="s">
        <v>245</v>
      </c>
      <c r="HZ19" s="400">
        <f t="shared" si="2"/>
        <v>112</v>
      </c>
      <c r="IB19" s="394" t="s">
        <v>245</v>
      </c>
      <c r="IC19" s="394" t="s">
        <v>245</v>
      </c>
      <c r="ID19" s="394" t="s">
        <v>245</v>
      </c>
      <c r="IE19" s="394" t="s">
        <v>165</v>
      </c>
      <c r="IF19" s="394" t="s">
        <v>165</v>
      </c>
      <c r="IG19" s="394">
        <v>8.0</v>
      </c>
      <c r="IH19" s="394">
        <v>8.0</v>
      </c>
      <c r="II19" s="394">
        <v>8.0</v>
      </c>
      <c r="IJ19" s="394">
        <v>8.0</v>
      </c>
      <c r="IK19" s="394">
        <v>8.0</v>
      </c>
      <c r="IL19" s="394" t="s">
        <v>165</v>
      </c>
      <c r="IM19" s="394" t="s">
        <v>165</v>
      </c>
      <c r="IN19" s="394">
        <v>8.0</v>
      </c>
      <c r="IO19" s="394">
        <v>8.0</v>
      </c>
      <c r="IP19" s="394">
        <v>8.0</v>
      </c>
      <c r="IQ19" s="394">
        <v>8.0</v>
      </c>
      <c r="IR19" s="394">
        <v>8.0</v>
      </c>
      <c r="IS19" s="394" t="s">
        <v>165</v>
      </c>
      <c r="IT19" s="394" t="s">
        <v>165</v>
      </c>
      <c r="IU19" s="394">
        <v>8.0</v>
      </c>
      <c r="IV19" s="394">
        <v>8.0</v>
      </c>
      <c r="IW19" s="394">
        <v>8.0</v>
      </c>
      <c r="IX19" s="394">
        <v>8.0</v>
      </c>
      <c r="IY19" s="394">
        <v>8.0</v>
      </c>
      <c r="IZ19" s="394" t="s">
        <v>165</v>
      </c>
      <c r="JA19" s="394" t="s">
        <v>165</v>
      </c>
      <c r="JB19" s="394" t="s">
        <v>245</v>
      </c>
      <c r="JC19" s="394">
        <v>8.0</v>
      </c>
      <c r="JD19" s="394">
        <v>8.0</v>
      </c>
      <c r="JE19" s="394">
        <v>8.0</v>
      </c>
      <c r="JF19" s="394" t="s">
        <v>245</v>
      </c>
      <c r="JG19" s="400">
        <f t="shared" si="3"/>
        <v>144</v>
      </c>
      <c r="JI19" s="394" t="s">
        <v>165</v>
      </c>
      <c r="JJ19" s="394" t="s">
        <v>165</v>
      </c>
      <c r="JK19" s="394">
        <v>8.0</v>
      </c>
      <c r="JL19" s="394">
        <v>8.0</v>
      </c>
      <c r="JM19" s="394">
        <v>8.0</v>
      </c>
      <c r="JN19" s="394">
        <v>8.0</v>
      </c>
      <c r="JO19" s="394">
        <v>8.0</v>
      </c>
      <c r="JP19" s="394" t="s">
        <v>165</v>
      </c>
      <c r="JQ19" s="394" t="s">
        <v>165</v>
      </c>
      <c r="JR19" s="394">
        <v>8.0</v>
      </c>
      <c r="JS19" s="394">
        <v>8.0</v>
      </c>
      <c r="JT19" s="394">
        <v>8.0</v>
      </c>
      <c r="JU19" s="394">
        <v>8.0</v>
      </c>
      <c r="JV19" s="394">
        <v>8.0</v>
      </c>
      <c r="JW19" s="394" t="s">
        <v>165</v>
      </c>
      <c r="JX19" s="394" t="s">
        <v>165</v>
      </c>
      <c r="JY19" s="394">
        <v>8.0</v>
      </c>
      <c r="JZ19" s="394">
        <v>8.0</v>
      </c>
      <c r="KA19" s="394">
        <v>8.0</v>
      </c>
      <c r="KB19" s="394">
        <v>8.0</v>
      </c>
      <c r="KC19" s="394">
        <v>8.0</v>
      </c>
      <c r="KD19" s="394" t="s">
        <v>165</v>
      </c>
      <c r="KE19" s="394" t="s">
        <v>165</v>
      </c>
      <c r="KF19" s="394">
        <v>8.0</v>
      </c>
      <c r="KG19" s="394">
        <v>8.0</v>
      </c>
      <c r="KH19" s="394">
        <v>8.0</v>
      </c>
      <c r="KI19" s="394">
        <v>8.0</v>
      </c>
      <c r="KJ19" s="394">
        <v>8.0</v>
      </c>
      <c r="KK19" s="394" t="s">
        <v>165</v>
      </c>
      <c r="KL19" s="394" t="s">
        <v>165</v>
      </c>
      <c r="KM19" s="394">
        <v>8.0</v>
      </c>
      <c r="KN19" s="145">
        <f t="shared" si="4"/>
        <v>168</v>
      </c>
      <c r="KP19" s="398"/>
      <c r="KQ19" s="398"/>
      <c r="KR19" s="398"/>
      <c r="KS19" s="398"/>
      <c r="KT19" s="398"/>
      <c r="KU19" s="398"/>
      <c r="KV19" s="398"/>
      <c r="KW19" s="398"/>
      <c r="KX19" s="398"/>
      <c r="KY19" s="398"/>
      <c r="KZ19" s="398"/>
      <c r="LA19" s="398"/>
      <c r="LB19" s="398"/>
      <c r="LC19" s="398"/>
      <c r="LD19" s="398"/>
      <c r="LE19" s="398"/>
      <c r="LF19" s="398"/>
      <c r="LG19" s="398"/>
      <c r="LH19" s="398"/>
      <c r="LI19" s="398"/>
      <c r="LJ19" s="398"/>
      <c r="LK19" s="398"/>
      <c r="LL19" s="398"/>
      <c r="LM19" s="398"/>
      <c r="LN19" s="398"/>
      <c r="LO19" s="398"/>
      <c r="LP19" s="398"/>
      <c r="LQ19" s="398"/>
      <c r="LR19" s="398"/>
      <c r="LT19" s="398"/>
      <c r="LU19" s="398"/>
      <c r="LV19" s="398"/>
      <c r="LW19" s="398"/>
      <c r="LX19" s="398"/>
      <c r="LY19" s="398"/>
      <c r="LZ19" s="398"/>
      <c r="MA19" s="398"/>
      <c r="MB19" s="398"/>
      <c r="MC19" s="398"/>
      <c r="MD19" s="398"/>
      <c r="ME19" s="398"/>
      <c r="MF19" s="398"/>
      <c r="MG19" s="398"/>
      <c r="MH19" s="398"/>
      <c r="MI19" s="398"/>
      <c r="MJ19" s="398"/>
      <c r="MK19" s="398"/>
      <c r="ML19" s="398"/>
      <c r="MM19" s="398"/>
      <c r="MN19" s="398"/>
      <c r="MO19" s="398"/>
      <c r="MP19" s="398"/>
      <c r="MQ19" s="398"/>
      <c r="MR19" s="398"/>
      <c r="MS19" s="398"/>
    </row>
    <row r="20" ht="16.5" customHeight="1">
      <c r="A20" s="420" t="s">
        <v>1270</v>
      </c>
      <c r="B20" s="394" t="s">
        <v>88</v>
      </c>
      <c r="C20" s="394" t="s">
        <v>98</v>
      </c>
      <c r="D20" s="395">
        <f t="shared" si="1"/>
        <v>8</v>
      </c>
      <c r="E20" s="431" t="s">
        <v>1259</v>
      </c>
      <c r="F20" s="400">
        <f>IFERROR(__xludf.DUMMYFUNCTION("IF(A20="""","""", counta(filter(Filter(FILTER($H$4:$SH76,$H$1:$SH$1&lt;today()),$A$4:$A76=A20),not(istext(Filter(FILTER($H$4:$SH76,$H$1:$SH$1&lt;today()),$A$4:$A76=A20))),not(Filter(FILTER($H$4:$SH76,$H$1:$SH$1&lt;today()),$A$4:$A76=A20)=0),Filter(FILTER($H$4:$SH7"&amp;"6,$H$1:$SH$1&lt;today()),$A$4:$A76=A20)&lt;23)))"),102.0)</f>
        <v>102</v>
      </c>
      <c r="H20" s="394" t="s">
        <v>166</v>
      </c>
      <c r="I20" s="394" t="s">
        <v>166</v>
      </c>
      <c r="J20" s="394" t="s">
        <v>166</v>
      </c>
      <c r="K20" s="394" t="s">
        <v>166</v>
      </c>
      <c r="L20" s="394" t="s">
        <v>166</v>
      </c>
      <c r="M20" s="394" t="s">
        <v>166</v>
      </c>
      <c r="N20" s="394" t="s">
        <v>166</v>
      </c>
      <c r="O20" s="394" t="s">
        <v>166</v>
      </c>
      <c r="P20" s="394" t="s">
        <v>166</v>
      </c>
      <c r="Q20" s="394" t="s">
        <v>166</v>
      </c>
      <c r="R20" s="394" t="s">
        <v>166</v>
      </c>
      <c r="S20" s="394" t="s">
        <v>166</v>
      </c>
      <c r="T20" s="394" t="s">
        <v>166</v>
      </c>
      <c r="U20" s="394" t="s">
        <v>166</v>
      </c>
      <c r="V20" s="394" t="s">
        <v>166</v>
      </c>
      <c r="W20" s="394" t="s">
        <v>166</v>
      </c>
      <c r="X20" s="394" t="s">
        <v>166</v>
      </c>
      <c r="Y20" s="394" t="s">
        <v>166</v>
      </c>
      <c r="Z20" s="394" t="s">
        <v>166</v>
      </c>
      <c r="AA20" s="394" t="s">
        <v>166</v>
      </c>
      <c r="AB20" s="394" t="s">
        <v>166</v>
      </c>
      <c r="AC20" s="394" t="s">
        <v>166</v>
      </c>
      <c r="AD20" s="394" t="s">
        <v>166</v>
      </c>
      <c r="AE20" s="394" t="s">
        <v>166</v>
      </c>
      <c r="AF20" s="394" t="s">
        <v>166</v>
      </c>
      <c r="AG20" s="394" t="s">
        <v>166</v>
      </c>
      <c r="AH20" s="394" t="s">
        <v>166</v>
      </c>
      <c r="AI20" s="394" t="s">
        <v>166</v>
      </c>
      <c r="AJ20" s="394" t="s">
        <v>166</v>
      </c>
      <c r="AK20" s="394" t="s">
        <v>166</v>
      </c>
      <c r="AL20" s="394">
        <v>8.0</v>
      </c>
      <c r="AM20" s="405">
        <f t="shared" ref="AM20:AM21" si="11">sum(H20:AL20)</f>
        <v>8</v>
      </c>
      <c r="AO20" s="394">
        <v>8.0</v>
      </c>
      <c r="AP20" s="394">
        <v>8.0</v>
      </c>
      <c r="AQ20" s="394">
        <v>8.0</v>
      </c>
      <c r="AR20" s="394">
        <v>8.0</v>
      </c>
      <c r="AS20" s="394" t="s">
        <v>165</v>
      </c>
      <c r="AT20" s="394" t="s">
        <v>165</v>
      </c>
      <c r="AU20" s="394" t="s">
        <v>165</v>
      </c>
      <c r="AV20" s="394" t="s">
        <v>165</v>
      </c>
      <c r="AW20" s="394" t="s">
        <v>165</v>
      </c>
      <c r="AX20" s="394" t="s">
        <v>165</v>
      </c>
      <c r="AY20" s="394" t="s">
        <v>165</v>
      </c>
      <c r="AZ20" s="394">
        <v>8.0</v>
      </c>
      <c r="BA20" s="394">
        <v>8.0</v>
      </c>
      <c r="BB20" s="394" t="s">
        <v>165</v>
      </c>
      <c r="BC20" s="394" t="s">
        <v>165</v>
      </c>
      <c r="BD20" s="394" t="s">
        <v>165</v>
      </c>
      <c r="BE20" s="394" t="s">
        <v>165</v>
      </c>
      <c r="BF20" s="394" t="s">
        <v>165</v>
      </c>
      <c r="BG20" s="394">
        <v>8.0</v>
      </c>
      <c r="BH20" s="394">
        <v>8.0</v>
      </c>
      <c r="BI20" s="394" t="s">
        <v>165</v>
      </c>
      <c r="BJ20" s="394" t="s">
        <v>165</v>
      </c>
      <c r="BK20" s="394" t="s">
        <v>165</v>
      </c>
      <c r="BL20" s="394" t="s">
        <v>165</v>
      </c>
      <c r="BM20" s="394" t="s">
        <v>165</v>
      </c>
      <c r="BN20" s="394">
        <v>8.0</v>
      </c>
      <c r="BO20" s="394">
        <v>8.0</v>
      </c>
      <c r="BP20" s="394" t="s">
        <v>165</v>
      </c>
      <c r="BQ20" s="394" t="s">
        <v>165</v>
      </c>
      <c r="BR20" s="394" t="s">
        <v>165</v>
      </c>
      <c r="BS20" s="406">
        <f t="shared" si="6"/>
        <v>80</v>
      </c>
      <c r="BU20" s="394" t="s">
        <v>165</v>
      </c>
      <c r="BV20" s="394" t="s">
        <v>165</v>
      </c>
      <c r="BW20" s="394">
        <v>8.0</v>
      </c>
      <c r="BX20" s="394">
        <v>8.0</v>
      </c>
      <c r="BY20" s="394" t="s">
        <v>165</v>
      </c>
      <c r="BZ20" s="394" t="s">
        <v>165</v>
      </c>
      <c r="CA20" s="394" t="s">
        <v>165</v>
      </c>
      <c r="CB20" s="394" t="s">
        <v>165</v>
      </c>
      <c r="CC20" s="394" t="s">
        <v>165</v>
      </c>
      <c r="CD20" s="394">
        <v>8.0</v>
      </c>
      <c r="CE20" s="394">
        <v>8.0</v>
      </c>
      <c r="CF20" s="394" t="s">
        <v>165</v>
      </c>
      <c r="CG20" s="394" t="s">
        <v>165</v>
      </c>
      <c r="CH20" s="394" t="s">
        <v>165</v>
      </c>
      <c r="CI20" s="394" t="s">
        <v>165</v>
      </c>
      <c r="CJ20" s="394" t="s">
        <v>165</v>
      </c>
      <c r="CK20" s="394">
        <v>8.0</v>
      </c>
      <c r="CL20" s="394">
        <v>8.0</v>
      </c>
      <c r="CM20" s="394" t="s">
        <v>165</v>
      </c>
      <c r="CN20" s="394" t="s">
        <v>165</v>
      </c>
      <c r="CO20" s="394" t="s">
        <v>165</v>
      </c>
      <c r="CP20" s="394" t="s">
        <v>165</v>
      </c>
      <c r="CQ20" s="394" t="s">
        <v>165</v>
      </c>
      <c r="CR20" s="394">
        <v>8.0</v>
      </c>
      <c r="CS20" s="394">
        <v>8.0</v>
      </c>
      <c r="CT20" s="394" t="s">
        <v>165</v>
      </c>
      <c r="CU20" s="394" t="s">
        <v>165</v>
      </c>
      <c r="CV20" s="394" t="s">
        <v>165</v>
      </c>
      <c r="CW20" s="394" t="s">
        <v>165</v>
      </c>
      <c r="CX20" s="394" t="s">
        <v>165</v>
      </c>
      <c r="CY20" s="394">
        <v>8.0</v>
      </c>
      <c r="CZ20" s="400">
        <f t="shared" si="7"/>
        <v>72</v>
      </c>
      <c r="DB20" s="394">
        <v>8.0</v>
      </c>
      <c r="DC20" s="394" t="s">
        <v>165</v>
      </c>
      <c r="DD20" s="394" t="s">
        <v>165</v>
      </c>
      <c r="DE20" s="394" t="s">
        <v>165</v>
      </c>
      <c r="DF20" s="394" t="s">
        <v>165</v>
      </c>
      <c r="DG20" s="394" t="s">
        <v>165</v>
      </c>
      <c r="DH20" s="394">
        <v>8.0</v>
      </c>
      <c r="DI20" s="394">
        <v>8.0</v>
      </c>
      <c r="DJ20" s="394" t="s">
        <v>165</v>
      </c>
      <c r="DK20" s="394" t="s">
        <v>165</v>
      </c>
      <c r="DL20" s="394" t="s">
        <v>165</v>
      </c>
      <c r="DM20" s="394" t="s">
        <v>165</v>
      </c>
      <c r="DN20" s="394" t="s">
        <v>165</v>
      </c>
      <c r="DO20" s="394">
        <v>8.0</v>
      </c>
      <c r="DP20" s="394">
        <v>8.0</v>
      </c>
      <c r="DQ20" s="394" t="s">
        <v>165</v>
      </c>
      <c r="DR20" s="394" t="s">
        <v>165</v>
      </c>
      <c r="DS20" s="394" t="s">
        <v>165</v>
      </c>
      <c r="DT20" s="394" t="s">
        <v>165</v>
      </c>
      <c r="DU20" s="394" t="s">
        <v>165</v>
      </c>
      <c r="DV20" s="394">
        <v>8.0</v>
      </c>
      <c r="DW20" s="394">
        <v>8.0</v>
      </c>
      <c r="DX20" s="394" t="s">
        <v>165</v>
      </c>
      <c r="DY20" s="394" t="s">
        <v>165</v>
      </c>
      <c r="DZ20" s="394" t="s">
        <v>165</v>
      </c>
      <c r="EA20" s="394" t="s">
        <v>165</v>
      </c>
      <c r="EB20" s="394" t="s">
        <v>165</v>
      </c>
      <c r="EC20" s="394">
        <v>8.0</v>
      </c>
      <c r="ED20" s="394">
        <v>8.0</v>
      </c>
      <c r="EE20" s="394" t="s">
        <v>165</v>
      </c>
      <c r="EF20" s="394" t="s">
        <v>165</v>
      </c>
      <c r="EG20" s="407">
        <f t="shared" si="8"/>
        <v>72</v>
      </c>
      <c r="EI20" s="394" t="s">
        <v>165</v>
      </c>
      <c r="EJ20" s="394" t="s">
        <v>165</v>
      </c>
      <c r="EK20" s="394" t="s">
        <v>165</v>
      </c>
      <c r="EL20" s="394">
        <v>8.0</v>
      </c>
      <c r="EM20" s="394">
        <v>8.0</v>
      </c>
      <c r="EN20" s="394" t="s">
        <v>165</v>
      </c>
      <c r="EO20" s="394" t="s">
        <v>165</v>
      </c>
      <c r="EP20" s="394" t="s">
        <v>165</v>
      </c>
      <c r="EQ20" s="394" t="s">
        <v>165</v>
      </c>
      <c r="ER20" s="394" t="s">
        <v>165</v>
      </c>
      <c r="ES20" s="394">
        <v>8.0</v>
      </c>
      <c r="ET20" s="394">
        <v>8.0</v>
      </c>
      <c r="EU20" s="394" t="s">
        <v>165</v>
      </c>
      <c r="EV20" s="394" t="s">
        <v>165</v>
      </c>
      <c r="EW20" s="394" t="s">
        <v>165</v>
      </c>
      <c r="EX20" s="394" t="s">
        <v>165</v>
      </c>
      <c r="EY20" s="394" t="s">
        <v>165</v>
      </c>
      <c r="EZ20" s="394">
        <v>8.0</v>
      </c>
      <c r="FA20" s="394">
        <v>8.0</v>
      </c>
      <c r="FB20" s="394" t="s">
        <v>165</v>
      </c>
      <c r="FC20" s="394" t="s">
        <v>165</v>
      </c>
      <c r="FD20" s="394" t="s">
        <v>165</v>
      </c>
      <c r="FE20" s="394" t="s">
        <v>165</v>
      </c>
      <c r="FF20" s="394" t="s">
        <v>165</v>
      </c>
      <c r="FG20" s="394">
        <v>8.0</v>
      </c>
      <c r="FH20" s="394">
        <v>8.0</v>
      </c>
      <c r="FI20" s="394" t="s">
        <v>165</v>
      </c>
      <c r="FJ20" s="394" t="s">
        <v>165</v>
      </c>
      <c r="FK20" s="394" t="s">
        <v>165</v>
      </c>
      <c r="FL20" s="394" t="s">
        <v>165</v>
      </c>
      <c r="FM20" s="407">
        <f t="shared" si="9"/>
        <v>64</v>
      </c>
      <c r="FO20" s="394">
        <v>5.0</v>
      </c>
      <c r="FP20" s="394" t="s">
        <v>165</v>
      </c>
      <c r="FQ20" s="394" t="s">
        <v>165</v>
      </c>
      <c r="FR20" s="394">
        <v>8.0</v>
      </c>
      <c r="FS20" s="394">
        <v>8.0</v>
      </c>
      <c r="FT20" s="394">
        <v>8.0</v>
      </c>
      <c r="FU20" s="394">
        <v>8.0</v>
      </c>
      <c r="FV20" s="394">
        <v>8.0</v>
      </c>
      <c r="FW20" s="394">
        <v>3.0</v>
      </c>
      <c r="FX20" s="394" t="s">
        <v>165</v>
      </c>
      <c r="FY20" s="394">
        <v>8.0</v>
      </c>
      <c r="FZ20" s="394">
        <v>8.0</v>
      </c>
      <c r="GA20" s="394">
        <v>8.0</v>
      </c>
      <c r="GB20" s="394">
        <v>8.0</v>
      </c>
      <c r="GC20" s="394">
        <v>8.0</v>
      </c>
      <c r="GD20" s="394" t="s">
        <v>165</v>
      </c>
      <c r="GE20" s="394" t="s">
        <v>165</v>
      </c>
      <c r="GF20" s="394">
        <v>8.0</v>
      </c>
      <c r="GG20" s="394">
        <v>8.0</v>
      </c>
      <c r="GH20" s="394">
        <v>8.0</v>
      </c>
      <c r="GI20" s="394">
        <v>8.0</v>
      </c>
      <c r="GJ20" s="394">
        <v>8.0</v>
      </c>
      <c r="GK20" s="394" t="s">
        <v>165</v>
      </c>
      <c r="GL20" s="394" t="s">
        <v>165</v>
      </c>
      <c r="GM20" s="394">
        <v>8.0</v>
      </c>
      <c r="GN20" s="394">
        <v>8.0</v>
      </c>
      <c r="GO20" s="394">
        <v>8.0</v>
      </c>
      <c r="GP20" s="394">
        <v>8.0</v>
      </c>
      <c r="GQ20" s="394">
        <v>8.0</v>
      </c>
      <c r="GR20" s="394" t="s">
        <v>165</v>
      </c>
      <c r="GS20" s="394" t="s">
        <v>165</v>
      </c>
      <c r="GT20" s="400">
        <f t="shared" si="10"/>
        <v>168</v>
      </c>
      <c r="GV20" s="394">
        <v>8.0</v>
      </c>
      <c r="GW20" s="394" t="s">
        <v>171</v>
      </c>
      <c r="GX20" s="394" t="s">
        <v>245</v>
      </c>
      <c r="GY20" s="394" t="s">
        <v>245</v>
      </c>
      <c r="GZ20" s="394">
        <v>8.0</v>
      </c>
      <c r="HA20" s="394" t="s">
        <v>165</v>
      </c>
      <c r="HB20" s="394" t="s">
        <v>165</v>
      </c>
      <c r="HC20" s="394">
        <v>8.0</v>
      </c>
      <c r="HD20" s="394">
        <v>8.0</v>
      </c>
      <c r="HE20" s="394">
        <v>8.0</v>
      </c>
      <c r="HF20" s="394">
        <v>8.0</v>
      </c>
      <c r="HG20" s="394">
        <v>8.0</v>
      </c>
      <c r="HH20" s="394" t="s">
        <v>165</v>
      </c>
      <c r="HI20" s="394" t="s">
        <v>165</v>
      </c>
      <c r="HJ20" s="394" t="s">
        <v>171</v>
      </c>
      <c r="HK20" s="394">
        <v>8.0</v>
      </c>
      <c r="HL20" s="394">
        <v>8.0</v>
      </c>
      <c r="HM20" s="394">
        <v>8.0</v>
      </c>
      <c r="HN20" s="394">
        <v>8.0</v>
      </c>
      <c r="HO20" s="394" t="s">
        <v>165</v>
      </c>
      <c r="HP20" s="394" t="s">
        <v>165</v>
      </c>
      <c r="HQ20" s="394">
        <v>8.0</v>
      </c>
      <c r="HR20" s="394">
        <v>8.0</v>
      </c>
      <c r="HS20" s="394">
        <v>8.0</v>
      </c>
      <c r="HT20" s="394">
        <v>8.0</v>
      </c>
      <c r="HU20" s="394">
        <v>8.0</v>
      </c>
      <c r="HV20" s="394" t="s">
        <v>165</v>
      </c>
      <c r="HW20" s="394" t="s">
        <v>165</v>
      </c>
      <c r="HX20" s="394">
        <v>8.0</v>
      </c>
      <c r="HY20" s="394">
        <v>8.0</v>
      </c>
      <c r="HZ20" s="400">
        <f t="shared" si="2"/>
        <v>144</v>
      </c>
      <c r="IB20" s="394">
        <v>8.0</v>
      </c>
      <c r="IC20" s="394" t="s">
        <v>245</v>
      </c>
      <c r="ID20" s="394" t="s">
        <v>245</v>
      </c>
      <c r="IE20" s="394" t="s">
        <v>165</v>
      </c>
      <c r="IF20" s="394" t="s">
        <v>165</v>
      </c>
      <c r="IG20" s="394">
        <v>8.0</v>
      </c>
      <c r="IH20" s="394">
        <v>8.0</v>
      </c>
      <c r="II20" s="394">
        <v>8.0</v>
      </c>
      <c r="IJ20" s="394">
        <v>8.0</v>
      </c>
      <c r="IK20" s="394">
        <v>8.0</v>
      </c>
      <c r="IL20" s="394">
        <v>8.0</v>
      </c>
      <c r="IM20" s="394" t="s">
        <v>165</v>
      </c>
      <c r="IN20" s="394">
        <v>8.0</v>
      </c>
      <c r="IO20" s="394">
        <v>8.0</v>
      </c>
      <c r="IP20" s="394">
        <v>8.0</v>
      </c>
      <c r="IQ20" s="394">
        <v>8.0</v>
      </c>
      <c r="IR20" s="394">
        <v>8.0</v>
      </c>
      <c r="IS20" s="394">
        <v>8.0</v>
      </c>
      <c r="IT20" s="394" t="s">
        <v>165</v>
      </c>
      <c r="IU20" s="394">
        <v>8.0</v>
      </c>
      <c r="IV20" s="394">
        <v>8.0</v>
      </c>
      <c r="IW20" s="394">
        <v>8.0</v>
      </c>
      <c r="IX20" s="394">
        <v>8.0</v>
      </c>
      <c r="IY20" s="394">
        <v>8.0</v>
      </c>
      <c r="IZ20" s="403" t="s">
        <v>165</v>
      </c>
      <c r="JA20" s="394" t="s">
        <v>165</v>
      </c>
      <c r="JB20" s="394">
        <v>8.0</v>
      </c>
      <c r="JC20" s="394">
        <v>8.0</v>
      </c>
      <c r="JD20" s="394">
        <v>8.0</v>
      </c>
      <c r="JE20" s="394">
        <v>8.0</v>
      </c>
      <c r="JF20" s="394">
        <v>8.0</v>
      </c>
      <c r="JG20" s="400">
        <f t="shared" si="3"/>
        <v>184</v>
      </c>
      <c r="JI20" s="403" t="s">
        <v>165</v>
      </c>
      <c r="JJ20" s="394" t="s">
        <v>165</v>
      </c>
      <c r="JK20" s="394">
        <v>8.0</v>
      </c>
      <c r="JL20" s="394">
        <v>8.0</v>
      </c>
      <c r="JM20" s="394">
        <v>8.0</v>
      </c>
      <c r="JN20" s="394">
        <v>8.0</v>
      </c>
      <c r="JO20" s="394">
        <v>8.0</v>
      </c>
      <c r="JP20" s="394" t="s">
        <v>165</v>
      </c>
      <c r="JQ20" s="394" t="s">
        <v>165</v>
      </c>
      <c r="JR20" s="394">
        <v>8.0</v>
      </c>
      <c r="JS20" s="394">
        <v>8.0</v>
      </c>
      <c r="JT20" s="394">
        <v>8.0</v>
      </c>
      <c r="JU20" s="394">
        <v>8.0</v>
      </c>
      <c r="JV20" s="394">
        <v>8.0</v>
      </c>
      <c r="JW20" s="394" t="s">
        <v>165</v>
      </c>
      <c r="JX20" s="394" t="s">
        <v>165</v>
      </c>
      <c r="JY20" s="394">
        <v>8.0</v>
      </c>
      <c r="JZ20" s="394">
        <v>8.0</v>
      </c>
      <c r="KA20" s="394">
        <v>8.0</v>
      </c>
      <c r="KB20" s="394">
        <v>8.0</v>
      </c>
      <c r="KC20" s="394">
        <v>8.0</v>
      </c>
      <c r="KD20" s="394" t="s">
        <v>165</v>
      </c>
      <c r="KE20" s="394" t="s">
        <v>165</v>
      </c>
      <c r="KF20" s="394">
        <v>8.0</v>
      </c>
      <c r="KG20" s="394">
        <v>8.0</v>
      </c>
      <c r="KH20" s="394">
        <v>8.0</v>
      </c>
      <c r="KI20" s="394">
        <v>8.0</v>
      </c>
      <c r="KJ20" s="394">
        <v>8.0</v>
      </c>
      <c r="KK20" s="394" t="s">
        <v>165</v>
      </c>
      <c r="KL20" s="394" t="s">
        <v>165</v>
      </c>
      <c r="KM20" s="394">
        <v>8.0</v>
      </c>
      <c r="KN20" s="145">
        <f t="shared" si="4"/>
        <v>168</v>
      </c>
      <c r="KP20" s="398"/>
      <c r="KQ20" s="398"/>
      <c r="KR20" s="398"/>
      <c r="KS20" s="398"/>
      <c r="KT20" s="398"/>
      <c r="KU20" s="398"/>
      <c r="KV20" s="398"/>
      <c r="KW20" s="398"/>
      <c r="KX20" s="398"/>
      <c r="KY20" s="398"/>
      <c r="KZ20" s="398"/>
      <c r="LA20" s="398"/>
      <c r="LB20" s="398"/>
      <c r="LC20" s="398"/>
      <c r="LD20" s="398"/>
      <c r="LE20" s="398"/>
      <c r="LF20" s="398"/>
      <c r="LG20" s="398"/>
      <c r="LH20" s="398"/>
      <c r="LI20" s="398"/>
      <c r="LJ20" s="398"/>
      <c r="LK20" s="398"/>
      <c r="LL20" s="398"/>
      <c r="LM20" s="398"/>
      <c r="LN20" s="398"/>
      <c r="LO20" s="398"/>
      <c r="LP20" s="398"/>
      <c r="LQ20" s="398"/>
      <c r="LR20" s="398"/>
      <c r="LT20" s="398"/>
      <c r="LU20" s="398"/>
      <c r="LV20" s="398"/>
      <c r="LW20" s="398"/>
      <c r="LX20" s="398"/>
      <c r="LY20" s="398"/>
      <c r="LZ20" s="398"/>
      <c r="MA20" s="398"/>
      <c r="MB20" s="398"/>
      <c r="MC20" s="398"/>
      <c r="MD20" s="398"/>
      <c r="ME20" s="398"/>
      <c r="MF20" s="398"/>
      <c r="MG20" s="398"/>
      <c r="MH20" s="398"/>
      <c r="MI20" s="398"/>
      <c r="MJ20" s="398"/>
      <c r="MK20" s="398"/>
      <c r="ML20" s="398"/>
      <c r="MM20" s="398"/>
      <c r="MN20" s="398"/>
      <c r="MO20" s="398"/>
      <c r="MP20" s="398"/>
      <c r="MQ20" s="398"/>
      <c r="MR20" s="398"/>
      <c r="MS20" s="398"/>
    </row>
    <row r="21" ht="16.5" customHeight="1">
      <c r="A21" s="420" t="s">
        <v>1271</v>
      </c>
      <c r="B21" s="394" t="s">
        <v>692</v>
      </c>
      <c r="C21" s="394" t="s">
        <v>98</v>
      </c>
      <c r="D21" s="395">
        <f t="shared" si="1"/>
        <v>7</v>
      </c>
      <c r="E21" s="396" t="s">
        <v>1250</v>
      </c>
      <c r="F21" s="400">
        <f>IFERROR(__xludf.DUMMYFUNCTION("IF(A21="""","""", counta(filter(Filter(FILTER($H$4:$SH76,$H$1:$SH$1&lt;today()),$A$4:$A76=A21),not(istext(Filter(FILTER($H$4:$SH76,$H$1:$SH$1&lt;today()),$A$4:$A76=A21))),not(Filter(FILTER($H$4:$SH76,$H$1:$SH$1&lt;today()),$A$4:$A76=A21)=0),Filter(FILTER($H$4:$SH7"&amp;"6,$H$1:$SH$1&lt;today()),$A$4:$A76=A21)&lt;23)))"),96.0)</f>
        <v>96</v>
      </c>
      <c r="H21" s="394" t="s">
        <v>166</v>
      </c>
      <c r="I21" s="394" t="s">
        <v>166</v>
      </c>
      <c r="J21" s="394" t="s">
        <v>166</v>
      </c>
      <c r="K21" s="394" t="s">
        <v>166</v>
      </c>
      <c r="L21" s="394" t="s">
        <v>166</v>
      </c>
      <c r="M21" s="394" t="s">
        <v>166</v>
      </c>
      <c r="N21" s="394" t="s">
        <v>166</v>
      </c>
      <c r="O21" s="394" t="s">
        <v>166</v>
      </c>
      <c r="P21" s="394" t="s">
        <v>166</v>
      </c>
      <c r="Q21" s="394" t="s">
        <v>166</v>
      </c>
      <c r="R21" s="394" t="s">
        <v>166</v>
      </c>
      <c r="S21" s="394" t="s">
        <v>166</v>
      </c>
      <c r="T21" s="394" t="s">
        <v>166</v>
      </c>
      <c r="U21" s="394" t="s">
        <v>166</v>
      </c>
      <c r="V21" s="394" t="s">
        <v>166</v>
      </c>
      <c r="W21" s="394" t="s">
        <v>166</v>
      </c>
      <c r="X21" s="394" t="s">
        <v>166</v>
      </c>
      <c r="Y21" s="394" t="s">
        <v>166</v>
      </c>
      <c r="Z21" s="394" t="s">
        <v>166</v>
      </c>
      <c r="AA21" s="394" t="s">
        <v>166</v>
      </c>
      <c r="AB21" s="394" t="s">
        <v>166</v>
      </c>
      <c r="AC21" s="394" t="s">
        <v>166</v>
      </c>
      <c r="AD21" s="394" t="s">
        <v>166</v>
      </c>
      <c r="AE21" s="394" t="s">
        <v>166</v>
      </c>
      <c r="AF21" s="394" t="s">
        <v>166</v>
      </c>
      <c r="AG21" s="394" t="s">
        <v>166</v>
      </c>
      <c r="AH21" s="394" t="s">
        <v>166</v>
      </c>
      <c r="AI21" s="394" t="s">
        <v>166</v>
      </c>
      <c r="AJ21" s="394" t="s">
        <v>166</v>
      </c>
      <c r="AK21" s="394" t="s">
        <v>166</v>
      </c>
      <c r="AL21" s="394">
        <v>8.0</v>
      </c>
      <c r="AM21" s="405">
        <f t="shared" si="11"/>
        <v>8</v>
      </c>
      <c r="AO21" s="394">
        <v>8.0</v>
      </c>
      <c r="AP21" s="394">
        <v>8.0</v>
      </c>
      <c r="AQ21" s="394">
        <v>8.0</v>
      </c>
      <c r="AR21" s="394">
        <v>8.0</v>
      </c>
      <c r="AS21" s="394" t="s">
        <v>165</v>
      </c>
      <c r="AT21" s="394" t="s">
        <v>165</v>
      </c>
      <c r="AU21" s="394" t="s">
        <v>165</v>
      </c>
      <c r="AV21" s="394" t="s">
        <v>165</v>
      </c>
      <c r="AW21" s="394" t="s">
        <v>165</v>
      </c>
      <c r="AX21" s="394" t="s">
        <v>165</v>
      </c>
      <c r="AY21" s="394" t="s">
        <v>165</v>
      </c>
      <c r="AZ21" s="394">
        <v>8.0</v>
      </c>
      <c r="BA21" s="394">
        <v>8.0</v>
      </c>
      <c r="BB21" s="394" t="s">
        <v>165</v>
      </c>
      <c r="BC21" s="394" t="s">
        <v>165</v>
      </c>
      <c r="BD21" s="394" t="s">
        <v>165</v>
      </c>
      <c r="BE21" s="394" t="s">
        <v>165</v>
      </c>
      <c r="BF21" s="394" t="s">
        <v>165</v>
      </c>
      <c r="BG21" s="394" t="s">
        <v>165</v>
      </c>
      <c r="BH21" s="394" t="s">
        <v>165</v>
      </c>
      <c r="BI21" s="394" t="s">
        <v>165</v>
      </c>
      <c r="BJ21" s="394" t="s">
        <v>165</v>
      </c>
      <c r="BK21" s="394" t="s">
        <v>165</v>
      </c>
      <c r="BL21" s="394" t="s">
        <v>165</v>
      </c>
      <c r="BM21" s="394" t="s">
        <v>165</v>
      </c>
      <c r="BN21" s="394">
        <v>8.0</v>
      </c>
      <c r="BO21" s="394">
        <v>8.0</v>
      </c>
      <c r="BP21" s="394" t="s">
        <v>165</v>
      </c>
      <c r="BQ21" s="394" t="s">
        <v>165</v>
      </c>
      <c r="BR21" s="394" t="s">
        <v>165</v>
      </c>
      <c r="BS21" s="406">
        <f t="shared" si="6"/>
        <v>64</v>
      </c>
      <c r="BU21" s="394" t="s">
        <v>165</v>
      </c>
      <c r="BV21" s="394" t="s">
        <v>165</v>
      </c>
      <c r="BW21" s="394">
        <v>8.0</v>
      </c>
      <c r="BX21" s="394">
        <v>8.0</v>
      </c>
      <c r="BY21" s="394" t="s">
        <v>165</v>
      </c>
      <c r="BZ21" s="394" t="s">
        <v>165</v>
      </c>
      <c r="CA21" s="394" t="s">
        <v>165</v>
      </c>
      <c r="CB21" s="394" t="s">
        <v>165</v>
      </c>
      <c r="CC21" s="394" t="s">
        <v>165</v>
      </c>
      <c r="CD21" s="394">
        <v>8.0</v>
      </c>
      <c r="CE21" s="394">
        <v>8.0</v>
      </c>
      <c r="CF21" s="394" t="s">
        <v>165</v>
      </c>
      <c r="CG21" s="394" t="s">
        <v>165</v>
      </c>
      <c r="CH21" s="394" t="s">
        <v>165</v>
      </c>
      <c r="CI21" s="394" t="s">
        <v>165</v>
      </c>
      <c r="CJ21" s="394" t="s">
        <v>165</v>
      </c>
      <c r="CK21" s="394">
        <v>8.0</v>
      </c>
      <c r="CL21" s="394">
        <v>8.0</v>
      </c>
      <c r="CM21" s="394" t="s">
        <v>165</v>
      </c>
      <c r="CN21" s="394">
        <v>8.0</v>
      </c>
      <c r="CO21" s="394" t="s">
        <v>165</v>
      </c>
      <c r="CP21" s="394" t="s">
        <v>165</v>
      </c>
      <c r="CQ21" s="394" t="s">
        <v>165</v>
      </c>
      <c r="CR21" s="394" t="s">
        <v>165</v>
      </c>
      <c r="CS21" s="394">
        <v>8.0</v>
      </c>
      <c r="CT21" s="394" t="s">
        <v>165</v>
      </c>
      <c r="CU21" s="394" t="s">
        <v>165</v>
      </c>
      <c r="CV21" s="394" t="s">
        <v>165</v>
      </c>
      <c r="CW21" s="394" t="s">
        <v>165</v>
      </c>
      <c r="CX21" s="394" t="s">
        <v>165</v>
      </c>
      <c r="CY21" s="394">
        <v>8.0</v>
      </c>
      <c r="CZ21" s="400">
        <f t="shared" si="7"/>
        <v>72</v>
      </c>
      <c r="DB21" s="394">
        <v>8.0</v>
      </c>
      <c r="DC21" s="394" t="s">
        <v>165</v>
      </c>
      <c r="DD21" s="394" t="s">
        <v>165</v>
      </c>
      <c r="DE21" s="394" t="s">
        <v>165</v>
      </c>
      <c r="DF21" s="394" t="s">
        <v>165</v>
      </c>
      <c r="DG21" s="394" t="s">
        <v>165</v>
      </c>
      <c r="DH21" s="394">
        <v>8.0</v>
      </c>
      <c r="DI21" s="394">
        <v>8.0</v>
      </c>
      <c r="DJ21" s="394" t="s">
        <v>165</v>
      </c>
      <c r="DK21" s="394" t="s">
        <v>165</v>
      </c>
      <c r="DL21" s="394" t="s">
        <v>165</v>
      </c>
      <c r="DM21" s="394" t="s">
        <v>165</v>
      </c>
      <c r="DN21" s="394" t="s">
        <v>165</v>
      </c>
      <c r="DO21" s="394">
        <v>8.0</v>
      </c>
      <c r="DP21" s="394">
        <v>8.0</v>
      </c>
      <c r="DQ21" s="394" t="s">
        <v>165</v>
      </c>
      <c r="DR21" s="394" t="s">
        <v>165</v>
      </c>
      <c r="DS21" s="394" t="s">
        <v>165</v>
      </c>
      <c r="DT21" s="394" t="s">
        <v>165</v>
      </c>
      <c r="DU21" s="394" t="s">
        <v>165</v>
      </c>
      <c r="DV21" s="394">
        <v>8.0</v>
      </c>
      <c r="DW21" s="394">
        <v>8.0</v>
      </c>
      <c r="DX21" s="394" t="s">
        <v>165</v>
      </c>
      <c r="DY21" s="394" t="s">
        <v>165</v>
      </c>
      <c r="DZ21" s="394" t="s">
        <v>165</v>
      </c>
      <c r="EA21" s="394" t="s">
        <v>165</v>
      </c>
      <c r="EB21" s="394" t="s">
        <v>165</v>
      </c>
      <c r="EC21" s="394">
        <v>8.0</v>
      </c>
      <c r="ED21" s="394">
        <v>8.0</v>
      </c>
      <c r="EE21" s="394" t="s">
        <v>165</v>
      </c>
      <c r="EF21" s="394" t="s">
        <v>165</v>
      </c>
      <c r="EG21" s="407">
        <f t="shared" si="8"/>
        <v>72</v>
      </c>
      <c r="EI21" s="394" t="s">
        <v>165</v>
      </c>
      <c r="EJ21" s="394" t="s">
        <v>165</v>
      </c>
      <c r="EK21" s="394" t="s">
        <v>165</v>
      </c>
      <c r="EL21" s="394">
        <v>8.0</v>
      </c>
      <c r="EM21" s="394">
        <v>8.0</v>
      </c>
      <c r="EN21" s="394" t="s">
        <v>165</v>
      </c>
      <c r="EO21" s="394" t="s">
        <v>165</v>
      </c>
      <c r="EP21" s="394" t="s">
        <v>165</v>
      </c>
      <c r="EQ21" s="394" t="s">
        <v>165</v>
      </c>
      <c r="ER21" s="394" t="s">
        <v>165</v>
      </c>
      <c r="ES21" s="394">
        <v>8.0</v>
      </c>
      <c r="ET21" s="394">
        <v>8.0</v>
      </c>
      <c r="EU21" s="394" t="s">
        <v>165</v>
      </c>
      <c r="EV21" s="394" t="s">
        <v>165</v>
      </c>
      <c r="EW21" s="394" t="s">
        <v>165</v>
      </c>
      <c r="EX21" s="394" t="s">
        <v>165</v>
      </c>
      <c r="EY21" s="394" t="s">
        <v>165</v>
      </c>
      <c r="EZ21" s="394">
        <v>8.0</v>
      </c>
      <c r="FA21" s="394">
        <v>8.0</v>
      </c>
      <c r="FB21" s="394" t="s">
        <v>165</v>
      </c>
      <c r="FC21" s="394" t="s">
        <v>165</v>
      </c>
      <c r="FD21" s="394" t="s">
        <v>165</v>
      </c>
      <c r="FE21" s="394" t="s">
        <v>165</v>
      </c>
      <c r="FF21" s="394" t="s">
        <v>165</v>
      </c>
      <c r="FG21" s="394">
        <v>8.0</v>
      </c>
      <c r="FH21" s="394">
        <v>8.0</v>
      </c>
      <c r="FI21" s="394" t="s">
        <v>165</v>
      </c>
      <c r="FJ21" s="394" t="s">
        <v>165</v>
      </c>
      <c r="FK21" s="394" t="s">
        <v>165</v>
      </c>
      <c r="FL21" s="394" t="s">
        <v>165</v>
      </c>
      <c r="FM21" s="407">
        <f t="shared" si="9"/>
        <v>64</v>
      </c>
      <c r="FO21" s="394" t="s">
        <v>165</v>
      </c>
      <c r="FP21" s="394">
        <v>8.0</v>
      </c>
      <c r="FQ21" s="394">
        <v>8.0</v>
      </c>
      <c r="FR21" s="394" t="s">
        <v>165</v>
      </c>
      <c r="FS21" s="394" t="s">
        <v>165</v>
      </c>
      <c r="FT21" s="394" t="s">
        <v>165</v>
      </c>
      <c r="FU21" s="394" t="s">
        <v>165</v>
      </c>
      <c r="FV21" s="394" t="s">
        <v>165</v>
      </c>
      <c r="FW21" s="394" t="s">
        <v>165</v>
      </c>
      <c r="FX21" s="394" t="s">
        <v>165</v>
      </c>
      <c r="FY21" s="394">
        <v>8.0</v>
      </c>
      <c r="FZ21" s="394">
        <v>8.0</v>
      </c>
      <c r="GA21" s="394">
        <v>8.0</v>
      </c>
      <c r="GB21" s="394">
        <v>8.0</v>
      </c>
      <c r="GC21" s="394">
        <v>8.0</v>
      </c>
      <c r="GD21" s="394" t="s">
        <v>165</v>
      </c>
      <c r="GE21" s="394" t="s">
        <v>165</v>
      </c>
      <c r="GF21" s="394">
        <v>8.0</v>
      </c>
      <c r="GG21" s="394">
        <v>8.0</v>
      </c>
      <c r="GH21" s="394">
        <v>8.0</v>
      </c>
      <c r="GI21" s="394">
        <v>8.0</v>
      </c>
      <c r="GJ21" s="394">
        <v>8.0</v>
      </c>
      <c r="GK21" s="394" t="s">
        <v>165</v>
      </c>
      <c r="GL21" s="394" t="s">
        <v>165</v>
      </c>
      <c r="GM21" s="394">
        <v>8.0</v>
      </c>
      <c r="GN21" s="394">
        <v>8.0</v>
      </c>
      <c r="GO21" s="394">
        <v>8.0</v>
      </c>
      <c r="GP21" s="394">
        <v>8.0</v>
      </c>
      <c r="GQ21" s="394">
        <v>8.0</v>
      </c>
      <c r="GR21" s="394" t="s">
        <v>165</v>
      </c>
      <c r="GS21" s="394" t="s">
        <v>165</v>
      </c>
      <c r="GT21" s="400">
        <f t="shared" si="10"/>
        <v>136</v>
      </c>
      <c r="GV21" s="394" t="s">
        <v>245</v>
      </c>
      <c r="GW21" s="394" t="s">
        <v>171</v>
      </c>
      <c r="GX21" s="394">
        <v>8.0</v>
      </c>
      <c r="GY21" s="394">
        <v>8.0</v>
      </c>
      <c r="GZ21" s="394">
        <v>8.0</v>
      </c>
      <c r="HA21" s="394" t="s">
        <v>165</v>
      </c>
      <c r="HB21" s="394" t="s">
        <v>165</v>
      </c>
      <c r="HC21" s="394">
        <v>8.0</v>
      </c>
      <c r="HD21" s="394">
        <v>8.0</v>
      </c>
      <c r="HE21" s="394">
        <v>8.0</v>
      </c>
      <c r="HF21" s="394">
        <v>8.0</v>
      </c>
      <c r="HG21" s="394">
        <v>8.0</v>
      </c>
      <c r="HH21" s="394" t="s">
        <v>165</v>
      </c>
      <c r="HI21" s="394" t="s">
        <v>165</v>
      </c>
      <c r="HJ21" s="394" t="s">
        <v>171</v>
      </c>
      <c r="HK21" s="394">
        <v>8.0</v>
      </c>
      <c r="HL21" s="394">
        <v>8.0</v>
      </c>
      <c r="HM21" s="394">
        <v>8.0</v>
      </c>
      <c r="HN21" s="394">
        <v>8.0</v>
      </c>
      <c r="HO21" s="394" t="s">
        <v>165</v>
      </c>
      <c r="HP21" s="394" t="s">
        <v>165</v>
      </c>
      <c r="HQ21" s="394">
        <v>8.0</v>
      </c>
      <c r="HR21" s="394">
        <v>8.0</v>
      </c>
      <c r="HS21" s="394">
        <v>8.0</v>
      </c>
      <c r="HT21" s="394">
        <v>8.0</v>
      </c>
      <c r="HU21" s="394">
        <v>8.0</v>
      </c>
      <c r="HV21" s="394" t="s">
        <v>165</v>
      </c>
      <c r="HW21" s="394" t="s">
        <v>165</v>
      </c>
      <c r="HX21" s="394">
        <v>8.0</v>
      </c>
      <c r="HY21" s="394">
        <v>8.0</v>
      </c>
      <c r="HZ21" s="400">
        <f t="shared" si="2"/>
        <v>152</v>
      </c>
      <c r="IB21" s="394">
        <v>8.0</v>
      </c>
      <c r="IC21" s="394">
        <v>8.0</v>
      </c>
      <c r="ID21" s="394">
        <v>8.0</v>
      </c>
      <c r="IE21" s="394" t="s">
        <v>165</v>
      </c>
      <c r="IF21" s="394" t="s">
        <v>165</v>
      </c>
      <c r="IG21" s="394">
        <v>8.0</v>
      </c>
      <c r="IH21" s="394">
        <v>8.0</v>
      </c>
      <c r="II21" s="394">
        <v>8.0</v>
      </c>
      <c r="IJ21" s="394">
        <v>8.0</v>
      </c>
      <c r="IK21" s="394">
        <v>8.0</v>
      </c>
      <c r="IL21" s="394" t="s">
        <v>165</v>
      </c>
      <c r="IM21" s="394" t="s">
        <v>165</v>
      </c>
      <c r="IN21" s="394">
        <v>8.0</v>
      </c>
      <c r="IO21" s="394">
        <v>8.0</v>
      </c>
      <c r="IP21" s="394">
        <v>8.0</v>
      </c>
      <c r="IQ21" s="394">
        <v>8.0</v>
      </c>
      <c r="IR21" s="394">
        <v>8.0</v>
      </c>
      <c r="IS21" s="394" t="s">
        <v>165</v>
      </c>
      <c r="IT21" s="394" t="s">
        <v>165</v>
      </c>
      <c r="IU21" s="394">
        <v>8.0</v>
      </c>
      <c r="IV21" s="394">
        <v>8.0</v>
      </c>
      <c r="IW21" s="394">
        <v>8.0</v>
      </c>
      <c r="IX21" s="394">
        <v>8.0</v>
      </c>
      <c r="IY21" s="394">
        <v>8.0</v>
      </c>
      <c r="IZ21" s="394" t="s">
        <v>165</v>
      </c>
      <c r="JA21" s="394" t="s">
        <v>165</v>
      </c>
      <c r="JB21" s="394">
        <v>8.0</v>
      </c>
      <c r="JC21" s="394">
        <v>8.0</v>
      </c>
      <c r="JD21" s="394">
        <v>8.0</v>
      </c>
      <c r="JE21" s="394">
        <v>8.0</v>
      </c>
      <c r="JF21" s="394">
        <v>8.0</v>
      </c>
      <c r="JG21" s="400">
        <f t="shared" si="3"/>
        <v>184</v>
      </c>
      <c r="JI21" s="394" t="s">
        <v>165</v>
      </c>
      <c r="JJ21" s="394" t="s">
        <v>165</v>
      </c>
      <c r="JK21" s="394">
        <v>8.0</v>
      </c>
      <c r="JL21" s="394">
        <v>8.0</v>
      </c>
      <c r="JM21" s="394">
        <v>8.0</v>
      </c>
      <c r="JN21" s="394">
        <v>8.0</v>
      </c>
      <c r="JO21" s="394">
        <v>8.0</v>
      </c>
      <c r="JP21" s="394" t="s">
        <v>165</v>
      </c>
      <c r="JQ21" s="394" t="s">
        <v>165</v>
      </c>
      <c r="JR21" s="394">
        <v>8.0</v>
      </c>
      <c r="JS21" s="394">
        <v>8.0</v>
      </c>
      <c r="JT21" s="394">
        <v>8.0</v>
      </c>
      <c r="JU21" s="394">
        <v>8.0</v>
      </c>
      <c r="JV21" s="394">
        <v>8.0</v>
      </c>
      <c r="JW21" s="394" t="s">
        <v>165</v>
      </c>
      <c r="JX21" s="394" t="s">
        <v>165</v>
      </c>
      <c r="JY21" s="394">
        <v>8.0</v>
      </c>
      <c r="JZ21" s="394">
        <v>8.0</v>
      </c>
      <c r="KA21" s="394">
        <v>8.0</v>
      </c>
      <c r="KB21" s="394">
        <v>8.0</v>
      </c>
      <c r="KC21" s="394">
        <v>8.0</v>
      </c>
      <c r="KD21" s="394" t="s">
        <v>165</v>
      </c>
      <c r="KE21" s="394" t="s">
        <v>165</v>
      </c>
      <c r="KF21" s="394">
        <v>8.0</v>
      </c>
      <c r="KG21" s="394">
        <v>8.0</v>
      </c>
      <c r="KH21" s="394">
        <v>8.0</v>
      </c>
      <c r="KI21" s="394">
        <v>8.0</v>
      </c>
      <c r="KJ21" s="394">
        <v>8.0</v>
      </c>
      <c r="KK21" s="394" t="s">
        <v>165</v>
      </c>
      <c r="KL21" s="394" t="s">
        <v>165</v>
      </c>
      <c r="KM21" s="394">
        <v>8.0</v>
      </c>
      <c r="KN21" s="145">
        <f t="shared" si="4"/>
        <v>168</v>
      </c>
      <c r="KP21" s="398"/>
      <c r="KQ21" s="398"/>
      <c r="KR21" s="398"/>
      <c r="KS21" s="398"/>
      <c r="KT21" s="398"/>
      <c r="KU21" s="398"/>
      <c r="KV21" s="398"/>
      <c r="KW21" s="398"/>
      <c r="KX21" s="398"/>
      <c r="KY21" s="398"/>
      <c r="KZ21" s="398"/>
      <c r="LA21" s="398"/>
      <c r="LB21" s="398"/>
      <c r="LC21" s="398"/>
      <c r="LD21" s="398"/>
      <c r="LE21" s="398"/>
      <c r="LF21" s="398"/>
      <c r="LG21" s="398"/>
      <c r="LH21" s="398"/>
      <c r="LI21" s="398"/>
      <c r="LJ21" s="398"/>
      <c r="LK21" s="398"/>
      <c r="LL21" s="398"/>
      <c r="LM21" s="398"/>
      <c r="LN21" s="398"/>
      <c r="LO21" s="398"/>
      <c r="LP21" s="398"/>
      <c r="LQ21" s="398"/>
      <c r="LR21" s="398"/>
      <c r="LT21" s="398"/>
      <c r="LU21" s="398"/>
      <c r="LV21" s="398"/>
      <c r="LW21" s="398"/>
      <c r="LX21" s="398"/>
      <c r="LY21" s="398"/>
      <c r="LZ21" s="398"/>
      <c r="MA21" s="398"/>
      <c r="MB21" s="398"/>
      <c r="MC21" s="398"/>
      <c r="MD21" s="398"/>
      <c r="ME21" s="398"/>
      <c r="MF21" s="398"/>
      <c r="MG21" s="398"/>
      <c r="MH21" s="398"/>
      <c r="MI21" s="398"/>
      <c r="MJ21" s="398"/>
      <c r="MK21" s="398"/>
      <c r="ML21" s="398"/>
      <c r="MM21" s="398"/>
      <c r="MN21" s="398"/>
      <c r="MO21" s="398"/>
      <c r="MP21" s="398"/>
      <c r="MQ21" s="398"/>
      <c r="MR21" s="398"/>
      <c r="MS21" s="398"/>
    </row>
    <row r="22" ht="16.5" hidden="1" customHeight="1">
      <c r="A22" s="432" t="s">
        <v>335</v>
      </c>
      <c r="B22" s="418" t="s">
        <v>88</v>
      </c>
      <c r="C22" s="433" t="s">
        <v>98</v>
      </c>
      <c r="D22" s="413">
        <f t="shared" si="1"/>
        <v>3</v>
      </c>
      <c r="E22" s="414" t="s">
        <v>1250</v>
      </c>
      <c r="F22" s="415">
        <f>IFERROR(__xludf.DUMMYFUNCTION("IF(A22="""","""", counta(filter(Filter(FILTER($H$4:$SH76,$H$1:$SH$1&lt;today()),$A$4:$A76=A22),not(istext(Filter(FILTER($H$4:$SH76,$H$1:$SH$1&lt;today()),$A$4:$A76=A22))),not(Filter(FILTER($H$4:$SH76,$H$1:$SH$1&lt;today()),$A$4:$A76=A22)=0),Filter(FILTER($H$4:$SH7"&amp;"6,$H$1:$SH$1&lt;today()),$A$4:$A76=A22)&lt;23)))"),96.0)</f>
        <v>96</v>
      </c>
      <c r="H22" s="434"/>
      <c r="I22" s="434"/>
      <c r="J22" s="434"/>
      <c r="K22" s="434"/>
      <c r="L22" s="434"/>
      <c r="M22" s="434"/>
      <c r="N22" s="434"/>
      <c r="O22" s="434"/>
      <c r="P22" s="434"/>
      <c r="Q22" s="434"/>
      <c r="R22" s="434"/>
      <c r="S22" s="434"/>
      <c r="T22" s="434"/>
      <c r="U22" s="434"/>
      <c r="V22" s="434"/>
      <c r="W22" s="434"/>
      <c r="X22" s="434"/>
      <c r="Y22" s="434"/>
      <c r="Z22" s="434"/>
      <c r="AA22" s="434"/>
      <c r="AB22" s="434"/>
      <c r="AC22" s="434"/>
      <c r="AD22" s="434"/>
      <c r="AE22" s="434"/>
      <c r="AF22" s="434"/>
      <c r="AG22" s="434"/>
      <c r="AH22" s="434"/>
      <c r="AI22" s="434"/>
      <c r="AJ22" s="434"/>
      <c r="AK22" s="434"/>
      <c r="AL22" s="434"/>
      <c r="AM22" s="416"/>
      <c r="AO22" s="412" t="s">
        <v>166</v>
      </c>
      <c r="AP22" s="412" t="s">
        <v>166</v>
      </c>
      <c r="AQ22" s="412" t="s">
        <v>166</v>
      </c>
      <c r="AR22" s="412" t="s">
        <v>166</v>
      </c>
      <c r="AS22" s="412" t="s">
        <v>166</v>
      </c>
      <c r="AT22" s="412" t="s">
        <v>166</v>
      </c>
      <c r="AU22" s="412" t="s">
        <v>166</v>
      </c>
      <c r="AV22" s="412" t="s">
        <v>166</v>
      </c>
      <c r="AW22" s="412" t="s">
        <v>166</v>
      </c>
      <c r="AX22" s="412" t="s">
        <v>166</v>
      </c>
      <c r="AY22" s="412" t="s">
        <v>166</v>
      </c>
      <c r="AZ22" s="412" t="s">
        <v>166</v>
      </c>
      <c r="BA22" s="412" t="s">
        <v>166</v>
      </c>
      <c r="BB22" s="412" t="s">
        <v>166</v>
      </c>
      <c r="BC22" s="412" t="s">
        <v>166</v>
      </c>
      <c r="BD22" s="412">
        <v>8.0</v>
      </c>
      <c r="BE22" s="412">
        <v>8.0</v>
      </c>
      <c r="BF22" s="412">
        <v>8.0</v>
      </c>
      <c r="BG22" s="412" t="s">
        <v>165</v>
      </c>
      <c r="BH22" s="412" t="s">
        <v>165</v>
      </c>
      <c r="BI22" s="412">
        <v>8.0</v>
      </c>
      <c r="BJ22" s="412">
        <v>8.0</v>
      </c>
      <c r="BK22" s="412">
        <v>8.0</v>
      </c>
      <c r="BL22" s="412">
        <v>8.0</v>
      </c>
      <c r="BM22" s="412">
        <v>8.0</v>
      </c>
      <c r="BN22" s="412" t="s">
        <v>165</v>
      </c>
      <c r="BO22" s="412" t="s">
        <v>165</v>
      </c>
      <c r="BP22" s="412">
        <v>8.0</v>
      </c>
      <c r="BQ22" s="412">
        <v>8.0</v>
      </c>
      <c r="BR22" s="412" t="s">
        <v>245</v>
      </c>
      <c r="BS22" s="417">
        <f t="shared" si="6"/>
        <v>80</v>
      </c>
      <c r="BU22" s="412">
        <v>8.0</v>
      </c>
      <c r="BV22" s="412">
        <v>8.0</v>
      </c>
      <c r="BW22" s="412" t="s">
        <v>165</v>
      </c>
      <c r="BX22" s="412" t="s">
        <v>165</v>
      </c>
      <c r="BY22" s="412">
        <v>8.0</v>
      </c>
      <c r="BZ22" s="412">
        <v>9.0</v>
      </c>
      <c r="CA22" s="412">
        <v>9.0</v>
      </c>
      <c r="CB22" s="412">
        <v>8.0</v>
      </c>
      <c r="CC22" s="412" t="s">
        <v>171</v>
      </c>
      <c r="CD22" s="412" t="s">
        <v>165</v>
      </c>
      <c r="CE22" s="412" t="s">
        <v>165</v>
      </c>
      <c r="CF22" s="412">
        <v>9.0</v>
      </c>
      <c r="CG22" s="412">
        <v>8.5</v>
      </c>
      <c r="CH22" s="412">
        <v>9.5</v>
      </c>
      <c r="CI22" s="412">
        <v>9.0</v>
      </c>
      <c r="CJ22" s="412">
        <v>9.0</v>
      </c>
      <c r="CK22" s="412" t="s">
        <v>165</v>
      </c>
      <c r="CL22" s="412" t="s">
        <v>165</v>
      </c>
      <c r="CM22" s="412">
        <v>8.0</v>
      </c>
      <c r="CN22" s="412">
        <v>8.0</v>
      </c>
      <c r="CO22" s="412">
        <v>8.0</v>
      </c>
      <c r="CP22" s="412">
        <v>8.0</v>
      </c>
      <c r="CQ22" s="412">
        <v>8.0</v>
      </c>
      <c r="CR22" s="412" t="s">
        <v>165</v>
      </c>
      <c r="CS22" s="412" t="s">
        <v>165</v>
      </c>
      <c r="CT22" s="412">
        <v>2.0</v>
      </c>
      <c r="CU22" s="412">
        <v>8.0</v>
      </c>
      <c r="CV22" s="412">
        <v>8.0</v>
      </c>
      <c r="CW22" s="412">
        <v>8.0</v>
      </c>
      <c r="CX22" s="412">
        <v>8.0</v>
      </c>
      <c r="CY22" s="412" t="s">
        <v>165</v>
      </c>
      <c r="CZ22" s="415">
        <f t="shared" si="7"/>
        <v>169</v>
      </c>
      <c r="DB22" s="412" t="s">
        <v>165</v>
      </c>
      <c r="DC22" s="412">
        <v>8.0</v>
      </c>
      <c r="DD22" s="412">
        <v>8.0</v>
      </c>
      <c r="DE22" s="412">
        <v>8.0</v>
      </c>
      <c r="DF22" s="412">
        <v>8.0</v>
      </c>
      <c r="DG22" s="412">
        <v>8.0</v>
      </c>
      <c r="DH22" s="412" t="s">
        <v>165</v>
      </c>
      <c r="DI22" s="412" t="s">
        <v>165</v>
      </c>
      <c r="DJ22" s="412">
        <v>8.0</v>
      </c>
      <c r="DK22" s="412">
        <v>8.0</v>
      </c>
      <c r="DL22" s="412">
        <v>8.0</v>
      </c>
      <c r="DM22" s="412">
        <v>8.0</v>
      </c>
      <c r="DN22" s="412">
        <v>8.0</v>
      </c>
      <c r="DO22" s="412" t="s">
        <v>165</v>
      </c>
      <c r="DP22" s="412" t="s">
        <v>165</v>
      </c>
      <c r="DQ22" s="412">
        <v>8.0</v>
      </c>
      <c r="DR22" s="412">
        <v>8.0</v>
      </c>
      <c r="DS22" s="412">
        <v>8.0</v>
      </c>
      <c r="DT22" s="412">
        <v>8.0</v>
      </c>
      <c r="DU22" s="412">
        <v>8.0</v>
      </c>
      <c r="DV22" s="412" t="s">
        <v>165</v>
      </c>
      <c r="DW22" s="412" t="s">
        <v>165</v>
      </c>
      <c r="DX22" s="412">
        <v>8.0</v>
      </c>
      <c r="DY22" s="412">
        <v>8.0</v>
      </c>
      <c r="DZ22" s="412">
        <v>8.0</v>
      </c>
      <c r="EA22" s="412">
        <v>8.0</v>
      </c>
      <c r="EB22" s="412">
        <v>8.0</v>
      </c>
      <c r="EC22" s="412" t="s">
        <v>165</v>
      </c>
      <c r="ED22" s="412" t="s">
        <v>165</v>
      </c>
      <c r="EE22" s="412">
        <v>8.0</v>
      </c>
      <c r="EF22" s="412">
        <v>8.0</v>
      </c>
      <c r="EG22" s="418">
        <f t="shared" si="8"/>
        <v>176</v>
      </c>
      <c r="EI22" s="412">
        <v>8.0</v>
      </c>
      <c r="EJ22" s="412">
        <v>8.0</v>
      </c>
      <c r="EK22" s="412">
        <v>8.0</v>
      </c>
      <c r="EL22" s="412" t="s">
        <v>165</v>
      </c>
      <c r="EM22" s="412" t="s">
        <v>165</v>
      </c>
      <c r="EN22" s="412">
        <v>8.0</v>
      </c>
      <c r="EO22" s="412" t="s">
        <v>171</v>
      </c>
      <c r="EP22" s="412">
        <v>8.0</v>
      </c>
      <c r="EQ22" s="412">
        <v>8.0</v>
      </c>
      <c r="ER22" s="412">
        <v>8.0</v>
      </c>
      <c r="ES22" s="412" t="s">
        <v>165</v>
      </c>
      <c r="ET22" s="412" t="s">
        <v>165</v>
      </c>
      <c r="EU22" s="412">
        <v>8.0</v>
      </c>
      <c r="EV22" s="412">
        <v>8.0</v>
      </c>
      <c r="EW22" s="412">
        <v>8.0</v>
      </c>
      <c r="EX22" s="412">
        <v>8.0</v>
      </c>
      <c r="EY22" s="412">
        <v>8.0</v>
      </c>
      <c r="EZ22" s="412" t="s">
        <v>165</v>
      </c>
      <c r="FA22" s="412" t="s">
        <v>165</v>
      </c>
      <c r="FB22" s="412">
        <v>8.0</v>
      </c>
      <c r="FC22" s="412">
        <v>8.0</v>
      </c>
      <c r="FD22" s="412">
        <v>8.0</v>
      </c>
      <c r="FE22" s="412">
        <v>8.0</v>
      </c>
      <c r="FF22" s="412">
        <v>8.0</v>
      </c>
      <c r="FG22" s="412" t="s">
        <v>165</v>
      </c>
      <c r="FH22" s="412" t="s">
        <v>165</v>
      </c>
      <c r="FI22" s="412">
        <v>8.0</v>
      </c>
      <c r="FJ22" s="412">
        <v>8.0</v>
      </c>
      <c r="FK22" s="412">
        <v>8.0</v>
      </c>
      <c r="FL22" s="412">
        <v>8.0</v>
      </c>
      <c r="FM22" s="418">
        <f t="shared" si="9"/>
        <v>168</v>
      </c>
      <c r="FO22" s="412">
        <v>8.0</v>
      </c>
      <c r="FP22" s="412" t="s">
        <v>165</v>
      </c>
      <c r="FQ22" s="412" t="s">
        <v>165</v>
      </c>
      <c r="FR22" s="412">
        <v>8.0</v>
      </c>
      <c r="FS22" s="412">
        <v>8.0</v>
      </c>
      <c r="FT22" s="412">
        <v>8.0</v>
      </c>
      <c r="FU22" s="412">
        <v>8.0</v>
      </c>
      <c r="FV22" s="412">
        <v>8.0</v>
      </c>
      <c r="FW22" s="412" t="s">
        <v>165</v>
      </c>
      <c r="FX22" s="412" t="s">
        <v>165</v>
      </c>
      <c r="FY22" s="412">
        <v>8.0</v>
      </c>
      <c r="FZ22" s="412" t="s">
        <v>171</v>
      </c>
      <c r="GA22" s="412">
        <v>8.0</v>
      </c>
      <c r="GB22" s="412">
        <v>8.0</v>
      </c>
      <c r="GC22" s="412">
        <v>8.0</v>
      </c>
      <c r="GD22" s="412" t="s">
        <v>165</v>
      </c>
      <c r="GE22" s="412" t="s">
        <v>165</v>
      </c>
      <c r="GF22" s="412">
        <v>8.0</v>
      </c>
      <c r="GG22" s="412">
        <v>8.0</v>
      </c>
      <c r="GH22" s="412">
        <v>8.0</v>
      </c>
      <c r="GI22" s="412">
        <v>8.0</v>
      </c>
      <c r="GJ22" s="412">
        <v>8.0</v>
      </c>
      <c r="GK22" s="412" t="s">
        <v>165</v>
      </c>
      <c r="GL22" s="412" t="s">
        <v>165</v>
      </c>
      <c r="GM22" s="412">
        <v>8.0</v>
      </c>
      <c r="GN22" s="412">
        <v>8.0</v>
      </c>
      <c r="GO22" s="412">
        <v>8.0</v>
      </c>
      <c r="GP22" s="412">
        <v>8.0</v>
      </c>
      <c r="GQ22" s="412">
        <v>8.0</v>
      </c>
      <c r="GR22" s="412" t="s">
        <v>165</v>
      </c>
      <c r="GS22" s="412" t="s">
        <v>165</v>
      </c>
      <c r="GT22" s="415">
        <f t="shared" si="10"/>
        <v>160</v>
      </c>
      <c r="GV22" s="412" t="s">
        <v>245</v>
      </c>
      <c r="GW22" s="412" t="s">
        <v>171</v>
      </c>
      <c r="GX22" s="412">
        <v>8.0</v>
      </c>
      <c r="GY22" s="412"/>
      <c r="GZ22" s="412"/>
      <c r="HA22" s="412"/>
      <c r="HB22" s="412"/>
      <c r="HC22" s="412"/>
      <c r="HD22" s="412"/>
      <c r="HE22" s="412"/>
      <c r="HF22" s="412"/>
      <c r="HG22" s="412"/>
      <c r="HH22" s="412"/>
      <c r="HI22" s="412"/>
      <c r="HJ22" s="412"/>
      <c r="HK22" s="412"/>
      <c r="HL22" s="412"/>
      <c r="HM22" s="412"/>
      <c r="HN22" s="412"/>
      <c r="HO22" s="412"/>
      <c r="HP22" s="412"/>
      <c r="HQ22" s="412"/>
      <c r="HR22" s="412"/>
      <c r="HS22" s="412"/>
      <c r="HT22" s="412"/>
      <c r="HU22" s="412"/>
      <c r="HV22" s="412"/>
      <c r="HW22" s="412"/>
      <c r="HX22" s="412"/>
      <c r="HY22" s="412"/>
      <c r="HZ22" s="415">
        <f t="shared" si="2"/>
        <v>8</v>
      </c>
      <c r="IB22" s="412"/>
      <c r="IC22" s="412"/>
      <c r="ID22" s="412"/>
      <c r="IE22" s="412"/>
      <c r="IF22" s="412"/>
      <c r="IG22" s="412"/>
      <c r="IH22" s="412"/>
      <c r="II22" s="412"/>
      <c r="IJ22" s="412"/>
      <c r="IK22" s="412"/>
      <c r="IL22" s="412"/>
      <c r="IM22" s="412"/>
      <c r="IN22" s="412"/>
      <c r="IO22" s="412"/>
      <c r="IP22" s="412"/>
      <c r="IQ22" s="412"/>
      <c r="IR22" s="412"/>
      <c r="IS22" s="412"/>
      <c r="IT22" s="412"/>
      <c r="IU22" s="412"/>
      <c r="IV22" s="412"/>
      <c r="IW22" s="412"/>
      <c r="IX22" s="412"/>
      <c r="IY22" s="412"/>
      <c r="IZ22" s="412"/>
      <c r="JA22" s="412"/>
      <c r="JB22" s="412"/>
      <c r="JC22" s="412"/>
      <c r="JD22" s="412"/>
      <c r="JE22" s="412"/>
      <c r="JF22" s="412"/>
      <c r="JG22" s="415">
        <f t="shared" si="3"/>
        <v>0</v>
      </c>
      <c r="JI22" s="412"/>
      <c r="JJ22" s="412"/>
      <c r="JK22" s="412"/>
      <c r="JL22" s="412"/>
      <c r="JM22" s="412"/>
      <c r="JN22" s="412"/>
      <c r="JO22" s="412"/>
      <c r="JP22" s="412"/>
      <c r="JQ22" s="412"/>
      <c r="JR22" s="412"/>
      <c r="JS22" s="412"/>
      <c r="JT22" s="412"/>
      <c r="JU22" s="412"/>
      <c r="JV22" s="412"/>
      <c r="JW22" s="412"/>
      <c r="JX22" s="412"/>
      <c r="JY22" s="412"/>
      <c r="JZ22" s="412"/>
      <c r="KA22" s="412"/>
      <c r="KB22" s="412"/>
      <c r="KC22" s="412"/>
      <c r="KD22" s="412"/>
      <c r="KE22" s="412"/>
      <c r="KF22" s="412"/>
      <c r="KG22" s="412"/>
      <c r="KH22" s="412"/>
      <c r="KI22" s="412"/>
      <c r="KJ22" s="412"/>
      <c r="KK22" s="412"/>
      <c r="KL22" s="412"/>
      <c r="KM22" s="412"/>
      <c r="KN22" s="145">
        <f t="shared" si="4"/>
        <v>0</v>
      </c>
      <c r="KP22" s="398"/>
      <c r="KQ22" s="398"/>
      <c r="KR22" s="398"/>
      <c r="KS22" s="398"/>
      <c r="KT22" s="398"/>
      <c r="KU22" s="398"/>
      <c r="KV22" s="398"/>
      <c r="KW22" s="398"/>
      <c r="KX22" s="398"/>
      <c r="KY22" s="398"/>
      <c r="KZ22" s="398"/>
      <c r="LA22" s="398"/>
      <c r="LB22" s="398"/>
      <c r="LC22" s="398"/>
      <c r="LD22" s="398"/>
      <c r="LE22" s="398"/>
      <c r="LF22" s="398"/>
      <c r="LG22" s="398"/>
      <c r="LH22" s="398"/>
      <c r="LI22" s="398"/>
      <c r="LJ22" s="398"/>
      <c r="LK22" s="398"/>
      <c r="LL22" s="398"/>
      <c r="LM22" s="398"/>
      <c r="LN22" s="398"/>
      <c r="LO22" s="398"/>
      <c r="LP22" s="398"/>
      <c r="LQ22" s="398"/>
      <c r="LR22" s="398"/>
      <c r="LT22" s="398"/>
      <c r="LU22" s="398"/>
      <c r="LV22" s="398"/>
      <c r="LW22" s="398"/>
      <c r="LX22" s="398"/>
      <c r="LY22" s="398"/>
      <c r="LZ22" s="398"/>
      <c r="MA22" s="398"/>
      <c r="MB22" s="398"/>
      <c r="MC22" s="398"/>
      <c r="MD22" s="398"/>
      <c r="ME22" s="398"/>
      <c r="MF22" s="398"/>
      <c r="MG22" s="398"/>
      <c r="MH22" s="398"/>
      <c r="MI22" s="398"/>
      <c r="MJ22" s="398"/>
      <c r="MK22" s="398"/>
      <c r="ML22" s="398"/>
      <c r="MM22" s="398"/>
      <c r="MN22" s="398"/>
      <c r="MO22" s="398"/>
      <c r="MP22" s="398"/>
      <c r="MQ22" s="398"/>
      <c r="MR22" s="398"/>
      <c r="MS22" s="398"/>
    </row>
    <row r="23" ht="16.5" customHeight="1">
      <c r="A23" s="420" t="s">
        <v>1272</v>
      </c>
      <c r="B23" s="407" t="s">
        <v>91</v>
      </c>
      <c r="C23" s="394" t="s">
        <v>99</v>
      </c>
      <c r="D23" s="395">
        <f t="shared" si="1"/>
        <v>6</v>
      </c>
      <c r="E23" s="431" t="s">
        <v>1259</v>
      </c>
      <c r="F23" s="400">
        <f>IFERROR(__xludf.DUMMYFUNCTION("IF(A23="""","""", counta(filter(Filter(FILTER($H$4:$SH76,$H$1:$SH$1&lt;today()),$A$4:$A76=A23),not(istext(Filter(FILTER($H$4:$SH76,$H$1:$SH$1&lt;today()),$A$4:$A76=A23))),not(Filter(FILTER($H$4:$SH76,$H$1:$SH$1&lt;today()),$A$4:$A76=A23)=0),Filter(FILTER($H$4:$SH7"&amp;"6,$H$1:$SH$1&lt;today()),$A$4:$A76=A23)&lt;23)))"),103.0)</f>
        <v>103</v>
      </c>
      <c r="H23" s="435"/>
      <c r="I23" s="435"/>
      <c r="J23" s="435"/>
      <c r="K23" s="435"/>
      <c r="L23" s="435"/>
      <c r="M23" s="435"/>
      <c r="N23" s="435"/>
      <c r="O23" s="435"/>
      <c r="P23" s="435"/>
      <c r="Q23" s="435"/>
      <c r="R23" s="435"/>
      <c r="S23" s="435"/>
      <c r="T23" s="435"/>
      <c r="U23" s="435"/>
      <c r="V23" s="435"/>
      <c r="W23" s="435"/>
      <c r="X23" s="435"/>
      <c r="Y23" s="435"/>
      <c r="Z23" s="435"/>
      <c r="AA23" s="435"/>
      <c r="AB23" s="435"/>
      <c r="AC23" s="435"/>
      <c r="AD23" s="435"/>
      <c r="AE23" s="435"/>
      <c r="AF23" s="435"/>
      <c r="AG23" s="435"/>
      <c r="AH23" s="435"/>
      <c r="AI23" s="435"/>
      <c r="AJ23" s="435"/>
      <c r="AK23" s="435"/>
      <c r="AL23" s="435"/>
      <c r="AM23" s="405"/>
      <c r="AO23" s="394" t="s">
        <v>166</v>
      </c>
      <c r="AP23" s="394" t="s">
        <v>166</v>
      </c>
      <c r="AQ23" s="394" t="s">
        <v>166</v>
      </c>
      <c r="AR23" s="394" t="s">
        <v>166</v>
      </c>
      <c r="AS23" s="394" t="s">
        <v>166</v>
      </c>
      <c r="AT23" s="394" t="s">
        <v>166</v>
      </c>
      <c r="AU23" s="394">
        <v>8.0</v>
      </c>
      <c r="AV23" s="394">
        <v>8.0</v>
      </c>
      <c r="AW23" s="394">
        <v>8.0</v>
      </c>
      <c r="AX23" s="394">
        <v>8.0</v>
      </c>
      <c r="AY23" s="394">
        <v>8.0</v>
      </c>
      <c r="AZ23" s="394" t="s">
        <v>165</v>
      </c>
      <c r="BA23" s="394" t="s">
        <v>165</v>
      </c>
      <c r="BB23" s="394" t="s">
        <v>165</v>
      </c>
      <c r="BC23" s="394" t="s">
        <v>165</v>
      </c>
      <c r="BD23" s="394" t="s">
        <v>165</v>
      </c>
      <c r="BE23" s="394" t="s">
        <v>165</v>
      </c>
      <c r="BF23" s="394" t="s">
        <v>165</v>
      </c>
      <c r="BG23" s="394">
        <v>8.0</v>
      </c>
      <c r="BH23" s="394">
        <v>8.0</v>
      </c>
      <c r="BI23" s="394" t="s">
        <v>165</v>
      </c>
      <c r="BJ23" s="394" t="s">
        <v>165</v>
      </c>
      <c r="BK23" s="394" t="s">
        <v>165</v>
      </c>
      <c r="BL23" s="394" t="s">
        <v>165</v>
      </c>
      <c r="BM23" s="394" t="s">
        <v>165</v>
      </c>
      <c r="BN23" s="394">
        <v>8.0</v>
      </c>
      <c r="BO23" s="394">
        <v>8.0</v>
      </c>
      <c r="BP23" s="394" t="s">
        <v>165</v>
      </c>
      <c r="BQ23" s="394" t="s">
        <v>165</v>
      </c>
      <c r="BR23" s="394" t="s">
        <v>165</v>
      </c>
      <c r="BS23" s="406">
        <f t="shared" si="6"/>
        <v>72</v>
      </c>
      <c r="BU23" s="394" t="s">
        <v>165</v>
      </c>
      <c r="BV23" s="394" t="s">
        <v>165</v>
      </c>
      <c r="BW23" s="394">
        <v>8.0</v>
      </c>
      <c r="BX23" s="394">
        <v>8.0</v>
      </c>
      <c r="BY23" s="394" t="s">
        <v>165</v>
      </c>
      <c r="BZ23" s="394" t="s">
        <v>165</v>
      </c>
      <c r="CA23" s="394" t="s">
        <v>165</v>
      </c>
      <c r="CB23" s="394" t="s">
        <v>165</v>
      </c>
      <c r="CC23" s="394" t="s">
        <v>165</v>
      </c>
      <c r="CD23" s="394">
        <v>8.0</v>
      </c>
      <c r="CE23" s="394">
        <v>8.0</v>
      </c>
      <c r="CF23" s="394" t="s">
        <v>165</v>
      </c>
      <c r="CG23" s="394" t="s">
        <v>165</v>
      </c>
      <c r="CH23" s="394" t="s">
        <v>165</v>
      </c>
      <c r="CI23" s="394" t="s">
        <v>165</v>
      </c>
      <c r="CJ23" s="394" t="s">
        <v>165</v>
      </c>
      <c r="CK23" s="394">
        <v>8.0</v>
      </c>
      <c r="CL23" s="394">
        <v>8.0</v>
      </c>
      <c r="CM23" s="394" t="s">
        <v>165</v>
      </c>
      <c r="CN23" s="394" t="s">
        <v>165</v>
      </c>
      <c r="CO23" s="394" t="s">
        <v>165</v>
      </c>
      <c r="CP23" s="394" t="s">
        <v>165</v>
      </c>
      <c r="CQ23" s="394" t="s">
        <v>165</v>
      </c>
      <c r="CR23" s="394">
        <v>8.0</v>
      </c>
      <c r="CS23" s="394">
        <v>8.0</v>
      </c>
      <c r="CT23" s="394" t="s">
        <v>165</v>
      </c>
      <c r="CU23" s="394" t="s">
        <v>165</v>
      </c>
      <c r="CV23" s="394" t="s">
        <v>165</v>
      </c>
      <c r="CW23" s="394" t="s">
        <v>165</v>
      </c>
      <c r="CX23" s="394" t="s">
        <v>165</v>
      </c>
      <c r="CY23" s="394">
        <v>8.0</v>
      </c>
      <c r="CZ23" s="400">
        <f t="shared" si="7"/>
        <v>72</v>
      </c>
      <c r="DB23" s="394">
        <v>8.0</v>
      </c>
      <c r="DC23" s="394" t="s">
        <v>165</v>
      </c>
      <c r="DD23" s="394" t="s">
        <v>165</v>
      </c>
      <c r="DE23" s="394" t="s">
        <v>165</v>
      </c>
      <c r="DF23" s="394" t="s">
        <v>165</v>
      </c>
      <c r="DG23" s="394" t="s">
        <v>165</v>
      </c>
      <c r="DH23" s="394">
        <v>8.0</v>
      </c>
      <c r="DI23" s="394">
        <v>8.0</v>
      </c>
      <c r="DJ23" s="394" t="s">
        <v>165</v>
      </c>
      <c r="DK23" s="394" t="s">
        <v>165</v>
      </c>
      <c r="DL23" s="394" t="s">
        <v>165</v>
      </c>
      <c r="DM23" s="394" t="s">
        <v>165</v>
      </c>
      <c r="DN23" s="394" t="s">
        <v>165</v>
      </c>
      <c r="DO23" s="394">
        <v>8.0</v>
      </c>
      <c r="DP23" s="394">
        <v>8.0</v>
      </c>
      <c r="DQ23" s="394" t="s">
        <v>165</v>
      </c>
      <c r="DR23" s="394" t="s">
        <v>165</v>
      </c>
      <c r="DS23" s="394" t="s">
        <v>165</v>
      </c>
      <c r="DT23" s="394" t="s">
        <v>165</v>
      </c>
      <c r="DU23" s="394" t="s">
        <v>165</v>
      </c>
      <c r="DV23" s="394">
        <v>8.0</v>
      </c>
      <c r="DW23" s="394">
        <v>8.0</v>
      </c>
      <c r="DX23" s="394" t="s">
        <v>165</v>
      </c>
      <c r="DY23" s="394" t="s">
        <v>165</v>
      </c>
      <c r="DZ23" s="394" t="s">
        <v>165</v>
      </c>
      <c r="EA23" s="394" t="s">
        <v>165</v>
      </c>
      <c r="EB23" s="394" t="s">
        <v>165</v>
      </c>
      <c r="EC23" s="394">
        <v>8.0</v>
      </c>
      <c r="ED23" s="394">
        <v>8.0</v>
      </c>
      <c r="EE23" s="394" t="s">
        <v>165</v>
      </c>
      <c r="EF23" s="394" t="s">
        <v>165</v>
      </c>
      <c r="EG23" s="407">
        <f t="shared" si="8"/>
        <v>72</v>
      </c>
      <c r="EI23" s="394" t="s">
        <v>165</v>
      </c>
      <c r="EJ23" s="394" t="s">
        <v>165</v>
      </c>
      <c r="EK23" s="394" t="s">
        <v>165</v>
      </c>
      <c r="EL23" s="394">
        <v>8.0</v>
      </c>
      <c r="EM23" s="394">
        <v>8.0</v>
      </c>
      <c r="EN23" s="394" t="s">
        <v>165</v>
      </c>
      <c r="EO23" s="394" t="s">
        <v>165</v>
      </c>
      <c r="EP23" s="394" t="s">
        <v>165</v>
      </c>
      <c r="EQ23" s="394" t="s">
        <v>165</v>
      </c>
      <c r="ER23" s="394" t="s">
        <v>165</v>
      </c>
      <c r="ES23" s="394">
        <v>8.0</v>
      </c>
      <c r="ET23" s="394">
        <v>8.0</v>
      </c>
      <c r="EU23" s="394" t="s">
        <v>165</v>
      </c>
      <c r="EV23" s="394" t="s">
        <v>165</v>
      </c>
      <c r="EW23" s="394" t="s">
        <v>165</v>
      </c>
      <c r="EX23" s="394" t="s">
        <v>165</v>
      </c>
      <c r="EY23" s="394" t="s">
        <v>165</v>
      </c>
      <c r="EZ23" s="394">
        <v>8.0</v>
      </c>
      <c r="FA23" s="394">
        <v>8.0</v>
      </c>
      <c r="FB23" s="394" t="s">
        <v>165</v>
      </c>
      <c r="FC23" s="394" t="s">
        <v>165</v>
      </c>
      <c r="FD23" s="394" t="s">
        <v>165</v>
      </c>
      <c r="FE23" s="394" t="s">
        <v>165</v>
      </c>
      <c r="FF23" s="394" t="s">
        <v>165</v>
      </c>
      <c r="FG23" s="394">
        <v>8.0</v>
      </c>
      <c r="FH23" s="394">
        <v>8.0</v>
      </c>
      <c r="FI23" s="394" t="s">
        <v>165</v>
      </c>
      <c r="FJ23" s="394" t="s">
        <v>165</v>
      </c>
      <c r="FK23" s="394" t="s">
        <v>165</v>
      </c>
      <c r="FL23" s="394" t="s">
        <v>165</v>
      </c>
      <c r="FM23" s="407">
        <f t="shared" si="9"/>
        <v>64</v>
      </c>
      <c r="FO23" s="394">
        <v>8.0</v>
      </c>
      <c r="FP23" s="394">
        <v>8.0</v>
      </c>
      <c r="FQ23" s="394">
        <v>8.0</v>
      </c>
      <c r="FR23" s="394" t="s">
        <v>165</v>
      </c>
      <c r="FS23" s="394" t="s">
        <v>165</v>
      </c>
      <c r="FT23" s="394">
        <v>8.0</v>
      </c>
      <c r="FU23" s="394">
        <v>8.0</v>
      </c>
      <c r="FV23" s="394">
        <v>8.0</v>
      </c>
      <c r="FW23" s="394">
        <v>8.0</v>
      </c>
      <c r="FX23" s="394">
        <v>8.0</v>
      </c>
      <c r="FY23" s="394" t="s">
        <v>165</v>
      </c>
      <c r="FZ23" s="394" t="s">
        <v>165</v>
      </c>
      <c r="GA23" s="394">
        <v>8.0</v>
      </c>
      <c r="GB23" s="394">
        <v>8.0</v>
      </c>
      <c r="GC23" s="394">
        <v>8.0</v>
      </c>
      <c r="GD23" s="394">
        <v>8.0</v>
      </c>
      <c r="GE23" s="394">
        <v>8.0</v>
      </c>
      <c r="GF23" s="394" t="s">
        <v>165</v>
      </c>
      <c r="GG23" s="394" t="s">
        <v>165</v>
      </c>
      <c r="GH23" s="394">
        <v>8.0</v>
      </c>
      <c r="GI23" s="394">
        <v>8.0</v>
      </c>
      <c r="GJ23" s="394">
        <v>8.0</v>
      </c>
      <c r="GK23" s="394">
        <v>8.0</v>
      </c>
      <c r="GL23" s="394">
        <v>8.0</v>
      </c>
      <c r="GM23" s="394" t="s">
        <v>165</v>
      </c>
      <c r="GN23" s="394" t="s">
        <v>165</v>
      </c>
      <c r="GO23" s="394">
        <v>8.0</v>
      </c>
      <c r="GP23" s="394">
        <v>8.0</v>
      </c>
      <c r="GQ23" s="394">
        <v>8.0</v>
      </c>
      <c r="GR23" s="394">
        <v>8.0</v>
      </c>
      <c r="GS23" s="394">
        <v>8.0</v>
      </c>
      <c r="GT23" s="400">
        <f t="shared" si="10"/>
        <v>184</v>
      </c>
      <c r="GV23" s="394" t="s">
        <v>165</v>
      </c>
      <c r="GW23" s="394" t="s">
        <v>165</v>
      </c>
      <c r="GX23" s="394">
        <v>8.0</v>
      </c>
      <c r="GY23" s="394">
        <v>8.0</v>
      </c>
      <c r="GZ23" s="394">
        <v>8.0</v>
      </c>
      <c r="HA23" s="394">
        <v>8.0</v>
      </c>
      <c r="HB23" s="394">
        <v>8.0</v>
      </c>
      <c r="HC23" s="394" t="s">
        <v>165</v>
      </c>
      <c r="HD23" s="394" t="s">
        <v>165</v>
      </c>
      <c r="HE23" s="394">
        <v>8.0</v>
      </c>
      <c r="HF23" s="394">
        <v>8.0</v>
      </c>
      <c r="HG23" s="394">
        <v>8.0</v>
      </c>
      <c r="HH23" s="394">
        <v>8.0</v>
      </c>
      <c r="HI23" s="394">
        <v>8.0</v>
      </c>
      <c r="HJ23" s="394" t="s">
        <v>165</v>
      </c>
      <c r="HK23" s="394" t="s">
        <v>165</v>
      </c>
      <c r="HL23" s="394">
        <v>8.0</v>
      </c>
      <c r="HM23" s="394">
        <v>8.0</v>
      </c>
      <c r="HN23" s="394">
        <v>8.0</v>
      </c>
      <c r="HO23" s="394">
        <v>8.0</v>
      </c>
      <c r="HP23" s="394">
        <v>8.0</v>
      </c>
      <c r="HQ23" s="394" t="s">
        <v>165</v>
      </c>
      <c r="HR23" s="394" t="s">
        <v>165</v>
      </c>
      <c r="HS23" s="394">
        <v>8.0</v>
      </c>
      <c r="HT23" s="394">
        <v>8.0</v>
      </c>
      <c r="HU23" s="394">
        <v>8.0</v>
      </c>
      <c r="HV23" s="394">
        <v>8.0</v>
      </c>
      <c r="HW23" s="394">
        <v>8.0</v>
      </c>
      <c r="HX23" s="394" t="s">
        <v>165</v>
      </c>
      <c r="HY23" s="394" t="s">
        <v>165</v>
      </c>
      <c r="HZ23" s="400">
        <f t="shared" si="2"/>
        <v>160</v>
      </c>
      <c r="IB23" s="394">
        <v>8.0</v>
      </c>
      <c r="IC23" s="394">
        <v>8.0</v>
      </c>
      <c r="ID23" s="394">
        <v>8.0</v>
      </c>
      <c r="IE23" s="394">
        <v>8.0</v>
      </c>
      <c r="IF23" s="394">
        <v>8.0</v>
      </c>
      <c r="IG23" s="394" t="s">
        <v>165</v>
      </c>
      <c r="IH23" s="394" t="s">
        <v>165</v>
      </c>
      <c r="II23" s="394">
        <v>8.0</v>
      </c>
      <c r="IJ23" s="394">
        <v>8.0</v>
      </c>
      <c r="IK23" s="394">
        <v>8.0</v>
      </c>
      <c r="IL23" s="394">
        <v>8.0</v>
      </c>
      <c r="IM23" s="394">
        <v>8.0</v>
      </c>
      <c r="IN23" s="394" t="s">
        <v>165</v>
      </c>
      <c r="IO23" s="394" t="s">
        <v>165</v>
      </c>
      <c r="IP23" s="394">
        <v>8.0</v>
      </c>
      <c r="IQ23" s="394">
        <v>8.0</v>
      </c>
      <c r="IR23" s="394">
        <v>8.0</v>
      </c>
      <c r="IS23" s="394">
        <v>8.0</v>
      </c>
      <c r="IT23" s="394">
        <v>8.0</v>
      </c>
      <c r="IU23" s="394" t="s">
        <v>165</v>
      </c>
      <c r="IV23" s="394" t="s">
        <v>165</v>
      </c>
      <c r="IW23" s="394">
        <v>8.0</v>
      </c>
      <c r="IX23" s="394">
        <v>8.0</v>
      </c>
      <c r="IY23" s="394">
        <v>8.0</v>
      </c>
      <c r="IZ23" s="394">
        <v>8.0</v>
      </c>
      <c r="JA23" s="394">
        <v>8.0</v>
      </c>
      <c r="JB23" s="394" t="s">
        <v>165</v>
      </c>
      <c r="JC23" s="394" t="s">
        <v>165</v>
      </c>
      <c r="JD23" s="394">
        <v>8.0</v>
      </c>
      <c r="JE23" s="394">
        <v>8.0</v>
      </c>
      <c r="JF23" s="394">
        <v>8.0</v>
      </c>
      <c r="JG23" s="400">
        <f t="shared" si="3"/>
        <v>184</v>
      </c>
      <c r="JI23" s="394">
        <v>8.0</v>
      </c>
      <c r="JJ23" s="394">
        <v>8.0</v>
      </c>
      <c r="JK23" s="394" t="s">
        <v>165</v>
      </c>
      <c r="JL23" s="394" t="s">
        <v>165</v>
      </c>
      <c r="JM23" s="394">
        <v>8.0</v>
      </c>
      <c r="JN23" s="394">
        <v>8.0</v>
      </c>
      <c r="JO23" s="394">
        <v>8.0</v>
      </c>
      <c r="JP23" s="394">
        <v>8.0</v>
      </c>
      <c r="JQ23" s="394">
        <v>8.0</v>
      </c>
      <c r="JR23" s="394" t="s">
        <v>165</v>
      </c>
      <c r="JS23" s="394" t="s">
        <v>165</v>
      </c>
      <c r="JT23" s="394">
        <v>8.0</v>
      </c>
      <c r="JU23" s="394">
        <v>8.0</v>
      </c>
      <c r="JV23" s="394">
        <v>8.0</v>
      </c>
      <c r="JW23" s="394">
        <v>8.0</v>
      </c>
      <c r="JX23" s="394">
        <v>8.0</v>
      </c>
      <c r="JY23" s="394" t="s">
        <v>165</v>
      </c>
      <c r="JZ23" s="394" t="s">
        <v>165</v>
      </c>
      <c r="KA23" s="394">
        <v>8.0</v>
      </c>
      <c r="KB23" s="394">
        <v>8.0</v>
      </c>
      <c r="KC23" s="394">
        <v>8.0</v>
      </c>
      <c r="KD23" s="394">
        <v>8.0</v>
      </c>
      <c r="KE23" s="394">
        <v>8.0</v>
      </c>
      <c r="KF23" s="394" t="s">
        <v>165</v>
      </c>
      <c r="KG23" s="394" t="s">
        <v>165</v>
      </c>
      <c r="KH23" s="394">
        <v>8.0</v>
      </c>
      <c r="KI23" s="394">
        <v>8.0</v>
      </c>
      <c r="KJ23" s="394">
        <v>8.0</v>
      </c>
      <c r="KK23" s="394">
        <v>8.0</v>
      </c>
      <c r="KL23" s="394">
        <v>8.0</v>
      </c>
      <c r="KM23" s="394" t="s">
        <v>165</v>
      </c>
      <c r="KN23" s="145">
        <f t="shared" si="4"/>
        <v>176</v>
      </c>
      <c r="KP23" s="398"/>
      <c r="KQ23" s="398"/>
      <c r="KR23" s="398"/>
      <c r="KS23" s="398"/>
      <c r="KT23" s="398"/>
      <c r="KU23" s="398"/>
      <c r="KV23" s="398"/>
      <c r="KW23" s="398"/>
      <c r="KX23" s="398"/>
      <c r="KY23" s="398"/>
      <c r="KZ23" s="398"/>
      <c r="LA23" s="398"/>
      <c r="LB23" s="398"/>
      <c r="LC23" s="398"/>
      <c r="LD23" s="398"/>
      <c r="LE23" s="398"/>
      <c r="LF23" s="398"/>
      <c r="LG23" s="398"/>
      <c r="LH23" s="398"/>
      <c r="LI23" s="398"/>
      <c r="LJ23" s="398"/>
      <c r="LK23" s="398"/>
      <c r="LL23" s="398"/>
      <c r="LM23" s="398"/>
      <c r="LN23" s="398"/>
      <c r="LO23" s="398"/>
      <c r="LP23" s="398"/>
      <c r="LQ23" s="398"/>
      <c r="LR23" s="398"/>
      <c r="LT23" s="398"/>
      <c r="LU23" s="398"/>
      <c r="LV23" s="398"/>
      <c r="LW23" s="398"/>
      <c r="LX23" s="398"/>
      <c r="LY23" s="398"/>
      <c r="LZ23" s="398"/>
      <c r="MA23" s="398"/>
      <c r="MB23" s="398"/>
      <c r="MC23" s="398"/>
      <c r="MD23" s="398"/>
      <c r="ME23" s="398"/>
      <c r="MF23" s="398"/>
      <c r="MG23" s="398"/>
      <c r="MH23" s="398"/>
      <c r="MI23" s="398"/>
      <c r="MJ23" s="398"/>
      <c r="MK23" s="398"/>
      <c r="ML23" s="398"/>
      <c r="MM23" s="398"/>
      <c r="MN23" s="398"/>
      <c r="MO23" s="398"/>
      <c r="MP23" s="398"/>
      <c r="MQ23" s="398"/>
      <c r="MR23" s="398"/>
      <c r="MS23" s="398"/>
    </row>
    <row r="24" ht="16.5" customHeight="1">
      <c r="A24" s="420" t="s">
        <v>1273</v>
      </c>
      <c r="B24" s="407" t="s">
        <v>88</v>
      </c>
      <c r="C24" s="421" t="s">
        <v>98</v>
      </c>
      <c r="D24" s="395">
        <f t="shared" si="1"/>
        <v>4</v>
      </c>
      <c r="E24" s="430" t="s">
        <v>1259</v>
      </c>
      <c r="F24" s="400">
        <f>IFERROR(__xludf.DUMMYFUNCTION("IF(A24="""","""", counta(filter(Filter(FILTER($H$4:$SH76,$H$1:$SH$1&lt;today()),$A$4:$A76=A24),not(istext(Filter(FILTER($H$4:$SH76,$H$1:$SH$1&lt;today()),$A$4:$A76=A24))),not(Filter(FILTER($H$4:$SH76,$H$1:$SH$1&lt;today()),$A$4:$A76=A24)=0),Filter(FILTER($H$4:$SH7"&amp;"6,$H$1:$SH$1&lt;today()),$A$4:$A76=A24)&lt;23)))"),97.0)</f>
        <v>97</v>
      </c>
      <c r="H24" s="435"/>
      <c r="I24" s="435"/>
      <c r="J24" s="435"/>
      <c r="K24" s="435"/>
      <c r="L24" s="435"/>
      <c r="M24" s="435"/>
      <c r="N24" s="435"/>
      <c r="O24" s="435"/>
      <c r="P24" s="435"/>
      <c r="Q24" s="435"/>
      <c r="R24" s="435"/>
      <c r="S24" s="435"/>
      <c r="T24" s="435"/>
      <c r="U24" s="435"/>
      <c r="V24" s="435"/>
      <c r="W24" s="435"/>
      <c r="X24" s="435"/>
      <c r="Y24" s="435"/>
      <c r="Z24" s="435"/>
      <c r="AA24" s="435"/>
      <c r="AB24" s="435"/>
      <c r="AC24" s="435"/>
      <c r="AD24" s="435"/>
      <c r="AE24" s="435"/>
      <c r="AF24" s="435"/>
      <c r="AG24" s="435"/>
      <c r="AH24" s="435"/>
      <c r="AI24" s="435"/>
      <c r="AJ24" s="435"/>
      <c r="AK24" s="435"/>
      <c r="AL24" s="435"/>
      <c r="AM24" s="405"/>
      <c r="AO24" s="394" t="s">
        <v>166</v>
      </c>
      <c r="AP24" s="394" t="s">
        <v>166</v>
      </c>
      <c r="AQ24" s="394" t="s">
        <v>166</v>
      </c>
      <c r="AR24" s="394" t="s">
        <v>166</v>
      </c>
      <c r="AS24" s="394" t="s">
        <v>166</v>
      </c>
      <c r="AT24" s="394" t="s">
        <v>166</v>
      </c>
      <c r="AU24" s="394" t="s">
        <v>166</v>
      </c>
      <c r="AV24" s="394" t="s">
        <v>166</v>
      </c>
      <c r="AW24" s="394">
        <v>8.0</v>
      </c>
      <c r="AX24" s="394">
        <v>8.0</v>
      </c>
      <c r="AY24" s="394" t="s">
        <v>165</v>
      </c>
      <c r="AZ24" s="394" t="s">
        <v>165</v>
      </c>
      <c r="BA24" s="394" t="s">
        <v>165</v>
      </c>
      <c r="BB24" s="394" t="s">
        <v>165</v>
      </c>
      <c r="BC24" s="394" t="s">
        <v>165</v>
      </c>
      <c r="BD24" s="394">
        <v>8.0</v>
      </c>
      <c r="BE24" s="394" t="s">
        <v>165</v>
      </c>
      <c r="BF24" s="394" t="s">
        <v>165</v>
      </c>
      <c r="BG24" s="394">
        <v>8.0</v>
      </c>
      <c r="BH24" s="394">
        <v>8.0</v>
      </c>
      <c r="BI24" s="394" t="s">
        <v>165</v>
      </c>
      <c r="BJ24" s="394" t="s">
        <v>165</v>
      </c>
      <c r="BK24" s="394" t="s">
        <v>165</v>
      </c>
      <c r="BL24" s="394" t="s">
        <v>165</v>
      </c>
      <c r="BM24" s="394" t="s">
        <v>165</v>
      </c>
      <c r="BN24" s="394">
        <v>8.0</v>
      </c>
      <c r="BO24" s="394">
        <v>8.0</v>
      </c>
      <c r="BP24" s="394" t="s">
        <v>165</v>
      </c>
      <c r="BQ24" s="394" t="s">
        <v>165</v>
      </c>
      <c r="BR24" s="394" t="s">
        <v>165</v>
      </c>
      <c r="BS24" s="406">
        <f t="shared" si="6"/>
        <v>56</v>
      </c>
      <c r="BU24" s="394" t="s">
        <v>165</v>
      </c>
      <c r="BV24" s="394" t="s">
        <v>165</v>
      </c>
      <c r="BW24" s="394">
        <v>8.0</v>
      </c>
      <c r="BX24" s="394">
        <v>8.0</v>
      </c>
      <c r="BY24" s="394" t="s">
        <v>165</v>
      </c>
      <c r="BZ24" s="394" t="s">
        <v>165</v>
      </c>
      <c r="CA24" s="394" t="s">
        <v>165</v>
      </c>
      <c r="CB24" s="394" t="s">
        <v>165</v>
      </c>
      <c r="CC24" s="394" t="s">
        <v>165</v>
      </c>
      <c r="CD24" s="394">
        <v>8.0</v>
      </c>
      <c r="CE24" s="394">
        <v>8.0</v>
      </c>
      <c r="CF24" s="394" t="s">
        <v>165</v>
      </c>
      <c r="CG24" s="394" t="s">
        <v>165</v>
      </c>
      <c r="CH24" s="394" t="s">
        <v>165</v>
      </c>
      <c r="CI24" s="394" t="s">
        <v>165</v>
      </c>
      <c r="CJ24" s="394" t="s">
        <v>165</v>
      </c>
      <c r="CK24" s="394">
        <v>5.0</v>
      </c>
      <c r="CL24" s="394">
        <v>11.0</v>
      </c>
      <c r="CM24" s="394" t="s">
        <v>165</v>
      </c>
      <c r="CN24" s="394" t="s">
        <v>165</v>
      </c>
      <c r="CO24" s="394" t="s">
        <v>165</v>
      </c>
      <c r="CP24" s="394" t="s">
        <v>165</v>
      </c>
      <c r="CQ24" s="394" t="s">
        <v>165</v>
      </c>
      <c r="CR24" s="394">
        <v>8.0</v>
      </c>
      <c r="CS24" s="394">
        <v>8.0</v>
      </c>
      <c r="CT24" s="394" t="s">
        <v>165</v>
      </c>
      <c r="CU24" s="394" t="s">
        <v>165</v>
      </c>
      <c r="CV24" s="394" t="s">
        <v>165</v>
      </c>
      <c r="CW24" s="394" t="s">
        <v>165</v>
      </c>
      <c r="CX24" s="394" t="s">
        <v>165</v>
      </c>
      <c r="CY24" s="394">
        <v>8.0</v>
      </c>
      <c r="CZ24" s="400">
        <f t="shared" si="7"/>
        <v>72</v>
      </c>
      <c r="DB24" s="394">
        <v>8.0</v>
      </c>
      <c r="DC24" s="394" t="s">
        <v>165</v>
      </c>
      <c r="DD24" s="394" t="s">
        <v>165</v>
      </c>
      <c r="DE24" s="394" t="s">
        <v>165</v>
      </c>
      <c r="DF24" s="394" t="s">
        <v>165</v>
      </c>
      <c r="DG24" s="394" t="s">
        <v>165</v>
      </c>
      <c r="DH24" s="394">
        <v>8.0</v>
      </c>
      <c r="DI24" s="394">
        <v>8.0</v>
      </c>
      <c r="DJ24" s="394" t="s">
        <v>165</v>
      </c>
      <c r="DK24" s="394" t="s">
        <v>165</v>
      </c>
      <c r="DL24" s="394" t="s">
        <v>165</v>
      </c>
      <c r="DM24" s="394" t="s">
        <v>165</v>
      </c>
      <c r="DN24" s="394" t="s">
        <v>165</v>
      </c>
      <c r="DO24" s="394">
        <v>8.0</v>
      </c>
      <c r="DP24" s="394">
        <v>8.0</v>
      </c>
      <c r="DQ24" s="394" t="s">
        <v>165</v>
      </c>
      <c r="DR24" s="394" t="s">
        <v>165</v>
      </c>
      <c r="DS24" s="394" t="s">
        <v>165</v>
      </c>
      <c r="DT24" s="394" t="s">
        <v>165</v>
      </c>
      <c r="DU24" s="394" t="s">
        <v>165</v>
      </c>
      <c r="DV24" s="394">
        <v>8.0</v>
      </c>
      <c r="DW24" s="394" t="s">
        <v>165</v>
      </c>
      <c r="DX24" s="394">
        <v>8.0</v>
      </c>
      <c r="DY24" s="394" t="s">
        <v>165</v>
      </c>
      <c r="DZ24" s="394" t="s">
        <v>165</v>
      </c>
      <c r="EA24" s="394" t="s">
        <v>165</v>
      </c>
      <c r="EB24" s="394" t="s">
        <v>165</v>
      </c>
      <c r="EC24" s="394">
        <v>8.0</v>
      </c>
      <c r="ED24" s="394">
        <v>8.0</v>
      </c>
      <c r="EE24" s="394" t="s">
        <v>165</v>
      </c>
      <c r="EF24" s="394" t="s">
        <v>165</v>
      </c>
      <c r="EG24" s="407">
        <f t="shared" si="8"/>
        <v>72</v>
      </c>
      <c r="EI24" s="394" t="s">
        <v>165</v>
      </c>
      <c r="EJ24" s="394" t="s">
        <v>165</v>
      </c>
      <c r="EK24" s="394" t="s">
        <v>165</v>
      </c>
      <c r="EL24" s="394">
        <v>8.0</v>
      </c>
      <c r="EM24" s="394">
        <v>8.0</v>
      </c>
      <c r="EN24" s="394" t="s">
        <v>165</v>
      </c>
      <c r="EO24" s="394" t="s">
        <v>165</v>
      </c>
      <c r="EP24" s="394" t="s">
        <v>165</v>
      </c>
      <c r="EQ24" s="394" t="s">
        <v>165</v>
      </c>
      <c r="ER24" s="394" t="s">
        <v>165</v>
      </c>
      <c r="ES24" s="394">
        <v>8.0</v>
      </c>
      <c r="ET24" s="394">
        <v>8.0</v>
      </c>
      <c r="EU24" s="394" t="s">
        <v>165</v>
      </c>
      <c r="EV24" s="394" t="s">
        <v>165</v>
      </c>
      <c r="EW24" s="394" t="s">
        <v>165</v>
      </c>
      <c r="EX24" s="394" t="s">
        <v>165</v>
      </c>
      <c r="EY24" s="394" t="s">
        <v>165</v>
      </c>
      <c r="EZ24" s="394">
        <v>8.0</v>
      </c>
      <c r="FA24" s="394">
        <v>8.0</v>
      </c>
      <c r="FB24" s="394" t="s">
        <v>165</v>
      </c>
      <c r="FC24" s="394" t="s">
        <v>165</v>
      </c>
      <c r="FD24" s="394" t="s">
        <v>165</v>
      </c>
      <c r="FE24" s="394" t="s">
        <v>165</v>
      </c>
      <c r="FF24" s="394">
        <v>8.0</v>
      </c>
      <c r="FG24" s="394">
        <v>8.0</v>
      </c>
      <c r="FH24" s="394" t="s">
        <v>165</v>
      </c>
      <c r="FI24" s="394" t="s">
        <v>165</v>
      </c>
      <c r="FJ24" s="394" t="s">
        <v>165</v>
      </c>
      <c r="FK24" s="394" t="s">
        <v>165</v>
      </c>
      <c r="FL24" s="394" t="s">
        <v>165</v>
      </c>
      <c r="FM24" s="407">
        <f t="shared" si="9"/>
        <v>64</v>
      </c>
      <c r="FO24" s="394">
        <v>8.0</v>
      </c>
      <c r="FP24" s="394" t="s">
        <v>165</v>
      </c>
      <c r="FQ24" s="394" t="s">
        <v>165</v>
      </c>
      <c r="FR24" s="394">
        <v>8.0</v>
      </c>
      <c r="FS24" s="394">
        <v>8.0</v>
      </c>
      <c r="FT24" s="394">
        <v>8.0</v>
      </c>
      <c r="FU24" s="394">
        <v>8.0</v>
      </c>
      <c r="FV24" s="394">
        <v>8.0</v>
      </c>
      <c r="FW24" s="394" t="s">
        <v>165</v>
      </c>
      <c r="FX24" s="394" t="s">
        <v>165</v>
      </c>
      <c r="FY24" s="394">
        <v>8.0</v>
      </c>
      <c r="FZ24" s="394">
        <v>8.0</v>
      </c>
      <c r="GA24" s="394">
        <v>8.0</v>
      </c>
      <c r="GB24" s="394">
        <v>8.0</v>
      </c>
      <c r="GC24" s="394">
        <v>8.0</v>
      </c>
      <c r="GD24" s="394" t="s">
        <v>165</v>
      </c>
      <c r="GE24" s="394" t="s">
        <v>165</v>
      </c>
      <c r="GF24" s="394">
        <v>8.0</v>
      </c>
      <c r="GG24" s="394">
        <v>8.0</v>
      </c>
      <c r="GH24" s="394">
        <v>8.0</v>
      </c>
      <c r="GI24" s="394">
        <v>8.0</v>
      </c>
      <c r="GJ24" s="394">
        <v>8.0</v>
      </c>
      <c r="GK24" s="394" t="s">
        <v>165</v>
      </c>
      <c r="GL24" s="394" t="s">
        <v>165</v>
      </c>
      <c r="GM24" s="394">
        <v>8.0</v>
      </c>
      <c r="GN24" s="394">
        <v>8.0</v>
      </c>
      <c r="GO24" s="394">
        <v>8.0</v>
      </c>
      <c r="GP24" s="394">
        <v>8.0</v>
      </c>
      <c r="GQ24" s="394">
        <v>8.0</v>
      </c>
      <c r="GR24" s="394" t="s">
        <v>165</v>
      </c>
      <c r="GS24" s="394" t="s">
        <v>165</v>
      </c>
      <c r="GT24" s="400">
        <f t="shared" si="10"/>
        <v>168</v>
      </c>
      <c r="GV24" s="394">
        <v>8.0</v>
      </c>
      <c r="GW24" s="394" t="s">
        <v>171</v>
      </c>
      <c r="GX24" s="394">
        <v>8.0</v>
      </c>
      <c r="GY24" s="394">
        <v>8.0</v>
      </c>
      <c r="GZ24" s="394">
        <v>8.0</v>
      </c>
      <c r="HA24" s="394" t="s">
        <v>165</v>
      </c>
      <c r="HB24" s="394" t="s">
        <v>165</v>
      </c>
      <c r="HC24" s="394">
        <v>8.0</v>
      </c>
      <c r="HD24" s="394">
        <v>8.0</v>
      </c>
      <c r="HE24" s="394">
        <v>8.0</v>
      </c>
      <c r="HF24" s="394">
        <v>8.0</v>
      </c>
      <c r="HG24" s="394">
        <v>8.0</v>
      </c>
      <c r="HH24" s="394" t="s">
        <v>165</v>
      </c>
      <c r="HI24" s="394" t="s">
        <v>165</v>
      </c>
      <c r="HJ24" s="394" t="s">
        <v>171</v>
      </c>
      <c r="HK24" s="394">
        <v>8.0</v>
      </c>
      <c r="HL24" s="394">
        <v>8.0</v>
      </c>
      <c r="HM24" s="394">
        <v>8.0</v>
      </c>
      <c r="HN24" s="394">
        <v>8.0</v>
      </c>
      <c r="HO24" s="394" t="s">
        <v>165</v>
      </c>
      <c r="HP24" s="394" t="s">
        <v>165</v>
      </c>
      <c r="HQ24" s="394">
        <v>8.0</v>
      </c>
      <c r="HR24" s="394">
        <v>8.0</v>
      </c>
      <c r="HS24" s="394">
        <v>8.0</v>
      </c>
      <c r="HT24" s="394">
        <v>8.0</v>
      </c>
      <c r="HU24" s="394">
        <v>8.0</v>
      </c>
      <c r="HV24" s="394" t="s">
        <v>165</v>
      </c>
      <c r="HW24" s="394" t="s">
        <v>165</v>
      </c>
      <c r="HX24" s="394">
        <v>8.0</v>
      </c>
      <c r="HY24" s="394">
        <v>8.0</v>
      </c>
      <c r="HZ24" s="400">
        <f t="shared" si="2"/>
        <v>160</v>
      </c>
      <c r="IB24" s="394">
        <v>8.0</v>
      </c>
      <c r="IC24" s="394">
        <v>8.0</v>
      </c>
      <c r="ID24" s="394">
        <v>8.0</v>
      </c>
      <c r="IE24" s="394" t="s">
        <v>165</v>
      </c>
      <c r="IF24" s="394" t="s">
        <v>165</v>
      </c>
      <c r="IG24" s="394">
        <v>8.0</v>
      </c>
      <c r="IH24" s="394">
        <v>8.0</v>
      </c>
      <c r="II24" s="394">
        <v>8.0</v>
      </c>
      <c r="IJ24" s="394">
        <v>8.0</v>
      </c>
      <c r="IK24" s="394">
        <v>8.0</v>
      </c>
      <c r="IL24" s="394" t="s">
        <v>165</v>
      </c>
      <c r="IM24" s="394" t="s">
        <v>165</v>
      </c>
      <c r="IN24" s="394">
        <v>8.0</v>
      </c>
      <c r="IO24" s="394">
        <v>8.0</v>
      </c>
      <c r="IP24" s="394">
        <v>8.0</v>
      </c>
      <c r="IQ24" s="394">
        <v>7.0</v>
      </c>
      <c r="IR24" s="394">
        <v>8.0</v>
      </c>
      <c r="IS24" s="394" t="s">
        <v>165</v>
      </c>
      <c r="IT24" s="394" t="s">
        <v>165</v>
      </c>
      <c r="IU24" s="394" t="s">
        <v>245</v>
      </c>
      <c r="IV24" s="394">
        <v>10.0</v>
      </c>
      <c r="IW24" s="394">
        <v>10.0</v>
      </c>
      <c r="IX24" s="394">
        <v>9.0</v>
      </c>
      <c r="IY24" s="394">
        <v>10.0</v>
      </c>
      <c r="IZ24" s="403" t="s">
        <v>165</v>
      </c>
      <c r="JA24" s="394" t="s">
        <v>165</v>
      </c>
      <c r="JB24" s="394">
        <v>9.0</v>
      </c>
      <c r="JC24" s="394">
        <v>8.0</v>
      </c>
      <c r="JD24" s="394">
        <v>8.0</v>
      </c>
      <c r="JE24" s="394">
        <v>8.0</v>
      </c>
      <c r="JF24" s="394">
        <v>8.0</v>
      </c>
      <c r="JG24" s="400">
        <f t="shared" si="3"/>
        <v>183</v>
      </c>
      <c r="JI24" s="403" t="s">
        <v>165</v>
      </c>
      <c r="JJ24" s="394" t="s">
        <v>165</v>
      </c>
      <c r="JK24" s="394">
        <v>8.0</v>
      </c>
      <c r="JL24" s="394">
        <v>8.0</v>
      </c>
      <c r="JM24" s="394">
        <v>8.0</v>
      </c>
      <c r="JN24" s="394">
        <v>8.0</v>
      </c>
      <c r="JO24" s="394">
        <v>8.0</v>
      </c>
      <c r="JP24" s="394" t="s">
        <v>165</v>
      </c>
      <c r="JQ24" s="394" t="s">
        <v>165</v>
      </c>
      <c r="JR24" s="394">
        <v>8.0</v>
      </c>
      <c r="JS24" s="394">
        <v>8.0</v>
      </c>
      <c r="JT24" s="394">
        <v>8.0</v>
      </c>
      <c r="JU24" s="394">
        <v>8.0</v>
      </c>
      <c r="JV24" s="394">
        <v>8.0</v>
      </c>
      <c r="JW24" s="394" t="s">
        <v>165</v>
      </c>
      <c r="JX24" s="394" t="s">
        <v>165</v>
      </c>
      <c r="JY24" s="394">
        <v>8.0</v>
      </c>
      <c r="JZ24" s="394">
        <v>8.0</v>
      </c>
      <c r="KA24" s="394">
        <v>8.0</v>
      </c>
      <c r="KB24" s="394">
        <v>8.0</v>
      </c>
      <c r="KC24" s="394">
        <v>8.0</v>
      </c>
      <c r="KD24" s="394" t="s">
        <v>165</v>
      </c>
      <c r="KE24" s="394" t="s">
        <v>165</v>
      </c>
      <c r="KF24" s="394">
        <v>8.0</v>
      </c>
      <c r="KG24" s="394">
        <v>8.0</v>
      </c>
      <c r="KH24" s="394">
        <v>8.0</v>
      </c>
      <c r="KI24" s="394">
        <v>8.0</v>
      </c>
      <c r="KJ24" s="394">
        <v>8.0</v>
      </c>
      <c r="KK24" s="394" t="s">
        <v>165</v>
      </c>
      <c r="KL24" s="394" t="s">
        <v>165</v>
      </c>
      <c r="KM24" s="394">
        <v>8.0</v>
      </c>
      <c r="KN24" s="145">
        <f t="shared" si="4"/>
        <v>168</v>
      </c>
      <c r="KP24" s="398"/>
      <c r="KQ24" s="398"/>
      <c r="KR24" s="398"/>
      <c r="KS24" s="398"/>
      <c r="KT24" s="398"/>
      <c r="KU24" s="398"/>
      <c r="KV24" s="398"/>
      <c r="KW24" s="398"/>
      <c r="KX24" s="398"/>
      <c r="KY24" s="398"/>
      <c r="KZ24" s="398"/>
      <c r="LA24" s="398"/>
      <c r="LB24" s="398"/>
      <c r="LC24" s="398"/>
      <c r="LD24" s="398"/>
      <c r="LE24" s="398"/>
      <c r="LF24" s="398"/>
      <c r="LG24" s="398"/>
      <c r="LH24" s="398"/>
      <c r="LI24" s="398"/>
      <c r="LJ24" s="398"/>
      <c r="LK24" s="398"/>
      <c r="LL24" s="398"/>
      <c r="LM24" s="398"/>
      <c r="LN24" s="398"/>
      <c r="LO24" s="398"/>
      <c r="LP24" s="398"/>
      <c r="LQ24" s="398"/>
      <c r="LR24" s="398"/>
      <c r="LT24" s="398"/>
      <c r="LU24" s="398"/>
      <c r="LV24" s="398"/>
      <c r="LW24" s="398"/>
      <c r="LX24" s="398"/>
      <c r="LY24" s="398"/>
      <c r="LZ24" s="398"/>
      <c r="MA24" s="398"/>
      <c r="MB24" s="398"/>
      <c r="MC24" s="398"/>
      <c r="MD24" s="398"/>
      <c r="ME24" s="398"/>
      <c r="MF24" s="398"/>
      <c r="MG24" s="398"/>
      <c r="MH24" s="398"/>
      <c r="MI24" s="398"/>
      <c r="MJ24" s="398"/>
      <c r="MK24" s="398"/>
      <c r="ML24" s="398"/>
      <c r="MM24" s="398"/>
      <c r="MN24" s="398"/>
      <c r="MO24" s="398"/>
      <c r="MP24" s="398"/>
      <c r="MQ24" s="398"/>
      <c r="MR24" s="398"/>
      <c r="MS24" s="398"/>
    </row>
    <row r="25" ht="16.5" customHeight="1">
      <c r="A25" s="393" t="s">
        <v>1274</v>
      </c>
      <c r="B25" s="394" t="s">
        <v>91</v>
      </c>
      <c r="C25" s="394" t="s">
        <v>98</v>
      </c>
      <c r="D25" s="395">
        <f t="shared" si="1"/>
        <v>0</v>
      </c>
      <c r="E25" s="396" t="s">
        <v>1250</v>
      </c>
      <c r="F25" s="400">
        <f>IFERROR(__xludf.DUMMYFUNCTION("IF(A25="""","""", counta(filter(Filter(FILTER($H$4:$PI76,$H$1:$PI$1&lt;today()),$A$4:$A76=A25),not(istext(Filter(FILTER($H$4:$PI76,$H$1:$PI$1&lt;today()),$A$4:$A76=A25))),not(Filter(FILTER($H$4:$PI76,$H$1:$PI$1&lt;today()),$A$4:$A76=A25)=0),Filter(FILTER($H$4:$PI7"&amp;"6,$H$1:$PI$1&lt;today()),$A$4:$A76=A25)&lt;23)))"),128.0)</f>
        <v>128</v>
      </c>
      <c r="H25" s="435"/>
      <c r="I25" s="435"/>
      <c r="J25" s="435"/>
      <c r="K25" s="435"/>
      <c r="L25" s="435"/>
      <c r="M25" s="435"/>
      <c r="N25" s="435"/>
      <c r="O25" s="435"/>
      <c r="P25" s="435"/>
      <c r="Q25" s="435"/>
      <c r="R25" s="435"/>
      <c r="S25" s="435"/>
      <c r="T25" s="435"/>
      <c r="U25" s="435"/>
      <c r="V25" s="435"/>
      <c r="W25" s="435"/>
      <c r="X25" s="435"/>
      <c r="Y25" s="435"/>
      <c r="Z25" s="435"/>
      <c r="AA25" s="435"/>
      <c r="AB25" s="435"/>
      <c r="AC25" s="435"/>
      <c r="AD25" s="435"/>
      <c r="AE25" s="435"/>
      <c r="AF25" s="435"/>
      <c r="AG25" s="435"/>
      <c r="AH25" s="435"/>
      <c r="AI25" s="435"/>
      <c r="AJ25" s="435"/>
      <c r="AK25" s="435"/>
      <c r="AL25" s="435"/>
      <c r="AM25" s="405"/>
      <c r="AO25" s="394" t="s">
        <v>166</v>
      </c>
      <c r="AP25" s="394" t="s">
        <v>166</v>
      </c>
      <c r="AQ25" s="394" t="s">
        <v>166</v>
      </c>
      <c r="AR25" s="394" t="s">
        <v>166</v>
      </c>
      <c r="AS25" s="394" t="s">
        <v>166</v>
      </c>
      <c r="AT25" s="394" t="s">
        <v>166</v>
      </c>
      <c r="AU25" s="394" t="s">
        <v>166</v>
      </c>
      <c r="AV25" s="394" t="s">
        <v>166</v>
      </c>
      <c r="AW25" s="394" t="s">
        <v>166</v>
      </c>
      <c r="AX25" s="394" t="s">
        <v>166</v>
      </c>
      <c r="AY25" s="394" t="s">
        <v>166</v>
      </c>
      <c r="AZ25" s="394" t="s">
        <v>166</v>
      </c>
      <c r="BA25" s="394" t="s">
        <v>166</v>
      </c>
      <c r="BB25" s="394" t="s">
        <v>166</v>
      </c>
      <c r="BC25" s="394" t="s">
        <v>166</v>
      </c>
      <c r="BD25" s="400"/>
      <c r="BE25" s="400"/>
      <c r="BF25" s="400"/>
      <c r="BG25" s="400"/>
      <c r="BH25" s="400"/>
      <c r="BI25" s="400"/>
      <c r="BJ25" s="394">
        <v>8.0</v>
      </c>
      <c r="BK25" s="394">
        <v>8.0</v>
      </c>
      <c r="BL25" s="394">
        <v>8.0</v>
      </c>
      <c r="BM25" s="394">
        <v>8.0</v>
      </c>
      <c r="BN25" s="394" t="s">
        <v>165</v>
      </c>
      <c r="BO25" s="394" t="s">
        <v>165</v>
      </c>
      <c r="BP25" s="394">
        <v>8.0</v>
      </c>
      <c r="BQ25" s="394">
        <v>8.0</v>
      </c>
      <c r="BR25" s="394">
        <v>8.0</v>
      </c>
      <c r="BS25" s="406">
        <f t="shared" si="6"/>
        <v>56</v>
      </c>
      <c r="BU25" s="394">
        <v>8.0</v>
      </c>
      <c r="BV25" s="394">
        <v>8.0</v>
      </c>
      <c r="BW25" s="394" t="s">
        <v>165</v>
      </c>
      <c r="BX25" s="394" t="s">
        <v>165</v>
      </c>
      <c r="BY25" s="394">
        <v>8.0</v>
      </c>
      <c r="BZ25" s="394">
        <v>8.0</v>
      </c>
      <c r="CA25" s="394">
        <v>8.0</v>
      </c>
      <c r="CB25" s="394">
        <v>8.0</v>
      </c>
      <c r="CC25" s="394">
        <v>8.0</v>
      </c>
      <c r="CD25" s="394" t="s">
        <v>165</v>
      </c>
      <c r="CE25" s="394" t="s">
        <v>165</v>
      </c>
      <c r="CF25" s="394">
        <v>8.0</v>
      </c>
      <c r="CG25" s="394">
        <v>8.0</v>
      </c>
      <c r="CH25" s="394">
        <v>8.0</v>
      </c>
      <c r="CI25" s="394">
        <v>8.0</v>
      </c>
      <c r="CJ25" s="394">
        <v>8.0</v>
      </c>
      <c r="CK25" s="394" t="s">
        <v>165</v>
      </c>
      <c r="CL25" s="394" t="s">
        <v>165</v>
      </c>
      <c r="CM25" s="394">
        <v>8.0</v>
      </c>
      <c r="CN25" s="394">
        <v>8.0</v>
      </c>
      <c r="CO25" s="394">
        <v>8.0</v>
      </c>
      <c r="CP25" s="394">
        <v>8.0</v>
      </c>
      <c r="CQ25" s="394">
        <v>8.0</v>
      </c>
      <c r="CR25" s="394" t="s">
        <v>165</v>
      </c>
      <c r="CS25" s="394" t="s">
        <v>165</v>
      </c>
      <c r="CT25" s="394">
        <v>8.0</v>
      </c>
      <c r="CU25" s="394">
        <v>8.0</v>
      </c>
      <c r="CV25" s="394">
        <v>8.0</v>
      </c>
      <c r="CW25" s="394">
        <v>8.0</v>
      </c>
      <c r="CX25" s="394">
        <v>8.0</v>
      </c>
      <c r="CY25" s="394" t="s">
        <v>165</v>
      </c>
      <c r="CZ25" s="400">
        <f t="shared" si="7"/>
        <v>176</v>
      </c>
      <c r="DB25" s="394" t="s">
        <v>165</v>
      </c>
      <c r="DC25" s="394">
        <v>8.0</v>
      </c>
      <c r="DD25" s="394">
        <v>8.0</v>
      </c>
      <c r="DE25" s="394">
        <v>8.0</v>
      </c>
      <c r="DF25" s="394">
        <v>8.0</v>
      </c>
      <c r="DG25" s="394">
        <v>8.0</v>
      </c>
      <c r="DH25" s="394" t="s">
        <v>165</v>
      </c>
      <c r="DI25" s="394" t="s">
        <v>165</v>
      </c>
      <c r="DJ25" s="394">
        <v>8.0</v>
      </c>
      <c r="DK25" s="394">
        <v>8.0</v>
      </c>
      <c r="DL25" s="394">
        <v>8.0</v>
      </c>
      <c r="DM25" s="394">
        <v>8.0</v>
      </c>
      <c r="DN25" s="394">
        <v>8.0</v>
      </c>
      <c r="DO25" s="394" t="s">
        <v>165</v>
      </c>
      <c r="DP25" s="394" t="s">
        <v>165</v>
      </c>
      <c r="DQ25" s="394">
        <v>8.0</v>
      </c>
      <c r="DR25" s="394">
        <v>8.0</v>
      </c>
      <c r="DS25" s="394">
        <v>8.0</v>
      </c>
      <c r="DT25" s="394">
        <v>8.0</v>
      </c>
      <c r="DU25" s="394">
        <v>8.0</v>
      </c>
      <c r="DV25" s="394" t="s">
        <v>165</v>
      </c>
      <c r="DW25" s="394" t="s">
        <v>165</v>
      </c>
      <c r="DX25" s="394" t="s">
        <v>245</v>
      </c>
      <c r="DY25" s="394" t="s">
        <v>245</v>
      </c>
      <c r="DZ25" s="394" t="s">
        <v>245</v>
      </c>
      <c r="EA25" s="394" t="s">
        <v>245</v>
      </c>
      <c r="EB25" s="394" t="s">
        <v>245</v>
      </c>
      <c r="EC25" s="394" t="s">
        <v>165</v>
      </c>
      <c r="ED25" s="394" t="s">
        <v>165</v>
      </c>
      <c r="EE25" s="394">
        <v>8.0</v>
      </c>
      <c r="EF25" s="394">
        <v>8.0</v>
      </c>
      <c r="EG25" s="407">
        <f t="shared" si="8"/>
        <v>136</v>
      </c>
      <c r="EI25" s="394">
        <v>8.0</v>
      </c>
      <c r="EJ25" s="394">
        <v>8.0</v>
      </c>
      <c r="EK25" s="394">
        <v>8.0</v>
      </c>
      <c r="EL25" s="394" t="s">
        <v>165</v>
      </c>
      <c r="EM25" s="394" t="s">
        <v>165</v>
      </c>
      <c r="EN25" s="394">
        <v>8.0</v>
      </c>
      <c r="EO25" s="394">
        <v>8.0</v>
      </c>
      <c r="EP25" s="394">
        <v>8.0</v>
      </c>
      <c r="EQ25" s="394">
        <v>8.0</v>
      </c>
      <c r="ER25" s="394" t="s">
        <v>245</v>
      </c>
      <c r="ES25" s="394" t="s">
        <v>165</v>
      </c>
      <c r="ET25" s="394" t="s">
        <v>165</v>
      </c>
      <c r="EU25" s="394">
        <v>8.0</v>
      </c>
      <c r="EV25" s="394">
        <v>8.0</v>
      </c>
      <c r="EW25" s="394">
        <v>8.0</v>
      </c>
      <c r="EX25" s="394">
        <v>8.0</v>
      </c>
      <c r="EY25" s="394">
        <v>8.0</v>
      </c>
      <c r="EZ25" s="394" t="s">
        <v>165</v>
      </c>
      <c r="FA25" s="394" t="s">
        <v>165</v>
      </c>
      <c r="FB25" s="394">
        <v>8.0</v>
      </c>
      <c r="FC25" s="394">
        <v>8.0</v>
      </c>
      <c r="FD25" s="394">
        <v>8.0</v>
      </c>
      <c r="FE25" s="394">
        <v>8.0</v>
      </c>
      <c r="FF25" s="394">
        <v>8.0</v>
      </c>
      <c r="FG25" s="394" t="s">
        <v>165</v>
      </c>
      <c r="FH25" s="394" t="s">
        <v>165</v>
      </c>
      <c r="FI25" s="394">
        <v>8.0</v>
      </c>
      <c r="FJ25" s="394">
        <v>8.0</v>
      </c>
      <c r="FK25" s="394">
        <v>8.0</v>
      </c>
      <c r="FL25" s="394">
        <v>8.0</v>
      </c>
      <c r="FM25" s="407">
        <f t="shared" si="9"/>
        <v>168</v>
      </c>
      <c r="FO25" s="394">
        <v>8.0</v>
      </c>
      <c r="FP25" s="394" t="s">
        <v>165</v>
      </c>
      <c r="FQ25" s="394" t="s">
        <v>165</v>
      </c>
      <c r="FR25" s="394">
        <v>8.0</v>
      </c>
      <c r="FS25" s="394">
        <v>8.0</v>
      </c>
      <c r="FT25" s="394">
        <v>8.0</v>
      </c>
      <c r="FU25" s="394">
        <v>8.0</v>
      </c>
      <c r="FV25" s="394">
        <v>8.0</v>
      </c>
      <c r="FW25" s="394" t="s">
        <v>165</v>
      </c>
      <c r="FX25" s="394" t="s">
        <v>165</v>
      </c>
      <c r="FY25" s="394">
        <v>8.0</v>
      </c>
      <c r="FZ25" s="394">
        <v>8.0</v>
      </c>
      <c r="GA25" s="394">
        <v>8.0</v>
      </c>
      <c r="GB25" s="394">
        <v>8.0</v>
      </c>
      <c r="GC25" s="394">
        <v>8.0</v>
      </c>
      <c r="GD25" s="394" t="s">
        <v>165</v>
      </c>
      <c r="GE25" s="394" t="s">
        <v>165</v>
      </c>
      <c r="GF25" s="394">
        <v>8.0</v>
      </c>
      <c r="GG25" s="394">
        <v>8.0</v>
      </c>
      <c r="GH25" s="394">
        <v>8.0</v>
      </c>
      <c r="GI25" s="394">
        <v>8.0</v>
      </c>
      <c r="GJ25" s="394">
        <v>8.0</v>
      </c>
      <c r="GK25" s="394" t="s">
        <v>165</v>
      </c>
      <c r="GL25" s="394" t="s">
        <v>165</v>
      </c>
      <c r="GM25" s="394">
        <v>8.0</v>
      </c>
      <c r="GN25" s="394">
        <v>8.0</v>
      </c>
      <c r="GO25" s="394">
        <v>8.0</v>
      </c>
      <c r="GP25" s="394">
        <v>8.0</v>
      </c>
      <c r="GQ25" s="394">
        <v>8.0</v>
      </c>
      <c r="GR25" s="394" t="s">
        <v>165</v>
      </c>
      <c r="GS25" s="394" t="s">
        <v>165</v>
      </c>
      <c r="GT25" s="400">
        <f t="shared" si="10"/>
        <v>168</v>
      </c>
      <c r="GV25" s="394">
        <v>8.0</v>
      </c>
      <c r="GW25" s="394">
        <v>8.0</v>
      </c>
      <c r="GX25" s="394">
        <v>8.0</v>
      </c>
      <c r="GY25" s="394">
        <v>8.0</v>
      </c>
      <c r="GZ25" s="394">
        <v>8.0</v>
      </c>
      <c r="HA25" s="394" t="s">
        <v>165</v>
      </c>
      <c r="HB25" s="394" t="s">
        <v>165</v>
      </c>
      <c r="HC25" s="394">
        <v>8.0</v>
      </c>
      <c r="HD25" s="394" t="s">
        <v>245</v>
      </c>
      <c r="HE25" s="394">
        <v>8.0</v>
      </c>
      <c r="HF25" s="394">
        <v>8.0</v>
      </c>
      <c r="HG25" s="394">
        <v>8.0</v>
      </c>
      <c r="HH25" s="394" t="s">
        <v>165</v>
      </c>
      <c r="HI25" s="394" t="s">
        <v>165</v>
      </c>
      <c r="HJ25" s="394">
        <v>8.0</v>
      </c>
      <c r="HK25" s="394">
        <v>8.0</v>
      </c>
      <c r="HL25" s="394" t="s">
        <v>245</v>
      </c>
      <c r="HM25" s="394">
        <v>8.0</v>
      </c>
      <c r="HN25" s="394">
        <v>8.0</v>
      </c>
      <c r="HO25" s="394" t="s">
        <v>165</v>
      </c>
      <c r="HP25" s="394" t="s">
        <v>165</v>
      </c>
      <c r="HQ25" s="394">
        <v>8.0</v>
      </c>
      <c r="HR25" s="394">
        <v>8.0</v>
      </c>
      <c r="HS25" s="394">
        <v>8.0</v>
      </c>
      <c r="HT25" s="394">
        <v>8.0</v>
      </c>
      <c r="HU25" s="394">
        <v>8.0</v>
      </c>
      <c r="HV25" s="394" t="s">
        <v>165</v>
      </c>
      <c r="HW25" s="394" t="s">
        <v>165</v>
      </c>
      <c r="HX25" s="394">
        <v>8.0</v>
      </c>
      <c r="HY25" s="394">
        <v>8.0</v>
      </c>
      <c r="HZ25" s="400">
        <f t="shared" si="2"/>
        <v>160</v>
      </c>
      <c r="IB25" s="394">
        <v>8.0</v>
      </c>
      <c r="IC25" s="394">
        <v>8.0</v>
      </c>
      <c r="ID25" s="394">
        <v>8.0</v>
      </c>
      <c r="IE25" s="394" t="s">
        <v>165</v>
      </c>
      <c r="IF25" s="394" t="s">
        <v>165</v>
      </c>
      <c r="IG25" s="394">
        <v>8.0</v>
      </c>
      <c r="IH25" s="394">
        <v>8.0</v>
      </c>
      <c r="II25" s="394">
        <v>8.0</v>
      </c>
      <c r="IJ25" s="394">
        <v>8.0</v>
      </c>
      <c r="IK25" s="394">
        <v>8.0</v>
      </c>
      <c r="IL25" s="394" t="s">
        <v>165</v>
      </c>
      <c r="IM25" s="394" t="s">
        <v>165</v>
      </c>
      <c r="IN25" s="394">
        <v>8.0</v>
      </c>
      <c r="IO25" s="394">
        <v>8.0</v>
      </c>
      <c r="IP25" s="394">
        <v>8.0</v>
      </c>
      <c r="IQ25" s="394">
        <v>8.0</v>
      </c>
      <c r="IR25" s="394">
        <v>8.0</v>
      </c>
      <c r="IS25" s="394" t="s">
        <v>165</v>
      </c>
      <c r="IT25" s="394" t="s">
        <v>165</v>
      </c>
      <c r="IU25" s="394">
        <v>8.0</v>
      </c>
      <c r="IV25" s="394" t="s">
        <v>245</v>
      </c>
      <c r="IW25" s="394" t="s">
        <v>245</v>
      </c>
      <c r="IX25" s="394">
        <v>8.0</v>
      </c>
      <c r="IY25" s="394" t="s">
        <v>245</v>
      </c>
      <c r="IZ25" s="394" t="s">
        <v>165</v>
      </c>
      <c r="JA25" s="394" t="s">
        <v>165</v>
      </c>
      <c r="JB25" s="394">
        <v>8.0</v>
      </c>
      <c r="JC25" s="394">
        <v>8.0</v>
      </c>
      <c r="JD25" s="394" t="s">
        <v>245</v>
      </c>
      <c r="JE25" s="394">
        <v>8.0</v>
      </c>
      <c r="JF25" s="394">
        <v>8.0</v>
      </c>
      <c r="JG25" s="400">
        <f t="shared" si="3"/>
        <v>152</v>
      </c>
      <c r="JI25" s="394" t="s">
        <v>165</v>
      </c>
      <c r="JJ25" s="394" t="s">
        <v>165</v>
      </c>
      <c r="JK25" s="394">
        <v>8.0</v>
      </c>
      <c r="JL25" s="394">
        <v>8.0</v>
      </c>
      <c r="JM25" s="394" t="s">
        <v>245</v>
      </c>
      <c r="JN25" s="394" t="s">
        <v>245</v>
      </c>
      <c r="JO25" s="394" t="s">
        <v>245</v>
      </c>
      <c r="JP25" s="394" t="s">
        <v>165</v>
      </c>
      <c r="JQ25" s="394" t="s">
        <v>165</v>
      </c>
      <c r="JR25" s="394" t="s">
        <v>245</v>
      </c>
      <c r="JS25" s="394" t="s">
        <v>245</v>
      </c>
      <c r="JT25" s="394">
        <v>8.0</v>
      </c>
      <c r="JU25" s="394">
        <v>8.0</v>
      </c>
      <c r="JV25" s="394">
        <v>8.0</v>
      </c>
      <c r="JW25" s="394" t="s">
        <v>165</v>
      </c>
      <c r="JX25" s="394" t="s">
        <v>165</v>
      </c>
      <c r="JY25" s="394">
        <v>8.0</v>
      </c>
      <c r="JZ25" s="394">
        <v>8.0</v>
      </c>
      <c r="KA25" s="394">
        <v>8.0</v>
      </c>
      <c r="KB25" s="394">
        <v>8.0</v>
      </c>
      <c r="KC25" s="394">
        <v>8.0</v>
      </c>
      <c r="KD25" s="394" t="s">
        <v>165</v>
      </c>
      <c r="KE25" s="394" t="s">
        <v>165</v>
      </c>
      <c r="KF25" s="394">
        <v>8.0</v>
      </c>
      <c r="KG25" s="394">
        <v>8.0</v>
      </c>
      <c r="KH25" s="394">
        <v>8.0</v>
      </c>
      <c r="KI25" s="394">
        <v>8.0</v>
      </c>
      <c r="KJ25" s="394">
        <v>8.0</v>
      </c>
      <c r="KK25" s="394" t="s">
        <v>165</v>
      </c>
      <c r="KL25" s="394" t="s">
        <v>165</v>
      </c>
      <c r="KM25" s="394">
        <v>8.0</v>
      </c>
      <c r="KN25" s="145">
        <f t="shared" si="4"/>
        <v>128</v>
      </c>
      <c r="KP25" s="398"/>
      <c r="KQ25" s="398"/>
      <c r="KR25" s="398"/>
      <c r="KS25" s="398"/>
      <c r="KT25" s="398"/>
      <c r="KU25" s="398"/>
      <c r="KV25" s="398"/>
      <c r="KW25" s="398"/>
      <c r="KX25" s="398"/>
      <c r="KY25" s="398"/>
      <c r="KZ25" s="398"/>
      <c r="LA25" s="398"/>
      <c r="LB25" s="398"/>
      <c r="LC25" s="398"/>
      <c r="LD25" s="398"/>
      <c r="LE25" s="398"/>
      <c r="LF25" s="398"/>
      <c r="LG25" s="398"/>
      <c r="LH25" s="398"/>
      <c r="LI25" s="398"/>
      <c r="LJ25" s="398"/>
      <c r="LK25" s="398"/>
      <c r="LL25" s="398"/>
      <c r="LM25" s="398"/>
      <c r="LN25" s="398"/>
      <c r="LO25" s="398"/>
      <c r="LP25" s="398"/>
      <c r="LQ25" s="398"/>
      <c r="LR25" s="398"/>
      <c r="LT25" s="398"/>
      <c r="LU25" s="398"/>
      <c r="LV25" s="398"/>
      <c r="LW25" s="398"/>
      <c r="LX25" s="398"/>
      <c r="LY25" s="398"/>
      <c r="LZ25" s="398"/>
      <c r="MA25" s="398"/>
      <c r="MB25" s="398"/>
      <c r="MC25" s="398"/>
      <c r="MD25" s="398"/>
      <c r="ME25" s="398"/>
      <c r="MF25" s="398"/>
      <c r="MG25" s="398"/>
      <c r="MH25" s="398"/>
      <c r="MI25" s="398"/>
      <c r="MJ25" s="398"/>
      <c r="MK25" s="398"/>
      <c r="ML25" s="398"/>
      <c r="MM25" s="398"/>
      <c r="MN25" s="398"/>
      <c r="MO25" s="398"/>
      <c r="MP25" s="398"/>
      <c r="MQ25" s="398"/>
      <c r="MR25" s="398"/>
      <c r="MS25" s="398"/>
    </row>
    <row r="26" ht="16.5" customHeight="1">
      <c r="A26" s="420" t="s">
        <v>1275</v>
      </c>
      <c r="B26" s="407" t="s">
        <v>91</v>
      </c>
      <c r="C26" s="421" t="s">
        <v>99</v>
      </c>
      <c r="D26" s="395">
        <f t="shared" si="1"/>
        <v>3</v>
      </c>
      <c r="E26" s="407" t="s">
        <v>1237</v>
      </c>
      <c r="F26" s="400">
        <f>IFERROR(__xludf.DUMMYFUNCTION("IF(A26="""","""", counta(filter(Filter(FILTER($H$4:$SH76,$H$1:$SH$1&lt;today()),$A$4:$A76=A26),not(istext(Filter(FILTER($H$4:$SH76,$H$1:$SH$1&lt;today()),$A$4:$A76=A26))),not(Filter(FILTER($H$4:$SH76,$H$1:$SH$1&lt;today()),$A$4:$A76=A26)=0),Filter(FILTER($H$4:$SH7"&amp;"6,$H$1:$SH$1&lt;today()),$A$4:$A76=A26)&lt;23)))"),99.0)</f>
        <v>99</v>
      </c>
      <c r="H26" s="435"/>
      <c r="I26" s="435"/>
      <c r="J26" s="435"/>
      <c r="K26" s="435"/>
      <c r="L26" s="435"/>
      <c r="M26" s="435"/>
      <c r="N26" s="435"/>
      <c r="O26" s="435"/>
      <c r="P26" s="435"/>
      <c r="Q26" s="435"/>
      <c r="R26" s="435"/>
      <c r="S26" s="435"/>
      <c r="T26" s="435"/>
      <c r="U26" s="435"/>
      <c r="V26" s="435"/>
      <c r="W26" s="435"/>
      <c r="X26" s="435"/>
      <c r="Y26" s="435"/>
      <c r="Z26" s="435"/>
      <c r="AA26" s="435"/>
      <c r="AB26" s="435"/>
      <c r="AC26" s="435"/>
      <c r="AD26" s="435"/>
      <c r="AE26" s="435"/>
      <c r="AF26" s="435"/>
      <c r="AG26" s="435"/>
      <c r="AH26" s="435"/>
      <c r="AI26" s="435"/>
      <c r="AJ26" s="435"/>
      <c r="AK26" s="435"/>
      <c r="AL26" s="435"/>
      <c r="AM26" s="405"/>
      <c r="AO26" s="394" t="s">
        <v>166</v>
      </c>
      <c r="AP26" s="394" t="s">
        <v>166</v>
      </c>
      <c r="AQ26" s="394" t="s">
        <v>166</v>
      </c>
      <c r="AR26" s="394" t="s">
        <v>166</v>
      </c>
      <c r="AS26" s="394" t="s">
        <v>166</v>
      </c>
      <c r="AT26" s="394" t="s">
        <v>166</v>
      </c>
      <c r="AU26" s="394" t="s">
        <v>166</v>
      </c>
      <c r="AV26" s="394" t="s">
        <v>166</v>
      </c>
      <c r="AW26" s="394" t="s">
        <v>166</v>
      </c>
      <c r="AX26" s="394" t="s">
        <v>166</v>
      </c>
      <c r="AY26" s="394" t="s">
        <v>166</v>
      </c>
      <c r="AZ26" s="394" t="s">
        <v>166</v>
      </c>
      <c r="BA26" s="394" t="s">
        <v>166</v>
      </c>
      <c r="BB26" s="394" t="s">
        <v>166</v>
      </c>
      <c r="BC26" s="394" t="s">
        <v>166</v>
      </c>
      <c r="BD26" s="394">
        <v>8.0</v>
      </c>
      <c r="BE26" s="394">
        <v>8.0</v>
      </c>
      <c r="BF26" s="394">
        <v>8.0</v>
      </c>
      <c r="BG26" s="394" t="s">
        <v>165</v>
      </c>
      <c r="BH26" s="394" t="s">
        <v>165</v>
      </c>
      <c r="BI26" s="394" t="s">
        <v>165</v>
      </c>
      <c r="BJ26" s="394" t="s">
        <v>165</v>
      </c>
      <c r="BK26" s="394" t="s">
        <v>165</v>
      </c>
      <c r="BL26" s="394" t="s">
        <v>165</v>
      </c>
      <c r="BM26" s="394" t="s">
        <v>165</v>
      </c>
      <c r="BN26" s="394">
        <v>8.0</v>
      </c>
      <c r="BO26" s="394">
        <v>8.0</v>
      </c>
      <c r="BP26" s="394" t="s">
        <v>165</v>
      </c>
      <c r="BQ26" s="394" t="s">
        <v>165</v>
      </c>
      <c r="BR26" s="394" t="s">
        <v>165</v>
      </c>
      <c r="BS26" s="406">
        <f t="shared" si="6"/>
        <v>40</v>
      </c>
      <c r="BU26" s="394" t="s">
        <v>165</v>
      </c>
      <c r="BV26" s="394" t="s">
        <v>165</v>
      </c>
      <c r="BW26" s="394">
        <v>8.0</v>
      </c>
      <c r="BX26" s="394">
        <v>8.0</v>
      </c>
      <c r="BY26" s="394" t="s">
        <v>165</v>
      </c>
      <c r="BZ26" s="394" t="s">
        <v>165</v>
      </c>
      <c r="CA26" s="394" t="s">
        <v>165</v>
      </c>
      <c r="CB26" s="394" t="s">
        <v>165</v>
      </c>
      <c r="CC26" s="394" t="s">
        <v>165</v>
      </c>
      <c r="CD26" s="394">
        <v>8.0</v>
      </c>
      <c r="CE26" s="394">
        <v>8.0</v>
      </c>
      <c r="CF26" s="394" t="s">
        <v>165</v>
      </c>
      <c r="CG26" s="394" t="s">
        <v>165</v>
      </c>
      <c r="CH26" s="394" t="s">
        <v>165</v>
      </c>
      <c r="CI26" s="394" t="s">
        <v>165</v>
      </c>
      <c r="CJ26" s="394" t="s">
        <v>165</v>
      </c>
      <c r="CK26" s="394">
        <v>8.0</v>
      </c>
      <c r="CL26" s="394">
        <v>8.0</v>
      </c>
      <c r="CM26" s="394" t="s">
        <v>165</v>
      </c>
      <c r="CN26" s="394" t="s">
        <v>165</v>
      </c>
      <c r="CO26" s="394" t="s">
        <v>165</v>
      </c>
      <c r="CP26" s="394" t="s">
        <v>165</v>
      </c>
      <c r="CQ26" s="394" t="s">
        <v>165</v>
      </c>
      <c r="CR26" s="394">
        <v>8.0</v>
      </c>
      <c r="CS26" s="394">
        <v>8.0</v>
      </c>
      <c r="CT26" s="394" t="s">
        <v>165</v>
      </c>
      <c r="CU26" s="394" t="s">
        <v>165</v>
      </c>
      <c r="CV26" s="394" t="s">
        <v>165</v>
      </c>
      <c r="CW26" s="394" t="s">
        <v>165</v>
      </c>
      <c r="CX26" s="394" t="s">
        <v>165</v>
      </c>
      <c r="CY26" s="394">
        <v>8.0</v>
      </c>
      <c r="CZ26" s="400">
        <f t="shared" si="7"/>
        <v>72</v>
      </c>
      <c r="DB26" s="394">
        <v>8.0</v>
      </c>
      <c r="DC26" s="394" t="s">
        <v>165</v>
      </c>
      <c r="DD26" s="394" t="s">
        <v>165</v>
      </c>
      <c r="DE26" s="394" t="s">
        <v>165</v>
      </c>
      <c r="DF26" s="394" t="s">
        <v>165</v>
      </c>
      <c r="DG26" s="394" t="s">
        <v>165</v>
      </c>
      <c r="DH26" s="394">
        <v>8.0</v>
      </c>
      <c r="DI26" s="394">
        <v>8.0</v>
      </c>
      <c r="DJ26" s="394" t="s">
        <v>165</v>
      </c>
      <c r="DK26" s="394" t="s">
        <v>165</v>
      </c>
      <c r="DL26" s="394" t="s">
        <v>165</v>
      </c>
      <c r="DM26" s="394" t="s">
        <v>165</v>
      </c>
      <c r="DN26" s="394" t="s">
        <v>165</v>
      </c>
      <c r="DO26" s="394">
        <v>8.0</v>
      </c>
      <c r="DP26" s="394">
        <v>8.0</v>
      </c>
      <c r="DQ26" s="394" t="s">
        <v>165</v>
      </c>
      <c r="DR26" s="394" t="s">
        <v>165</v>
      </c>
      <c r="DS26" s="394" t="s">
        <v>165</v>
      </c>
      <c r="DT26" s="394" t="s">
        <v>165</v>
      </c>
      <c r="DU26" s="394" t="s">
        <v>165</v>
      </c>
      <c r="DV26" s="394">
        <v>8.0</v>
      </c>
      <c r="DW26" s="394">
        <v>8.0</v>
      </c>
      <c r="DX26" s="394" t="s">
        <v>165</v>
      </c>
      <c r="DY26" s="394" t="s">
        <v>165</v>
      </c>
      <c r="DZ26" s="394" t="s">
        <v>165</v>
      </c>
      <c r="EA26" s="394" t="s">
        <v>165</v>
      </c>
      <c r="EB26" s="394" t="s">
        <v>165</v>
      </c>
      <c r="EC26" s="394">
        <v>8.0</v>
      </c>
      <c r="ED26" s="394">
        <v>8.0</v>
      </c>
      <c r="EE26" s="394" t="s">
        <v>165</v>
      </c>
      <c r="EF26" s="394" t="s">
        <v>165</v>
      </c>
      <c r="EG26" s="407">
        <f t="shared" si="8"/>
        <v>72</v>
      </c>
      <c r="EI26" s="394" t="s">
        <v>165</v>
      </c>
      <c r="EJ26" s="394" t="s">
        <v>165</v>
      </c>
      <c r="EK26" s="394" t="s">
        <v>165</v>
      </c>
      <c r="EL26" s="394">
        <v>8.0</v>
      </c>
      <c r="EM26" s="394">
        <v>8.0</v>
      </c>
      <c r="EN26" s="394" t="s">
        <v>165</v>
      </c>
      <c r="EO26" s="394" t="s">
        <v>165</v>
      </c>
      <c r="EP26" s="394" t="s">
        <v>165</v>
      </c>
      <c r="EQ26" s="394" t="s">
        <v>165</v>
      </c>
      <c r="ER26" s="394" t="s">
        <v>165</v>
      </c>
      <c r="ES26" s="394">
        <v>8.0</v>
      </c>
      <c r="ET26" s="394">
        <v>8.0</v>
      </c>
      <c r="EU26" s="394" t="s">
        <v>165</v>
      </c>
      <c r="EV26" s="394" t="s">
        <v>165</v>
      </c>
      <c r="EW26" s="394" t="s">
        <v>165</v>
      </c>
      <c r="EX26" s="394" t="s">
        <v>165</v>
      </c>
      <c r="EY26" s="394" t="s">
        <v>165</v>
      </c>
      <c r="EZ26" s="394">
        <v>8.0</v>
      </c>
      <c r="FA26" s="394">
        <v>8.0</v>
      </c>
      <c r="FB26" s="394" t="s">
        <v>165</v>
      </c>
      <c r="FC26" s="394" t="s">
        <v>165</v>
      </c>
      <c r="FD26" s="394" t="s">
        <v>165</v>
      </c>
      <c r="FE26" s="394" t="s">
        <v>165</v>
      </c>
      <c r="FF26" s="394" t="s">
        <v>165</v>
      </c>
      <c r="FG26" s="394">
        <v>8.0</v>
      </c>
      <c r="FH26" s="394">
        <v>8.0</v>
      </c>
      <c r="FI26" s="394" t="s">
        <v>165</v>
      </c>
      <c r="FJ26" s="394" t="s">
        <v>165</v>
      </c>
      <c r="FK26" s="394" t="s">
        <v>165</v>
      </c>
      <c r="FL26" s="394" t="s">
        <v>165</v>
      </c>
      <c r="FM26" s="407">
        <f t="shared" si="9"/>
        <v>64</v>
      </c>
      <c r="FO26" s="394">
        <v>8.0</v>
      </c>
      <c r="FP26" s="394">
        <v>8.0</v>
      </c>
      <c r="FQ26" s="394">
        <v>8.0</v>
      </c>
      <c r="FR26" s="394" t="s">
        <v>165</v>
      </c>
      <c r="FS26" s="394" t="s">
        <v>165</v>
      </c>
      <c r="FT26" s="394">
        <v>8.0</v>
      </c>
      <c r="FU26" s="394">
        <v>8.0</v>
      </c>
      <c r="FV26" s="394">
        <v>8.0</v>
      </c>
      <c r="FW26" s="394">
        <v>8.0</v>
      </c>
      <c r="FX26" s="394">
        <v>8.0</v>
      </c>
      <c r="FY26" s="394" t="s">
        <v>165</v>
      </c>
      <c r="FZ26" s="394" t="s">
        <v>165</v>
      </c>
      <c r="GA26" s="394">
        <v>8.0</v>
      </c>
      <c r="GB26" s="394">
        <v>8.0</v>
      </c>
      <c r="GC26" s="394">
        <v>8.0</v>
      </c>
      <c r="GD26" s="394">
        <v>8.0</v>
      </c>
      <c r="GE26" s="394">
        <v>8.0</v>
      </c>
      <c r="GF26" s="394" t="s">
        <v>165</v>
      </c>
      <c r="GG26" s="394" t="s">
        <v>165</v>
      </c>
      <c r="GH26" s="394">
        <v>8.0</v>
      </c>
      <c r="GI26" s="394">
        <v>8.0</v>
      </c>
      <c r="GJ26" s="394">
        <v>8.0</v>
      </c>
      <c r="GK26" s="394">
        <v>8.0</v>
      </c>
      <c r="GL26" s="394">
        <v>8.0</v>
      </c>
      <c r="GM26" s="394" t="s">
        <v>165</v>
      </c>
      <c r="GN26" s="394" t="s">
        <v>165</v>
      </c>
      <c r="GO26" s="394">
        <v>8.0</v>
      </c>
      <c r="GP26" s="394">
        <v>8.0</v>
      </c>
      <c r="GQ26" s="394">
        <v>8.0</v>
      </c>
      <c r="GR26" s="394">
        <v>8.0</v>
      </c>
      <c r="GS26" s="394">
        <v>8.0</v>
      </c>
      <c r="GT26" s="400">
        <f t="shared" si="10"/>
        <v>184</v>
      </c>
      <c r="GV26" s="394" t="s">
        <v>165</v>
      </c>
      <c r="GW26" s="394" t="s">
        <v>165</v>
      </c>
      <c r="GX26" s="394">
        <v>8.0</v>
      </c>
      <c r="GY26" s="394">
        <v>8.0</v>
      </c>
      <c r="GZ26" s="394">
        <v>8.0</v>
      </c>
      <c r="HA26" s="394">
        <v>8.0</v>
      </c>
      <c r="HB26" s="394">
        <v>8.0</v>
      </c>
      <c r="HC26" s="394" t="s">
        <v>165</v>
      </c>
      <c r="HD26" s="394" t="s">
        <v>165</v>
      </c>
      <c r="HE26" s="394">
        <v>8.0</v>
      </c>
      <c r="HF26" s="394">
        <v>8.0</v>
      </c>
      <c r="HG26" s="394">
        <v>8.0</v>
      </c>
      <c r="HH26" s="394">
        <v>8.0</v>
      </c>
      <c r="HI26" s="394">
        <v>8.0</v>
      </c>
      <c r="HJ26" s="394" t="s">
        <v>165</v>
      </c>
      <c r="HK26" s="394" t="s">
        <v>165</v>
      </c>
      <c r="HL26" s="394">
        <v>8.0</v>
      </c>
      <c r="HM26" s="394">
        <v>8.0</v>
      </c>
      <c r="HN26" s="394">
        <v>8.0</v>
      </c>
      <c r="HO26" s="394">
        <v>8.0</v>
      </c>
      <c r="HP26" s="394">
        <v>8.0</v>
      </c>
      <c r="HQ26" s="394" t="s">
        <v>165</v>
      </c>
      <c r="HR26" s="394" t="s">
        <v>165</v>
      </c>
      <c r="HS26" s="394">
        <v>8.0</v>
      </c>
      <c r="HT26" s="394">
        <v>8.0</v>
      </c>
      <c r="HU26" s="394">
        <v>8.0</v>
      </c>
      <c r="HV26" s="394">
        <v>8.0</v>
      </c>
      <c r="HW26" s="394">
        <v>8.0</v>
      </c>
      <c r="HX26" s="394" t="s">
        <v>165</v>
      </c>
      <c r="HY26" s="394" t="s">
        <v>165</v>
      </c>
      <c r="HZ26" s="400">
        <f t="shared" si="2"/>
        <v>160</v>
      </c>
      <c r="IB26" s="394">
        <v>8.0</v>
      </c>
      <c r="IC26" s="394">
        <v>8.0</v>
      </c>
      <c r="ID26" s="394">
        <v>8.0</v>
      </c>
      <c r="IE26" s="394">
        <v>8.0</v>
      </c>
      <c r="IF26" s="394">
        <v>8.0</v>
      </c>
      <c r="IG26" s="394" t="s">
        <v>165</v>
      </c>
      <c r="IH26" s="394" t="s">
        <v>165</v>
      </c>
      <c r="II26" s="394">
        <v>8.0</v>
      </c>
      <c r="IJ26" s="394">
        <v>8.0</v>
      </c>
      <c r="IK26" s="394">
        <v>8.0</v>
      </c>
      <c r="IL26" s="394">
        <v>8.0</v>
      </c>
      <c r="IM26" s="394">
        <v>8.0</v>
      </c>
      <c r="IN26" s="394" t="s">
        <v>165</v>
      </c>
      <c r="IO26" s="394" t="s">
        <v>165</v>
      </c>
      <c r="IP26" s="394">
        <v>8.0</v>
      </c>
      <c r="IQ26" s="394">
        <v>8.0</v>
      </c>
      <c r="IR26" s="394">
        <v>8.0</v>
      </c>
      <c r="IS26" s="394">
        <v>8.0</v>
      </c>
      <c r="IT26" s="394">
        <v>8.0</v>
      </c>
      <c r="IU26" s="394" t="s">
        <v>165</v>
      </c>
      <c r="IV26" s="394" t="s">
        <v>165</v>
      </c>
      <c r="IW26" s="394">
        <v>8.0</v>
      </c>
      <c r="IX26" s="394">
        <v>8.0</v>
      </c>
      <c r="IY26" s="394">
        <v>8.0</v>
      </c>
      <c r="IZ26" s="394">
        <v>8.0</v>
      </c>
      <c r="JA26" s="394">
        <v>8.0</v>
      </c>
      <c r="JB26" s="394" t="s">
        <v>165</v>
      </c>
      <c r="JC26" s="394" t="s">
        <v>165</v>
      </c>
      <c r="JD26" s="394">
        <v>8.0</v>
      </c>
      <c r="JE26" s="394">
        <v>8.0</v>
      </c>
      <c r="JF26" s="394">
        <v>8.0</v>
      </c>
      <c r="JG26" s="400">
        <f t="shared" si="3"/>
        <v>184</v>
      </c>
      <c r="JI26" s="394">
        <v>8.0</v>
      </c>
      <c r="JJ26" s="394">
        <v>8.0</v>
      </c>
      <c r="JK26" s="394" t="s">
        <v>165</v>
      </c>
      <c r="JL26" s="394" t="s">
        <v>165</v>
      </c>
      <c r="JM26" s="394">
        <v>8.0</v>
      </c>
      <c r="JN26" s="394">
        <v>8.0</v>
      </c>
      <c r="JO26" s="394">
        <v>8.0</v>
      </c>
      <c r="JP26" s="394">
        <v>8.0</v>
      </c>
      <c r="JQ26" s="394">
        <v>8.0</v>
      </c>
      <c r="JR26" s="394" t="s">
        <v>165</v>
      </c>
      <c r="JS26" s="394" t="s">
        <v>165</v>
      </c>
      <c r="JT26" s="394">
        <v>8.0</v>
      </c>
      <c r="JU26" s="394">
        <v>8.0</v>
      </c>
      <c r="JV26" s="394">
        <v>8.0</v>
      </c>
      <c r="JW26" s="394">
        <v>8.0</v>
      </c>
      <c r="JX26" s="394">
        <v>8.0</v>
      </c>
      <c r="JY26" s="394" t="s">
        <v>165</v>
      </c>
      <c r="JZ26" s="394" t="s">
        <v>165</v>
      </c>
      <c r="KA26" s="394">
        <v>8.0</v>
      </c>
      <c r="KB26" s="394">
        <v>8.0</v>
      </c>
      <c r="KC26" s="394">
        <v>8.0</v>
      </c>
      <c r="KD26" s="394">
        <v>8.0</v>
      </c>
      <c r="KE26" s="394">
        <v>8.0</v>
      </c>
      <c r="KF26" s="394" t="s">
        <v>165</v>
      </c>
      <c r="KG26" s="394" t="s">
        <v>165</v>
      </c>
      <c r="KH26" s="394">
        <v>8.0</v>
      </c>
      <c r="KI26" s="394">
        <v>8.0</v>
      </c>
      <c r="KJ26" s="394">
        <v>8.0</v>
      </c>
      <c r="KK26" s="394">
        <v>8.0</v>
      </c>
      <c r="KL26" s="394">
        <v>8.0</v>
      </c>
      <c r="KM26" s="394" t="s">
        <v>165</v>
      </c>
      <c r="KN26" s="145">
        <f t="shared" si="4"/>
        <v>176</v>
      </c>
      <c r="KP26" s="398"/>
      <c r="KQ26" s="398"/>
      <c r="KR26" s="398"/>
      <c r="KS26" s="398"/>
      <c r="KT26" s="398"/>
      <c r="KU26" s="398"/>
      <c r="KV26" s="398"/>
      <c r="KW26" s="398"/>
      <c r="KX26" s="398"/>
      <c r="KY26" s="398"/>
      <c r="KZ26" s="398"/>
      <c r="LA26" s="398"/>
      <c r="LB26" s="398"/>
      <c r="LC26" s="398"/>
      <c r="LD26" s="398"/>
      <c r="LE26" s="398"/>
      <c r="LF26" s="398"/>
      <c r="LG26" s="398"/>
      <c r="LH26" s="398"/>
      <c r="LI26" s="398"/>
      <c r="LJ26" s="398"/>
      <c r="LK26" s="398"/>
      <c r="LL26" s="398"/>
      <c r="LM26" s="398"/>
      <c r="LN26" s="398"/>
      <c r="LO26" s="398"/>
      <c r="LP26" s="398"/>
      <c r="LQ26" s="398"/>
      <c r="LR26" s="398"/>
      <c r="LT26" s="398"/>
      <c r="LU26" s="398"/>
      <c r="LV26" s="398"/>
      <c r="LW26" s="398"/>
      <c r="LX26" s="398"/>
      <c r="LY26" s="398"/>
      <c r="LZ26" s="398"/>
      <c r="MA26" s="398"/>
      <c r="MB26" s="398"/>
      <c r="MC26" s="398"/>
      <c r="MD26" s="398"/>
      <c r="ME26" s="398"/>
      <c r="MF26" s="398"/>
      <c r="MG26" s="398"/>
      <c r="MH26" s="398"/>
      <c r="MI26" s="398"/>
      <c r="MJ26" s="398"/>
      <c r="MK26" s="398"/>
      <c r="ML26" s="398"/>
      <c r="MM26" s="398"/>
      <c r="MN26" s="398"/>
      <c r="MO26" s="398"/>
      <c r="MP26" s="398"/>
      <c r="MQ26" s="398"/>
      <c r="MR26" s="398"/>
      <c r="MS26" s="398"/>
    </row>
    <row r="27" ht="16.5" hidden="1" customHeight="1">
      <c r="A27" s="411" t="s">
        <v>1276</v>
      </c>
      <c r="B27" s="412" t="s">
        <v>88</v>
      </c>
      <c r="C27" s="412" t="s">
        <v>98</v>
      </c>
      <c r="D27" s="413">
        <f t="shared" si="1"/>
        <v>0</v>
      </c>
      <c r="E27" s="414" t="s">
        <v>1250</v>
      </c>
      <c r="F27" s="415">
        <f>IFERROR(__xludf.DUMMYFUNCTION("IF(A27="""","""", counta(filter(Filter(FILTER($H$4:$PI76,$H$1:$PI$1&lt;today()),$A$4:$A76=A27),not(istext(Filter(FILTER($H$4:$PI76,$H$1:$PI$1&lt;today()),$A$4:$A76=A27))),not(Filter(FILTER($H$4:$PI76,$H$1:$PI$1&lt;today()),$A$4:$A76=A27)=0),Filter(FILTER($H$4:$PI7"&amp;"6,$H$1:$PI$1&lt;today()),$A$4:$A76=A27)&lt;23)))"),87.0)</f>
        <v>87</v>
      </c>
      <c r="H27" s="434"/>
      <c r="I27" s="434"/>
      <c r="J27" s="434"/>
      <c r="K27" s="434"/>
      <c r="L27" s="434"/>
      <c r="M27" s="434"/>
      <c r="N27" s="434"/>
      <c r="O27" s="434"/>
      <c r="P27" s="434"/>
      <c r="Q27" s="434"/>
      <c r="R27" s="434"/>
      <c r="S27" s="434"/>
      <c r="T27" s="434"/>
      <c r="U27" s="434"/>
      <c r="V27" s="434"/>
      <c r="W27" s="434"/>
      <c r="X27" s="434"/>
      <c r="Y27" s="434"/>
      <c r="Z27" s="434"/>
      <c r="AA27" s="434"/>
      <c r="AB27" s="434"/>
      <c r="AC27" s="434"/>
      <c r="AD27" s="434"/>
      <c r="AE27" s="434"/>
      <c r="AF27" s="434"/>
      <c r="AG27" s="434"/>
      <c r="AH27" s="434"/>
      <c r="AI27" s="434"/>
      <c r="AJ27" s="434"/>
      <c r="AK27" s="434"/>
      <c r="AL27" s="434"/>
      <c r="AM27" s="416"/>
      <c r="AO27" s="412" t="s">
        <v>166</v>
      </c>
      <c r="AP27" s="412" t="s">
        <v>166</v>
      </c>
      <c r="AQ27" s="412" t="s">
        <v>166</v>
      </c>
      <c r="AR27" s="412" t="s">
        <v>166</v>
      </c>
      <c r="AS27" s="412" t="s">
        <v>166</v>
      </c>
      <c r="AT27" s="412" t="s">
        <v>166</v>
      </c>
      <c r="AU27" s="412" t="s">
        <v>166</v>
      </c>
      <c r="AV27" s="412" t="s">
        <v>166</v>
      </c>
      <c r="AW27" s="412" t="s">
        <v>166</v>
      </c>
      <c r="AX27" s="412" t="s">
        <v>166</v>
      </c>
      <c r="AY27" s="412" t="s">
        <v>166</v>
      </c>
      <c r="AZ27" s="412" t="s">
        <v>166</v>
      </c>
      <c r="BA27" s="412" t="s">
        <v>166</v>
      </c>
      <c r="BB27" s="412" t="s">
        <v>166</v>
      </c>
      <c r="BC27" s="412" t="s">
        <v>166</v>
      </c>
      <c r="BD27" s="412" t="s">
        <v>166</v>
      </c>
      <c r="BE27" s="412" t="s">
        <v>166</v>
      </c>
      <c r="BF27" s="412" t="s">
        <v>166</v>
      </c>
      <c r="BG27" s="412" t="s">
        <v>166</v>
      </c>
      <c r="BH27" s="412" t="s">
        <v>166</v>
      </c>
      <c r="BI27" s="412" t="s">
        <v>166</v>
      </c>
      <c r="BJ27" s="412" t="s">
        <v>166</v>
      </c>
      <c r="BK27" s="412" t="s">
        <v>166</v>
      </c>
      <c r="BL27" s="412" t="s">
        <v>166</v>
      </c>
      <c r="BM27" s="412" t="s">
        <v>166</v>
      </c>
      <c r="BN27" s="412" t="s">
        <v>166</v>
      </c>
      <c r="BO27" s="412" t="s">
        <v>166</v>
      </c>
      <c r="BP27" s="412" t="s">
        <v>166</v>
      </c>
      <c r="BQ27" s="412" t="s">
        <v>166</v>
      </c>
      <c r="BR27" s="412">
        <v>7.0</v>
      </c>
      <c r="BS27" s="417">
        <f t="shared" si="6"/>
        <v>7</v>
      </c>
      <c r="BU27" s="412">
        <v>8.0</v>
      </c>
      <c r="BV27" s="412">
        <v>8.0</v>
      </c>
      <c r="BW27" s="425" t="s">
        <v>165</v>
      </c>
      <c r="BX27" s="425" t="s">
        <v>165</v>
      </c>
      <c r="BY27" s="412">
        <v>8.0</v>
      </c>
      <c r="BZ27" s="412">
        <v>8.0</v>
      </c>
      <c r="CA27" s="412">
        <v>8.0</v>
      </c>
      <c r="CB27" s="412">
        <v>8.0</v>
      </c>
      <c r="CC27" s="412">
        <v>8.0</v>
      </c>
      <c r="CD27" s="412">
        <v>8.0</v>
      </c>
      <c r="CE27" s="425" t="s">
        <v>165</v>
      </c>
      <c r="CF27" s="425" t="s">
        <v>165</v>
      </c>
      <c r="CG27" s="412">
        <v>8.0</v>
      </c>
      <c r="CH27" s="412">
        <v>8.0</v>
      </c>
      <c r="CI27" s="412">
        <v>8.0</v>
      </c>
      <c r="CJ27" s="412">
        <v>8.0</v>
      </c>
      <c r="CK27" s="412">
        <v>8.0</v>
      </c>
      <c r="CL27" s="425" t="s">
        <v>165</v>
      </c>
      <c r="CM27" s="425" t="s">
        <v>165</v>
      </c>
      <c r="CN27" s="412">
        <v>8.0</v>
      </c>
      <c r="CO27" s="412">
        <v>8.0</v>
      </c>
      <c r="CP27" s="412">
        <v>8.0</v>
      </c>
      <c r="CQ27" s="412">
        <v>8.0</v>
      </c>
      <c r="CR27" s="412">
        <v>8.0</v>
      </c>
      <c r="CS27" s="425" t="s">
        <v>165</v>
      </c>
      <c r="CT27" s="425" t="s">
        <v>165</v>
      </c>
      <c r="CU27" s="412">
        <v>8.0</v>
      </c>
      <c r="CV27" s="412">
        <v>8.0</v>
      </c>
      <c r="CW27" s="412">
        <v>8.0</v>
      </c>
      <c r="CX27" s="412">
        <v>8.0</v>
      </c>
      <c r="CY27" s="412">
        <v>8.0</v>
      </c>
      <c r="CZ27" s="415">
        <f t="shared" si="7"/>
        <v>184</v>
      </c>
      <c r="DB27" s="425" t="s">
        <v>165</v>
      </c>
      <c r="DC27" s="425" t="s">
        <v>165</v>
      </c>
      <c r="DD27" s="412">
        <v>8.0</v>
      </c>
      <c r="DE27" s="412">
        <v>8.0</v>
      </c>
      <c r="DF27" s="412" t="s">
        <v>245</v>
      </c>
      <c r="DG27" s="412" t="s">
        <v>245</v>
      </c>
      <c r="DH27" s="412" t="s">
        <v>245</v>
      </c>
      <c r="DI27" s="425" t="s">
        <v>165</v>
      </c>
      <c r="DJ27" s="412" t="s">
        <v>245</v>
      </c>
      <c r="DK27" s="412">
        <v>8.0</v>
      </c>
      <c r="DL27" s="412">
        <v>8.0</v>
      </c>
      <c r="DM27" s="412">
        <v>8.0</v>
      </c>
      <c r="DN27" s="412">
        <v>8.0</v>
      </c>
      <c r="DO27" s="412">
        <v>8.0</v>
      </c>
      <c r="DP27" s="425" t="s">
        <v>165</v>
      </c>
      <c r="DQ27" s="425" t="s">
        <v>165</v>
      </c>
      <c r="DR27" s="412">
        <v>8.0</v>
      </c>
      <c r="DS27" s="412">
        <v>8.0</v>
      </c>
      <c r="DT27" s="412">
        <v>8.0</v>
      </c>
      <c r="DU27" s="412">
        <v>8.0</v>
      </c>
      <c r="DV27" s="412">
        <v>8.0</v>
      </c>
      <c r="DW27" s="425" t="s">
        <v>165</v>
      </c>
      <c r="DX27" s="425" t="s">
        <v>165</v>
      </c>
      <c r="DY27" s="412">
        <v>8.0</v>
      </c>
      <c r="DZ27" s="412">
        <v>8.0</v>
      </c>
      <c r="EA27" s="412">
        <v>8.0</v>
      </c>
      <c r="EB27" s="412" t="s">
        <v>245</v>
      </c>
      <c r="EC27" s="412" t="s">
        <v>245</v>
      </c>
      <c r="ED27" s="425" t="s">
        <v>165</v>
      </c>
      <c r="EE27" s="425" t="s">
        <v>165</v>
      </c>
      <c r="EF27" s="412">
        <v>8.0</v>
      </c>
      <c r="EG27" s="418">
        <f t="shared" si="8"/>
        <v>128</v>
      </c>
      <c r="EI27" s="412">
        <v>8.0</v>
      </c>
      <c r="EJ27" s="412">
        <v>8.0</v>
      </c>
      <c r="EK27" s="412">
        <v>8.0</v>
      </c>
      <c r="EL27" s="412">
        <v>8.0</v>
      </c>
      <c r="EM27" s="425" t="s">
        <v>165</v>
      </c>
      <c r="EN27" s="425" t="s">
        <v>165</v>
      </c>
      <c r="EO27" s="412">
        <v>8.0</v>
      </c>
      <c r="EP27" s="412">
        <v>8.0</v>
      </c>
      <c r="EQ27" s="412">
        <v>8.0</v>
      </c>
      <c r="ER27" s="412">
        <v>8.0</v>
      </c>
      <c r="ES27" s="412">
        <v>8.0</v>
      </c>
      <c r="ET27" s="425" t="s">
        <v>165</v>
      </c>
      <c r="EU27" s="425" t="s">
        <v>165</v>
      </c>
      <c r="EV27" s="412">
        <v>8.0</v>
      </c>
      <c r="EW27" s="412">
        <v>8.0</v>
      </c>
      <c r="EX27" s="412">
        <v>8.0</v>
      </c>
      <c r="EY27" s="412">
        <v>8.0</v>
      </c>
      <c r="EZ27" s="412">
        <v>8.0</v>
      </c>
      <c r="FA27" s="425" t="s">
        <v>165</v>
      </c>
      <c r="FB27" s="425" t="s">
        <v>165</v>
      </c>
      <c r="FC27" s="412">
        <v>8.0</v>
      </c>
      <c r="FD27" s="412">
        <v>8.0</v>
      </c>
      <c r="FE27" s="412">
        <v>8.0</v>
      </c>
      <c r="FF27" s="412">
        <v>8.0</v>
      </c>
      <c r="FG27" s="412">
        <v>8.0</v>
      </c>
      <c r="FH27" s="425" t="s">
        <v>165</v>
      </c>
      <c r="FI27" s="425" t="s">
        <v>165</v>
      </c>
      <c r="FJ27" s="412">
        <v>8.0</v>
      </c>
      <c r="FK27" s="412">
        <v>8.0</v>
      </c>
      <c r="FL27" s="412">
        <v>8.0</v>
      </c>
      <c r="FM27" s="418">
        <f t="shared" si="9"/>
        <v>176</v>
      </c>
      <c r="FO27" s="412">
        <v>8.0</v>
      </c>
      <c r="FP27" s="412">
        <v>8.0</v>
      </c>
      <c r="FQ27" s="436" t="s">
        <v>165</v>
      </c>
      <c r="FR27" s="436" t="s">
        <v>165</v>
      </c>
      <c r="FS27" s="412">
        <v>8.0</v>
      </c>
      <c r="FT27" s="412">
        <v>8.0</v>
      </c>
      <c r="FU27" s="412">
        <v>8.0</v>
      </c>
      <c r="FV27" s="412">
        <v>8.0</v>
      </c>
      <c r="FW27" s="412">
        <v>8.0</v>
      </c>
      <c r="FX27" s="436" t="s">
        <v>165</v>
      </c>
      <c r="FY27" s="436" t="s">
        <v>165</v>
      </c>
      <c r="FZ27" s="412">
        <v>8.0</v>
      </c>
      <c r="GA27" s="412">
        <v>8.0</v>
      </c>
      <c r="GB27" s="412">
        <v>5.4</v>
      </c>
      <c r="GC27" s="412">
        <v>8.0</v>
      </c>
      <c r="GD27" s="412">
        <v>8.0</v>
      </c>
      <c r="GE27" s="425">
        <v>2.6</v>
      </c>
      <c r="GF27" s="436" t="s">
        <v>165</v>
      </c>
      <c r="GG27" s="412">
        <v>8.0</v>
      </c>
      <c r="GH27" s="412">
        <v>8.0</v>
      </c>
      <c r="GI27" s="412">
        <v>8.0</v>
      </c>
      <c r="GJ27" s="412">
        <v>8.0</v>
      </c>
      <c r="GK27" s="412" t="s">
        <v>245</v>
      </c>
      <c r="GL27" s="436" t="s">
        <v>165</v>
      </c>
      <c r="GM27" s="436" t="s">
        <v>165</v>
      </c>
      <c r="GN27" s="412">
        <v>8.0</v>
      </c>
      <c r="GO27" s="412">
        <v>8.0</v>
      </c>
      <c r="GP27" s="412" t="s">
        <v>171</v>
      </c>
      <c r="GQ27" s="412">
        <v>8.0</v>
      </c>
      <c r="GR27" s="412">
        <v>8.0</v>
      </c>
      <c r="GS27" s="436" t="s">
        <v>165</v>
      </c>
      <c r="GT27" s="415">
        <f t="shared" si="10"/>
        <v>160</v>
      </c>
      <c r="GV27" s="436" t="s">
        <v>165</v>
      </c>
      <c r="GW27" s="412">
        <v>8.0</v>
      </c>
      <c r="GX27" s="412">
        <v>8.0</v>
      </c>
      <c r="GY27" s="412"/>
      <c r="GZ27" s="412"/>
      <c r="HA27" s="412"/>
      <c r="HB27" s="436"/>
      <c r="HC27" s="436"/>
      <c r="HD27" s="412"/>
      <c r="HE27" s="412"/>
      <c r="HF27" s="412"/>
      <c r="HG27" s="412"/>
      <c r="HH27" s="412"/>
      <c r="HI27" s="436"/>
      <c r="HJ27" s="436"/>
      <c r="HK27" s="412"/>
      <c r="HL27" s="412"/>
      <c r="HM27" s="412"/>
      <c r="HN27" s="412"/>
      <c r="HO27" s="412"/>
      <c r="HP27" s="436"/>
      <c r="HQ27" s="436"/>
      <c r="HR27" s="412"/>
      <c r="HS27" s="412"/>
      <c r="HT27" s="412"/>
      <c r="HU27" s="412"/>
      <c r="HV27" s="412"/>
      <c r="HW27" s="436"/>
      <c r="HX27" s="436"/>
      <c r="HY27" s="412"/>
      <c r="HZ27" s="415">
        <f t="shared" si="2"/>
        <v>16</v>
      </c>
      <c r="IB27" s="412"/>
      <c r="IC27" s="412"/>
      <c r="ID27" s="412"/>
      <c r="IE27" s="412"/>
      <c r="IF27" s="436"/>
      <c r="IG27" s="436"/>
      <c r="IH27" s="412"/>
      <c r="II27" s="412"/>
      <c r="IJ27" s="412"/>
      <c r="IK27" s="412"/>
      <c r="IL27" s="412"/>
      <c r="IM27" s="436"/>
      <c r="IN27" s="436"/>
      <c r="IO27" s="412"/>
      <c r="IP27" s="412"/>
      <c r="IQ27" s="412"/>
      <c r="IR27" s="412"/>
      <c r="IS27" s="412"/>
      <c r="IT27" s="436"/>
      <c r="IU27" s="436"/>
      <c r="IV27" s="412"/>
      <c r="IW27" s="412"/>
      <c r="IX27" s="412"/>
      <c r="IY27" s="412"/>
      <c r="IZ27" s="412"/>
      <c r="JA27" s="436"/>
      <c r="JB27" s="436"/>
      <c r="JC27" s="412"/>
      <c r="JD27" s="412"/>
      <c r="JE27" s="412"/>
      <c r="JF27" s="412"/>
      <c r="JG27" s="415">
        <f t="shared" si="3"/>
        <v>0</v>
      </c>
      <c r="JI27" s="412"/>
      <c r="JJ27" s="436"/>
      <c r="JK27" s="436"/>
      <c r="JL27" s="412"/>
      <c r="JM27" s="412"/>
      <c r="JN27" s="412"/>
      <c r="JO27" s="412"/>
      <c r="JP27" s="412"/>
      <c r="JQ27" s="436"/>
      <c r="JR27" s="436"/>
      <c r="JS27" s="412"/>
      <c r="JT27" s="412"/>
      <c r="JU27" s="412"/>
      <c r="JV27" s="412"/>
      <c r="JW27" s="412"/>
      <c r="JX27" s="436"/>
      <c r="JY27" s="436"/>
      <c r="JZ27" s="412"/>
      <c r="KA27" s="412"/>
      <c r="KB27" s="412"/>
      <c r="KC27" s="412"/>
      <c r="KD27" s="412"/>
      <c r="KE27" s="436"/>
      <c r="KF27" s="436"/>
      <c r="KG27" s="412"/>
      <c r="KH27" s="412"/>
      <c r="KI27" s="412"/>
      <c r="KJ27" s="412"/>
      <c r="KK27" s="412"/>
      <c r="KL27" s="436"/>
      <c r="KM27" s="436"/>
      <c r="KN27" s="145">
        <f t="shared" si="4"/>
        <v>0</v>
      </c>
      <c r="KP27" s="398"/>
      <c r="KQ27" s="398"/>
      <c r="KR27" s="398"/>
      <c r="KS27" s="398"/>
      <c r="KT27" s="398"/>
      <c r="KU27" s="398"/>
      <c r="KV27" s="398"/>
      <c r="KW27" s="398"/>
      <c r="KX27" s="398"/>
      <c r="KY27" s="398"/>
      <c r="KZ27" s="398"/>
      <c r="LA27" s="398"/>
      <c r="LB27" s="398"/>
      <c r="LC27" s="398"/>
      <c r="LD27" s="398"/>
      <c r="LE27" s="398"/>
      <c r="LF27" s="398"/>
      <c r="LG27" s="398"/>
      <c r="LH27" s="398"/>
      <c r="LI27" s="398"/>
      <c r="LJ27" s="398"/>
      <c r="LK27" s="398"/>
      <c r="LL27" s="398"/>
      <c r="LM27" s="398"/>
      <c r="LN27" s="398"/>
      <c r="LO27" s="398"/>
      <c r="LP27" s="398"/>
      <c r="LQ27" s="398"/>
      <c r="LR27" s="398"/>
      <c r="LT27" s="398"/>
      <c r="LU27" s="398"/>
      <c r="LV27" s="398"/>
      <c r="LW27" s="398"/>
      <c r="LX27" s="398"/>
      <c r="LY27" s="398"/>
      <c r="LZ27" s="398"/>
      <c r="MA27" s="398"/>
      <c r="MB27" s="398"/>
      <c r="MC27" s="398"/>
      <c r="MD27" s="398"/>
      <c r="ME27" s="398"/>
      <c r="MF27" s="398"/>
      <c r="MG27" s="398"/>
      <c r="MH27" s="398"/>
      <c r="MI27" s="398"/>
      <c r="MJ27" s="398"/>
      <c r="MK27" s="398"/>
      <c r="ML27" s="398"/>
      <c r="MM27" s="398"/>
      <c r="MN27" s="398"/>
      <c r="MO27" s="398"/>
      <c r="MP27" s="398"/>
      <c r="MQ27" s="398"/>
      <c r="MR27" s="398"/>
      <c r="MS27" s="398"/>
    </row>
    <row r="28" ht="16.5" customHeight="1">
      <c r="A28" s="393" t="s">
        <v>1277</v>
      </c>
      <c r="B28" s="394" t="s">
        <v>93</v>
      </c>
      <c r="C28" s="394" t="s">
        <v>99</v>
      </c>
      <c r="D28" s="395">
        <f t="shared" si="1"/>
        <v>0</v>
      </c>
      <c r="E28" s="396" t="s">
        <v>1250</v>
      </c>
      <c r="F28" s="397">
        <f>IFERROR(__xludf.DUMMYFUNCTION("IF(A28="""","""", counta(filter(Filter(FILTER($H$4:$PI76,$H$1:$PI$1&lt;today()),$A$4:$A76=A28),not(istext(Filter(FILTER($H$4:$PI76,$H$1:$PI$1&lt;today()),$A$4:$A76=A28))),not(Filter(FILTER($H$4:$PI76,$H$1:$PI$1&lt;today()),$A$4:$A76=A28)=0),Filter(FILTER($H$4:$PI7"&amp;"6,$H$1:$PI$1&lt;today()),$A$4:$A76=A28)&lt;23)))"),97.0)</f>
        <v>97</v>
      </c>
      <c r="H28" s="435"/>
      <c r="I28" s="435"/>
      <c r="J28" s="435"/>
      <c r="K28" s="435"/>
      <c r="L28" s="435"/>
      <c r="M28" s="435"/>
      <c r="N28" s="435"/>
      <c r="O28" s="435"/>
      <c r="P28" s="435"/>
      <c r="Q28" s="435"/>
      <c r="R28" s="435"/>
      <c r="S28" s="435"/>
      <c r="T28" s="435"/>
      <c r="U28" s="435"/>
      <c r="V28" s="435"/>
      <c r="W28" s="435"/>
      <c r="X28" s="435"/>
      <c r="Y28" s="435"/>
      <c r="Z28" s="435"/>
      <c r="AA28" s="435"/>
      <c r="AB28" s="435"/>
      <c r="AC28" s="435"/>
      <c r="AD28" s="435"/>
      <c r="AE28" s="435"/>
      <c r="AF28" s="435"/>
      <c r="AG28" s="435"/>
      <c r="AH28" s="435"/>
      <c r="AI28" s="435"/>
      <c r="AJ28" s="435"/>
      <c r="AK28" s="435"/>
      <c r="AL28" s="435"/>
      <c r="AM28" s="405"/>
      <c r="AO28" s="400"/>
      <c r="AP28" s="400"/>
      <c r="AQ28" s="400"/>
      <c r="AR28" s="400"/>
      <c r="AS28" s="400"/>
      <c r="AT28" s="400"/>
      <c r="AU28" s="394"/>
      <c r="AV28" s="400"/>
      <c r="AW28" s="400"/>
      <c r="AX28" s="394"/>
      <c r="AY28" s="400"/>
      <c r="AZ28" s="400"/>
      <c r="BA28" s="394"/>
      <c r="BB28" s="400"/>
      <c r="BC28" s="400"/>
      <c r="BD28" s="400"/>
      <c r="BE28" s="400"/>
      <c r="BF28" s="400"/>
      <c r="BG28" s="400"/>
      <c r="BH28" s="400"/>
      <c r="BI28" s="400"/>
      <c r="BJ28" s="400"/>
      <c r="BK28" s="400"/>
      <c r="BL28" s="400"/>
      <c r="BM28" s="400"/>
      <c r="BN28" s="400"/>
      <c r="BO28" s="400"/>
      <c r="BP28" s="400"/>
      <c r="BQ28" s="400"/>
      <c r="BR28" s="400"/>
      <c r="BS28" s="400"/>
      <c r="BU28" s="394" t="s">
        <v>166</v>
      </c>
      <c r="BV28" s="394" t="s">
        <v>166</v>
      </c>
      <c r="BW28" s="394" t="s">
        <v>166</v>
      </c>
      <c r="BX28" s="394" t="s">
        <v>166</v>
      </c>
      <c r="BY28" s="394" t="s">
        <v>166</v>
      </c>
      <c r="BZ28" s="394" t="s">
        <v>166</v>
      </c>
      <c r="CA28" s="394" t="s">
        <v>166</v>
      </c>
      <c r="CB28" s="394" t="s">
        <v>166</v>
      </c>
      <c r="CC28" s="394" t="s">
        <v>166</v>
      </c>
      <c r="CD28" s="394" t="s">
        <v>166</v>
      </c>
      <c r="CE28" s="394" t="s">
        <v>166</v>
      </c>
      <c r="CF28" s="394" t="s">
        <v>166</v>
      </c>
      <c r="CG28" s="394" t="s">
        <v>166</v>
      </c>
      <c r="CH28" s="394" t="s">
        <v>166</v>
      </c>
      <c r="CI28" s="394" t="s">
        <v>166</v>
      </c>
      <c r="CJ28" s="394" t="s">
        <v>166</v>
      </c>
      <c r="CK28" s="394" t="s">
        <v>166</v>
      </c>
      <c r="CL28" s="394" t="s">
        <v>166</v>
      </c>
      <c r="CM28" s="394">
        <v>8.0</v>
      </c>
      <c r="CN28" s="394" t="s">
        <v>245</v>
      </c>
      <c r="CO28" s="394">
        <v>8.0</v>
      </c>
      <c r="CP28" s="394">
        <v>8.0</v>
      </c>
      <c r="CQ28" s="394">
        <v>8.0</v>
      </c>
      <c r="CR28" s="410" t="s">
        <v>165</v>
      </c>
      <c r="CS28" s="410" t="s">
        <v>165</v>
      </c>
      <c r="CT28" s="394">
        <v>8.0</v>
      </c>
      <c r="CU28" s="394">
        <v>8.0</v>
      </c>
      <c r="CV28" s="394" t="s">
        <v>165</v>
      </c>
      <c r="CW28" s="410" t="s">
        <v>165</v>
      </c>
      <c r="CX28" s="394">
        <v>8.0</v>
      </c>
      <c r="CY28" s="394">
        <v>8.0</v>
      </c>
      <c r="CZ28" s="400">
        <f t="shared" si="7"/>
        <v>64</v>
      </c>
      <c r="DB28" s="394">
        <v>8.0</v>
      </c>
      <c r="DC28" s="410" t="s">
        <v>165</v>
      </c>
      <c r="DD28" s="394">
        <v>8.0</v>
      </c>
      <c r="DE28" s="410" t="s">
        <v>165</v>
      </c>
      <c r="DF28" s="410" t="s">
        <v>165</v>
      </c>
      <c r="DG28" s="394">
        <v>8.0</v>
      </c>
      <c r="DH28" s="394">
        <v>8.0</v>
      </c>
      <c r="DI28" s="394">
        <v>8.0</v>
      </c>
      <c r="DJ28" s="410" t="s">
        <v>165</v>
      </c>
      <c r="DK28" s="394">
        <v>8.0</v>
      </c>
      <c r="DL28" s="410" t="s">
        <v>165</v>
      </c>
      <c r="DM28" s="410" t="s">
        <v>165</v>
      </c>
      <c r="DN28" s="394">
        <v>8.0</v>
      </c>
      <c r="DO28" s="394">
        <v>8.0</v>
      </c>
      <c r="DP28" s="394">
        <v>8.0</v>
      </c>
      <c r="DQ28" s="410" t="s">
        <v>165</v>
      </c>
      <c r="DR28" s="394">
        <v>8.0</v>
      </c>
      <c r="DS28" s="410" t="s">
        <v>165</v>
      </c>
      <c r="DT28" s="410" t="s">
        <v>165</v>
      </c>
      <c r="DU28" s="394">
        <v>8.0</v>
      </c>
      <c r="DV28" s="394">
        <v>8.0</v>
      </c>
      <c r="DW28" s="394">
        <v>8.0</v>
      </c>
      <c r="DX28" s="410" t="s">
        <v>165</v>
      </c>
      <c r="DY28" s="394">
        <v>8.0</v>
      </c>
      <c r="DZ28" s="410" t="s">
        <v>165</v>
      </c>
      <c r="EA28" s="410" t="s">
        <v>165</v>
      </c>
      <c r="EB28" s="394">
        <v>8.0</v>
      </c>
      <c r="EC28" s="394">
        <v>8.0</v>
      </c>
      <c r="ED28" s="394">
        <v>8.0</v>
      </c>
      <c r="EE28" s="410" t="s">
        <v>165</v>
      </c>
      <c r="EF28" s="394">
        <v>8.0</v>
      </c>
      <c r="EG28" s="407">
        <f t="shared" si="8"/>
        <v>144</v>
      </c>
      <c r="EI28" s="410" t="s">
        <v>165</v>
      </c>
      <c r="EJ28" s="410" t="s">
        <v>165</v>
      </c>
      <c r="EK28" s="394" t="s">
        <v>245</v>
      </c>
      <c r="EL28" s="394">
        <v>8.0</v>
      </c>
      <c r="EM28" s="394">
        <v>8.0</v>
      </c>
      <c r="EN28" s="410" t="s">
        <v>165</v>
      </c>
      <c r="EO28" s="394" t="s">
        <v>245</v>
      </c>
      <c r="EP28" s="410" t="s">
        <v>165</v>
      </c>
      <c r="EQ28" s="410" t="s">
        <v>165</v>
      </c>
      <c r="ER28" s="394">
        <v>8.0</v>
      </c>
      <c r="ES28" s="394">
        <v>8.0</v>
      </c>
      <c r="ET28" s="394">
        <v>8.0</v>
      </c>
      <c r="EU28" s="410" t="s">
        <v>165</v>
      </c>
      <c r="EV28" s="394">
        <v>8.0</v>
      </c>
      <c r="EW28" s="394">
        <v>8.0</v>
      </c>
      <c r="EX28" s="410" t="s">
        <v>165</v>
      </c>
      <c r="EY28" s="394">
        <v>8.0</v>
      </c>
      <c r="EZ28" s="394">
        <v>8.0</v>
      </c>
      <c r="FA28" s="394">
        <v>8.0</v>
      </c>
      <c r="FB28" s="410" t="s">
        <v>165</v>
      </c>
      <c r="FC28" s="394">
        <v>8.0</v>
      </c>
      <c r="FD28" s="394">
        <v>8.0</v>
      </c>
      <c r="FE28" s="410" t="s">
        <v>165</v>
      </c>
      <c r="FF28" s="394">
        <v>8.0</v>
      </c>
      <c r="FG28" s="394">
        <v>8.0</v>
      </c>
      <c r="FH28" s="394">
        <v>8.0</v>
      </c>
      <c r="FI28" s="410" t="s">
        <v>165</v>
      </c>
      <c r="FJ28" s="394">
        <v>8.0</v>
      </c>
      <c r="FK28" s="410" t="s">
        <v>165</v>
      </c>
      <c r="FL28" s="410" t="s">
        <v>165</v>
      </c>
      <c r="FM28" s="407">
        <f t="shared" si="9"/>
        <v>128</v>
      </c>
      <c r="FO28" s="437">
        <v>8.0</v>
      </c>
      <c r="FP28" s="394">
        <v>8.0</v>
      </c>
      <c r="FQ28" s="394">
        <v>8.0</v>
      </c>
      <c r="FR28" s="403" t="s">
        <v>165</v>
      </c>
      <c r="FS28" s="394">
        <v>8.0</v>
      </c>
      <c r="FT28" s="403" t="s">
        <v>165</v>
      </c>
      <c r="FU28" s="403" t="s">
        <v>165</v>
      </c>
      <c r="FV28" s="437">
        <v>8.0</v>
      </c>
      <c r="FW28" s="394">
        <v>8.0</v>
      </c>
      <c r="FX28" s="394">
        <v>8.0</v>
      </c>
      <c r="FY28" s="403" t="s">
        <v>165</v>
      </c>
      <c r="FZ28" s="394">
        <v>8.0</v>
      </c>
      <c r="GA28" s="403" t="s">
        <v>165</v>
      </c>
      <c r="GB28" s="403" t="s">
        <v>165</v>
      </c>
      <c r="GC28" s="437">
        <v>8.0</v>
      </c>
      <c r="GD28" s="394">
        <v>8.0</v>
      </c>
      <c r="GE28" s="394">
        <v>8.0</v>
      </c>
      <c r="GF28" s="403" t="s">
        <v>165</v>
      </c>
      <c r="GG28" s="394">
        <v>8.0</v>
      </c>
      <c r="GH28" s="403" t="s">
        <v>165</v>
      </c>
      <c r="GI28" s="403" t="s">
        <v>165</v>
      </c>
      <c r="GJ28" s="437">
        <v>8.0</v>
      </c>
      <c r="GK28" s="394">
        <v>8.0</v>
      </c>
      <c r="GL28" s="394">
        <v>8.0</v>
      </c>
      <c r="GM28" s="403" t="s">
        <v>165</v>
      </c>
      <c r="GN28" s="394">
        <v>8.0</v>
      </c>
      <c r="GO28" s="403" t="s">
        <v>165</v>
      </c>
      <c r="GP28" s="403" t="s">
        <v>165</v>
      </c>
      <c r="GQ28" s="437">
        <v>8.0</v>
      </c>
      <c r="GR28" s="394">
        <v>8.0</v>
      </c>
      <c r="GS28" s="394">
        <v>8.0</v>
      </c>
      <c r="GT28" s="400">
        <f t="shared" si="10"/>
        <v>152</v>
      </c>
      <c r="GV28" s="403" t="s">
        <v>165</v>
      </c>
      <c r="GW28" s="394">
        <v>8.0</v>
      </c>
      <c r="GX28" s="403" t="s">
        <v>165</v>
      </c>
      <c r="GY28" s="403" t="s">
        <v>165</v>
      </c>
      <c r="GZ28" s="437">
        <v>8.0</v>
      </c>
      <c r="HA28" s="394">
        <v>8.0</v>
      </c>
      <c r="HB28" s="394">
        <v>8.0</v>
      </c>
      <c r="HC28" s="403" t="s">
        <v>165</v>
      </c>
      <c r="HD28" s="394">
        <v>8.0</v>
      </c>
      <c r="HE28" s="403" t="s">
        <v>165</v>
      </c>
      <c r="HF28" s="403" t="s">
        <v>165</v>
      </c>
      <c r="HG28" s="437">
        <v>8.0</v>
      </c>
      <c r="HH28" s="394">
        <v>8.0</v>
      </c>
      <c r="HI28" s="394">
        <v>8.0</v>
      </c>
      <c r="HJ28" s="403" t="s">
        <v>165</v>
      </c>
      <c r="HK28" s="394">
        <v>8.0</v>
      </c>
      <c r="HL28" s="403" t="s">
        <v>165</v>
      </c>
      <c r="HM28" s="403" t="s">
        <v>165</v>
      </c>
      <c r="HN28" s="437">
        <v>8.0</v>
      </c>
      <c r="HO28" s="394">
        <v>8.0</v>
      </c>
      <c r="HP28" s="394">
        <v>8.0</v>
      </c>
      <c r="HQ28" s="403" t="s">
        <v>165</v>
      </c>
      <c r="HR28" s="394">
        <v>8.0</v>
      </c>
      <c r="HS28" s="403" t="s">
        <v>165</v>
      </c>
      <c r="HT28" s="403" t="s">
        <v>165</v>
      </c>
      <c r="HU28" s="437">
        <v>8.0</v>
      </c>
      <c r="HV28" s="394">
        <v>8.0</v>
      </c>
      <c r="HW28" s="394">
        <v>8.0</v>
      </c>
      <c r="HX28" s="403" t="s">
        <v>165</v>
      </c>
      <c r="HY28" s="394">
        <v>8.0</v>
      </c>
      <c r="HZ28" s="400">
        <f t="shared" si="2"/>
        <v>136</v>
      </c>
      <c r="IB28" s="403" t="s">
        <v>165</v>
      </c>
      <c r="IC28" s="403" t="s">
        <v>165</v>
      </c>
      <c r="ID28" s="437">
        <v>8.0</v>
      </c>
      <c r="IE28" s="394">
        <v>8.0</v>
      </c>
      <c r="IF28" s="394">
        <v>8.0</v>
      </c>
      <c r="IG28" s="403" t="s">
        <v>165</v>
      </c>
      <c r="IH28" s="394">
        <v>8.0</v>
      </c>
      <c r="II28" s="403" t="s">
        <v>165</v>
      </c>
      <c r="IJ28" s="403" t="s">
        <v>165</v>
      </c>
      <c r="IK28" s="437">
        <v>8.0</v>
      </c>
      <c r="IL28" s="394">
        <v>8.0</v>
      </c>
      <c r="IM28" s="394">
        <v>8.0</v>
      </c>
      <c r="IN28" s="403" t="s">
        <v>165</v>
      </c>
      <c r="IO28" s="394">
        <v>8.0</v>
      </c>
      <c r="IP28" s="403" t="s">
        <v>165</v>
      </c>
      <c r="IQ28" s="403" t="s">
        <v>165</v>
      </c>
      <c r="IR28" s="437">
        <v>8.0</v>
      </c>
      <c r="IS28" s="394">
        <v>8.0</v>
      </c>
      <c r="IT28" s="394">
        <v>8.0</v>
      </c>
      <c r="IU28" s="403" t="s">
        <v>165</v>
      </c>
      <c r="IV28" s="394">
        <v>8.0</v>
      </c>
      <c r="IW28" s="403" t="s">
        <v>165</v>
      </c>
      <c r="IX28" s="403" t="s">
        <v>165</v>
      </c>
      <c r="IY28" s="437">
        <v>8.0</v>
      </c>
      <c r="IZ28" s="394">
        <v>8.0</v>
      </c>
      <c r="JA28" s="394">
        <v>8.0</v>
      </c>
      <c r="JB28" s="403" t="s">
        <v>165</v>
      </c>
      <c r="JC28" s="394">
        <v>8.0</v>
      </c>
      <c r="JD28" s="403" t="s">
        <v>165</v>
      </c>
      <c r="JE28" s="403" t="s">
        <v>165</v>
      </c>
      <c r="JF28" s="437">
        <v>8.0</v>
      </c>
      <c r="JG28" s="400">
        <f t="shared" si="3"/>
        <v>136</v>
      </c>
      <c r="JI28" s="394">
        <v>8.0</v>
      </c>
      <c r="JJ28" s="394">
        <v>8.0</v>
      </c>
      <c r="JK28" s="403" t="s">
        <v>165</v>
      </c>
      <c r="JL28" s="394">
        <v>8.0</v>
      </c>
      <c r="JM28" s="403" t="s">
        <v>165</v>
      </c>
      <c r="JN28" s="403" t="s">
        <v>165</v>
      </c>
      <c r="JO28" s="437">
        <v>8.0</v>
      </c>
      <c r="JP28" s="394">
        <v>8.0</v>
      </c>
      <c r="JQ28" s="394">
        <v>8.0</v>
      </c>
      <c r="JR28" s="403" t="s">
        <v>165</v>
      </c>
      <c r="JS28" s="394">
        <v>8.0</v>
      </c>
      <c r="JT28" s="403" t="s">
        <v>165</v>
      </c>
      <c r="JU28" s="403" t="s">
        <v>165</v>
      </c>
      <c r="JV28" s="437">
        <v>8.0</v>
      </c>
      <c r="JW28" s="394">
        <v>8.0</v>
      </c>
      <c r="JX28" s="394" t="s">
        <v>245</v>
      </c>
      <c r="JY28" s="403" t="s">
        <v>165</v>
      </c>
      <c r="JZ28" s="394" t="s">
        <v>245</v>
      </c>
      <c r="KA28" s="403" t="s">
        <v>165</v>
      </c>
      <c r="KB28" s="403" t="s">
        <v>165</v>
      </c>
      <c r="KC28" s="437">
        <v>8.0</v>
      </c>
      <c r="KD28" s="394" t="s">
        <v>245</v>
      </c>
      <c r="KE28" s="394" t="s">
        <v>245</v>
      </c>
      <c r="KF28" s="403" t="s">
        <v>165</v>
      </c>
      <c r="KG28" s="394" t="s">
        <v>245</v>
      </c>
      <c r="KH28" s="403" t="s">
        <v>165</v>
      </c>
      <c r="KI28" s="403" t="s">
        <v>165</v>
      </c>
      <c r="KJ28" s="437">
        <v>8.0</v>
      </c>
      <c r="KK28" s="394">
        <v>8.0</v>
      </c>
      <c r="KL28" s="394">
        <v>8.0</v>
      </c>
      <c r="KM28" s="403" t="s">
        <v>165</v>
      </c>
      <c r="KN28" s="145">
        <f t="shared" si="4"/>
        <v>104</v>
      </c>
      <c r="KP28" s="398"/>
      <c r="KQ28" s="398"/>
      <c r="KR28" s="398"/>
      <c r="KS28" s="398"/>
      <c r="KT28" s="398"/>
      <c r="KU28" s="398"/>
      <c r="KV28" s="398"/>
      <c r="KW28" s="398"/>
      <c r="KX28" s="398"/>
      <c r="KY28" s="398"/>
      <c r="KZ28" s="398"/>
      <c r="LA28" s="398"/>
      <c r="LB28" s="398"/>
      <c r="LC28" s="398"/>
      <c r="LD28" s="398"/>
      <c r="LE28" s="398"/>
      <c r="LF28" s="398"/>
      <c r="LG28" s="398"/>
      <c r="LH28" s="398"/>
      <c r="LI28" s="398"/>
      <c r="LJ28" s="398"/>
      <c r="LK28" s="398"/>
      <c r="LL28" s="398"/>
      <c r="LM28" s="398"/>
      <c r="LN28" s="398"/>
      <c r="LO28" s="398"/>
      <c r="LP28" s="398"/>
      <c r="LQ28" s="398"/>
      <c r="LR28" s="398"/>
      <c r="LT28" s="398"/>
      <c r="LU28" s="398"/>
      <c r="LV28" s="398"/>
      <c r="LW28" s="398"/>
      <c r="LX28" s="398"/>
      <c r="LY28" s="398"/>
      <c r="LZ28" s="398"/>
      <c r="MA28" s="398"/>
      <c r="MB28" s="398"/>
      <c r="MC28" s="398"/>
      <c r="MD28" s="398"/>
      <c r="ME28" s="398"/>
      <c r="MF28" s="398"/>
      <c r="MG28" s="398"/>
      <c r="MH28" s="398"/>
      <c r="MI28" s="398"/>
      <c r="MJ28" s="398"/>
      <c r="MK28" s="398"/>
      <c r="ML28" s="398"/>
      <c r="MM28" s="398"/>
      <c r="MN28" s="398"/>
      <c r="MO28" s="398"/>
      <c r="MP28" s="398"/>
      <c r="MQ28" s="398"/>
      <c r="MR28" s="398"/>
      <c r="MS28" s="398"/>
    </row>
    <row r="29" ht="15.75" customHeight="1">
      <c r="A29" s="393" t="s">
        <v>1278</v>
      </c>
      <c r="B29" s="394" t="s">
        <v>91</v>
      </c>
      <c r="C29" s="394" t="s">
        <v>99</v>
      </c>
      <c r="D29" s="395">
        <f t="shared" si="1"/>
        <v>0</v>
      </c>
      <c r="E29" s="396" t="s">
        <v>1250</v>
      </c>
      <c r="F29" s="397">
        <f>IFERROR(__xludf.DUMMYFUNCTION("IF(A29="""","""", counta(filter(Filter(FILTER($H$4:$PI76,$H$1:$PI$1&lt;today()),$A$4:$A76=A29),not(istext(Filter(FILTER($H$4:$PI76,$H$1:$PI$1&lt;today()),$A$4:$A76=A29))),not(Filter(FILTER($H$4:$PI76,$H$1:$PI$1&lt;today()),$A$4:$A76=A29)=0),Filter(FILTER($H$4:$PI7"&amp;"6,$H$1:$PI$1&lt;today()),$A$4:$A76=A29)&lt;23)))"),62.0)</f>
        <v>62</v>
      </c>
      <c r="H29" s="435"/>
      <c r="I29" s="435"/>
      <c r="J29" s="435"/>
      <c r="K29" s="435"/>
      <c r="L29" s="435"/>
      <c r="M29" s="435"/>
      <c r="N29" s="435"/>
      <c r="O29" s="435"/>
      <c r="P29" s="435"/>
      <c r="Q29" s="435"/>
      <c r="R29" s="435"/>
      <c r="S29" s="435"/>
      <c r="T29" s="435"/>
      <c r="U29" s="435"/>
      <c r="V29" s="435"/>
      <c r="W29" s="435"/>
      <c r="X29" s="435"/>
      <c r="Y29" s="435"/>
      <c r="Z29" s="435"/>
      <c r="AA29" s="435"/>
      <c r="AB29" s="435"/>
      <c r="AC29" s="435"/>
      <c r="AD29" s="435"/>
      <c r="AE29" s="435"/>
      <c r="AF29" s="435"/>
      <c r="AG29" s="435"/>
      <c r="AH29" s="435"/>
      <c r="AI29" s="435"/>
      <c r="AJ29" s="435"/>
      <c r="AK29" s="435"/>
      <c r="AL29" s="435"/>
      <c r="AM29" s="405"/>
      <c r="AO29" s="400"/>
      <c r="AP29" s="400"/>
      <c r="AQ29" s="400"/>
      <c r="AR29" s="400"/>
      <c r="AS29" s="400"/>
      <c r="AT29" s="400"/>
      <c r="AU29" s="394"/>
      <c r="AV29" s="400"/>
      <c r="AW29" s="400"/>
      <c r="AX29" s="394"/>
      <c r="AY29" s="400"/>
      <c r="AZ29" s="400"/>
      <c r="BA29" s="394"/>
      <c r="BB29" s="400"/>
      <c r="BC29" s="400"/>
      <c r="BD29" s="400"/>
      <c r="BE29" s="400"/>
      <c r="BF29" s="400"/>
      <c r="BG29" s="400"/>
      <c r="BH29" s="400"/>
      <c r="BI29" s="400"/>
      <c r="BJ29" s="400"/>
      <c r="BK29" s="400"/>
      <c r="BL29" s="400"/>
      <c r="BM29" s="400"/>
      <c r="BN29" s="400"/>
      <c r="BO29" s="400"/>
      <c r="BP29" s="400"/>
      <c r="BQ29" s="400"/>
      <c r="BR29" s="400"/>
      <c r="BS29" s="400"/>
      <c r="BU29" s="405"/>
      <c r="BV29" s="405"/>
      <c r="BW29" s="405"/>
      <c r="BX29" s="405"/>
      <c r="BY29" s="405"/>
      <c r="BZ29" s="405"/>
      <c r="CA29" s="405"/>
      <c r="CB29" s="405"/>
      <c r="CC29" s="405"/>
      <c r="CD29" s="405"/>
      <c r="CE29" s="405"/>
      <c r="CF29" s="405"/>
      <c r="CG29" s="405"/>
      <c r="CH29" s="405"/>
      <c r="CI29" s="405"/>
      <c r="CJ29" s="405"/>
      <c r="CK29" s="405"/>
      <c r="CL29" s="405"/>
      <c r="CM29" s="405"/>
      <c r="CN29" s="405"/>
      <c r="CO29" s="405"/>
      <c r="CP29" s="405"/>
      <c r="CQ29" s="405"/>
      <c r="CR29" s="405"/>
      <c r="CS29" s="405"/>
      <c r="CT29" s="405"/>
      <c r="CU29" s="405"/>
      <c r="CV29" s="405"/>
      <c r="CW29" s="405"/>
      <c r="CX29" s="405"/>
      <c r="CY29" s="405"/>
      <c r="CZ29" s="405"/>
      <c r="DB29" s="405"/>
      <c r="DC29" s="405"/>
      <c r="DD29" s="405"/>
      <c r="DE29" s="405"/>
      <c r="DF29" s="405"/>
      <c r="DG29" s="405"/>
      <c r="DH29" s="405"/>
      <c r="DI29" s="405"/>
      <c r="DJ29" s="405"/>
      <c r="DK29" s="405"/>
      <c r="DL29" s="405"/>
      <c r="DM29" s="405"/>
      <c r="DN29" s="405"/>
      <c r="DO29" s="405"/>
      <c r="DP29" s="405"/>
      <c r="DQ29" s="405"/>
      <c r="DR29" s="405"/>
      <c r="DS29" s="405"/>
      <c r="DT29" s="405"/>
      <c r="DU29" s="405"/>
      <c r="DV29" s="405"/>
      <c r="DW29" s="405"/>
      <c r="DX29" s="405"/>
      <c r="DY29" s="405"/>
      <c r="DZ29" s="405"/>
      <c r="EA29" s="405"/>
      <c r="EB29" s="405"/>
      <c r="EC29" s="405"/>
      <c r="ED29" s="405"/>
      <c r="EE29" s="405"/>
      <c r="EF29" s="405"/>
      <c r="EG29" s="438"/>
      <c r="EI29" s="394" t="s">
        <v>166</v>
      </c>
      <c r="EJ29" s="394" t="s">
        <v>166</v>
      </c>
      <c r="EK29" s="394" t="s">
        <v>166</v>
      </c>
      <c r="EL29" s="394" t="s">
        <v>166</v>
      </c>
      <c r="EM29" s="394" t="s">
        <v>166</v>
      </c>
      <c r="EN29" s="394" t="s">
        <v>166</v>
      </c>
      <c r="EO29" s="394" t="s">
        <v>166</v>
      </c>
      <c r="EP29" s="394" t="s">
        <v>166</v>
      </c>
      <c r="EQ29" s="394" t="s">
        <v>166</v>
      </c>
      <c r="ER29" s="394" t="s">
        <v>166</v>
      </c>
      <c r="ES29" s="394" t="s">
        <v>166</v>
      </c>
      <c r="ET29" s="394" t="s">
        <v>166</v>
      </c>
      <c r="EU29" s="394" t="s">
        <v>166</v>
      </c>
      <c r="EV29" s="394" t="s">
        <v>166</v>
      </c>
      <c r="EW29" s="394" t="s">
        <v>166</v>
      </c>
      <c r="EX29" s="394" t="s">
        <v>166</v>
      </c>
      <c r="EY29" s="394" t="s">
        <v>166</v>
      </c>
      <c r="EZ29" s="394" t="s">
        <v>166</v>
      </c>
      <c r="FA29" s="394" t="s">
        <v>166</v>
      </c>
      <c r="FB29" s="394" t="s">
        <v>166</v>
      </c>
      <c r="FC29" s="394">
        <v>8.0</v>
      </c>
      <c r="FD29" s="394">
        <v>8.0</v>
      </c>
      <c r="FE29" s="394">
        <v>8.0</v>
      </c>
      <c r="FF29" s="394">
        <v>8.0</v>
      </c>
      <c r="FG29" s="410" t="s">
        <v>165</v>
      </c>
      <c r="FH29" s="410" t="s">
        <v>165</v>
      </c>
      <c r="FI29" s="394">
        <v>8.0</v>
      </c>
      <c r="FJ29" s="394">
        <v>8.0</v>
      </c>
      <c r="FK29" s="394">
        <v>8.0</v>
      </c>
      <c r="FL29" s="394">
        <v>8.0</v>
      </c>
      <c r="FM29" s="407">
        <f t="shared" si="9"/>
        <v>64</v>
      </c>
      <c r="FO29" s="394">
        <v>8.0</v>
      </c>
      <c r="FP29" s="403" t="s">
        <v>165</v>
      </c>
      <c r="FQ29" s="403" t="s">
        <v>165</v>
      </c>
      <c r="FR29" s="394">
        <v>8.0</v>
      </c>
      <c r="FS29" s="394">
        <v>8.0</v>
      </c>
      <c r="FT29" s="394">
        <v>8.0</v>
      </c>
      <c r="FU29" s="394">
        <v>8.0</v>
      </c>
      <c r="FV29" s="394">
        <v>8.0</v>
      </c>
      <c r="FW29" s="403" t="s">
        <v>165</v>
      </c>
      <c r="FX29" s="403" t="s">
        <v>165</v>
      </c>
      <c r="FY29" s="403" t="s">
        <v>165</v>
      </c>
      <c r="FZ29" s="403" t="s">
        <v>165</v>
      </c>
      <c r="GA29" s="394">
        <v>8.0</v>
      </c>
      <c r="GB29" s="394">
        <v>8.0</v>
      </c>
      <c r="GC29" s="394">
        <v>8.0</v>
      </c>
      <c r="GD29" s="394">
        <v>8.0</v>
      </c>
      <c r="GE29" s="394">
        <v>8.0</v>
      </c>
      <c r="GF29" s="403" t="s">
        <v>165</v>
      </c>
      <c r="GG29" s="403" t="s">
        <v>165</v>
      </c>
      <c r="GH29" s="394">
        <v>8.0</v>
      </c>
      <c r="GI29" s="394">
        <v>8.0</v>
      </c>
      <c r="GJ29" s="394">
        <v>8.0</v>
      </c>
      <c r="GK29" s="394" t="s">
        <v>245</v>
      </c>
      <c r="GL29" s="394">
        <v>8.0</v>
      </c>
      <c r="GM29" s="403" t="s">
        <v>165</v>
      </c>
      <c r="GN29" s="403" t="s">
        <v>165</v>
      </c>
      <c r="GO29" s="394">
        <v>8.0</v>
      </c>
      <c r="GP29" s="394">
        <v>8.0</v>
      </c>
      <c r="GQ29" s="394">
        <v>8.0</v>
      </c>
      <c r="GR29" s="394" t="s">
        <v>245</v>
      </c>
      <c r="GS29" s="394" t="s">
        <v>245</v>
      </c>
      <c r="GT29" s="400">
        <f t="shared" si="10"/>
        <v>144</v>
      </c>
      <c r="GV29" s="394" t="s">
        <v>245</v>
      </c>
      <c r="GW29" s="403" t="s">
        <v>165</v>
      </c>
      <c r="GX29" s="394">
        <v>8.0</v>
      </c>
      <c r="GY29" s="394">
        <v>8.0</v>
      </c>
      <c r="GZ29" s="394">
        <v>8.0</v>
      </c>
      <c r="HA29" s="394">
        <v>8.0</v>
      </c>
      <c r="HB29" s="394" t="s">
        <v>245</v>
      </c>
      <c r="HC29" s="403" t="s">
        <v>165</v>
      </c>
      <c r="HD29" s="403" t="s">
        <v>165</v>
      </c>
      <c r="HE29" s="394">
        <v>8.0</v>
      </c>
      <c r="HF29" s="394">
        <v>8.0</v>
      </c>
      <c r="HG29" s="394">
        <v>8.0</v>
      </c>
      <c r="HH29" s="394" t="s">
        <v>245</v>
      </c>
      <c r="HI29" s="394">
        <v>8.0</v>
      </c>
      <c r="HJ29" s="403" t="s">
        <v>165</v>
      </c>
      <c r="HK29" s="403" t="s">
        <v>165</v>
      </c>
      <c r="HL29" s="394">
        <v>8.0</v>
      </c>
      <c r="HM29" s="394">
        <v>8.0</v>
      </c>
      <c r="HN29" s="394">
        <v>8.0</v>
      </c>
      <c r="HO29" s="394">
        <v>8.0</v>
      </c>
      <c r="HP29" s="394">
        <v>8.0</v>
      </c>
      <c r="HQ29" s="403" t="s">
        <v>165</v>
      </c>
      <c r="HR29" s="403" t="s">
        <v>165</v>
      </c>
      <c r="HS29" s="394">
        <v>8.0</v>
      </c>
      <c r="HT29" s="394">
        <v>8.0</v>
      </c>
      <c r="HU29" s="394">
        <v>8.0</v>
      </c>
      <c r="HV29" s="394">
        <v>8.0</v>
      </c>
      <c r="HW29" s="394">
        <v>8.0</v>
      </c>
      <c r="HX29" s="403" t="s">
        <v>165</v>
      </c>
      <c r="HY29" s="403" t="s">
        <v>165</v>
      </c>
      <c r="HZ29" s="400">
        <f t="shared" si="2"/>
        <v>144</v>
      </c>
      <c r="IB29" s="394">
        <v>8.0</v>
      </c>
      <c r="IC29" s="394">
        <v>8.0</v>
      </c>
      <c r="ID29" s="394" t="s">
        <v>245</v>
      </c>
      <c r="IE29" s="394" t="s">
        <v>245</v>
      </c>
      <c r="IF29" s="394" t="s">
        <v>245</v>
      </c>
      <c r="IG29" s="403" t="s">
        <v>165</v>
      </c>
      <c r="IH29" s="403" t="s">
        <v>165</v>
      </c>
      <c r="II29" s="394">
        <v>8.0</v>
      </c>
      <c r="IJ29" s="394" t="s">
        <v>245</v>
      </c>
      <c r="IK29" s="394">
        <v>9.0</v>
      </c>
      <c r="IL29" s="394">
        <v>9.0</v>
      </c>
      <c r="IM29" s="394">
        <v>9.0</v>
      </c>
      <c r="IN29" s="403">
        <v>1.0</v>
      </c>
      <c r="IO29" s="403" t="s">
        <v>165</v>
      </c>
      <c r="IP29" s="394">
        <v>9.0</v>
      </c>
      <c r="IQ29" s="394">
        <v>9.0</v>
      </c>
      <c r="IR29" s="394">
        <v>9.0</v>
      </c>
      <c r="IS29" s="394">
        <v>9.0</v>
      </c>
      <c r="IT29" s="394" t="s">
        <v>245</v>
      </c>
      <c r="IU29" s="403" t="s">
        <v>165</v>
      </c>
      <c r="IV29" s="403" t="s">
        <v>165</v>
      </c>
      <c r="IW29" s="394">
        <v>8.0</v>
      </c>
      <c r="IX29" s="394">
        <v>8.0</v>
      </c>
      <c r="IY29" s="394">
        <v>8.0</v>
      </c>
      <c r="IZ29" s="394">
        <v>8.0</v>
      </c>
      <c r="JA29" s="394">
        <v>8.0</v>
      </c>
      <c r="JB29" s="403" t="s">
        <v>165</v>
      </c>
      <c r="JC29" s="403" t="s">
        <v>165</v>
      </c>
      <c r="JD29" s="394">
        <v>8.0</v>
      </c>
      <c r="JE29" s="394">
        <v>8.0</v>
      </c>
      <c r="JF29" s="394" t="s">
        <v>245</v>
      </c>
      <c r="JG29" s="400">
        <f t="shared" si="3"/>
        <v>144</v>
      </c>
      <c r="JI29" s="394" t="s">
        <v>245</v>
      </c>
      <c r="JJ29" s="394" t="s">
        <v>245</v>
      </c>
      <c r="JK29" s="403" t="s">
        <v>165</v>
      </c>
      <c r="JL29" s="403" t="s">
        <v>165</v>
      </c>
      <c r="JM29" s="394">
        <v>8.0</v>
      </c>
      <c r="JN29" s="394">
        <v>8.0</v>
      </c>
      <c r="JO29" s="394">
        <v>8.0</v>
      </c>
      <c r="JP29" s="394">
        <v>8.0</v>
      </c>
      <c r="JQ29" s="394">
        <v>8.0</v>
      </c>
      <c r="JR29" s="403" t="s">
        <v>165</v>
      </c>
      <c r="JS29" s="403" t="s">
        <v>165</v>
      </c>
      <c r="JT29" s="394">
        <v>8.0</v>
      </c>
      <c r="JU29" s="394">
        <v>8.0</v>
      </c>
      <c r="JV29" s="394">
        <v>8.0</v>
      </c>
      <c r="JW29" s="394">
        <v>8.0</v>
      </c>
      <c r="JX29" s="394">
        <v>8.0</v>
      </c>
      <c r="JY29" s="403" t="s">
        <v>165</v>
      </c>
      <c r="JZ29" s="403" t="s">
        <v>165</v>
      </c>
      <c r="KA29" s="394">
        <v>8.0</v>
      </c>
      <c r="KB29" s="394">
        <v>8.0</v>
      </c>
      <c r="KC29" s="394">
        <v>8.0</v>
      </c>
      <c r="KD29" s="394">
        <v>8.0</v>
      </c>
      <c r="KE29" s="394">
        <v>8.0</v>
      </c>
      <c r="KF29" s="403" t="s">
        <v>165</v>
      </c>
      <c r="KG29" s="403" t="s">
        <v>165</v>
      </c>
      <c r="KH29" s="394">
        <v>8.0</v>
      </c>
      <c r="KI29" s="394">
        <v>8.0</v>
      </c>
      <c r="KJ29" s="394">
        <v>8.0</v>
      </c>
      <c r="KK29" s="394">
        <v>8.0</v>
      </c>
      <c r="KL29" s="394">
        <v>8.0</v>
      </c>
      <c r="KM29" s="403" t="s">
        <v>165</v>
      </c>
      <c r="KN29" s="145">
        <f t="shared" si="4"/>
        <v>160</v>
      </c>
      <c r="KP29" s="398"/>
      <c r="KQ29" s="398"/>
      <c r="KR29" s="398"/>
      <c r="KS29" s="398"/>
      <c r="KT29" s="398"/>
      <c r="KU29" s="398"/>
      <c r="KV29" s="398"/>
      <c r="KW29" s="398"/>
      <c r="KX29" s="398"/>
      <c r="KY29" s="398"/>
      <c r="KZ29" s="398"/>
      <c r="LA29" s="398"/>
      <c r="LB29" s="398"/>
      <c r="LC29" s="398"/>
      <c r="LD29" s="398"/>
      <c r="LE29" s="398"/>
      <c r="LF29" s="398"/>
      <c r="LG29" s="398"/>
      <c r="LH29" s="398"/>
      <c r="LI29" s="398"/>
      <c r="LJ29" s="398"/>
      <c r="LK29" s="398"/>
      <c r="LL29" s="398"/>
      <c r="LM29" s="398"/>
      <c r="LN29" s="398"/>
      <c r="LO29" s="398"/>
      <c r="LP29" s="398"/>
      <c r="LQ29" s="398"/>
      <c r="LR29" s="398"/>
      <c r="LT29" s="398"/>
      <c r="LU29" s="398"/>
      <c r="LV29" s="398"/>
      <c r="LW29" s="398"/>
      <c r="LX29" s="398"/>
      <c r="LY29" s="398"/>
      <c r="LZ29" s="398"/>
      <c r="MA29" s="398"/>
      <c r="MB29" s="398"/>
      <c r="MC29" s="398"/>
      <c r="MD29" s="398"/>
      <c r="ME29" s="398"/>
      <c r="MF29" s="398"/>
      <c r="MG29" s="398"/>
      <c r="MH29" s="398"/>
      <c r="MI29" s="398"/>
      <c r="MJ29" s="398"/>
      <c r="MK29" s="398"/>
      <c r="ML29" s="398"/>
      <c r="MM29" s="398"/>
      <c r="MN29" s="398"/>
      <c r="MO29" s="398"/>
      <c r="MP29" s="398"/>
      <c r="MQ29" s="398"/>
      <c r="MR29" s="398"/>
      <c r="MS29" s="398"/>
    </row>
    <row r="30" ht="16.5" hidden="1" customHeight="1">
      <c r="A30" s="411" t="s">
        <v>1279</v>
      </c>
      <c r="B30" s="412" t="s">
        <v>89</v>
      </c>
      <c r="C30" s="412" t="s">
        <v>98</v>
      </c>
      <c r="D30" s="413">
        <f t="shared" si="1"/>
        <v>0</v>
      </c>
      <c r="E30" s="414" t="s">
        <v>1250</v>
      </c>
      <c r="F30" s="439">
        <f>IFERROR(__xludf.DUMMYFUNCTION("IF(A30="""","""", counta(filter(Filter(FILTER($H$4:$PI76,$H$1:$PI$1&lt;today()),$A$4:$A76=A30),not(istext(Filter(FILTER($H$4:$PI76,$H$1:$PI$1&lt;today()),$A$4:$A76=A30))),not(Filter(FILTER($H$4:$PI76,$H$1:$PI$1&lt;today()),$A$4:$A76=A30)=0),Filter(FILTER($H$4:$PI7"&amp;"6,$H$1:$PI$1&lt;today()),$A$4:$A76=A30)&lt;23)))"),70.0)</f>
        <v>70</v>
      </c>
      <c r="H30" s="434"/>
      <c r="I30" s="434"/>
      <c r="J30" s="434"/>
      <c r="K30" s="434"/>
      <c r="L30" s="434"/>
      <c r="M30" s="434"/>
      <c r="N30" s="434"/>
      <c r="O30" s="434"/>
      <c r="P30" s="434"/>
      <c r="Q30" s="434"/>
      <c r="R30" s="434"/>
      <c r="S30" s="434"/>
      <c r="T30" s="434"/>
      <c r="U30" s="434"/>
      <c r="V30" s="434"/>
      <c r="W30" s="434"/>
      <c r="X30" s="434"/>
      <c r="Y30" s="434"/>
      <c r="Z30" s="434"/>
      <c r="AA30" s="434"/>
      <c r="AB30" s="434"/>
      <c r="AC30" s="434"/>
      <c r="AD30" s="434"/>
      <c r="AE30" s="434"/>
      <c r="AF30" s="434"/>
      <c r="AG30" s="434"/>
      <c r="AH30" s="434"/>
      <c r="AI30" s="434"/>
      <c r="AJ30" s="434"/>
      <c r="AK30" s="434"/>
      <c r="AL30" s="434"/>
      <c r="AM30" s="416"/>
      <c r="AO30" s="415"/>
      <c r="AP30" s="415"/>
      <c r="AQ30" s="415"/>
      <c r="AR30" s="415"/>
      <c r="AS30" s="415"/>
      <c r="AT30" s="415"/>
      <c r="AU30" s="412"/>
      <c r="AV30" s="415"/>
      <c r="AW30" s="415"/>
      <c r="AX30" s="412"/>
      <c r="AY30" s="415"/>
      <c r="AZ30" s="415"/>
      <c r="BA30" s="412"/>
      <c r="BB30" s="415"/>
      <c r="BC30" s="415"/>
      <c r="BD30" s="415"/>
      <c r="BE30" s="415"/>
      <c r="BF30" s="415"/>
      <c r="BG30" s="415"/>
      <c r="BH30" s="415"/>
      <c r="BI30" s="415"/>
      <c r="BJ30" s="415"/>
      <c r="BK30" s="415"/>
      <c r="BL30" s="415"/>
      <c r="BM30" s="415"/>
      <c r="BN30" s="415"/>
      <c r="BO30" s="415"/>
      <c r="BP30" s="415"/>
      <c r="BQ30" s="415"/>
      <c r="BR30" s="415"/>
      <c r="BS30" s="415"/>
      <c r="BU30" s="416"/>
      <c r="BV30" s="416"/>
      <c r="BW30" s="416"/>
      <c r="BX30" s="416"/>
      <c r="BY30" s="416"/>
      <c r="BZ30" s="416"/>
      <c r="CA30" s="416"/>
      <c r="CB30" s="416"/>
      <c r="CC30" s="416"/>
      <c r="CD30" s="416"/>
      <c r="CE30" s="416"/>
      <c r="CF30" s="416"/>
      <c r="CG30" s="416"/>
      <c r="CH30" s="416"/>
      <c r="CI30" s="416"/>
      <c r="CJ30" s="416"/>
      <c r="CK30" s="416"/>
      <c r="CL30" s="416"/>
      <c r="CM30" s="416"/>
      <c r="CN30" s="416"/>
      <c r="CO30" s="416"/>
      <c r="CP30" s="416"/>
      <c r="CQ30" s="416"/>
      <c r="CR30" s="416"/>
      <c r="CS30" s="416"/>
      <c r="CT30" s="416"/>
      <c r="CU30" s="416"/>
      <c r="CV30" s="416"/>
      <c r="CW30" s="416"/>
      <c r="CX30" s="416"/>
      <c r="CY30" s="416"/>
      <c r="CZ30" s="416"/>
      <c r="DB30" s="416"/>
      <c r="DC30" s="416"/>
      <c r="DD30" s="416"/>
      <c r="DE30" s="416"/>
      <c r="DF30" s="416"/>
      <c r="DG30" s="416"/>
      <c r="DH30" s="416"/>
      <c r="DI30" s="416"/>
      <c r="DJ30" s="416"/>
      <c r="DK30" s="416"/>
      <c r="DL30" s="416"/>
      <c r="DM30" s="416"/>
      <c r="DN30" s="416"/>
      <c r="DO30" s="416"/>
      <c r="DP30" s="416"/>
      <c r="DQ30" s="416"/>
      <c r="DR30" s="416"/>
      <c r="DS30" s="416"/>
      <c r="DT30" s="416"/>
      <c r="DU30" s="416"/>
      <c r="DV30" s="416"/>
      <c r="DW30" s="416"/>
      <c r="DX30" s="416"/>
      <c r="DY30" s="416"/>
      <c r="DZ30" s="416"/>
      <c r="EA30" s="416"/>
      <c r="EB30" s="416"/>
      <c r="EC30" s="416"/>
      <c r="ED30" s="416"/>
      <c r="EE30" s="416"/>
      <c r="EF30" s="416"/>
      <c r="EG30" s="440"/>
      <c r="EI30" s="412" t="s">
        <v>166</v>
      </c>
      <c r="EJ30" s="412" t="s">
        <v>166</v>
      </c>
      <c r="EK30" s="412" t="s">
        <v>166</v>
      </c>
      <c r="EL30" s="412" t="s">
        <v>166</v>
      </c>
      <c r="EM30" s="412" t="s">
        <v>166</v>
      </c>
      <c r="EN30" s="412" t="s">
        <v>166</v>
      </c>
      <c r="EO30" s="412" t="s">
        <v>166</v>
      </c>
      <c r="EP30" s="412" t="s">
        <v>166</v>
      </c>
      <c r="EQ30" s="412" t="s">
        <v>166</v>
      </c>
      <c r="ER30" s="412" t="s">
        <v>166</v>
      </c>
      <c r="ES30" s="412" t="s">
        <v>166</v>
      </c>
      <c r="ET30" s="412" t="s">
        <v>166</v>
      </c>
      <c r="EU30" s="412" t="s">
        <v>166</v>
      </c>
      <c r="EV30" s="412" t="s">
        <v>166</v>
      </c>
      <c r="EW30" s="412" t="s">
        <v>166</v>
      </c>
      <c r="EX30" s="412" t="s">
        <v>166</v>
      </c>
      <c r="EY30" s="412" t="s">
        <v>166</v>
      </c>
      <c r="EZ30" s="412" t="s">
        <v>166</v>
      </c>
      <c r="FA30" s="412" t="s">
        <v>166</v>
      </c>
      <c r="FB30" s="412" t="s">
        <v>166</v>
      </c>
      <c r="FC30" s="412" t="s">
        <v>166</v>
      </c>
      <c r="FD30" s="412">
        <v>8.0</v>
      </c>
      <c r="FE30" s="412">
        <v>8.0</v>
      </c>
      <c r="FF30" s="412">
        <v>8.0</v>
      </c>
      <c r="FG30" s="425" t="s">
        <v>165</v>
      </c>
      <c r="FH30" s="425" t="s">
        <v>165</v>
      </c>
      <c r="FI30" s="412">
        <v>8.0</v>
      </c>
      <c r="FJ30" s="412">
        <v>8.0</v>
      </c>
      <c r="FK30" s="412">
        <v>8.0</v>
      </c>
      <c r="FL30" s="412">
        <v>8.0</v>
      </c>
      <c r="FM30" s="418">
        <f t="shared" si="9"/>
        <v>56</v>
      </c>
      <c r="FO30" s="412">
        <v>8.0</v>
      </c>
      <c r="FP30" s="436" t="s">
        <v>165</v>
      </c>
      <c r="FQ30" s="436" t="s">
        <v>165</v>
      </c>
      <c r="FR30" s="412">
        <v>8.0</v>
      </c>
      <c r="FS30" s="412">
        <v>8.0</v>
      </c>
      <c r="FT30" s="412">
        <v>8.0</v>
      </c>
      <c r="FU30" s="412">
        <v>8.0</v>
      </c>
      <c r="FV30" s="412">
        <v>8.0</v>
      </c>
      <c r="FW30" s="436" t="s">
        <v>165</v>
      </c>
      <c r="FX30" s="436" t="s">
        <v>165</v>
      </c>
      <c r="FY30" s="412">
        <v>8.0</v>
      </c>
      <c r="FZ30" s="412">
        <v>8.0</v>
      </c>
      <c r="GA30" s="412">
        <v>8.0</v>
      </c>
      <c r="GB30" s="412">
        <v>8.0</v>
      </c>
      <c r="GC30" s="412">
        <v>8.0</v>
      </c>
      <c r="GD30" s="436" t="s">
        <v>165</v>
      </c>
      <c r="GE30" s="436" t="s">
        <v>165</v>
      </c>
      <c r="GF30" s="412">
        <v>8.0</v>
      </c>
      <c r="GG30" s="412">
        <v>8.0</v>
      </c>
      <c r="GH30" s="412">
        <v>8.0</v>
      </c>
      <c r="GI30" s="412">
        <v>8.0</v>
      </c>
      <c r="GJ30" s="412">
        <v>8.0</v>
      </c>
      <c r="GK30" s="436" t="s">
        <v>165</v>
      </c>
      <c r="GL30" s="436" t="s">
        <v>165</v>
      </c>
      <c r="GM30" s="412">
        <v>8.0</v>
      </c>
      <c r="GN30" s="412">
        <v>8.0</v>
      </c>
      <c r="GO30" s="412">
        <v>8.0</v>
      </c>
      <c r="GP30" s="412">
        <v>8.0</v>
      </c>
      <c r="GQ30" s="412">
        <v>8.0</v>
      </c>
      <c r="GR30" s="436" t="s">
        <v>165</v>
      </c>
      <c r="GS30" s="436" t="s">
        <v>165</v>
      </c>
      <c r="GT30" s="415">
        <f t="shared" si="10"/>
        <v>168</v>
      </c>
      <c r="GV30" s="412">
        <v>8.0</v>
      </c>
      <c r="GW30" s="412">
        <v>8.0</v>
      </c>
      <c r="GX30" s="412">
        <v>8.0</v>
      </c>
      <c r="GY30" s="412">
        <v>8.0</v>
      </c>
      <c r="GZ30" s="412">
        <v>8.0</v>
      </c>
      <c r="HA30" s="436" t="s">
        <v>165</v>
      </c>
      <c r="HB30" s="436" t="s">
        <v>165</v>
      </c>
      <c r="HC30" s="412">
        <v>8.0</v>
      </c>
      <c r="HD30" s="412">
        <v>8.0</v>
      </c>
      <c r="HE30" s="412" t="s">
        <v>245</v>
      </c>
      <c r="HF30" s="412" t="s">
        <v>245</v>
      </c>
      <c r="HG30" s="412" t="s">
        <v>245</v>
      </c>
      <c r="HH30" s="436" t="s">
        <v>165</v>
      </c>
      <c r="HI30" s="436" t="s">
        <v>165</v>
      </c>
      <c r="HJ30" s="412">
        <v>8.0</v>
      </c>
      <c r="HK30" s="412">
        <v>8.0</v>
      </c>
      <c r="HL30" s="412">
        <v>8.0</v>
      </c>
      <c r="HM30" s="412">
        <v>8.0</v>
      </c>
      <c r="HN30" s="412">
        <v>8.0</v>
      </c>
      <c r="HO30" s="436" t="s">
        <v>165</v>
      </c>
      <c r="HP30" s="436" t="s">
        <v>165</v>
      </c>
      <c r="HQ30" s="412">
        <v>8.0</v>
      </c>
      <c r="HR30" s="412">
        <v>8.0</v>
      </c>
      <c r="HS30" s="412">
        <v>8.0</v>
      </c>
      <c r="HT30" s="412">
        <v>8.0</v>
      </c>
      <c r="HU30" s="412">
        <v>8.0</v>
      </c>
      <c r="HV30" s="436" t="s">
        <v>165</v>
      </c>
      <c r="HW30" s="436" t="s">
        <v>165</v>
      </c>
      <c r="HX30" s="412">
        <v>8.0</v>
      </c>
      <c r="HY30" s="412">
        <v>8.0</v>
      </c>
      <c r="HZ30" s="415">
        <f t="shared" si="2"/>
        <v>152</v>
      </c>
      <c r="IB30" s="412">
        <v>8.0</v>
      </c>
      <c r="IC30" s="412">
        <v>8.0</v>
      </c>
      <c r="ID30" s="412">
        <v>8.0</v>
      </c>
      <c r="IE30" s="436" t="s">
        <v>165</v>
      </c>
      <c r="IF30" s="436" t="s">
        <v>165</v>
      </c>
      <c r="IG30" s="412">
        <v>8.0</v>
      </c>
      <c r="IH30" s="412">
        <v>8.0</v>
      </c>
      <c r="II30" s="412">
        <v>8.0</v>
      </c>
      <c r="IJ30" s="412">
        <v>8.0</v>
      </c>
      <c r="IK30" s="412">
        <v>8.0</v>
      </c>
      <c r="IL30" s="436" t="s">
        <v>165</v>
      </c>
      <c r="IM30" s="436" t="s">
        <v>165</v>
      </c>
      <c r="IN30" s="412">
        <v>8.0</v>
      </c>
      <c r="IO30" s="412">
        <v>8.0</v>
      </c>
      <c r="IP30" s="412">
        <v>8.0</v>
      </c>
      <c r="IQ30" s="412">
        <v>8.0</v>
      </c>
      <c r="IR30" s="412">
        <v>8.0</v>
      </c>
      <c r="IS30" s="436" t="s">
        <v>165</v>
      </c>
      <c r="IT30" s="436" t="s">
        <v>165</v>
      </c>
      <c r="IU30" s="412">
        <v>8.0</v>
      </c>
      <c r="IV30" s="412">
        <v>8.0</v>
      </c>
      <c r="IW30" s="412">
        <v>8.0</v>
      </c>
      <c r="IX30" s="412">
        <v>8.0</v>
      </c>
      <c r="IY30" s="412">
        <v>8.0</v>
      </c>
      <c r="IZ30" s="412" t="s">
        <v>165</v>
      </c>
      <c r="JA30" s="436" t="s">
        <v>165</v>
      </c>
      <c r="JB30" s="412">
        <v>8.0</v>
      </c>
      <c r="JC30" s="412">
        <v>8.0</v>
      </c>
      <c r="JD30" s="412">
        <v>8.0</v>
      </c>
      <c r="JE30" s="412">
        <v>8.0</v>
      </c>
      <c r="JF30" s="412">
        <v>8.0</v>
      </c>
      <c r="JG30" s="415">
        <f t="shared" si="3"/>
        <v>184</v>
      </c>
      <c r="JI30" s="412"/>
      <c r="JJ30" s="436"/>
      <c r="JK30" s="412"/>
      <c r="JL30" s="412"/>
      <c r="JM30" s="412"/>
      <c r="JN30" s="412"/>
      <c r="JO30" s="412"/>
      <c r="JP30" s="436"/>
      <c r="JQ30" s="436"/>
      <c r="JR30" s="412"/>
      <c r="JS30" s="412"/>
      <c r="JT30" s="412"/>
      <c r="JU30" s="412"/>
      <c r="JV30" s="412"/>
      <c r="JW30" s="436"/>
      <c r="JX30" s="436"/>
      <c r="JY30" s="412"/>
      <c r="JZ30" s="412"/>
      <c r="KA30" s="412"/>
      <c r="KB30" s="412"/>
      <c r="KC30" s="412"/>
      <c r="KD30" s="436"/>
      <c r="KE30" s="436"/>
      <c r="KF30" s="412"/>
      <c r="KG30" s="412"/>
      <c r="KH30" s="412"/>
      <c r="KI30" s="412"/>
      <c r="KJ30" s="412"/>
      <c r="KK30" s="436"/>
      <c r="KL30" s="436"/>
      <c r="KM30" s="412"/>
      <c r="KN30" s="155">
        <f t="shared" si="4"/>
        <v>0</v>
      </c>
      <c r="KP30" s="419"/>
      <c r="KQ30" s="419"/>
      <c r="KR30" s="419"/>
      <c r="KS30" s="419"/>
      <c r="KT30" s="419"/>
      <c r="KU30" s="419"/>
      <c r="KV30" s="419"/>
      <c r="KW30" s="419"/>
      <c r="KX30" s="419"/>
      <c r="KY30" s="419"/>
      <c r="KZ30" s="419"/>
      <c r="LA30" s="419"/>
      <c r="LB30" s="419"/>
      <c r="LC30" s="419"/>
      <c r="LD30" s="419"/>
      <c r="LE30" s="419"/>
      <c r="LF30" s="419"/>
      <c r="LG30" s="419"/>
      <c r="LH30" s="419"/>
      <c r="LI30" s="419"/>
      <c r="LJ30" s="419"/>
      <c r="LK30" s="419"/>
      <c r="LL30" s="419"/>
      <c r="LM30" s="419"/>
      <c r="LN30" s="419"/>
      <c r="LO30" s="419"/>
      <c r="LP30" s="419"/>
      <c r="LQ30" s="419"/>
      <c r="LR30" s="419"/>
      <c r="LT30" s="419"/>
      <c r="LU30" s="419"/>
      <c r="LV30" s="419"/>
      <c r="LW30" s="419"/>
      <c r="LX30" s="419"/>
      <c r="LY30" s="419"/>
      <c r="LZ30" s="419"/>
      <c r="MA30" s="419"/>
      <c r="MB30" s="419"/>
      <c r="MC30" s="419"/>
      <c r="MD30" s="419"/>
      <c r="ME30" s="419"/>
      <c r="MF30" s="419"/>
      <c r="MG30" s="419"/>
      <c r="MH30" s="419"/>
      <c r="MI30" s="419"/>
      <c r="MJ30" s="419"/>
      <c r="MK30" s="419"/>
      <c r="ML30" s="419"/>
      <c r="MM30" s="419"/>
      <c r="MN30" s="419"/>
      <c r="MO30" s="419"/>
      <c r="MP30" s="419"/>
      <c r="MQ30" s="419"/>
      <c r="MR30" s="419"/>
      <c r="MS30" s="419"/>
    </row>
    <row r="31" ht="16.5" customHeight="1">
      <c r="A31" s="393" t="s">
        <v>1280</v>
      </c>
      <c r="B31" s="394" t="s">
        <v>90</v>
      </c>
      <c r="C31" s="394" t="s">
        <v>99</v>
      </c>
      <c r="D31" s="395">
        <f t="shared" si="1"/>
        <v>0</v>
      </c>
      <c r="E31" s="431" t="s">
        <v>1259</v>
      </c>
      <c r="F31" s="397">
        <f>IFERROR(__xludf.DUMMYFUNCTION("IF(A31="""","""", counta(filter(Filter(FILTER($H$4:$PI76,$H$1:$PI$1&lt;today()),$A$4:$A76=A31),not(istext(Filter(FILTER($H$4:$PI76,$H$1:$PI$1&lt;today()),$A$4:$A76=A31))),not(Filter(FILTER($H$4:$PI76,$H$1:$PI$1&lt;today()),$A$4:$A76=A31)=0),Filter(FILTER($H$4:$PI7"&amp;"6,$H$1:$PI$1&lt;today()),$A$4:$A76=A31)&lt;23)))"),73.0)</f>
        <v>73</v>
      </c>
      <c r="H31" s="435"/>
      <c r="I31" s="435"/>
      <c r="J31" s="435"/>
      <c r="K31" s="435"/>
      <c r="L31" s="435"/>
      <c r="M31" s="435"/>
      <c r="N31" s="435"/>
      <c r="O31" s="435"/>
      <c r="P31" s="435"/>
      <c r="Q31" s="435"/>
      <c r="R31" s="435"/>
      <c r="S31" s="435"/>
      <c r="T31" s="435"/>
      <c r="U31" s="435"/>
      <c r="V31" s="435"/>
      <c r="W31" s="435"/>
      <c r="X31" s="435"/>
      <c r="Y31" s="435"/>
      <c r="Z31" s="435"/>
      <c r="AA31" s="435"/>
      <c r="AB31" s="435"/>
      <c r="AC31" s="435"/>
      <c r="AD31" s="435"/>
      <c r="AE31" s="435"/>
      <c r="AF31" s="435"/>
      <c r="AG31" s="435"/>
      <c r="AH31" s="435"/>
      <c r="AI31" s="435"/>
      <c r="AJ31" s="435"/>
      <c r="AK31" s="435"/>
      <c r="AL31" s="435"/>
      <c r="AM31" s="405"/>
      <c r="AO31" s="400"/>
      <c r="AP31" s="400"/>
      <c r="AQ31" s="400"/>
      <c r="AR31" s="400"/>
      <c r="AS31" s="400"/>
      <c r="AT31" s="400"/>
      <c r="AU31" s="394"/>
      <c r="AV31" s="400"/>
      <c r="AW31" s="400"/>
      <c r="AX31" s="394"/>
      <c r="AY31" s="400"/>
      <c r="AZ31" s="400"/>
      <c r="BA31" s="394"/>
      <c r="BB31" s="400"/>
      <c r="BC31" s="400"/>
      <c r="BD31" s="400"/>
      <c r="BE31" s="400"/>
      <c r="BF31" s="400"/>
      <c r="BG31" s="400"/>
      <c r="BH31" s="400"/>
      <c r="BI31" s="400"/>
      <c r="BJ31" s="400"/>
      <c r="BK31" s="400"/>
      <c r="BL31" s="400"/>
      <c r="BM31" s="400"/>
      <c r="BN31" s="400"/>
      <c r="BO31" s="400"/>
      <c r="BP31" s="400"/>
      <c r="BQ31" s="400"/>
      <c r="BR31" s="400"/>
      <c r="BS31" s="400"/>
      <c r="BU31" s="405"/>
      <c r="BV31" s="405"/>
      <c r="BW31" s="405"/>
      <c r="BX31" s="405"/>
      <c r="BY31" s="405"/>
      <c r="BZ31" s="405"/>
      <c r="CA31" s="405"/>
      <c r="CB31" s="405"/>
      <c r="CC31" s="405"/>
      <c r="CD31" s="405"/>
      <c r="CE31" s="405"/>
      <c r="CF31" s="405"/>
      <c r="CG31" s="405"/>
      <c r="CH31" s="405"/>
      <c r="CI31" s="405"/>
      <c r="CJ31" s="405"/>
      <c r="CK31" s="405"/>
      <c r="CL31" s="405"/>
      <c r="CM31" s="405"/>
      <c r="CN31" s="405"/>
      <c r="CO31" s="405"/>
      <c r="CP31" s="405"/>
      <c r="CQ31" s="405"/>
      <c r="CR31" s="405"/>
      <c r="CS31" s="405"/>
      <c r="CT31" s="405"/>
      <c r="CU31" s="405"/>
      <c r="CV31" s="405"/>
      <c r="CW31" s="405"/>
      <c r="CX31" s="405"/>
      <c r="CY31" s="405"/>
      <c r="CZ31" s="405"/>
      <c r="DB31" s="405"/>
      <c r="DC31" s="405"/>
      <c r="DD31" s="405"/>
      <c r="DE31" s="405"/>
      <c r="DF31" s="405"/>
      <c r="DG31" s="405"/>
      <c r="DH31" s="405"/>
      <c r="DI31" s="405"/>
      <c r="DJ31" s="405"/>
      <c r="DK31" s="405"/>
      <c r="DL31" s="405"/>
      <c r="DM31" s="405"/>
      <c r="DN31" s="405"/>
      <c r="DO31" s="405"/>
      <c r="DP31" s="405"/>
      <c r="DQ31" s="405"/>
      <c r="DR31" s="405"/>
      <c r="DS31" s="405"/>
      <c r="DT31" s="405"/>
      <c r="DU31" s="405"/>
      <c r="DV31" s="405"/>
      <c r="DW31" s="405"/>
      <c r="DX31" s="405"/>
      <c r="DY31" s="405"/>
      <c r="DZ31" s="405"/>
      <c r="EA31" s="405"/>
      <c r="EB31" s="405"/>
      <c r="EC31" s="405"/>
      <c r="ED31" s="405"/>
      <c r="EE31" s="405"/>
      <c r="EF31" s="405"/>
      <c r="EG31" s="438"/>
      <c r="EI31" s="394" t="s">
        <v>166</v>
      </c>
      <c r="EJ31" s="394" t="s">
        <v>166</v>
      </c>
      <c r="EK31" s="394" t="s">
        <v>166</v>
      </c>
      <c r="EL31" s="394" t="s">
        <v>166</v>
      </c>
      <c r="EM31" s="394" t="s">
        <v>166</v>
      </c>
      <c r="EN31" s="394" t="s">
        <v>166</v>
      </c>
      <c r="EO31" s="394" t="s">
        <v>166</v>
      </c>
      <c r="EP31" s="394" t="s">
        <v>166</v>
      </c>
      <c r="EQ31" s="394" t="s">
        <v>166</v>
      </c>
      <c r="ER31" s="394" t="s">
        <v>166</v>
      </c>
      <c r="ES31" s="394" t="s">
        <v>166</v>
      </c>
      <c r="ET31" s="394" t="s">
        <v>166</v>
      </c>
      <c r="EU31" s="394" t="s">
        <v>166</v>
      </c>
      <c r="EV31" s="394" t="s">
        <v>166</v>
      </c>
      <c r="EW31" s="394" t="s">
        <v>166</v>
      </c>
      <c r="EX31" s="394" t="s">
        <v>166</v>
      </c>
      <c r="EY31" s="394" t="s">
        <v>166</v>
      </c>
      <c r="EZ31" s="394" t="s">
        <v>166</v>
      </c>
      <c r="FA31" s="394" t="s">
        <v>166</v>
      </c>
      <c r="FB31" s="394" t="s">
        <v>166</v>
      </c>
      <c r="FC31" s="394" t="s">
        <v>166</v>
      </c>
      <c r="FD31" s="394">
        <v>8.0</v>
      </c>
      <c r="FE31" s="394">
        <v>8.0</v>
      </c>
      <c r="FF31" s="394">
        <v>8.0</v>
      </c>
      <c r="FG31" s="410" t="s">
        <v>165</v>
      </c>
      <c r="FH31" s="410" t="s">
        <v>165</v>
      </c>
      <c r="FI31" s="394">
        <v>8.0</v>
      </c>
      <c r="FJ31" s="394">
        <v>8.0</v>
      </c>
      <c r="FK31" s="394">
        <v>8.0</v>
      </c>
      <c r="FL31" s="410" t="s">
        <v>165</v>
      </c>
      <c r="FM31" s="407">
        <f t="shared" si="9"/>
        <v>48</v>
      </c>
      <c r="FO31" s="403" t="s">
        <v>165</v>
      </c>
      <c r="FP31" s="394">
        <v>8.0</v>
      </c>
      <c r="FQ31" s="394">
        <v>8.0</v>
      </c>
      <c r="FR31" s="394">
        <v>8.0</v>
      </c>
      <c r="FS31" s="394">
        <v>8.0</v>
      </c>
      <c r="FT31" s="394">
        <v>8.0</v>
      </c>
      <c r="FU31" s="403" t="s">
        <v>165</v>
      </c>
      <c r="FV31" s="403" t="s">
        <v>165</v>
      </c>
      <c r="FW31" s="394">
        <v>8.0</v>
      </c>
      <c r="FX31" s="394">
        <v>8.0</v>
      </c>
      <c r="FY31" s="394">
        <v>8.0</v>
      </c>
      <c r="FZ31" s="394">
        <v>8.0</v>
      </c>
      <c r="GA31" s="394">
        <v>8.0</v>
      </c>
      <c r="GB31" s="403" t="s">
        <v>165</v>
      </c>
      <c r="GC31" s="403" t="s">
        <v>165</v>
      </c>
      <c r="GD31" s="394">
        <v>8.0</v>
      </c>
      <c r="GE31" s="394">
        <v>8.0</v>
      </c>
      <c r="GF31" s="394">
        <v>8.0</v>
      </c>
      <c r="GG31" s="394">
        <v>8.0</v>
      </c>
      <c r="GH31" s="394">
        <v>8.0</v>
      </c>
      <c r="GI31" s="403" t="s">
        <v>165</v>
      </c>
      <c r="GJ31" s="403" t="s">
        <v>165</v>
      </c>
      <c r="GK31" s="394">
        <v>8.0</v>
      </c>
      <c r="GL31" s="394">
        <v>8.0</v>
      </c>
      <c r="GM31" s="394">
        <v>8.0</v>
      </c>
      <c r="GN31" s="394">
        <v>8.0</v>
      </c>
      <c r="GO31" s="394">
        <v>8.0</v>
      </c>
      <c r="GP31" s="403" t="s">
        <v>165</v>
      </c>
      <c r="GQ31" s="403" t="s">
        <v>165</v>
      </c>
      <c r="GR31" s="394">
        <v>8.0</v>
      </c>
      <c r="GS31" s="394">
        <v>8.0</v>
      </c>
      <c r="GT31" s="400">
        <f t="shared" si="10"/>
        <v>176</v>
      </c>
      <c r="GV31" s="394">
        <v>8.0</v>
      </c>
      <c r="GW31" s="394">
        <v>8.0</v>
      </c>
      <c r="GX31" s="394">
        <v>8.0</v>
      </c>
      <c r="GY31" s="403" t="s">
        <v>165</v>
      </c>
      <c r="GZ31" s="403" t="s">
        <v>165</v>
      </c>
      <c r="HA31" s="394">
        <v>8.0</v>
      </c>
      <c r="HB31" s="394">
        <v>8.0</v>
      </c>
      <c r="HC31" s="394">
        <v>8.0</v>
      </c>
      <c r="HD31" s="394">
        <v>8.0</v>
      </c>
      <c r="HE31" s="394">
        <v>8.0</v>
      </c>
      <c r="HF31" s="403" t="s">
        <v>165</v>
      </c>
      <c r="HG31" s="403" t="s">
        <v>165</v>
      </c>
      <c r="HH31" s="394">
        <v>8.0</v>
      </c>
      <c r="HI31" s="394">
        <v>8.0</v>
      </c>
      <c r="HJ31" s="394">
        <v>8.0</v>
      </c>
      <c r="HK31" s="394">
        <v>8.0</v>
      </c>
      <c r="HL31" s="394">
        <v>8.0</v>
      </c>
      <c r="HM31" s="403" t="s">
        <v>165</v>
      </c>
      <c r="HN31" s="403" t="s">
        <v>165</v>
      </c>
      <c r="HO31" s="394">
        <v>8.0</v>
      </c>
      <c r="HP31" s="394">
        <v>8.0</v>
      </c>
      <c r="HQ31" s="394">
        <v>7.0</v>
      </c>
      <c r="HR31" s="394">
        <v>9.0</v>
      </c>
      <c r="HS31" s="394">
        <v>8.0</v>
      </c>
      <c r="HT31" s="403" t="s">
        <v>165</v>
      </c>
      <c r="HU31" s="403" t="s">
        <v>165</v>
      </c>
      <c r="HV31" s="394">
        <v>8.0</v>
      </c>
      <c r="HW31" s="394">
        <v>6.0</v>
      </c>
      <c r="HX31" s="394">
        <v>9.0</v>
      </c>
      <c r="HY31" s="394">
        <v>9.0</v>
      </c>
      <c r="HZ31" s="400">
        <f t="shared" si="2"/>
        <v>176</v>
      </c>
      <c r="IB31" s="394">
        <v>8.0</v>
      </c>
      <c r="IC31" s="403" t="s">
        <v>165</v>
      </c>
      <c r="ID31" s="403" t="s">
        <v>165</v>
      </c>
      <c r="IE31" s="394">
        <v>8.0</v>
      </c>
      <c r="IF31" s="394">
        <v>8.0</v>
      </c>
      <c r="IG31" s="394">
        <v>8.0</v>
      </c>
      <c r="IH31" s="394">
        <v>8.0</v>
      </c>
      <c r="II31" s="394">
        <v>8.0</v>
      </c>
      <c r="IJ31" s="403" t="s">
        <v>165</v>
      </c>
      <c r="IK31" s="403" t="s">
        <v>165</v>
      </c>
      <c r="IL31" s="394">
        <v>8.0</v>
      </c>
      <c r="IM31" s="394">
        <v>8.0</v>
      </c>
      <c r="IN31" s="394">
        <v>8.0</v>
      </c>
      <c r="IO31" s="394">
        <v>8.0</v>
      </c>
      <c r="IP31" s="394">
        <v>8.0</v>
      </c>
      <c r="IQ31" s="403" t="s">
        <v>165</v>
      </c>
      <c r="IR31" s="403" t="s">
        <v>165</v>
      </c>
      <c r="IS31" s="394">
        <v>8.0</v>
      </c>
      <c r="IT31" s="394">
        <v>8.0</v>
      </c>
      <c r="IU31" s="394">
        <v>8.0</v>
      </c>
      <c r="IV31" s="394">
        <v>8.0</v>
      </c>
      <c r="IW31" s="394" t="s">
        <v>245</v>
      </c>
      <c r="IX31" s="403" t="s">
        <v>165</v>
      </c>
      <c r="IY31" s="403">
        <v>8.0</v>
      </c>
      <c r="IZ31" s="394">
        <v>8.0</v>
      </c>
      <c r="JA31" s="394">
        <v>8.0</v>
      </c>
      <c r="JB31" s="394">
        <v>8.0</v>
      </c>
      <c r="JC31" s="394">
        <v>8.0</v>
      </c>
      <c r="JD31" s="394">
        <v>8.0</v>
      </c>
      <c r="JE31" s="403" t="s">
        <v>165</v>
      </c>
      <c r="JF31" s="403" t="s">
        <v>165</v>
      </c>
      <c r="JG31" s="400">
        <f t="shared" si="3"/>
        <v>168</v>
      </c>
      <c r="JI31" s="394" t="s">
        <v>245</v>
      </c>
      <c r="JJ31" s="394">
        <v>8.0</v>
      </c>
      <c r="JK31" s="394">
        <v>8.0</v>
      </c>
      <c r="JL31" s="394">
        <v>8.0</v>
      </c>
      <c r="JM31" s="394">
        <v>8.0</v>
      </c>
      <c r="JN31" s="403" t="s">
        <v>165</v>
      </c>
      <c r="JO31" s="403" t="s">
        <v>165</v>
      </c>
      <c r="JP31" s="394">
        <v>8.0</v>
      </c>
      <c r="JQ31" s="394">
        <v>8.0</v>
      </c>
      <c r="JR31" s="394">
        <v>8.0</v>
      </c>
      <c r="JS31" s="394">
        <v>8.0</v>
      </c>
      <c r="JT31" s="394">
        <v>8.0</v>
      </c>
      <c r="JU31" s="403" t="s">
        <v>165</v>
      </c>
      <c r="JV31" s="403" t="s">
        <v>165</v>
      </c>
      <c r="JW31" s="394">
        <v>8.0</v>
      </c>
      <c r="JX31" s="394">
        <v>8.0</v>
      </c>
      <c r="JY31" s="394">
        <v>8.0</v>
      </c>
      <c r="JZ31" s="394">
        <v>8.0</v>
      </c>
      <c r="KA31" s="394">
        <v>8.0</v>
      </c>
      <c r="KB31" s="403" t="s">
        <v>165</v>
      </c>
      <c r="KC31" s="403" t="s">
        <v>165</v>
      </c>
      <c r="KD31" s="394">
        <v>8.0</v>
      </c>
      <c r="KE31" s="394">
        <v>8.0</v>
      </c>
      <c r="KF31" s="394">
        <v>8.0</v>
      </c>
      <c r="KG31" s="394">
        <v>8.0</v>
      </c>
      <c r="KH31" s="394">
        <v>8.0</v>
      </c>
      <c r="KI31" s="403" t="s">
        <v>165</v>
      </c>
      <c r="KJ31" s="403" t="s">
        <v>165</v>
      </c>
      <c r="KK31" s="394">
        <v>8.0</v>
      </c>
      <c r="KL31" s="394">
        <v>8.0</v>
      </c>
      <c r="KM31" s="394">
        <v>8.0</v>
      </c>
      <c r="KN31" s="145">
        <f t="shared" si="4"/>
        <v>176</v>
      </c>
      <c r="KP31" s="398"/>
      <c r="KQ31" s="398"/>
      <c r="KR31" s="398"/>
      <c r="KS31" s="398"/>
      <c r="KT31" s="398"/>
      <c r="KU31" s="398"/>
      <c r="KV31" s="398"/>
      <c r="KW31" s="398"/>
      <c r="KX31" s="398"/>
      <c r="KY31" s="398"/>
      <c r="KZ31" s="398"/>
      <c r="LA31" s="398"/>
      <c r="LB31" s="398"/>
      <c r="LC31" s="398"/>
      <c r="LD31" s="398"/>
      <c r="LE31" s="398"/>
      <c r="LF31" s="398"/>
      <c r="LG31" s="398"/>
      <c r="LH31" s="398"/>
      <c r="LI31" s="398"/>
      <c r="LJ31" s="398"/>
      <c r="LK31" s="398"/>
      <c r="LL31" s="398"/>
      <c r="LM31" s="398"/>
      <c r="LN31" s="398"/>
      <c r="LO31" s="398"/>
      <c r="LP31" s="398"/>
      <c r="LQ31" s="398"/>
      <c r="LR31" s="398"/>
      <c r="LT31" s="398"/>
      <c r="LU31" s="398"/>
      <c r="LV31" s="398"/>
      <c r="LW31" s="398"/>
      <c r="LX31" s="398"/>
      <c r="LY31" s="398"/>
      <c r="LZ31" s="398"/>
      <c r="MA31" s="398"/>
      <c r="MB31" s="398"/>
      <c r="MC31" s="398"/>
      <c r="MD31" s="398"/>
      <c r="ME31" s="398"/>
      <c r="MF31" s="398"/>
      <c r="MG31" s="398"/>
      <c r="MH31" s="398"/>
      <c r="MI31" s="398"/>
      <c r="MJ31" s="398"/>
      <c r="MK31" s="398"/>
      <c r="ML31" s="398"/>
      <c r="MM31" s="398"/>
      <c r="MN31" s="398"/>
      <c r="MO31" s="398"/>
      <c r="MP31" s="398"/>
      <c r="MQ31" s="398"/>
      <c r="MR31" s="398"/>
      <c r="MS31" s="398"/>
    </row>
    <row r="32" ht="16.5" customHeight="1">
      <c r="A32" s="393" t="s">
        <v>1281</v>
      </c>
      <c r="B32" s="394" t="s">
        <v>92</v>
      </c>
      <c r="C32" s="394" t="s">
        <v>99</v>
      </c>
      <c r="D32" s="395">
        <f t="shared" si="1"/>
        <v>0</v>
      </c>
      <c r="E32" s="441" t="s">
        <v>1237</v>
      </c>
      <c r="F32" s="397">
        <f>IFERROR(__xludf.DUMMYFUNCTION("IF(A32="""","""", counta(filter(Filter(FILTER($H$4:$PI76,$H$1:$PI$1&lt;today()),$A$4:$A76=A32),not(istext(Filter(FILTER($H$4:$PI76,$H$1:$PI$1&lt;today()),$A$4:$A76=A32))),not(Filter(FILTER($H$4:$PI76,$H$1:$PI$1&lt;today()),$A$4:$A76=A32)=0),Filter(FILTER($H$4:$PI7"&amp;"6,$H$1:$PI$1&lt;today()),$A$4:$A76=A32)&lt;23)))"),68.0)</f>
        <v>68</v>
      </c>
      <c r="H32" s="435"/>
      <c r="I32" s="435"/>
      <c r="J32" s="435"/>
      <c r="K32" s="435"/>
      <c r="L32" s="435"/>
      <c r="M32" s="435"/>
      <c r="N32" s="435"/>
      <c r="O32" s="435"/>
      <c r="P32" s="435"/>
      <c r="Q32" s="435"/>
      <c r="R32" s="435"/>
      <c r="S32" s="435"/>
      <c r="T32" s="435"/>
      <c r="U32" s="435"/>
      <c r="V32" s="435"/>
      <c r="W32" s="435"/>
      <c r="X32" s="435"/>
      <c r="Y32" s="435"/>
      <c r="Z32" s="435"/>
      <c r="AA32" s="435"/>
      <c r="AB32" s="435"/>
      <c r="AC32" s="435"/>
      <c r="AD32" s="435"/>
      <c r="AE32" s="435"/>
      <c r="AF32" s="435"/>
      <c r="AG32" s="435"/>
      <c r="AH32" s="435"/>
      <c r="AI32" s="435"/>
      <c r="AJ32" s="435"/>
      <c r="AK32" s="435"/>
      <c r="AL32" s="435"/>
      <c r="AM32" s="405"/>
      <c r="AO32" s="400"/>
      <c r="AP32" s="400"/>
      <c r="AQ32" s="400"/>
      <c r="AR32" s="400"/>
      <c r="AS32" s="400"/>
      <c r="AT32" s="400"/>
      <c r="AU32" s="394"/>
      <c r="AV32" s="400"/>
      <c r="AW32" s="400"/>
      <c r="AX32" s="394"/>
      <c r="AY32" s="400"/>
      <c r="AZ32" s="400"/>
      <c r="BA32" s="394"/>
      <c r="BB32" s="400"/>
      <c r="BC32" s="400"/>
      <c r="BD32" s="400"/>
      <c r="BE32" s="400"/>
      <c r="BF32" s="400"/>
      <c r="BG32" s="400"/>
      <c r="BH32" s="400"/>
      <c r="BI32" s="400"/>
      <c r="BJ32" s="400"/>
      <c r="BK32" s="400"/>
      <c r="BL32" s="400"/>
      <c r="BM32" s="400"/>
      <c r="BN32" s="400"/>
      <c r="BO32" s="400"/>
      <c r="BP32" s="400"/>
      <c r="BQ32" s="400"/>
      <c r="BR32" s="400"/>
      <c r="BS32" s="400"/>
      <c r="BU32" s="405"/>
      <c r="BV32" s="405"/>
      <c r="BW32" s="405"/>
      <c r="BX32" s="405"/>
      <c r="BY32" s="405"/>
      <c r="BZ32" s="405"/>
      <c r="CA32" s="405"/>
      <c r="CB32" s="405"/>
      <c r="CC32" s="405"/>
      <c r="CD32" s="405"/>
      <c r="CE32" s="405"/>
      <c r="CF32" s="405"/>
      <c r="CG32" s="405"/>
      <c r="CH32" s="405"/>
      <c r="CI32" s="405"/>
      <c r="CJ32" s="405"/>
      <c r="CK32" s="405"/>
      <c r="CL32" s="405"/>
      <c r="CM32" s="405"/>
      <c r="CN32" s="405"/>
      <c r="CO32" s="405"/>
      <c r="CP32" s="405"/>
      <c r="CQ32" s="405"/>
      <c r="CR32" s="405"/>
      <c r="CS32" s="405"/>
      <c r="CT32" s="405"/>
      <c r="CU32" s="405"/>
      <c r="CV32" s="405"/>
      <c r="CW32" s="405"/>
      <c r="CX32" s="405"/>
      <c r="CY32" s="405"/>
      <c r="CZ32" s="405"/>
      <c r="DB32" s="405"/>
      <c r="DC32" s="405"/>
      <c r="DD32" s="405"/>
      <c r="DE32" s="405"/>
      <c r="DF32" s="405"/>
      <c r="DG32" s="405"/>
      <c r="DH32" s="405"/>
      <c r="DI32" s="405"/>
      <c r="DJ32" s="405"/>
      <c r="DK32" s="405"/>
      <c r="DL32" s="405"/>
      <c r="DM32" s="405"/>
      <c r="DN32" s="405"/>
      <c r="DO32" s="405"/>
      <c r="DP32" s="405"/>
      <c r="DQ32" s="405"/>
      <c r="DR32" s="405"/>
      <c r="DS32" s="405"/>
      <c r="DT32" s="405"/>
      <c r="DU32" s="405"/>
      <c r="DV32" s="405"/>
      <c r="DW32" s="405"/>
      <c r="DX32" s="405"/>
      <c r="DY32" s="405"/>
      <c r="DZ32" s="405"/>
      <c r="EA32" s="405"/>
      <c r="EB32" s="405"/>
      <c r="EC32" s="405"/>
      <c r="ED32" s="405"/>
      <c r="EE32" s="405"/>
      <c r="EF32" s="405"/>
      <c r="EG32" s="438"/>
      <c r="EI32" s="394" t="s">
        <v>166</v>
      </c>
      <c r="EJ32" s="394" t="s">
        <v>166</v>
      </c>
      <c r="EK32" s="394" t="s">
        <v>166</v>
      </c>
      <c r="EL32" s="394" t="s">
        <v>166</v>
      </c>
      <c r="EM32" s="394" t="s">
        <v>166</v>
      </c>
      <c r="EN32" s="394" t="s">
        <v>166</v>
      </c>
      <c r="EO32" s="394" t="s">
        <v>166</v>
      </c>
      <c r="EP32" s="394" t="s">
        <v>166</v>
      </c>
      <c r="EQ32" s="394" t="s">
        <v>166</v>
      </c>
      <c r="ER32" s="394" t="s">
        <v>166</v>
      </c>
      <c r="ES32" s="394" t="s">
        <v>166</v>
      </c>
      <c r="ET32" s="394" t="s">
        <v>166</v>
      </c>
      <c r="EU32" s="394" t="s">
        <v>166</v>
      </c>
      <c r="EV32" s="394" t="s">
        <v>166</v>
      </c>
      <c r="EW32" s="394" t="s">
        <v>166</v>
      </c>
      <c r="EX32" s="394" t="s">
        <v>166</v>
      </c>
      <c r="EY32" s="394" t="s">
        <v>166</v>
      </c>
      <c r="EZ32" s="394" t="s">
        <v>166</v>
      </c>
      <c r="FA32" s="394" t="s">
        <v>166</v>
      </c>
      <c r="FB32" s="394" t="s">
        <v>166</v>
      </c>
      <c r="FC32" s="394" t="s">
        <v>166</v>
      </c>
      <c r="FD32" s="394" t="s">
        <v>166</v>
      </c>
      <c r="FE32" s="394" t="s">
        <v>166</v>
      </c>
      <c r="FF32" s="394" t="s">
        <v>166</v>
      </c>
      <c r="FG32" s="394" t="s">
        <v>166</v>
      </c>
      <c r="FH32" s="394" t="s">
        <v>166</v>
      </c>
      <c r="FI32" s="394">
        <v>8.0</v>
      </c>
      <c r="FJ32" s="394">
        <v>8.0</v>
      </c>
      <c r="FK32" s="394">
        <v>8.0</v>
      </c>
      <c r="FL32" s="394">
        <v>8.0</v>
      </c>
      <c r="FM32" s="407">
        <f t="shared" si="9"/>
        <v>32</v>
      </c>
      <c r="FO32" s="394">
        <v>8.0</v>
      </c>
      <c r="FP32" s="403" t="s">
        <v>165</v>
      </c>
      <c r="FQ32" s="403" t="s">
        <v>165</v>
      </c>
      <c r="FR32" s="403" t="s">
        <v>165</v>
      </c>
      <c r="FS32" s="403" t="s">
        <v>165</v>
      </c>
      <c r="FT32" s="394">
        <v>8.0</v>
      </c>
      <c r="FU32" s="394">
        <v>8.0</v>
      </c>
      <c r="FV32" s="394">
        <v>8.0</v>
      </c>
      <c r="FW32" s="394">
        <v>8.0</v>
      </c>
      <c r="FX32" s="394">
        <v>8.0</v>
      </c>
      <c r="FY32" s="403" t="s">
        <v>165</v>
      </c>
      <c r="FZ32" s="403" t="s">
        <v>165</v>
      </c>
      <c r="GA32" s="394">
        <v>8.0</v>
      </c>
      <c r="GB32" s="394">
        <v>8.0</v>
      </c>
      <c r="GC32" s="394">
        <v>8.0</v>
      </c>
      <c r="GD32" s="394">
        <v>8.0</v>
      </c>
      <c r="GE32" s="394">
        <v>8.0</v>
      </c>
      <c r="GF32" s="403" t="s">
        <v>165</v>
      </c>
      <c r="GG32" s="403" t="s">
        <v>165</v>
      </c>
      <c r="GH32" s="394">
        <v>8.0</v>
      </c>
      <c r="GI32" s="394">
        <v>8.0</v>
      </c>
      <c r="GJ32" s="394">
        <v>8.0</v>
      </c>
      <c r="GK32" s="394">
        <v>8.0</v>
      </c>
      <c r="GL32" s="394">
        <v>8.0</v>
      </c>
      <c r="GM32" s="403" t="s">
        <v>165</v>
      </c>
      <c r="GN32" s="403" t="s">
        <v>165</v>
      </c>
      <c r="GO32" s="394">
        <v>8.0</v>
      </c>
      <c r="GP32" s="394">
        <v>8.0</v>
      </c>
      <c r="GQ32" s="394">
        <v>8.0</v>
      </c>
      <c r="GR32" s="394">
        <v>8.0</v>
      </c>
      <c r="GS32" s="394">
        <v>8.0</v>
      </c>
      <c r="GT32" s="400">
        <f t="shared" si="10"/>
        <v>168</v>
      </c>
      <c r="GV32" s="394">
        <v>8.0</v>
      </c>
      <c r="GW32" s="403" t="s">
        <v>165</v>
      </c>
      <c r="GX32" s="403" t="s">
        <v>165</v>
      </c>
      <c r="GY32" s="394">
        <v>8.0</v>
      </c>
      <c r="GZ32" s="394">
        <v>8.0</v>
      </c>
      <c r="HA32" s="394">
        <v>8.0</v>
      </c>
      <c r="HB32" s="394">
        <v>8.0</v>
      </c>
      <c r="HC32" s="394">
        <v>8.0</v>
      </c>
      <c r="HD32" s="394">
        <v>8.0</v>
      </c>
      <c r="HE32" s="403" t="s">
        <v>165</v>
      </c>
      <c r="HF32" s="403" t="s">
        <v>165</v>
      </c>
      <c r="HG32" s="394" t="s">
        <v>245</v>
      </c>
      <c r="HH32" s="394" t="s">
        <v>245</v>
      </c>
      <c r="HI32" s="394">
        <v>8.0</v>
      </c>
      <c r="HJ32" s="403" t="s">
        <v>165</v>
      </c>
      <c r="HK32" s="403" t="s">
        <v>165</v>
      </c>
      <c r="HL32" s="394">
        <v>8.0</v>
      </c>
      <c r="HM32" s="394" t="s">
        <v>245</v>
      </c>
      <c r="HN32" s="394">
        <v>8.0</v>
      </c>
      <c r="HO32" s="394">
        <v>8.0</v>
      </c>
      <c r="HP32" s="394">
        <v>8.0</v>
      </c>
      <c r="HQ32" s="410">
        <v>8.0</v>
      </c>
      <c r="HR32" s="403" t="s">
        <v>165</v>
      </c>
      <c r="HS32" s="394">
        <v>8.0</v>
      </c>
      <c r="HT32" s="394">
        <v>8.0</v>
      </c>
      <c r="HU32" s="394">
        <v>8.0</v>
      </c>
      <c r="HV32" s="394">
        <v>8.0</v>
      </c>
      <c r="HW32" s="394">
        <v>8.0</v>
      </c>
      <c r="HX32" s="403" t="s">
        <v>165</v>
      </c>
      <c r="HY32" s="403" t="s">
        <v>165</v>
      </c>
      <c r="HZ32" s="400">
        <f t="shared" si="2"/>
        <v>144</v>
      </c>
      <c r="IB32" s="394">
        <v>8.0</v>
      </c>
      <c r="IC32" s="394">
        <v>8.0</v>
      </c>
      <c r="ID32" s="394">
        <v>8.0</v>
      </c>
      <c r="IE32" s="394">
        <v>8.0</v>
      </c>
      <c r="IF32" s="394">
        <v>8.0</v>
      </c>
      <c r="IG32" s="403" t="s">
        <v>165</v>
      </c>
      <c r="IH32" s="403" t="s">
        <v>165</v>
      </c>
      <c r="II32" s="394">
        <v>8.0</v>
      </c>
      <c r="IJ32" s="394">
        <v>8.0</v>
      </c>
      <c r="IK32" s="394">
        <v>8.0</v>
      </c>
      <c r="IL32" s="394">
        <v>8.0</v>
      </c>
      <c r="IM32" s="394">
        <v>8.0</v>
      </c>
      <c r="IN32" s="403" t="s">
        <v>165</v>
      </c>
      <c r="IO32" s="403" t="s">
        <v>165</v>
      </c>
      <c r="IP32" s="394">
        <v>8.0</v>
      </c>
      <c r="IQ32" s="394">
        <v>8.0</v>
      </c>
      <c r="IR32" s="394">
        <v>8.0</v>
      </c>
      <c r="IS32" s="394">
        <v>8.0</v>
      </c>
      <c r="IT32" s="394">
        <v>8.0</v>
      </c>
      <c r="IU32" s="403" t="s">
        <v>165</v>
      </c>
      <c r="IV32" s="403" t="s">
        <v>165</v>
      </c>
      <c r="IW32" s="394">
        <v>8.0</v>
      </c>
      <c r="IX32" s="394">
        <v>8.0</v>
      </c>
      <c r="IY32" s="394">
        <v>8.0</v>
      </c>
      <c r="IZ32" s="394">
        <v>8.0</v>
      </c>
      <c r="JA32" s="394">
        <v>8.0</v>
      </c>
      <c r="JB32" s="403" t="s">
        <v>165</v>
      </c>
      <c r="JC32" s="403" t="s">
        <v>165</v>
      </c>
      <c r="JD32" s="394">
        <v>8.0</v>
      </c>
      <c r="JE32" s="394">
        <v>8.0</v>
      </c>
      <c r="JF32" s="394">
        <v>8.0</v>
      </c>
      <c r="JG32" s="400">
        <f t="shared" si="3"/>
        <v>184</v>
      </c>
      <c r="JI32" s="394">
        <v>8.0</v>
      </c>
      <c r="JJ32" s="394">
        <v>8.0</v>
      </c>
      <c r="JK32" s="403" t="s">
        <v>165</v>
      </c>
      <c r="JL32" s="403" t="s">
        <v>165</v>
      </c>
      <c r="JM32" s="394">
        <v>8.0</v>
      </c>
      <c r="JN32" s="394">
        <v>8.0</v>
      </c>
      <c r="JO32" s="394">
        <v>8.0</v>
      </c>
      <c r="JP32" s="394">
        <v>8.0</v>
      </c>
      <c r="JQ32" s="394">
        <v>8.0</v>
      </c>
      <c r="JR32" s="403" t="s">
        <v>165</v>
      </c>
      <c r="JS32" s="403" t="s">
        <v>165</v>
      </c>
      <c r="JT32" s="394">
        <v>8.0</v>
      </c>
      <c r="JU32" s="394">
        <v>8.0</v>
      </c>
      <c r="JV32" s="394">
        <v>8.0</v>
      </c>
      <c r="JW32" s="394">
        <v>8.0</v>
      </c>
      <c r="JX32" s="394">
        <v>8.0</v>
      </c>
      <c r="JY32" s="403" t="s">
        <v>165</v>
      </c>
      <c r="JZ32" s="403" t="s">
        <v>165</v>
      </c>
      <c r="KA32" s="394">
        <v>8.0</v>
      </c>
      <c r="KB32" s="394">
        <v>8.0</v>
      </c>
      <c r="KC32" s="394">
        <v>8.0</v>
      </c>
      <c r="KD32" s="394">
        <v>8.0</v>
      </c>
      <c r="KE32" s="394">
        <v>8.0</v>
      </c>
      <c r="KF32" s="403" t="s">
        <v>165</v>
      </c>
      <c r="KG32" s="403" t="s">
        <v>165</v>
      </c>
      <c r="KH32" s="394">
        <v>8.0</v>
      </c>
      <c r="KI32" s="394">
        <v>8.0</v>
      </c>
      <c r="KJ32" s="394">
        <v>8.0</v>
      </c>
      <c r="KK32" s="394">
        <v>8.0</v>
      </c>
      <c r="KL32" s="394">
        <v>8.0</v>
      </c>
      <c r="KM32" s="403" t="s">
        <v>165</v>
      </c>
      <c r="KN32" s="145">
        <f t="shared" si="4"/>
        <v>176</v>
      </c>
      <c r="KP32" s="398"/>
      <c r="KQ32" s="398"/>
      <c r="KR32" s="398"/>
      <c r="KS32" s="398"/>
      <c r="KT32" s="398"/>
      <c r="KU32" s="398"/>
      <c r="KV32" s="398"/>
      <c r="KW32" s="398"/>
      <c r="KX32" s="398"/>
      <c r="KY32" s="398"/>
      <c r="KZ32" s="398"/>
      <c r="LA32" s="398"/>
      <c r="LB32" s="398"/>
      <c r="LC32" s="398"/>
      <c r="LD32" s="398"/>
      <c r="LE32" s="398"/>
      <c r="LF32" s="398"/>
      <c r="LG32" s="398"/>
      <c r="LH32" s="398"/>
      <c r="LI32" s="398"/>
      <c r="LJ32" s="398"/>
      <c r="LK32" s="398"/>
      <c r="LL32" s="398"/>
      <c r="LM32" s="398"/>
      <c r="LN32" s="398"/>
      <c r="LO32" s="398"/>
      <c r="LP32" s="398"/>
      <c r="LQ32" s="398"/>
      <c r="LR32" s="398"/>
      <c r="LT32" s="398"/>
      <c r="LU32" s="398"/>
      <c r="LV32" s="398"/>
      <c r="LW32" s="398"/>
      <c r="LX32" s="398"/>
      <c r="LY32" s="398"/>
      <c r="LZ32" s="398"/>
      <c r="MA32" s="398"/>
      <c r="MB32" s="398"/>
      <c r="MC32" s="398"/>
      <c r="MD32" s="398"/>
      <c r="ME32" s="398"/>
      <c r="MF32" s="398"/>
      <c r="MG32" s="398"/>
      <c r="MH32" s="398"/>
      <c r="MI32" s="398"/>
      <c r="MJ32" s="398"/>
      <c r="MK32" s="398"/>
      <c r="ML32" s="398"/>
      <c r="MM32" s="398"/>
      <c r="MN32" s="398"/>
      <c r="MO32" s="398"/>
      <c r="MP32" s="398"/>
      <c r="MQ32" s="398"/>
      <c r="MR32" s="398"/>
      <c r="MS32" s="398"/>
    </row>
    <row r="33" ht="16.5" customHeight="1">
      <c r="A33" s="393" t="s">
        <v>1282</v>
      </c>
      <c r="B33" s="394" t="s">
        <v>93</v>
      </c>
      <c r="C33" s="394" t="s">
        <v>99</v>
      </c>
      <c r="D33" s="395">
        <f t="shared" si="1"/>
        <v>0</v>
      </c>
      <c r="E33" s="441" t="s">
        <v>1237</v>
      </c>
      <c r="F33" s="397">
        <f>IFERROR(__xludf.DUMMYFUNCTION("IF(A33="""","""", counta(filter(Filter(FILTER($H$4:$PI76,$H$1:$PI$1&lt;today()),$A$4:$A76=A33),not(istext(Filter(FILTER($H$4:$PI76,$H$1:$PI$1&lt;today()),$A$4:$A76=A33))),not(Filter(FILTER($H$4:$PI76,$H$1:$PI$1&lt;today()),$A$4:$A76=A33)=0),Filter(FILTER($H$4:$PI7"&amp;"6,$H$1:$PI$1&lt;today()),$A$4:$A76=A33)&lt;23)))"),54.0)</f>
        <v>54</v>
      </c>
      <c r="H33" s="435"/>
      <c r="I33" s="435"/>
      <c r="J33" s="435"/>
      <c r="K33" s="435"/>
      <c r="L33" s="435"/>
      <c r="M33" s="435"/>
      <c r="N33" s="435"/>
      <c r="O33" s="435"/>
      <c r="P33" s="435"/>
      <c r="Q33" s="435"/>
      <c r="R33" s="435"/>
      <c r="S33" s="435"/>
      <c r="T33" s="435"/>
      <c r="U33" s="435"/>
      <c r="V33" s="435"/>
      <c r="W33" s="435"/>
      <c r="X33" s="435"/>
      <c r="Y33" s="435"/>
      <c r="Z33" s="435"/>
      <c r="AA33" s="435"/>
      <c r="AB33" s="435"/>
      <c r="AC33" s="435"/>
      <c r="AD33" s="435"/>
      <c r="AE33" s="435"/>
      <c r="AF33" s="435"/>
      <c r="AG33" s="435"/>
      <c r="AH33" s="435"/>
      <c r="AI33" s="435"/>
      <c r="AJ33" s="435"/>
      <c r="AK33" s="435"/>
      <c r="AL33" s="435"/>
      <c r="AM33" s="405"/>
      <c r="AO33" s="400"/>
      <c r="AP33" s="400"/>
      <c r="AQ33" s="400"/>
      <c r="AR33" s="400"/>
      <c r="AS33" s="400"/>
      <c r="AT33" s="400"/>
      <c r="AU33" s="394"/>
      <c r="AV33" s="400"/>
      <c r="AW33" s="400"/>
      <c r="AX33" s="394"/>
      <c r="AY33" s="400"/>
      <c r="AZ33" s="400"/>
      <c r="BA33" s="394"/>
      <c r="BB33" s="400"/>
      <c r="BC33" s="400"/>
      <c r="BD33" s="400"/>
      <c r="BE33" s="400"/>
      <c r="BF33" s="400"/>
      <c r="BG33" s="400"/>
      <c r="BH33" s="400"/>
      <c r="BI33" s="400"/>
      <c r="BJ33" s="400"/>
      <c r="BK33" s="400"/>
      <c r="BL33" s="400"/>
      <c r="BM33" s="400"/>
      <c r="BN33" s="400"/>
      <c r="BO33" s="400"/>
      <c r="BP33" s="400"/>
      <c r="BQ33" s="400"/>
      <c r="BR33" s="400"/>
      <c r="BS33" s="400"/>
      <c r="BU33" s="405"/>
      <c r="BV33" s="405"/>
      <c r="BW33" s="405"/>
      <c r="BX33" s="405"/>
      <c r="BY33" s="405"/>
      <c r="BZ33" s="405"/>
      <c r="CA33" s="405"/>
      <c r="CB33" s="405"/>
      <c r="CC33" s="405"/>
      <c r="CD33" s="405"/>
      <c r="CE33" s="405"/>
      <c r="CF33" s="405"/>
      <c r="CG33" s="405"/>
      <c r="CH33" s="405"/>
      <c r="CI33" s="405"/>
      <c r="CJ33" s="405"/>
      <c r="CK33" s="405"/>
      <c r="CL33" s="405"/>
      <c r="CM33" s="405"/>
      <c r="CN33" s="405"/>
      <c r="CO33" s="405"/>
      <c r="CP33" s="405"/>
      <c r="CQ33" s="405"/>
      <c r="CR33" s="405"/>
      <c r="CS33" s="405"/>
      <c r="CT33" s="405"/>
      <c r="CU33" s="405"/>
      <c r="CV33" s="405"/>
      <c r="CW33" s="405"/>
      <c r="CX33" s="405"/>
      <c r="CY33" s="405"/>
      <c r="CZ33" s="405"/>
      <c r="DB33" s="405"/>
      <c r="DC33" s="405"/>
      <c r="DD33" s="405"/>
      <c r="DE33" s="405"/>
      <c r="DF33" s="405"/>
      <c r="DG33" s="405"/>
      <c r="DH33" s="405"/>
      <c r="DI33" s="405"/>
      <c r="DJ33" s="405"/>
      <c r="DK33" s="405"/>
      <c r="DL33" s="405"/>
      <c r="DM33" s="405"/>
      <c r="DN33" s="405"/>
      <c r="DO33" s="405"/>
      <c r="DP33" s="405"/>
      <c r="DQ33" s="405"/>
      <c r="DR33" s="405"/>
      <c r="DS33" s="405"/>
      <c r="DT33" s="405"/>
      <c r="DU33" s="405"/>
      <c r="DV33" s="405"/>
      <c r="DW33" s="405"/>
      <c r="DX33" s="405"/>
      <c r="DY33" s="405"/>
      <c r="DZ33" s="405"/>
      <c r="EA33" s="405"/>
      <c r="EB33" s="405"/>
      <c r="EC33" s="405"/>
      <c r="ED33" s="405"/>
      <c r="EE33" s="405"/>
      <c r="EF33" s="405"/>
      <c r="EG33" s="438"/>
      <c r="EI33" s="394" t="s">
        <v>166</v>
      </c>
      <c r="EJ33" s="394" t="s">
        <v>166</v>
      </c>
      <c r="EK33" s="394" t="s">
        <v>166</v>
      </c>
      <c r="EL33" s="394" t="s">
        <v>166</v>
      </c>
      <c r="EM33" s="394" t="s">
        <v>166</v>
      </c>
      <c r="EN33" s="394" t="s">
        <v>166</v>
      </c>
      <c r="EO33" s="394" t="s">
        <v>166</v>
      </c>
      <c r="EP33" s="394" t="s">
        <v>166</v>
      </c>
      <c r="EQ33" s="394" t="s">
        <v>166</v>
      </c>
      <c r="ER33" s="394" t="s">
        <v>166</v>
      </c>
      <c r="ES33" s="394" t="s">
        <v>166</v>
      </c>
      <c r="ET33" s="394" t="s">
        <v>166</v>
      </c>
      <c r="EU33" s="394" t="s">
        <v>166</v>
      </c>
      <c r="EV33" s="394" t="s">
        <v>166</v>
      </c>
      <c r="EW33" s="394" t="s">
        <v>166</v>
      </c>
      <c r="EX33" s="394" t="s">
        <v>166</v>
      </c>
      <c r="EY33" s="394" t="s">
        <v>166</v>
      </c>
      <c r="EZ33" s="394" t="s">
        <v>166</v>
      </c>
      <c r="FA33" s="394" t="s">
        <v>166</v>
      </c>
      <c r="FB33" s="394" t="s">
        <v>166</v>
      </c>
      <c r="FC33" s="394" t="s">
        <v>166</v>
      </c>
      <c r="FD33" s="394" t="s">
        <v>166</v>
      </c>
      <c r="FE33" s="394" t="s">
        <v>166</v>
      </c>
      <c r="FF33" s="394" t="s">
        <v>166</v>
      </c>
      <c r="FG33" s="394" t="s">
        <v>166</v>
      </c>
      <c r="FH33" s="394" t="s">
        <v>166</v>
      </c>
      <c r="FI33" s="394">
        <v>8.0</v>
      </c>
      <c r="FJ33" s="394">
        <v>8.0</v>
      </c>
      <c r="FK33" s="394">
        <v>8.0</v>
      </c>
      <c r="FL33" s="394">
        <v>8.0</v>
      </c>
      <c r="FM33" s="407">
        <f t="shared" si="9"/>
        <v>32</v>
      </c>
      <c r="FO33" s="403" t="s">
        <v>165</v>
      </c>
      <c r="FP33" s="394">
        <v>8.0</v>
      </c>
      <c r="FQ33" s="394">
        <v>8.0</v>
      </c>
      <c r="FR33" s="403" t="s">
        <v>165</v>
      </c>
      <c r="FS33" s="394">
        <v>8.0</v>
      </c>
      <c r="FT33" s="394">
        <v>8.0</v>
      </c>
      <c r="FU33" s="394">
        <v>8.0</v>
      </c>
      <c r="FV33" s="403" t="s">
        <v>165</v>
      </c>
      <c r="FW33" s="403" t="s">
        <v>165</v>
      </c>
      <c r="FX33" s="394">
        <v>8.0</v>
      </c>
      <c r="FY33" s="394">
        <v>8.0</v>
      </c>
      <c r="FZ33" s="394">
        <v>8.0</v>
      </c>
      <c r="GA33" s="394">
        <v>8.0</v>
      </c>
      <c r="GB33" s="394">
        <v>8.0</v>
      </c>
      <c r="GC33" s="403" t="s">
        <v>165</v>
      </c>
      <c r="GD33" s="403" t="s">
        <v>165</v>
      </c>
      <c r="GE33" s="394">
        <v>8.0</v>
      </c>
      <c r="GF33" s="394">
        <v>8.0</v>
      </c>
      <c r="GG33" s="394">
        <v>8.0</v>
      </c>
      <c r="GH33" s="394" t="s">
        <v>245</v>
      </c>
      <c r="GI33" s="394">
        <v>8.0</v>
      </c>
      <c r="GJ33" s="403" t="s">
        <v>165</v>
      </c>
      <c r="GK33" s="403" t="s">
        <v>165</v>
      </c>
      <c r="GL33" s="394">
        <v>8.0</v>
      </c>
      <c r="GM33" s="394">
        <v>8.0</v>
      </c>
      <c r="GN33" s="394">
        <v>8.0</v>
      </c>
      <c r="GO33" s="394">
        <v>8.0</v>
      </c>
      <c r="GP33" s="394">
        <v>8.0</v>
      </c>
      <c r="GQ33" s="403" t="s">
        <v>165</v>
      </c>
      <c r="GR33" s="403" t="s">
        <v>165</v>
      </c>
      <c r="GS33" s="394">
        <v>8.0</v>
      </c>
      <c r="GT33" s="400">
        <f t="shared" si="10"/>
        <v>160</v>
      </c>
      <c r="GV33" s="394">
        <v>8.0</v>
      </c>
      <c r="GW33" s="394">
        <v>4.5</v>
      </c>
      <c r="GX33" s="394">
        <v>8.0</v>
      </c>
      <c r="GY33" s="394">
        <v>8.0</v>
      </c>
      <c r="GZ33" s="403" t="s">
        <v>165</v>
      </c>
      <c r="HA33" s="403" t="s">
        <v>165</v>
      </c>
      <c r="HB33" s="394" t="s">
        <v>245</v>
      </c>
      <c r="HC33" s="394" t="s">
        <v>245</v>
      </c>
      <c r="HD33" s="394">
        <v>8.0</v>
      </c>
      <c r="HE33" s="394">
        <v>6.3</v>
      </c>
      <c r="HF33" s="394">
        <v>8.0</v>
      </c>
      <c r="HG33" s="403" t="s">
        <v>165</v>
      </c>
      <c r="HH33" s="403" t="s">
        <v>165</v>
      </c>
      <c r="HI33" s="394" t="s">
        <v>245</v>
      </c>
      <c r="HJ33" s="394" t="s">
        <v>245</v>
      </c>
      <c r="HK33" s="394" t="s">
        <v>245</v>
      </c>
      <c r="HL33" s="394">
        <v>8.0</v>
      </c>
      <c r="HM33" s="394">
        <v>8.0</v>
      </c>
      <c r="HN33" s="403" t="s">
        <v>165</v>
      </c>
      <c r="HO33" s="403" t="s">
        <v>165</v>
      </c>
      <c r="HP33" s="394" t="s">
        <v>245</v>
      </c>
      <c r="HQ33" s="394" t="s">
        <v>245</v>
      </c>
      <c r="HR33" s="394" t="s">
        <v>245</v>
      </c>
      <c r="HS33" s="394">
        <v>8.0</v>
      </c>
      <c r="HT33" s="394">
        <v>8.0</v>
      </c>
      <c r="HU33" s="403" t="s">
        <v>165</v>
      </c>
      <c r="HV33" s="403" t="s">
        <v>165</v>
      </c>
      <c r="HW33" s="394" t="s">
        <v>245</v>
      </c>
      <c r="HX33" s="394" t="s">
        <v>245</v>
      </c>
      <c r="HY33" s="394" t="s">
        <v>245</v>
      </c>
      <c r="HZ33" s="400">
        <f t="shared" si="2"/>
        <v>82.8</v>
      </c>
      <c r="IB33" s="394">
        <v>8.0</v>
      </c>
      <c r="IC33" s="394">
        <v>8.0</v>
      </c>
      <c r="ID33" s="403" t="s">
        <v>165</v>
      </c>
      <c r="IE33" s="403" t="s">
        <v>165</v>
      </c>
      <c r="IF33" s="394" t="s">
        <v>245</v>
      </c>
      <c r="IG33" s="394" t="s">
        <v>245</v>
      </c>
      <c r="IH33" s="394">
        <v>8.0</v>
      </c>
      <c r="II33" s="394">
        <v>8.0</v>
      </c>
      <c r="IJ33" s="394">
        <v>8.0</v>
      </c>
      <c r="IK33" s="403" t="s">
        <v>165</v>
      </c>
      <c r="IL33" s="403" t="s">
        <v>165</v>
      </c>
      <c r="IM33" s="394">
        <v>8.0</v>
      </c>
      <c r="IN33" s="394">
        <v>8.0</v>
      </c>
      <c r="IO33" s="394">
        <v>8.0</v>
      </c>
      <c r="IP33" s="394">
        <v>8.0</v>
      </c>
      <c r="IQ33" s="394" t="s">
        <v>245</v>
      </c>
      <c r="IR33" s="403" t="s">
        <v>165</v>
      </c>
      <c r="IS33" s="403" t="s">
        <v>165</v>
      </c>
      <c r="IT33" s="394">
        <v>8.0</v>
      </c>
      <c r="IU33" s="394">
        <v>8.0</v>
      </c>
      <c r="IV33" s="394">
        <v>8.0</v>
      </c>
      <c r="IW33" s="394">
        <v>8.0</v>
      </c>
      <c r="IX33" s="394">
        <v>8.0</v>
      </c>
      <c r="IY33" s="403" t="s">
        <v>165</v>
      </c>
      <c r="IZ33" s="403" t="s">
        <v>165</v>
      </c>
      <c r="JA33" s="394" t="s">
        <v>170</v>
      </c>
      <c r="JB33" s="394">
        <v>8.0</v>
      </c>
      <c r="JC33" s="394">
        <v>8.0</v>
      </c>
      <c r="JD33" s="394">
        <v>8.0</v>
      </c>
      <c r="JE33" s="394" t="s">
        <v>245</v>
      </c>
      <c r="JF33" s="394" t="s">
        <v>170</v>
      </c>
      <c r="JG33" s="400">
        <f t="shared" si="3"/>
        <v>136</v>
      </c>
      <c r="JI33" s="403" t="s">
        <v>165</v>
      </c>
      <c r="JJ33" s="394">
        <v>8.0</v>
      </c>
      <c r="JK33" s="394">
        <v>8.0</v>
      </c>
      <c r="JL33" s="394">
        <v>8.0</v>
      </c>
      <c r="JM33" s="394">
        <v>8.0</v>
      </c>
      <c r="JN33" s="394">
        <v>8.0</v>
      </c>
      <c r="JO33" s="403" t="s">
        <v>165</v>
      </c>
      <c r="JP33" s="403" t="s">
        <v>165</v>
      </c>
      <c r="JQ33" s="394">
        <v>8.0</v>
      </c>
      <c r="JR33" s="394">
        <v>8.0</v>
      </c>
      <c r="JS33" s="394">
        <v>8.0</v>
      </c>
      <c r="JT33" s="394">
        <v>8.0</v>
      </c>
      <c r="JU33" s="394">
        <v>8.0</v>
      </c>
      <c r="JV33" s="403" t="s">
        <v>165</v>
      </c>
      <c r="JW33" s="403" t="s">
        <v>165</v>
      </c>
      <c r="JX33" s="394">
        <v>8.0</v>
      </c>
      <c r="JY33" s="394">
        <v>8.0</v>
      </c>
      <c r="JZ33" s="394">
        <v>8.0</v>
      </c>
      <c r="KA33" s="394">
        <v>8.0</v>
      </c>
      <c r="KB33" s="394">
        <v>8.0</v>
      </c>
      <c r="KC33" s="403" t="s">
        <v>165</v>
      </c>
      <c r="KD33" s="403" t="s">
        <v>165</v>
      </c>
      <c r="KE33" s="394">
        <v>8.0</v>
      </c>
      <c r="KF33" s="394">
        <v>8.0</v>
      </c>
      <c r="KG33" s="394">
        <v>8.0</v>
      </c>
      <c r="KH33" s="394">
        <v>8.0</v>
      </c>
      <c r="KI33" s="394">
        <v>8.0</v>
      </c>
      <c r="KJ33" s="403" t="s">
        <v>165</v>
      </c>
      <c r="KK33" s="403" t="s">
        <v>165</v>
      </c>
      <c r="KL33" s="394">
        <v>8.0</v>
      </c>
      <c r="KM33" s="394">
        <v>8.0</v>
      </c>
      <c r="KN33" s="145">
        <f t="shared" si="4"/>
        <v>176</v>
      </c>
      <c r="KP33" s="398"/>
      <c r="KQ33" s="398"/>
      <c r="KR33" s="398"/>
      <c r="KS33" s="398"/>
      <c r="KT33" s="398"/>
      <c r="KU33" s="398"/>
      <c r="KV33" s="398"/>
      <c r="KW33" s="398"/>
      <c r="KX33" s="398"/>
      <c r="KY33" s="398"/>
      <c r="KZ33" s="398"/>
      <c r="LA33" s="398"/>
      <c r="LB33" s="398"/>
      <c r="LC33" s="398"/>
      <c r="LD33" s="398"/>
      <c r="LE33" s="398"/>
      <c r="LF33" s="398"/>
      <c r="LG33" s="398"/>
      <c r="LH33" s="398"/>
      <c r="LI33" s="398"/>
      <c r="LJ33" s="398"/>
      <c r="LK33" s="398"/>
      <c r="LL33" s="398"/>
      <c r="LM33" s="398"/>
      <c r="LN33" s="398"/>
      <c r="LO33" s="398"/>
      <c r="LP33" s="398"/>
      <c r="LQ33" s="398"/>
      <c r="LR33" s="398"/>
      <c r="LT33" s="398"/>
      <c r="LU33" s="398"/>
      <c r="LV33" s="398"/>
      <c r="LW33" s="398"/>
      <c r="LX33" s="398"/>
      <c r="LY33" s="398"/>
      <c r="LZ33" s="398"/>
      <c r="MA33" s="398"/>
      <c r="MB33" s="398"/>
      <c r="MC33" s="398"/>
      <c r="MD33" s="398"/>
      <c r="ME33" s="398"/>
      <c r="MF33" s="398"/>
      <c r="MG33" s="398"/>
      <c r="MH33" s="398"/>
      <c r="MI33" s="398"/>
      <c r="MJ33" s="398"/>
      <c r="MK33" s="398"/>
      <c r="ML33" s="398"/>
      <c r="MM33" s="398"/>
      <c r="MN33" s="398"/>
      <c r="MO33" s="398"/>
      <c r="MP33" s="398"/>
      <c r="MQ33" s="398"/>
      <c r="MR33" s="398"/>
      <c r="MS33" s="398"/>
    </row>
    <row r="34" ht="16.5" customHeight="1">
      <c r="A34" s="393" t="s">
        <v>1283</v>
      </c>
      <c r="B34" s="394" t="s">
        <v>88</v>
      </c>
      <c r="C34" s="394" t="s">
        <v>99</v>
      </c>
      <c r="D34" s="395">
        <f t="shared" si="1"/>
        <v>0</v>
      </c>
      <c r="E34" s="396" t="s">
        <v>1250</v>
      </c>
      <c r="F34" s="397">
        <f>IFERROR(__xludf.DUMMYFUNCTION("IF(A34="""","""", counta(filter(Filter(FILTER($H$4:$PI76,$H$1:$PI$1&lt;today()),$A$4:$A76=A34),not(istext(Filter(FILTER($H$4:$PI76,$H$1:$PI$1&lt;today()),$A$4:$A76=A34))),not(Filter(FILTER($H$4:$PI76,$H$1:$PI$1&lt;today()),$A$4:$A76=A34)=0),Filter(FILTER($H$4:$PI7"&amp;"6,$H$1:$PI$1&lt;today()),$A$4:$A76=A34)&lt;23)))"),62.0)</f>
        <v>62</v>
      </c>
      <c r="H34" s="435"/>
      <c r="I34" s="435"/>
      <c r="J34" s="435"/>
      <c r="K34" s="435"/>
      <c r="L34" s="435"/>
      <c r="M34" s="435"/>
      <c r="N34" s="435"/>
      <c r="O34" s="435"/>
      <c r="P34" s="435"/>
      <c r="Q34" s="435"/>
      <c r="R34" s="435"/>
      <c r="S34" s="435"/>
      <c r="T34" s="435"/>
      <c r="U34" s="435"/>
      <c r="V34" s="435"/>
      <c r="W34" s="435"/>
      <c r="X34" s="435"/>
      <c r="Y34" s="435"/>
      <c r="Z34" s="435"/>
      <c r="AA34" s="435"/>
      <c r="AB34" s="435"/>
      <c r="AC34" s="435"/>
      <c r="AD34" s="435"/>
      <c r="AE34" s="435"/>
      <c r="AF34" s="435"/>
      <c r="AG34" s="435"/>
      <c r="AH34" s="435"/>
      <c r="AI34" s="435"/>
      <c r="AJ34" s="435"/>
      <c r="AK34" s="435"/>
      <c r="AL34" s="435"/>
      <c r="AM34" s="405"/>
      <c r="AO34" s="400"/>
      <c r="AP34" s="400"/>
      <c r="AQ34" s="400"/>
      <c r="AR34" s="400"/>
      <c r="AS34" s="400"/>
      <c r="AT34" s="400"/>
      <c r="AU34" s="394"/>
      <c r="AV34" s="400"/>
      <c r="AW34" s="400"/>
      <c r="AX34" s="394"/>
      <c r="AY34" s="400"/>
      <c r="AZ34" s="400"/>
      <c r="BA34" s="394"/>
      <c r="BB34" s="400"/>
      <c r="BC34" s="400"/>
      <c r="BD34" s="400"/>
      <c r="BE34" s="400"/>
      <c r="BF34" s="400"/>
      <c r="BG34" s="400"/>
      <c r="BH34" s="400"/>
      <c r="BI34" s="400"/>
      <c r="BJ34" s="400"/>
      <c r="BK34" s="400"/>
      <c r="BL34" s="400"/>
      <c r="BM34" s="400"/>
      <c r="BN34" s="400"/>
      <c r="BO34" s="400"/>
      <c r="BP34" s="400"/>
      <c r="BQ34" s="400"/>
      <c r="BR34" s="400"/>
      <c r="BS34" s="400"/>
      <c r="BU34" s="405"/>
      <c r="BV34" s="405"/>
      <c r="BW34" s="405"/>
      <c r="BX34" s="405"/>
      <c r="BY34" s="405"/>
      <c r="BZ34" s="405"/>
      <c r="CA34" s="405"/>
      <c r="CB34" s="405"/>
      <c r="CC34" s="405"/>
      <c r="CD34" s="405"/>
      <c r="CE34" s="405"/>
      <c r="CF34" s="405"/>
      <c r="CG34" s="405"/>
      <c r="CH34" s="405"/>
      <c r="CI34" s="405"/>
      <c r="CJ34" s="405"/>
      <c r="CK34" s="405"/>
      <c r="CL34" s="405"/>
      <c r="CM34" s="405"/>
      <c r="CN34" s="405"/>
      <c r="CO34" s="405"/>
      <c r="CP34" s="405"/>
      <c r="CQ34" s="405"/>
      <c r="CR34" s="405"/>
      <c r="CS34" s="405"/>
      <c r="CT34" s="405"/>
      <c r="CU34" s="405"/>
      <c r="CV34" s="405"/>
      <c r="CW34" s="405"/>
      <c r="CX34" s="405"/>
      <c r="CY34" s="405"/>
      <c r="CZ34" s="405"/>
      <c r="DB34" s="405"/>
      <c r="DC34" s="405"/>
      <c r="DD34" s="405"/>
      <c r="DE34" s="405"/>
      <c r="DF34" s="405"/>
      <c r="DG34" s="405"/>
      <c r="DH34" s="405"/>
      <c r="DI34" s="405"/>
      <c r="DJ34" s="405"/>
      <c r="DK34" s="405"/>
      <c r="DL34" s="405"/>
      <c r="DM34" s="405"/>
      <c r="DN34" s="405"/>
      <c r="DO34" s="405"/>
      <c r="DP34" s="405"/>
      <c r="DQ34" s="405"/>
      <c r="DR34" s="405"/>
      <c r="DS34" s="405"/>
      <c r="DT34" s="405"/>
      <c r="DU34" s="405"/>
      <c r="DV34" s="405"/>
      <c r="DW34" s="405"/>
      <c r="DX34" s="405"/>
      <c r="DY34" s="405"/>
      <c r="DZ34" s="405"/>
      <c r="EA34" s="405"/>
      <c r="EB34" s="405"/>
      <c r="EC34" s="405"/>
      <c r="ED34" s="405"/>
      <c r="EE34" s="405"/>
      <c r="EF34" s="405"/>
      <c r="EG34" s="438"/>
      <c r="EI34" s="394" t="s">
        <v>166</v>
      </c>
      <c r="EJ34" s="394" t="s">
        <v>166</v>
      </c>
      <c r="EK34" s="394" t="s">
        <v>166</v>
      </c>
      <c r="EL34" s="394" t="s">
        <v>166</v>
      </c>
      <c r="EM34" s="394" t="s">
        <v>166</v>
      </c>
      <c r="EN34" s="394" t="s">
        <v>166</v>
      </c>
      <c r="EO34" s="394" t="s">
        <v>166</v>
      </c>
      <c r="EP34" s="394" t="s">
        <v>166</v>
      </c>
      <c r="EQ34" s="394" t="s">
        <v>166</v>
      </c>
      <c r="ER34" s="394" t="s">
        <v>166</v>
      </c>
      <c r="ES34" s="394" t="s">
        <v>166</v>
      </c>
      <c r="ET34" s="394" t="s">
        <v>166</v>
      </c>
      <c r="EU34" s="394" t="s">
        <v>166</v>
      </c>
      <c r="EV34" s="394" t="s">
        <v>166</v>
      </c>
      <c r="EW34" s="394" t="s">
        <v>166</v>
      </c>
      <c r="EX34" s="394" t="s">
        <v>166</v>
      </c>
      <c r="EY34" s="394" t="s">
        <v>166</v>
      </c>
      <c r="EZ34" s="394" t="s">
        <v>166</v>
      </c>
      <c r="FA34" s="394" t="s">
        <v>166</v>
      </c>
      <c r="FB34" s="394" t="s">
        <v>166</v>
      </c>
      <c r="FC34" s="394" t="s">
        <v>166</v>
      </c>
      <c r="FD34" s="394" t="s">
        <v>166</v>
      </c>
      <c r="FE34" s="394" t="s">
        <v>166</v>
      </c>
      <c r="FF34" s="394" t="s">
        <v>166</v>
      </c>
      <c r="FG34" s="394" t="s">
        <v>166</v>
      </c>
      <c r="FH34" s="394" t="s">
        <v>166</v>
      </c>
      <c r="FI34" s="394">
        <v>8.0</v>
      </c>
      <c r="FJ34" s="394">
        <v>8.0</v>
      </c>
      <c r="FK34" s="394">
        <v>8.0</v>
      </c>
      <c r="FL34" s="394">
        <v>8.0</v>
      </c>
      <c r="FM34" s="407">
        <f t="shared" si="9"/>
        <v>32</v>
      </c>
      <c r="FO34" s="394">
        <v>8.0</v>
      </c>
      <c r="FP34" s="403" t="s">
        <v>165</v>
      </c>
      <c r="FQ34" s="403" t="s">
        <v>165</v>
      </c>
      <c r="FR34" s="403" t="s">
        <v>165</v>
      </c>
      <c r="FS34" s="403" t="s">
        <v>165</v>
      </c>
      <c r="FT34" s="394">
        <v>8.0</v>
      </c>
      <c r="FU34" s="394">
        <v>8.0</v>
      </c>
      <c r="FV34" s="394">
        <v>8.0</v>
      </c>
      <c r="FW34" s="394">
        <v>8.0</v>
      </c>
      <c r="FX34" s="394">
        <v>8.0</v>
      </c>
      <c r="FY34" s="442" t="s">
        <v>165</v>
      </c>
      <c r="FZ34" s="442" t="s">
        <v>165</v>
      </c>
      <c r="GA34" s="394">
        <v>8.0</v>
      </c>
      <c r="GB34" s="394">
        <v>8.0</v>
      </c>
      <c r="GC34" s="394">
        <v>8.0</v>
      </c>
      <c r="GD34" s="394">
        <v>8.0</v>
      </c>
      <c r="GE34" s="394">
        <v>8.0</v>
      </c>
      <c r="GF34" s="442" t="s">
        <v>165</v>
      </c>
      <c r="GG34" s="442" t="s">
        <v>165</v>
      </c>
      <c r="GH34" s="394">
        <v>8.0</v>
      </c>
      <c r="GI34" s="394">
        <v>8.0</v>
      </c>
      <c r="GJ34" s="394">
        <v>8.0</v>
      </c>
      <c r="GK34" s="394">
        <v>8.0</v>
      </c>
      <c r="GL34" s="394">
        <v>8.0</v>
      </c>
      <c r="GM34" s="442" t="s">
        <v>165</v>
      </c>
      <c r="GN34" s="442" t="s">
        <v>165</v>
      </c>
      <c r="GO34" s="394">
        <v>8.0</v>
      </c>
      <c r="GP34" s="394">
        <v>8.0</v>
      </c>
      <c r="GQ34" s="394">
        <v>8.0</v>
      </c>
      <c r="GR34" s="394">
        <v>8.0</v>
      </c>
      <c r="GS34" s="394">
        <v>8.0</v>
      </c>
      <c r="GT34" s="400">
        <f t="shared" si="10"/>
        <v>168</v>
      </c>
      <c r="GV34" s="442" t="s">
        <v>165</v>
      </c>
      <c r="GW34" s="442" t="s">
        <v>165</v>
      </c>
      <c r="GX34" s="394" t="s">
        <v>245</v>
      </c>
      <c r="GY34" s="394" t="s">
        <v>245</v>
      </c>
      <c r="GZ34" s="394" t="s">
        <v>245</v>
      </c>
      <c r="HA34" s="394" t="s">
        <v>245</v>
      </c>
      <c r="HB34" s="394" t="s">
        <v>245</v>
      </c>
      <c r="HC34" s="442" t="s">
        <v>165</v>
      </c>
      <c r="HD34" s="442" t="s">
        <v>165</v>
      </c>
      <c r="HE34" s="394">
        <v>8.0</v>
      </c>
      <c r="HF34" s="394">
        <v>8.0</v>
      </c>
      <c r="HG34" s="394">
        <v>8.0</v>
      </c>
      <c r="HH34" s="394">
        <v>8.0</v>
      </c>
      <c r="HI34" s="394">
        <v>8.0</v>
      </c>
      <c r="HJ34" s="442" t="s">
        <v>165</v>
      </c>
      <c r="HK34" s="442" t="s">
        <v>165</v>
      </c>
      <c r="HL34" s="394">
        <v>8.0</v>
      </c>
      <c r="HM34" s="394">
        <v>8.0</v>
      </c>
      <c r="HN34" s="394">
        <v>8.0</v>
      </c>
      <c r="HO34" s="394">
        <v>8.0</v>
      </c>
      <c r="HP34" s="394">
        <v>8.0</v>
      </c>
      <c r="HQ34" s="442" t="s">
        <v>165</v>
      </c>
      <c r="HR34" s="442" t="s">
        <v>165</v>
      </c>
      <c r="HS34" s="394">
        <v>8.0</v>
      </c>
      <c r="HT34" s="394">
        <v>8.0</v>
      </c>
      <c r="HU34" s="394">
        <v>8.0</v>
      </c>
      <c r="HV34" s="394">
        <v>8.0</v>
      </c>
      <c r="HW34" s="394">
        <v>8.0</v>
      </c>
      <c r="HX34" s="442" t="s">
        <v>165</v>
      </c>
      <c r="HY34" s="442" t="s">
        <v>165</v>
      </c>
      <c r="HZ34" s="400">
        <f t="shared" si="2"/>
        <v>120</v>
      </c>
      <c r="IB34" s="394">
        <v>8.0</v>
      </c>
      <c r="IC34" s="394">
        <v>8.0</v>
      </c>
      <c r="ID34" s="394">
        <v>8.0</v>
      </c>
      <c r="IE34" s="394">
        <v>8.0</v>
      </c>
      <c r="IF34" s="394">
        <v>8.0</v>
      </c>
      <c r="IG34" s="442" t="s">
        <v>165</v>
      </c>
      <c r="IH34" s="442" t="s">
        <v>165</v>
      </c>
      <c r="II34" s="394">
        <v>8.0</v>
      </c>
      <c r="IJ34" s="394">
        <v>8.0</v>
      </c>
      <c r="IK34" s="394">
        <v>8.0</v>
      </c>
      <c r="IL34" s="394">
        <v>8.0</v>
      </c>
      <c r="IM34" s="394">
        <v>8.0</v>
      </c>
      <c r="IN34" s="442" t="s">
        <v>165</v>
      </c>
      <c r="IO34" s="442" t="s">
        <v>165</v>
      </c>
      <c r="IP34" s="394">
        <v>8.0</v>
      </c>
      <c r="IQ34" s="394">
        <v>8.0</v>
      </c>
      <c r="IR34" s="394">
        <v>8.0</v>
      </c>
      <c r="IS34" s="394">
        <v>8.0</v>
      </c>
      <c r="IT34" s="394">
        <v>8.0</v>
      </c>
      <c r="IU34" s="442" t="s">
        <v>165</v>
      </c>
      <c r="IV34" s="442" t="s">
        <v>165</v>
      </c>
      <c r="IW34" s="394">
        <v>8.0</v>
      </c>
      <c r="IX34" s="394">
        <v>8.0</v>
      </c>
      <c r="IY34" s="394">
        <v>8.0</v>
      </c>
      <c r="IZ34" s="394">
        <v>8.0</v>
      </c>
      <c r="JA34" s="394">
        <v>8.0</v>
      </c>
      <c r="JB34" s="442" t="s">
        <v>165</v>
      </c>
      <c r="JC34" s="442" t="s">
        <v>165</v>
      </c>
      <c r="JD34" s="394" t="s">
        <v>171</v>
      </c>
      <c r="JE34" s="394" t="s">
        <v>171</v>
      </c>
      <c r="JF34" s="394" t="s">
        <v>171</v>
      </c>
      <c r="JG34" s="400">
        <f t="shared" si="3"/>
        <v>160</v>
      </c>
      <c r="JI34" s="394">
        <v>8.0</v>
      </c>
      <c r="JJ34" s="394">
        <v>8.0</v>
      </c>
      <c r="JK34" s="442" t="s">
        <v>165</v>
      </c>
      <c r="JL34" s="442" t="s">
        <v>165</v>
      </c>
      <c r="JM34" s="394">
        <v>8.0</v>
      </c>
      <c r="JN34" s="394">
        <v>8.0</v>
      </c>
      <c r="JO34" s="394">
        <v>8.0</v>
      </c>
      <c r="JP34" s="394">
        <v>8.0</v>
      </c>
      <c r="JQ34" s="394">
        <v>8.0</v>
      </c>
      <c r="JR34" s="442" t="s">
        <v>165</v>
      </c>
      <c r="JS34" s="442" t="s">
        <v>165</v>
      </c>
      <c r="JT34" s="394">
        <v>8.0</v>
      </c>
      <c r="JU34" s="394">
        <v>8.0</v>
      </c>
      <c r="JV34" s="394">
        <v>8.0</v>
      </c>
      <c r="JW34" s="394">
        <v>8.0</v>
      </c>
      <c r="JX34" s="394">
        <v>8.0</v>
      </c>
      <c r="JY34" s="442" t="s">
        <v>165</v>
      </c>
      <c r="JZ34" s="442" t="s">
        <v>165</v>
      </c>
      <c r="KA34" s="394">
        <v>8.0</v>
      </c>
      <c r="KB34" s="394">
        <v>8.0</v>
      </c>
      <c r="KC34" s="394">
        <v>8.0</v>
      </c>
      <c r="KD34" s="394">
        <v>8.0</v>
      </c>
      <c r="KE34" s="394">
        <v>8.0</v>
      </c>
      <c r="KF34" s="442" t="s">
        <v>165</v>
      </c>
      <c r="KG34" s="442" t="s">
        <v>165</v>
      </c>
      <c r="KH34" s="394">
        <v>8.0</v>
      </c>
      <c r="KI34" s="394">
        <v>8.0</v>
      </c>
      <c r="KJ34" s="394">
        <v>8.0</v>
      </c>
      <c r="KK34" s="394">
        <v>8.0</v>
      </c>
      <c r="KL34" s="394">
        <v>8.0</v>
      </c>
      <c r="KM34" s="442" t="s">
        <v>165</v>
      </c>
      <c r="KN34" s="145">
        <f t="shared" si="4"/>
        <v>176</v>
      </c>
      <c r="KP34" s="398"/>
      <c r="KQ34" s="398"/>
      <c r="KR34" s="398"/>
      <c r="KS34" s="398"/>
      <c r="KT34" s="398"/>
      <c r="KU34" s="398"/>
      <c r="KV34" s="398"/>
      <c r="KW34" s="398"/>
      <c r="KX34" s="398"/>
      <c r="KY34" s="398"/>
      <c r="KZ34" s="398"/>
      <c r="LA34" s="398"/>
      <c r="LB34" s="398"/>
      <c r="LC34" s="398"/>
      <c r="LD34" s="398"/>
      <c r="LE34" s="398"/>
      <c r="LF34" s="398"/>
      <c r="LG34" s="398"/>
      <c r="LH34" s="398"/>
      <c r="LI34" s="398"/>
      <c r="LJ34" s="398"/>
      <c r="LK34" s="398"/>
      <c r="LL34" s="398"/>
      <c r="LM34" s="398"/>
      <c r="LN34" s="398"/>
      <c r="LO34" s="398"/>
      <c r="LP34" s="398"/>
      <c r="LQ34" s="398"/>
      <c r="LR34" s="398"/>
      <c r="LT34" s="398"/>
      <c r="LU34" s="398"/>
      <c r="LV34" s="398"/>
      <c r="LW34" s="398"/>
      <c r="LX34" s="398"/>
      <c r="LY34" s="398"/>
      <c r="LZ34" s="398"/>
      <c r="MA34" s="398"/>
      <c r="MB34" s="398"/>
      <c r="MC34" s="398"/>
      <c r="MD34" s="398"/>
      <c r="ME34" s="398"/>
      <c r="MF34" s="398"/>
      <c r="MG34" s="398"/>
      <c r="MH34" s="398"/>
      <c r="MI34" s="398"/>
      <c r="MJ34" s="398"/>
      <c r="MK34" s="398"/>
      <c r="ML34" s="398"/>
      <c r="MM34" s="398"/>
      <c r="MN34" s="398"/>
      <c r="MO34" s="398"/>
      <c r="MP34" s="398"/>
      <c r="MQ34" s="398"/>
      <c r="MR34" s="398"/>
      <c r="MS34" s="398"/>
    </row>
    <row r="35" ht="16.5" customHeight="1">
      <c r="A35" s="393" t="s">
        <v>1284</v>
      </c>
      <c r="B35" s="394" t="s">
        <v>88</v>
      </c>
      <c r="C35" s="394" t="s">
        <v>99</v>
      </c>
      <c r="D35" s="395">
        <f t="shared" si="1"/>
        <v>0</v>
      </c>
      <c r="E35" s="396" t="s">
        <v>1250</v>
      </c>
      <c r="F35" s="397">
        <f>IFERROR(__xludf.DUMMYFUNCTION("IF(A35="""","""", counta(filter(Filter(FILTER($H$4:$PI76,$H$1:$PI$1&lt;today()),$A$4:$A76=A35),not(istext(Filter(FILTER($H$4:$PI76,$H$1:$PI$1&lt;today()),$A$4:$A76=A35))),not(Filter(FILTER($H$4:$PI76,$H$1:$PI$1&lt;today()),$A$4:$A76=A35)=0),Filter(FILTER($H$4:$PI7"&amp;"6,$H$1:$PI$1&lt;today()),$A$4:$A76=A35)&lt;23)))"),68.0)</f>
        <v>68</v>
      </c>
      <c r="H35" s="435"/>
      <c r="I35" s="435"/>
      <c r="J35" s="435"/>
      <c r="K35" s="435"/>
      <c r="L35" s="435"/>
      <c r="M35" s="435"/>
      <c r="N35" s="435"/>
      <c r="O35" s="435"/>
      <c r="P35" s="435"/>
      <c r="Q35" s="435"/>
      <c r="R35" s="435"/>
      <c r="S35" s="435"/>
      <c r="T35" s="435"/>
      <c r="U35" s="435"/>
      <c r="V35" s="435"/>
      <c r="W35" s="435"/>
      <c r="X35" s="435"/>
      <c r="Y35" s="435"/>
      <c r="Z35" s="435"/>
      <c r="AA35" s="435"/>
      <c r="AB35" s="435"/>
      <c r="AC35" s="435"/>
      <c r="AD35" s="435"/>
      <c r="AE35" s="435"/>
      <c r="AF35" s="435"/>
      <c r="AG35" s="435"/>
      <c r="AH35" s="435"/>
      <c r="AI35" s="435"/>
      <c r="AJ35" s="435"/>
      <c r="AK35" s="435"/>
      <c r="AL35" s="435"/>
      <c r="AM35" s="405"/>
      <c r="AO35" s="400"/>
      <c r="AP35" s="400"/>
      <c r="AQ35" s="400"/>
      <c r="AR35" s="400"/>
      <c r="AS35" s="400"/>
      <c r="AT35" s="400"/>
      <c r="AU35" s="394"/>
      <c r="AV35" s="400"/>
      <c r="AW35" s="400"/>
      <c r="AX35" s="394"/>
      <c r="AY35" s="400"/>
      <c r="AZ35" s="400"/>
      <c r="BA35" s="394"/>
      <c r="BB35" s="400"/>
      <c r="BC35" s="400"/>
      <c r="BD35" s="400"/>
      <c r="BE35" s="400"/>
      <c r="BF35" s="400"/>
      <c r="BG35" s="400"/>
      <c r="BH35" s="400"/>
      <c r="BI35" s="400"/>
      <c r="BJ35" s="400"/>
      <c r="BK35" s="400"/>
      <c r="BL35" s="400"/>
      <c r="BM35" s="400"/>
      <c r="BN35" s="400"/>
      <c r="BO35" s="400"/>
      <c r="BP35" s="400"/>
      <c r="BQ35" s="400"/>
      <c r="BR35" s="400"/>
      <c r="BS35" s="400"/>
      <c r="BU35" s="405"/>
      <c r="BV35" s="405"/>
      <c r="BW35" s="405"/>
      <c r="BX35" s="405"/>
      <c r="BY35" s="405"/>
      <c r="BZ35" s="405"/>
      <c r="CA35" s="405"/>
      <c r="CB35" s="405"/>
      <c r="CC35" s="405"/>
      <c r="CD35" s="405"/>
      <c r="CE35" s="405"/>
      <c r="CF35" s="405"/>
      <c r="CG35" s="405"/>
      <c r="CH35" s="405"/>
      <c r="CI35" s="405"/>
      <c r="CJ35" s="405"/>
      <c r="CK35" s="405"/>
      <c r="CL35" s="405"/>
      <c r="CM35" s="405"/>
      <c r="CN35" s="405"/>
      <c r="CO35" s="405"/>
      <c r="CP35" s="405"/>
      <c r="CQ35" s="405"/>
      <c r="CR35" s="405"/>
      <c r="CS35" s="405"/>
      <c r="CT35" s="405"/>
      <c r="CU35" s="405"/>
      <c r="CV35" s="405"/>
      <c r="CW35" s="405"/>
      <c r="CX35" s="405"/>
      <c r="CY35" s="405"/>
      <c r="CZ35" s="405"/>
      <c r="DB35" s="405"/>
      <c r="DC35" s="405"/>
      <c r="DD35" s="405"/>
      <c r="DE35" s="405"/>
      <c r="DF35" s="405"/>
      <c r="DG35" s="405"/>
      <c r="DH35" s="405"/>
      <c r="DI35" s="405"/>
      <c r="DJ35" s="405"/>
      <c r="DK35" s="405"/>
      <c r="DL35" s="405"/>
      <c r="DM35" s="405"/>
      <c r="DN35" s="405"/>
      <c r="DO35" s="405"/>
      <c r="DP35" s="405"/>
      <c r="DQ35" s="405"/>
      <c r="DR35" s="405"/>
      <c r="DS35" s="405"/>
      <c r="DT35" s="405"/>
      <c r="DU35" s="405"/>
      <c r="DV35" s="405"/>
      <c r="DW35" s="405"/>
      <c r="DX35" s="405"/>
      <c r="DY35" s="405"/>
      <c r="DZ35" s="405"/>
      <c r="EA35" s="405"/>
      <c r="EB35" s="405"/>
      <c r="EC35" s="405"/>
      <c r="ED35" s="405"/>
      <c r="EE35" s="405"/>
      <c r="EF35" s="405"/>
      <c r="EG35" s="438"/>
      <c r="EI35" s="394" t="s">
        <v>166</v>
      </c>
      <c r="EJ35" s="394" t="s">
        <v>166</v>
      </c>
      <c r="EK35" s="394" t="s">
        <v>166</v>
      </c>
      <c r="EL35" s="394" t="s">
        <v>166</v>
      </c>
      <c r="EM35" s="394" t="s">
        <v>166</v>
      </c>
      <c r="EN35" s="394" t="s">
        <v>166</v>
      </c>
      <c r="EO35" s="394" t="s">
        <v>166</v>
      </c>
      <c r="EP35" s="394" t="s">
        <v>166</v>
      </c>
      <c r="EQ35" s="394" t="s">
        <v>166</v>
      </c>
      <c r="ER35" s="394" t="s">
        <v>166</v>
      </c>
      <c r="ES35" s="394" t="s">
        <v>166</v>
      </c>
      <c r="ET35" s="394" t="s">
        <v>166</v>
      </c>
      <c r="EU35" s="394" t="s">
        <v>166</v>
      </c>
      <c r="EV35" s="394" t="s">
        <v>166</v>
      </c>
      <c r="EW35" s="394" t="s">
        <v>166</v>
      </c>
      <c r="EX35" s="394" t="s">
        <v>166</v>
      </c>
      <c r="EY35" s="394" t="s">
        <v>166</v>
      </c>
      <c r="EZ35" s="394" t="s">
        <v>166</v>
      </c>
      <c r="FA35" s="394" t="s">
        <v>166</v>
      </c>
      <c r="FB35" s="394" t="s">
        <v>166</v>
      </c>
      <c r="FC35" s="394" t="s">
        <v>166</v>
      </c>
      <c r="FD35" s="394" t="s">
        <v>166</v>
      </c>
      <c r="FE35" s="394" t="s">
        <v>166</v>
      </c>
      <c r="FF35" s="394" t="s">
        <v>166</v>
      </c>
      <c r="FG35" s="394" t="s">
        <v>166</v>
      </c>
      <c r="FH35" s="394" t="s">
        <v>166</v>
      </c>
      <c r="FI35" s="394" t="s">
        <v>166</v>
      </c>
      <c r="FJ35" s="394" t="s">
        <v>166</v>
      </c>
      <c r="FK35" s="394">
        <v>8.0</v>
      </c>
      <c r="FL35" s="394">
        <v>8.0</v>
      </c>
      <c r="FM35" s="407">
        <f t="shared" si="9"/>
        <v>16</v>
      </c>
      <c r="FO35" s="394">
        <v>8.0</v>
      </c>
      <c r="FP35" s="403" t="s">
        <v>165</v>
      </c>
      <c r="FQ35" s="403" t="s">
        <v>165</v>
      </c>
      <c r="FR35" s="403" t="s">
        <v>165</v>
      </c>
      <c r="FS35" s="403" t="s">
        <v>165</v>
      </c>
      <c r="FT35" s="394">
        <v>8.0</v>
      </c>
      <c r="FU35" s="394">
        <v>7.7</v>
      </c>
      <c r="FV35" s="394">
        <v>8.3</v>
      </c>
      <c r="FW35" s="394">
        <v>8.0</v>
      </c>
      <c r="FX35" s="394">
        <v>8.0</v>
      </c>
      <c r="FY35" s="442" t="s">
        <v>165</v>
      </c>
      <c r="FZ35" s="442" t="s">
        <v>165</v>
      </c>
      <c r="GA35" s="407">
        <v>8.0</v>
      </c>
      <c r="GB35" s="407">
        <v>8.0</v>
      </c>
      <c r="GC35" s="394" t="s">
        <v>245</v>
      </c>
      <c r="GD35" s="407">
        <v>8.0</v>
      </c>
      <c r="GE35" s="407">
        <v>8.0</v>
      </c>
      <c r="GF35" s="442" t="s">
        <v>165</v>
      </c>
      <c r="GG35" s="442" t="s">
        <v>165</v>
      </c>
      <c r="GH35" s="407">
        <v>8.0</v>
      </c>
      <c r="GI35" s="407">
        <v>8.0</v>
      </c>
      <c r="GJ35" s="407">
        <v>8.0</v>
      </c>
      <c r="GK35" s="407">
        <v>8.0</v>
      </c>
      <c r="GL35" s="407">
        <v>8.0</v>
      </c>
      <c r="GM35" s="442" t="s">
        <v>165</v>
      </c>
      <c r="GN35" s="442" t="s">
        <v>165</v>
      </c>
      <c r="GO35" s="407">
        <v>8.0</v>
      </c>
      <c r="GP35" s="407">
        <v>8.0</v>
      </c>
      <c r="GQ35" s="407">
        <v>8.0</v>
      </c>
      <c r="GR35" s="407">
        <v>8.0</v>
      </c>
      <c r="GS35" s="407">
        <v>8.0</v>
      </c>
      <c r="GT35" s="400">
        <f t="shared" si="10"/>
        <v>160</v>
      </c>
      <c r="GV35" s="442" t="s">
        <v>165</v>
      </c>
      <c r="GW35" s="442" t="s">
        <v>165</v>
      </c>
      <c r="GX35" s="407">
        <v>8.0</v>
      </c>
      <c r="GY35" s="394" t="s">
        <v>245</v>
      </c>
      <c r="GZ35" s="407">
        <v>8.0</v>
      </c>
      <c r="HA35" s="407">
        <v>8.0</v>
      </c>
      <c r="HB35" s="407">
        <v>8.0</v>
      </c>
      <c r="HC35" s="442" t="s">
        <v>165</v>
      </c>
      <c r="HD35" s="442" t="s">
        <v>165</v>
      </c>
      <c r="HE35" s="407">
        <v>8.0</v>
      </c>
      <c r="HF35" s="407">
        <v>8.0</v>
      </c>
      <c r="HG35" s="407">
        <v>8.0</v>
      </c>
      <c r="HH35" s="407">
        <v>8.0</v>
      </c>
      <c r="HI35" s="407">
        <v>8.0</v>
      </c>
      <c r="HJ35" s="442" t="s">
        <v>165</v>
      </c>
      <c r="HK35" s="442" t="s">
        <v>165</v>
      </c>
      <c r="HL35" s="407">
        <v>8.0</v>
      </c>
      <c r="HM35" s="407">
        <v>8.0</v>
      </c>
      <c r="HN35" s="407">
        <v>8.0</v>
      </c>
      <c r="HO35" s="407">
        <v>8.0</v>
      </c>
      <c r="HP35" s="407">
        <v>8.0</v>
      </c>
      <c r="HQ35" s="442" t="s">
        <v>165</v>
      </c>
      <c r="HR35" s="442" t="s">
        <v>165</v>
      </c>
      <c r="HS35" s="407">
        <v>8.0</v>
      </c>
      <c r="HT35" s="407">
        <v>8.0</v>
      </c>
      <c r="HU35" s="407">
        <v>8.0</v>
      </c>
      <c r="HV35" s="407">
        <v>8.0</v>
      </c>
      <c r="HW35" s="407">
        <v>8.0</v>
      </c>
      <c r="HX35" s="442" t="s">
        <v>165</v>
      </c>
      <c r="HY35" s="442" t="s">
        <v>165</v>
      </c>
      <c r="HZ35" s="400">
        <f t="shared" si="2"/>
        <v>152</v>
      </c>
      <c r="IB35" s="407">
        <v>8.0</v>
      </c>
      <c r="IC35" s="407">
        <v>8.0</v>
      </c>
      <c r="ID35" s="407">
        <v>8.0</v>
      </c>
      <c r="IE35" s="407">
        <v>8.0</v>
      </c>
      <c r="IF35" s="407">
        <v>8.0</v>
      </c>
      <c r="IG35" s="442" t="s">
        <v>165</v>
      </c>
      <c r="IH35" s="442" t="s">
        <v>165</v>
      </c>
      <c r="II35" s="407">
        <v>8.0</v>
      </c>
      <c r="IJ35" s="407">
        <v>8.0</v>
      </c>
      <c r="IK35" s="407">
        <v>8.0</v>
      </c>
      <c r="IL35" s="407">
        <v>8.0</v>
      </c>
      <c r="IM35" s="407">
        <v>8.0</v>
      </c>
      <c r="IN35" s="442" t="s">
        <v>165</v>
      </c>
      <c r="IO35" s="442" t="s">
        <v>165</v>
      </c>
      <c r="IP35" s="407">
        <v>8.0</v>
      </c>
      <c r="IQ35" s="421">
        <v>2.0</v>
      </c>
      <c r="IR35" s="394" t="s">
        <v>245</v>
      </c>
      <c r="IS35" s="421">
        <v>9.0</v>
      </c>
      <c r="IT35" s="421">
        <v>9.0</v>
      </c>
      <c r="IU35" s="421">
        <v>4.0</v>
      </c>
      <c r="IV35" s="421">
        <v>8.0</v>
      </c>
      <c r="IW35" s="421">
        <v>10.0</v>
      </c>
      <c r="IX35" s="421">
        <v>9.0</v>
      </c>
      <c r="IY35" s="394" t="s">
        <v>245</v>
      </c>
      <c r="IZ35" s="407">
        <v>8.0</v>
      </c>
      <c r="JA35" s="421">
        <v>9.0</v>
      </c>
      <c r="JB35" s="443">
        <v>4.0</v>
      </c>
      <c r="JC35" s="421">
        <v>8.0</v>
      </c>
      <c r="JD35" s="407">
        <v>8.0</v>
      </c>
      <c r="JE35" s="407">
        <v>8.0</v>
      </c>
      <c r="JF35" s="394" t="s">
        <v>245</v>
      </c>
      <c r="JG35" s="400">
        <f t="shared" si="3"/>
        <v>184</v>
      </c>
      <c r="JI35" s="407">
        <v>8.0</v>
      </c>
      <c r="JJ35" s="407">
        <v>8.0</v>
      </c>
      <c r="JK35" s="442" t="s">
        <v>165</v>
      </c>
      <c r="JL35" s="442" t="s">
        <v>165</v>
      </c>
      <c r="JM35" s="407">
        <v>8.0</v>
      </c>
      <c r="JN35" s="407">
        <v>8.0</v>
      </c>
      <c r="JO35" s="407">
        <v>8.0</v>
      </c>
      <c r="JP35" s="407">
        <v>8.0</v>
      </c>
      <c r="JQ35" s="407">
        <v>8.0</v>
      </c>
      <c r="JR35" s="442" t="s">
        <v>165</v>
      </c>
      <c r="JS35" s="442" t="s">
        <v>165</v>
      </c>
      <c r="JT35" s="407">
        <v>8.0</v>
      </c>
      <c r="JU35" s="407">
        <v>8.0</v>
      </c>
      <c r="JV35" s="407">
        <v>8.0</v>
      </c>
      <c r="JW35" s="407">
        <v>8.0</v>
      </c>
      <c r="JX35" s="407">
        <v>8.0</v>
      </c>
      <c r="JY35" s="442" t="s">
        <v>165</v>
      </c>
      <c r="JZ35" s="442" t="s">
        <v>165</v>
      </c>
      <c r="KA35" s="407">
        <v>8.0</v>
      </c>
      <c r="KB35" s="407">
        <v>8.0</v>
      </c>
      <c r="KC35" s="407">
        <v>8.0</v>
      </c>
      <c r="KD35" s="407">
        <v>8.0</v>
      </c>
      <c r="KE35" s="407">
        <v>8.0</v>
      </c>
      <c r="KF35" s="442" t="s">
        <v>165</v>
      </c>
      <c r="KG35" s="442" t="s">
        <v>165</v>
      </c>
      <c r="KH35" s="407">
        <v>8.0</v>
      </c>
      <c r="KI35" s="407">
        <v>8.0</v>
      </c>
      <c r="KJ35" s="407">
        <v>8.0</v>
      </c>
      <c r="KK35" s="407">
        <v>8.0</v>
      </c>
      <c r="KL35" s="407">
        <v>8.0</v>
      </c>
      <c r="KM35" s="442" t="s">
        <v>165</v>
      </c>
      <c r="KN35" s="145">
        <f t="shared" si="4"/>
        <v>176</v>
      </c>
      <c r="KP35" s="398"/>
      <c r="KQ35" s="398"/>
      <c r="KR35" s="398"/>
      <c r="KS35" s="398"/>
      <c r="KT35" s="398"/>
      <c r="KU35" s="398"/>
      <c r="KV35" s="398"/>
      <c r="KW35" s="398"/>
      <c r="KX35" s="398"/>
      <c r="KY35" s="398"/>
      <c r="KZ35" s="398"/>
      <c r="LA35" s="398"/>
      <c r="LB35" s="398"/>
      <c r="LC35" s="398"/>
      <c r="LD35" s="398"/>
      <c r="LE35" s="398"/>
      <c r="LF35" s="398"/>
      <c r="LG35" s="398"/>
      <c r="LH35" s="398"/>
      <c r="LI35" s="398"/>
      <c r="LJ35" s="398"/>
      <c r="LK35" s="398"/>
      <c r="LL35" s="398"/>
      <c r="LM35" s="398"/>
      <c r="LN35" s="398"/>
      <c r="LO35" s="398"/>
      <c r="LP35" s="398"/>
      <c r="LQ35" s="398"/>
      <c r="LR35" s="398"/>
      <c r="LT35" s="398"/>
      <c r="LU35" s="398"/>
      <c r="LV35" s="398"/>
      <c r="LW35" s="398"/>
      <c r="LX35" s="398"/>
      <c r="LY35" s="398"/>
      <c r="LZ35" s="398"/>
      <c r="MA35" s="398"/>
      <c r="MB35" s="398"/>
      <c r="MC35" s="398"/>
      <c r="MD35" s="398"/>
      <c r="ME35" s="398"/>
      <c r="MF35" s="398"/>
      <c r="MG35" s="398"/>
      <c r="MH35" s="398"/>
      <c r="MI35" s="398"/>
      <c r="MJ35" s="398"/>
      <c r="MK35" s="398"/>
      <c r="ML35" s="398"/>
      <c r="MM35" s="398"/>
      <c r="MN35" s="398"/>
      <c r="MO35" s="398"/>
      <c r="MP35" s="398"/>
      <c r="MQ35" s="398"/>
      <c r="MR35" s="398"/>
      <c r="MS35" s="398"/>
    </row>
    <row r="36" ht="16.5" customHeight="1">
      <c r="A36" s="393" t="s">
        <v>1285</v>
      </c>
      <c r="B36" s="394" t="s">
        <v>88</v>
      </c>
      <c r="C36" s="394" t="s">
        <v>99</v>
      </c>
      <c r="D36" s="395">
        <f t="shared" si="1"/>
        <v>0</v>
      </c>
      <c r="E36" s="396" t="s">
        <v>1250</v>
      </c>
      <c r="F36" s="397">
        <f>IFERROR(__xludf.DUMMYFUNCTION("IF(A36="""","""", counta(filter(Filter(FILTER($H$4:$PI76,$H$1:$PI$1&lt;today()),$A$4:$A76=A36),not(istext(Filter(FILTER($H$4:$PI76,$H$1:$PI$1&lt;today()),$A$4:$A76=A36))),not(Filter(FILTER($H$4:$PI76,$H$1:$PI$1&lt;today()),$A$4:$A76=A36)=0),Filter(FILTER($H$4:$PI7"&amp;"6,$H$1:$PI$1&lt;today()),$A$4:$A76=A36)&lt;23)))"),61.0)</f>
        <v>61</v>
      </c>
      <c r="H36" s="435"/>
      <c r="I36" s="435"/>
      <c r="J36" s="435"/>
      <c r="K36" s="435"/>
      <c r="L36" s="435"/>
      <c r="M36" s="435"/>
      <c r="N36" s="435"/>
      <c r="O36" s="435"/>
      <c r="P36" s="435"/>
      <c r="Q36" s="435"/>
      <c r="R36" s="435"/>
      <c r="S36" s="435"/>
      <c r="T36" s="435"/>
      <c r="U36" s="435"/>
      <c r="V36" s="435"/>
      <c r="W36" s="435"/>
      <c r="X36" s="435"/>
      <c r="Y36" s="435"/>
      <c r="Z36" s="435"/>
      <c r="AA36" s="435"/>
      <c r="AB36" s="435"/>
      <c r="AC36" s="435"/>
      <c r="AD36" s="435"/>
      <c r="AE36" s="435"/>
      <c r="AF36" s="435"/>
      <c r="AG36" s="435"/>
      <c r="AH36" s="435"/>
      <c r="AI36" s="435"/>
      <c r="AJ36" s="435"/>
      <c r="AK36" s="435"/>
      <c r="AL36" s="435"/>
      <c r="AM36" s="405"/>
      <c r="AO36" s="400"/>
      <c r="AP36" s="400"/>
      <c r="AQ36" s="400"/>
      <c r="AR36" s="400"/>
      <c r="AS36" s="400"/>
      <c r="AT36" s="400"/>
      <c r="AU36" s="394"/>
      <c r="AV36" s="400"/>
      <c r="AW36" s="400"/>
      <c r="AX36" s="394"/>
      <c r="AY36" s="400"/>
      <c r="AZ36" s="400"/>
      <c r="BA36" s="394"/>
      <c r="BB36" s="400"/>
      <c r="BC36" s="400"/>
      <c r="BD36" s="400"/>
      <c r="BE36" s="400"/>
      <c r="BF36" s="400"/>
      <c r="BG36" s="400"/>
      <c r="BH36" s="400"/>
      <c r="BI36" s="400"/>
      <c r="BJ36" s="400"/>
      <c r="BK36" s="400"/>
      <c r="BL36" s="400"/>
      <c r="BM36" s="400"/>
      <c r="BN36" s="400"/>
      <c r="BO36" s="400"/>
      <c r="BP36" s="400"/>
      <c r="BQ36" s="400"/>
      <c r="BR36" s="400"/>
      <c r="BS36" s="400"/>
      <c r="BU36" s="405"/>
      <c r="BV36" s="405"/>
      <c r="BW36" s="405"/>
      <c r="BX36" s="405"/>
      <c r="BY36" s="405"/>
      <c r="BZ36" s="405"/>
      <c r="CA36" s="405"/>
      <c r="CB36" s="405"/>
      <c r="CC36" s="405"/>
      <c r="CD36" s="405"/>
      <c r="CE36" s="405"/>
      <c r="CF36" s="405"/>
      <c r="CG36" s="405"/>
      <c r="CH36" s="405"/>
      <c r="CI36" s="405"/>
      <c r="CJ36" s="405"/>
      <c r="CK36" s="405"/>
      <c r="CL36" s="405"/>
      <c r="CM36" s="405"/>
      <c r="CN36" s="405"/>
      <c r="CO36" s="405"/>
      <c r="CP36" s="405"/>
      <c r="CQ36" s="405"/>
      <c r="CR36" s="405"/>
      <c r="CS36" s="405"/>
      <c r="CT36" s="405"/>
      <c r="CU36" s="405"/>
      <c r="CV36" s="405"/>
      <c r="CW36" s="405"/>
      <c r="CX36" s="405"/>
      <c r="CY36" s="405"/>
      <c r="CZ36" s="405"/>
      <c r="DB36" s="405"/>
      <c r="DC36" s="405"/>
      <c r="DD36" s="405"/>
      <c r="DE36" s="405"/>
      <c r="DF36" s="405"/>
      <c r="DG36" s="405"/>
      <c r="DH36" s="405"/>
      <c r="DI36" s="405"/>
      <c r="DJ36" s="405"/>
      <c r="DK36" s="405"/>
      <c r="DL36" s="405"/>
      <c r="DM36" s="405"/>
      <c r="DN36" s="405"/>
      <c r="DO36" s="405"/>
      <c r="DP36" s="405"/>
      <c r="DQ36" s="405"/>
      <c r="DR36" s="405"/>
      <c r="DS36" s="405"/>
      <c r="DT36" s="405"/>
      <c r="DU36" s="405"/>
      <c r="DV36" s="405"/>
      <c r="DW36" s="405"/>
      <c r="DX36" s="405"/>
      <c r="DY36" s="405"/>
      <c r="DZ36" s="405"/>
      <c r="EA36" s="405"/>
      <c r="EB36" s="405"/>
      <c r="EC36" s="405"/>
      <c r="ED36" s="405"/>
      <c r="EE36" s="405"/>
      <c r="EF36" s="405"/>
      <c r="EG36" s="438"/>
      <c r="EI36" s="394" t="s">
        <v>166</v>
      </c>
      <c r="EJ36" s="394" t="s">
        <v>166</v>
      </c>
      <c r="EK36" s="394" t="s">
        <v>166</v>
      </c>
      <c r="EL36" s="394" t="s">
        <v>166</v>
      </c>
      <c r="EM36" s="394" t="s">
        <v>166</v>
      </c>
      <c r="EN36" s="394" t="s">
        <v>166</v>
      </c>
      <c r="EO36" s="394" t="s">
        <v>166</v>
      </c>
      <c r="EP36" s="394" t="s">
        <v>166</v>
      </c>
      <c r="EQ36" s="394" t="s">
        <v>166</v>
      </c>
      <c r="ER36" s="394" t="s">
        <v>166</v>
      </c>
      <c r="ES36" s="394" t="s">
        <v>166</v>
      </c>
      <c r="ET36" s="394" t="s">
        <v>166</v>
      </c>
      <c r="EU36" s="394" t="s">
        <v>166</v>
      </c>
      <c r="EV36" s="394" t="s">
        <v>166</v>
      </c>
      <c r="EW36" s="394" t="s">
        <v>166</v>
      </c>
      <c r="EX36" s="394" t="s">
        <v>166</v>
      </c>
      <c r="EY36" s="394" t="s">
        <v>166</v>
      </c>
      <c r="EZ36" s="394" t="s">
        <v>166</v>
      </c>
      <c r="FA36" s="394" t="s">
        <v>166</v>
      </c>
      <c r="FB36" s="394" t="s">
        <v>166</v>
      </c>
      <c r="FC36" s="394" t="s">
        <v>166</v>
      </c>
      <c r="FD36" s="394" t="s">
        <v>166</v>
      </c>
      <c r="FE36" s="394" t="s">
        <v>166</v>
      </c>
      <c r="FF36" s="394" t="s">
        <v>166</v>
      </c>
      <c r="FG36" s="394" t="s">
        <v>166</v>
      </c>
      <c r="FH36" s="394" t="s">
        <v>166</v>
      </c>
      <c r="FI36" s="394" t="s">
        <v>166</v>
      </c>
      <c r="FJ36" s="394" t="s">
        <v>166</v>
      </c>
      <c r="FK36" s="394">
        <v>8.0</v>
      </c>
      <c r="FL36" s="394">
        <v>8.0</v>
      </c>
      <c r="FM36" s="407">
        <f t="shared" si="9"/>
        <v>16</v>
      </c>
      <c r="FO36" s="394">
        <v>8.0</v>
      </c>
      <c r="FP36" s="403" t="s">
        <v>165</v>
      </c>
      <c r="FQ36" s="403" t="s">
        <v>165</v>
      </c>
      <c r="FR36" s="394">
        <v>8.0</v>
      </c>
      <c r="FS36" s="394">
        <v>8.0</v>
      </c>
      <c r="FT36" s="394">
        <v>8.0</v>
      </c>
      <c r="FU36" s="403" t="s">
        <v>165</v>
      </c>
      <c r="FV36" s="403" t="s">
        <v>165</v>
      </c>
      <c r="FW36" s="394">
        <v>8.0</v>
      </c>
      <c r="FX36" s="394">
        <v>8.0</v>
      </c>
      <c r="FY36" s="394">
        <v>8.0</v>
      </c>
      <c r="FZ36" s="394">
        <v>8.0</v>
      </c>
      <c r="GA36" s="394">
        <v>8.0</v>
      </c>
      <c r="GB36" s="403" t="s">
        <v>165</v>
      </c>
      <c r="GC36" s="403" t="s">
        <v>165</v>
      </c>
      <c r="GD36" s="394" t="s">
        <v>245</v>
      </c>
      <c r="GE36" s="394" t="s">
        <v>245</v>
      </c>
      <c r="GF36" s="394" t="s">
        <v>245</v>
      </c>
      <c r="GG36" s="394" t="s">
        <v>245</v>
      </c>
      <c r="GH36" s="394" t="s">
        <v>245</v>
      </c>
      <c r="GI36" s="403" t="s">
        <v>165</v>
      </c>
      <c r="GJ36" s="403" t="s">
        <v>165</v>
      </c>
      <c r="GK36" s="394">
        <v>8.0</v>
      </c>
      <c r="GL36" s="394">
        <v>8.0</v>
      </c>
      <c r="GM36" s="394">
        <v>8.0</v>
      </c>
      <c r="GN36" s="394">
        <v>8.0</v>
      </c>
      <c r="GO36" s="394">
        <v>8.0</v>
      </c>
      <c r="GP36" s="403" t="s">
        <v>165</v>
      </c>
      <c r="GQ36" s="403" t="s">
        <v>165</v>
      </c>
      <c r="GR36" s="394">
        <v>8.0</v>
      </c>
      <c r="GS36" s="394">
        <v>8.0</v>
      </c>
      <c r="GT36" s="400">
        <f t="shared" si="10"/>
        <v>128</v>
      </c>
      <c r="GV36" s="394">
        <v>8.0</v>
      </c>
      <c r="GW36" s="394">
        <v>8.0</v>
      </c>
      <c r="GX36" s="394">
        <v>8.0</v>
      </c>
      <c r="GY36" s="403" t="s">
        <v>165</v>
      </c>
      <c r="GZ36" s="403" t="s">
        <v>165</v>
      </c>
      <c r="HA36" s="394">
        <v>8.0</v>
      </c>
      <c r="HB36" s="394">
        <v>8.0</v>
      </c>
      <c r="HC36" s="394">
        <v>8.0</v>
      </c>
      <c r="HD36" s="394">
        <v>8.0</v>
      </c>
      <c r="HE36" s="394">
        <v>8.0</v>
      </c>
      <c r="HF36" s="403" t="s">
        <v>165</v>
      </c>
      <c r="HG36" s="403" t="s">
        <v>165</v>
      </c>
      <c r="HH36" s="394">
        <v>8.0</v>
      </c>
      <c r="HI36" s="394">
        <v>8.0</v>
      </c>
      <c r="HJ36" s="394">
        <v>8.0</v>
      </c>
      <c r="HK36" s="394">
        <v>8.0</v>
      </c>
      <c r="HL36" s="394">
        <v>8.0</v>
      </c>
      <c r="HM36" s="403" t="s">
        <v>165</v>
      </c>
      <c r="HN36" s="403" t="s">
        <v>165</v>
      </c>
      <c r="HO36" s="394">
        <v>8.0</v>
      </c>
      <c r="HP36" s="394">
        <v>8.0</v>
      </c>
      <c r="HQ36" s="394">
        <v>8.0</v>
      </c>
      <c r="HR36" s="394">
        <v>8.0</v>
      </c>
      <c r="HS36" s="394">
        <v>8.0</v>
      </c>
      <c r="HT36" s="403" t="s">
        <v>165</v>
      </c>
      <c r="HU36" s="403" t="s">
        <v>165</v>
      </c>
      <c r="HV36" s="394">
        <v>8.0</v>
      </c>
      <c r="HW36" s="394">
        <v>8.0</v>
      </c>
      <c r="HX36" s="394">
        <v>8.0</v>
      </c>
      <c r="HY36" s="394">
        <v>8.0</v>
      </c>
      <c r="HZ36" s="400">
        <f t="shared" si="2"/>
        <v>176</v>
      </c>
      <c r="IB36" s="394">
        <v>8.0</v>
      </c>
      <c r="IC36" s="403" t="s">
        <v>165</v>
      </c>
      <c r="ID36" s="403" t="s">
        <v>165</v>
      </c>
      <c r="IE36" s="394">
        <v>8.0</v>
      </c>
      <c r="IF36" s="394">
        <v>8.0</v>
      </c>
      <c r="IG36" s="394">
        <v>8.0</v>
      </c>
      <c r="IH36" s="394">
        <v>8.0</v>
      </c>
      <c r="II36" s="394">
        <v>8.0</v>
      </c>
      <c r="IJ36" s="403" t="s">
        <v>165</v>
      </c>
      <c r="IK36" s="403" t="s">
        <v>165</v>
      </c>
      <c r="IL36" s="394">
        <v>8.0</v>
      </c>
      <c r="IM36" s="394">
        <v>8.0</v>
      </c>
      <c r="IN36" s="394">
        <v>8.0</v>
      </c>
      <c r="IO36" s="394">
        <v>8.0</v>
      </c>
      <c r="IP36" s="394">
        <v>8.0</v>
      </c>
      <c r="IQ36" s="403" t="s">
        <v>165</v>
      </c>
      <c r="IR36" s="403" t="s">
        <v>165</v>
      </c>
      <c r="IS36" s="394">
        <v>8.0</v>
      </c>
      <c r="IT36" s="394">
        <v>8.0</v>
      </c>
      <c r="IU36" s="394">
        <v>8.0</v>
      </c>
      <c r="IV36" s="394">
        <v>8.0</v>
      </c>
      <c r="IW36" s="394">
        <v>8.0</v>
      </c>
      <c r="IX36" s="403" t="s">
        <v>165</v>
      </c>
      <c r="IY36" s="403" t="s">
        <v>165</v>
      </c>
      <c r="IZ36" s="394" t="s">
        <v>245</v>
      </c>
      <c r="JA36" s="394" t="s">
        <v>245</v>
      </c>
      <c r="JB36" s="394" t="s">
        <v>171</v>
      </c>
      <c r="JC36" s="394">
        <v>8.0</v>
      </c>
      <c r="JD36" s="394">
        <v>8.0</v>
      </c>
      <c r="JE36" s="403" t="s">
        <v>165</v>
      </c>
      <c r="JF36" s="403" t="s">
        <v>165</v>
      </c>
      <c r="JG36" s="400">
        <f t="shared" si="3"/>
        <v>144</v>
      </c>
      <c r="JI36" s="394">
        <v>8.0</v>
      </c>
      <c r="JJ36" s="394">
        <v>8.0</v>
      </c>
      <c r="JK36" s="394" t="s">
        <v>171</v>
      </c>
      <c r="JL36" s="394">
        <v>8.0</v>
      </c>
      <c r="JM36" s="394">
        <v>8.0</v>
      </c>
      <c r="JN36" s="403" t="s">
        <v>165</v>
      </c>
      <c r="JO36" s="403" t="s">
        <v>165</v>
      </c>
      <c r="JP36" s="394">
        <v>8.0</v>
      </c>
      <c r="JQ36" s="394">
        <v>8.0</v>
      </c>
      <c r="JR36" s="394">
        <v>8.0</v>
      </c>
      <c r="JS36" s="394">
        <v>8.0</v>
      </c>
      <c r="JT36" s="394">
        <v>8.0</v>
      </c>
      <c r="JU36" s="403" t="s">
        <v>165</v>
      </c>
      <c r="JV36" s="403" t="s">
        <v>165</v>
      </c>
      <c r="JW36" s="394">
        <v>8.0</v>
      </c>
      <c r="JX36" s="394">
        <v>8.0</v>
      </c>
      <c r="JY36" s="394">
        <v>8.0</v>
      </c>
      <c r="JZ36" s="394">
        <v>8.0</v>
      </c>
      <c r="KA36" s="394">
        <v>8.0</v>
      </c>
      <c r="KB36" s="403" t="s">
        <v>165</v>
      </c>
      <c r="KC36" s="403" t="s">
        <v>165</v>
      </c>
      <c r="KD36" s="394">
        <v>8.0</v>
      </c>
      <c r="KE36" s="394">
        <v>8.0</v>
      </c>
      <c r="KF36" s="394">
        <v>8.0</v>
      </c>
      <c r="KG36" s="394">
        <v>8.0</v>
      </c>
      <c r="KH36" s="394">
        <v>8.0</v>
      </c>
      <c r="KI36" s="403" t="s">
        <v>165</v>
      </c>
      <c r="KJ36" s="403" t="s">
        <v>165</v>
      </c>
      <c r="KK36" s="394">
        <v>8.0</v>
      </c>
      <c r="KL36" s="394">
        <v>8.0</v>
      </c>
      <c r="KM36" s="394">
        <v>8.0</v>
      </c>
      <c r="KN36" s="145">
        <f t="shared" si="4"/>
        <v>176</v>
      </c>
      <c r="KP36" s="398"/>
      <c r="KQ36" s="398"/>
      <c r="KR36" s="398"/>
      <c r="KS36" s="398"/>
      <c r="KT36" s="398"/>
      <c r="KU36" s="398"/>
      <c r="KV36" s="398"/>
      <c r="KW36" s="398"/>
      <c r="KX36" s="398"/>
      <c r="KY36" s="398"/>
      <c r="KZ36" s="398"/>
      <c r="LA36" s="398"/>
      <c r="LB36" s="398"/>
      <c r="LC36" s="398"/>
      <c r="LD36" s="398"/>
      <c r="LE36" s="398"/>
      <c r="LF36" s="398"/>
      <c r="LG36" s="398"/>
      <c r="LH36" s="398"/>
      <c r="LI36" s="398"/>
      <c r="LJ36" s="398"/>
      <c r="LK36" s="398"/>
      <c r="LL36" s="398"/>
      <c r="LM36" s="398"/>
      <c r="LN36" s="398"/>
      <c r="LO36" s="398"/>
      <c r="LP36" s="398"/>
      <c r="LQ36" s="398"/>
      <c r="LR36" s="398"/>
      <c r="LT36" s="398"/>
      <c r="LU36" s="398"/>
      <c r="LV36" s="398"/>
      <c r="LW36" s="398"/>
      <c r="LX36" s="398"/>
      <c r="LY36" s="398"/>
      <c r="LZ36" s="398"/>
      <c r="MA36" s="398"/>
      <c r="MB36" s="398"/>
      <c r="MC36" s="398"/>
      <c r="MD36" s="398"/>
      <c r="ME36" s="398"/>
      <c r="MF36" s="398"/>
      <c r="MG36" s="398"/>
      <c r="MH36" s="398"/>
      <c r="MI36" s="398"/>
      <c r="MJ36" s="398"/>
      <c r="MK36" s="398"/>
      <c r="ML36" s="398"/>
      <c r="MM36" s="398"/>
      <c r="MN36" s="398"/>
      <c r="MO36" s="398"/>
      <c r="MP36" s="398"/>
      <c r="MQ36" s="398"/>
      <c r="MR36" s="398"/>
      <c r="MS36" s="398"/>
    </row>
    <row r="37" ht="16.5" hidden="1" customHeight="1">
      <c r="A37" s="411" t="s">
        <v>1286</v>
      </c>
      <c r="B37" s="412" t="s">
        <v>88</v>
      </c>
      <c r="C37" s="412" t="s">
        <v>99</v>
      </c>
      <c r="D37" s="413">
        <f t="shared" si="1"/>
        <v>0</v>
      </c>
      <c r="E37" s="414" t="s">
        <v>1250</v>
      </c>
      <c r="F37" s="439">
        <f>IFERROR(__xludf.DUMMYFUNCTION("IF(A37="""","""", counta(filter(Filter(FILTER($H$4:$PI76,$H$1:$PI$1&lt;today()),$A$4:$A76=A37),not(istext(Filter(FILTER($H$4:$PI76,$H$1:$PI$1&lt;today()),$A$4:$A76=A37))),not(Filter(FILTER($H$4:$PI76,$H$1:$PI$1&lt;today()),$A$4:$A76=A37)=0),Filter(FILTER($H$4:$PI7"&amp;"6,$H$1:$PI$1&lt;today()),$A$4:$A76=A37)&lt;23)))"),40.0)</f>
        <v>40</v>
      </c>
      <c r="H37" s="434"/>
      <c r="I37" s="434"/>
      <c r="J37" s="434"/>
      <c r="K37" s="434"/>
      <c r="L37" s="434"/>
      <c r="M37" s="434"/>
      <c r="N37" s="434"/>
      <c r="O37" s="434"/>
      <c r="P37" s="434"/>
      <c r="Q37" s="434"/>
      <c r="R37" s="434"/>
      <c r="S37" s="434"/>
      <c r="T37" s="434"/>
      <c r="U37" s="434"/>
      <c r="V37" s="434"/>
      <c r="W37" s="434"/>
      <c r="X37" s="434"/>
      <c r="Y37" s="434"/>
      <c r="Z37" s="434"/>
      <c r="AA37" s="434"/>
      <c r="AB37" s="434"/>
      <c r="AC37" s="434"/>
      <c r="AD37" s="434"/>
      <c r="AE37" s="434"/>
      <c r="AF37" s="434"/>
      <c r="AG37" s="434"/>
      <c r="AH37" s="434"/>
      <c r="AI37" s="434"/>
      <c r="AJ37" s="434"/>
      <c r="AK37" s="434"/>
      <c r="AL37" s="434"/>
      <c r="AM37" s="416"/>
      <c r="AO37" s="415"/>
      <c r="AP37" s="415"/>
      <c r="AQ37" s="415"/>
      <c r="AR37" s="415"/>
      <c r="AS37" s="415"/>
      <c r="AT37" s="415"/>
      <c r="AU37" s="412"/>
      <c r="AV37" s="415"/>
      <c r="AW37" s="415"/>
      <c r="AX37" s="412"/>
      <c r="AY37" s="415"/>
      <c r="AZ37" s="415"/>
      <c r="BA37" s="412"/>
      <c r="BB37" s="415"/>
      <c r="BC37" s="415"/>
      <c r="BD37" s="415"/>
      <c r="BE37" s="415"/>
      <c r="BF37" s="415"/>
      <c r="BG37" s="415"/>
      <c r="BH37" s="415"/>
      <c r="BI37" s="415"/>
      <c r="BJ37" s="415"/>
      <c r="BK37" s="415"/>
      <c r="BL37" s="415"/>
      <c r="BM37" s="415"/>
      <c r="BN37" s="415"/>
      <c r="BO37" s="415"/>
      <c r="BP37" s="415"/>
      <c r="BQ37" s="415"/>
      <c r="BR37" s="415"/>
      <c r="BS37" s="415"/>
      <c r="BU37" s="416"/>
      <c r="BV37" s="416"/>
      <c r="BW37" s="416"/>
      <c r="BX37" s="416"/>
      <c r="BY37" s="416"/>
      <c r="BZ37" s="416"/>
      <c r="CA37" s="416"/>
      <c r="CB37" s="416"/>
      <c r="CC37" s="416"/>
      <c r="CD37" s="416"/>
      <c r="CE37" s="416"/>
      <c r="CF37" s="416"/>
      <c r="CG37" s="416"/>
      <c r="CH37" s="416"/>
      <c r="CI37" s="416"/>
      <c r="CJ37" s="416"/>
      <c r="CK37" s="416"/>
      <c r="CL37" s="416"/>
      <c r="CM37" s="416"/>
      <c r="CN37" s="416"/>
      <c r="CO37" s="416"/>
      <c r="CP37" s="416"/>
      <c r="CQ37" s="416"/>
      <c r="CR37" s="416"/>
      <c r="CS37" s="416"/>
      <c r="CT37" s="416"/>
      <c r="CU37" s="416"/>
      <c r="CV37" s="416"/>
      <c r="CW37" s="416"/>
      <c r="CX37" s="416"/>
      <c r="CY37" s="416"/>
      <c r="CZ37" s="416"/>
      <c r="DB37" s="416"/>
      <c r="DC37" s="416"/>
      <c r="DD37" s="416"/>
      <c r="DE37" s="416"/>
      <c r="DF37" s="416"/>
      <c r="DG37" s="416"/>
      <c r="DH37" s="416"/>
      <c r="DI37" s="416"/>
      <c r="DJ37" s="416"/>
      <c r="DK37" s="416"/>
      <c r="DL37" s="416"/>
      <c r="DM37" s="416"/>
      <c r="DN37" s="416"/>
      <c r="DO37" s="416"/>
      <c r="DP37" s="416"/>
      <c r="DQ37" s="416"/>
      <c r="DR37" s="416"/>
      <c r="DS37" s="416"/>
      <c r="DT37" s="416"/>
      <c r="DU37" s="416"/>
      <c r="DV37" s="416"/>
      <c r="DW37" s="416"/>
      <c r="DX37" s="416"/>
      <c r="DY37" s="416"/>
      <c r="DZ37" s="416"/>
      <c r="EA37" s="416"/>
      <c r="EB37" s="416"/>
      <c r="EC37" s="416"/>
      <c r="ED37" s="416"/>
      <c r="EE37" s="416"/>
      <c r="EF37" s="416"/>
      <c r="EG37" s="440"/>
      <c r="EI37" s="412" t="s">
        <v>166</v>
      </c>
      <c r="EJ37" s="412" t="s">
        <v>166</v>
      </c>
      <c r="EK37" s="412" t="s">
        <v>166</v>
      </c>
      <c r="EL37" s="412" t="s">
        <v>166</v>
      </c>
      <c r="EM37" s="412" t="s">
        <v>166</v>
      </c>
      <c r="EN37" s="412" t="s">
        <v>166</v>
      </c>
      <c r="EO37" s="412" t="s">
        <v>166</v>
      </c>
      <c r="EP37" s="412" t="s">
        <v>166</v>
      </c>
      <c r="EQ37" s="412" t="s">
        <v>166</v>
      </c>
      <c r="ER37" s="412" t="s">
        <v>166</v>
      </c>
      <c r="ES37" s="412" t="s">
        <v>166</v>
      </c>
      <c r="ET37" s="412" t="s">
        <v>166</v>
      </c>
      <c r="EU37" s="412" t="s">
        <v>166</v>
      </c>
      <c r="EV37" s="412" t="s">
        <v>166</v>
      </c>
      <c r="EW37" s="412" t="s">
        <v>166</v>
      </c>
      <c r="EX37" s="412" t="s">
        <v>166</v>
      </c>
      <c r="EY37" s="412" t="s">
        <v>166</v>
      </c>
      <c r="EZ37" s="412" t="s">
        <v>166</v>
      </c>
      <c r="FA37" s="412" t="s">
        <v>166</v>
      </c>
      <c r="FB37" s="412" t="s">
        <v>166</v>
      </c>
      <c r="FC37" s="412" t="s">
        <v>166</v>
      </c>
      <c r="FD37" s="412" t="s">
        <v>166</v>
      </c>
      <c r="FE37" s="412" t="s">
        <v>166</v>
      </c>
      <c r="FF37" s="412" t="s">
        <v>166</v>
      </c>
      <c r="FG37" s="412" t="s">
        <v>166</v>
      </c>
      <c r="FH37" s="412" t="s">
        <v>166</v>
      </c>
      <c r="FI37" s="412" t="s">
        <v>166</v>
      </c>
      <c r="FJ37" s="412" t="s">
        <v>166</v>
      </c>
      <c r="FK37" s="412">
        <v>8.0</v>
      </c>
      <c r="FL37" s="412">
        <v>8.0</v>
      </c>
      <c r="FM37" s="418">
        <f t="shared" si="9"/>
        <v>16</v>
      </c>
      <c r="FO37" s="412">
        <v>8.0</v>
      </c>
      <c r="FP37" s="436" t="s">
        <v>165</v>
      </c>
      <c r="FQ37" s="436" t="s">
        <v>165</v>
      </c>
      <c r="FR37" s="412">
        <v>8.0</v>
      </c>
      <c r="FS37" s="412">
        <v>8.0</v>
      </c>
      <c r="FT37" s="412">
        <v>8.0</v>
      </c>
      <c r="FU37" s="436" t="s">
        <v>165</v>
      </c>
      <c r="FV37" s="436" t="s">
        <v>165</v>
      </c>
      <c r="FW37" s="412">
        <v>8.0</v>
      </c>
      <c r="FX37" s="412">
        <v>8.0</v>
      </c>
      <c r="FY37" s="412">
        <v>8.0</v>
      </c>
      <c r="FZ37" s="412">
        <v>8.0</v>
      </c>
      <c r="GA37" s="412" t="s">
        <v>245</v>
      </c>
      <c r="GB37" s="436" t="s">
        <v>165</v>
      </c>
      <c r="GC37" s="436" t="s">
        <v>165</v>
      </c>
      <c r="GD37" s="412">
        <v>8.0</v>
      </c>
      <c r="GE37" s="412">
        <v>8.0</v>
      </c>
      <c r="GF37" s="412">
        <v>8.0</v>
      </c>
      <c r="GG37" s="412">
        <v>8.0</v>
      </c>
      <c r="GH37" s="412" t="s">
        <v>245</v>
      </c>
      <c r="GI37" s="436" t="s">
        <v>165</v>
      </c>
      <c r="GJ37" s="436" t="s">
        <v>165</v>
      </c>
      <c r="GK37" s="418">
        <v>8.0</v>
      </c>
      <c r="GL37" s="418">
        <v>8.0</v>
      </c>
      <c r="GM37" s="428" t="s">
        <v>171</v>
      </c>
      <c r="GN37" s="418">
        <v>8.0</v>
      </c>
      <c r="GO37" s="418">
        <v>8.0</v>
      </c>
      <c r="GP37" s="444" t="s">
        <v>165</v>
      </c>
      <c r="GQ37" s="444" t="s">
        <v>165</v>
      </c>
      <c r="GR37" s="418">
        <v>8.0</v>
      </c>
      <c r="GS37" s="418">
        <v>8.0</v>
      </c>
      <c r="GT37" s="415">
        <f t="shared" si="10"/>
        <v>144</v>
      </c>
      <c r="GV37" s="418">
        <v>8.0</v>
      </c>
      <c r="GW37" s="418">
        <v>8.0</v>
      </c>
      <c r="GX37" s="418">
        <v>8.0</v>
      </c>
      <c r="GY37" s="444" t="s">
        <v>165</v>
      </c>
      <c r="GZ37" s="444" t="s">
        <v>165</v>
      </c>
      <c r="HA37" s="418">
        <v>8.0</v>
      </c>
      <c r="HB37" s="418">
        <v>8.0</v>
      </c>
      <c r="HC37" s="418">
        <v>8.0</v>
      </c>
      <c r="HD37" s="418">
        <v>8.0</v>
      </c>
      <c r="HE37" s="418">
        <v>8.0</v>
      </c>
      <c r="HF37" s="444" t="s">
        <v>165</v>
      </c>
      <c r="HG37" s="444" t="s">
        <v>165</v>
      </c>
      <c r="HH37" s="412" t="s">
        <v>245</v>
      </c>
      <c r="HI37" s="412" t="s">
        <v>245</v>
      </c>
      <c r="HJ37" s="418">
        <v>8.0</v>
      </c>
      <c r="HK37" s="418">
        <v>8.0</v>
      </c>
      <c r="HL37" s="418">
        <v>8.0</v>
      </c>
      <c r="HM37" s="444" t="s">
        <v>165</v>
      </c>
      <c r="HN37" s="444" t="s">
        <v>165</v>
      </c>
      <c r="HO37" s="418">
        <v>8.0</v>
      </c>
      <c r="HP37" s="418">
        <v>8.0</v>
      </c>
      <c r="HQ37" s="418">
        <v>8.0</v>
      </c>
      <c r="HR37" s="418">
        <v>8.0</v>
      </c>
      <c r="HS37" s="418">
        <v>8.0</v>
      </c>
      <c r="HT37" s="444" t="s">
        <v>165</v>
      </c>
      <c r="HU37" s="444" t="s">
        <v>165</v>
      </c>
      <c r="HV37" s="428" t="s">
        <v>170</v>
      </c>
      <c r="HW37" s="418">
        <v>8.0</v>
      </c>
      <c r="HX37" s="428">
        <v>8.0</v>
      </c>
      <c r="HY37" s="418">
        <v>8.0</v>
      </c>
      <c r="HZ37" s="415">
        <f t="shared" si="2"/>
        <v>152</v>
      </c>
      <c r="IB37" s="428" t="s">
        <v>170</v>
      </c>
      <c r="IC37" s="444" t="s">
        <v>165</v>
      </c>
      <c r="ID37" s="444" t="s">
        <v>165</v>
      </c>
      <c r="IE37" s="412" t="s">
        <v>245</v>
      </c>
      <c r="IF37" s="412" t="s">
        <v>245</v>
      </c>
      <c r="IG37" s="418"/>
      <c r="IH37" s="418"/>
      <c r="II37" s="428"/>
      <c r="IJ37" s="444"/>
      <c r="IK37" s="444"/>
      <c r="IL37" s="418"/>
      <c r="IM37" s="418"/>
      <c r="IN37" s="418"/>
      <c r="IO37" s="418"/>
      <c r="IP37" s="428"/>
      <c r="IQ37" s="444"/>
      <c r="IR37" s="444"/>
      <c r="IS37" s="418"/>
      <c r="IT37" s="418"/>
      <c r="IU37" s="418"/>
      <c r="IV37" s="418"/>
      <c r="IW37" s="428"/>
      <c r="IX37" s="444"/>
      <c r="IY37" s="444"/>
      <c r="IZ37" s="418"/>
      <c r="JA37" s="418"/>
      <c r="JB37" s="418"/>
      <c r="JC37" s="418"/>
      <c r="JD37" s="428"/>
      <c r="JE37" s="444"/>
      <c r="JF37" s="444"/>
      <c r="JG37" s="415">
        <f t="shared" si="3"/>
        <v>0</v>
      </c>
      <c r="JI37" s="418"/>
      <c r="JJ37" s="418"/>
      <c r="JK37" s="418"/>
      <c r="JL37" s="418"/>
      <c r="JM37" s="428"/>
      <c r="JN37" s="444"/>
      <c r="JO37" s="444"/>
      <c r="JP37" s="418"/>
      <c r="JQ37" s="418"/>
      <c r="JR37" s="418"/>
      <c r="JS37" s="418"/>
      <c r="JT37" s="428"/>
      <c r="JU37" s="444"/>
      <c r="JV37" s="444"/>
      <c r="JW37" s="418"/>
      <c r="JX37" s="418"/>
      <c r="JY37" s="418"/>
      <c r="JZ37" s="418"/>
      <c r="KA37" s="428"/>
      <c r="KB37" s="444"/>
      <c r="KC37" s="444"/>
      <c r="KD37" s="418"/>
      <c r="KE37" s="418"/>
      <c r="KF37" s="418"/>
      <c r="KG37" s="418"/>
      <c r="KH37" s="428"/>
      <c r="KI37" s="444"/>
      <c r="KJ37" s="444"/>
      <c r="KK37" s="418"/>
      <c r="KL37" s="418"/>
      <c r="KM37" s="418"/>
      <c r="KN37" s="155">
        <f t="shared" si="4"/>
        <v>0</v>
      </c>
      <c r="KP37" s="419"/>
      <c r="KQ37" s="419"/>
      <c r="KR37" s="419"/>
      <c r="KS37" s="419"/>
      <c r="KT37" s="419"/>
      <c r="KU37" s="419"/>
      <c r="KV37" s="419"/>
      <c r="KW37" s="419"/>
      <c r="KX37" s="419"/>
      <c r="KY37" s="419"/>
      <c r="KZ37" s="419"/>
      <c r="LA37" s="419"/>
      <c r="LB37" s="419"/>
      <c r="LC37" s="419"/>
      <c r="LD37" s="419"/>
      <c r="LE37" s="419"/>
      <c r="LF37" s="419"/>
      <c r="LG37" s="419"/>
      <c r="LH37" s="419"/>
      <c r="LI37" s="419"/>
      <c r="LJ37" s="419"/>
      <c r="LK37" s="419"/>
      <c r="LL37" s="419"/>
      <c r="LM37" s="419"/>
      <c r="LN37" s="419"/>
      <c r="LO37" s="419"/>
      <c r="LP37" s="419"/>
      <c r="LQ37" s="419"/>
      <c r="LR37" s="419"/>
      <c r="LT37" s="419"/>
      <c r="LU37" s="419"/>
      <c r="LV37" s="419"/>
      <c r="LW37" s="419"/>
      <c r="LX37" s="419"/>
      <c r="LY37" s="419"/>
      <c r="LZ37" s="419"/>
      <c r="MA37" s="419"/>
      <c r="MB37" s="419"/>
      <c r="MC37" s="419"/>
      <c r="MD37" s="419"/>
      <c r="ME37" s="419"/>
      <c r="MF37" s="419"/>
      <c r="MG37" s="419"/>
      <c r="MH37" s="419"/>
      <c r="MI37" s="419"/>
      <c r="MJ37" s="419"/>
      <c r="MK37" s="419"/>
      <c r="ML37" s="419"/>
      <c r="MM37" s="419"/>
      <c r="MN37" s="419"/>
      <c r="MO37" s="419"/>
      <c r="MP37" s="419"/>
      <c r="MQ37" s="419"/>
      <c r="MR37" s="419"/>
      <c r="MS37" s="419"/>
    </row>
    <row r="38">
      <c r="A38" s="393" t="s">
        <v>1287</v>
      </c>
      <c r="B38" s="394" t="s">
        <v>88</v>
      </c>
      <c r="C38" s="394" t="s">
        <v>99</v>
      </c>
      <c r="D38" s="395">
        <f t="shared" si="1"/>
        <v>0</v>
      </c>
      <c r="E38" s="396" t="s">
        <v>1237</v>
      </c>
      <c r="F38" s="397">
        <f>IFERROR(__xludf.DUMMYFUNCTION("IF(A38="""","""", counta(filter(Filter(FILTER($H$4:$PI76,$H$1:$PI$1&lt;today()),$A$4:$A76=A38),not(istext(Filter(FILTER($H$4:$PI76,$H$1:$PI$1&lt;today()),$A$4:$A76=A38))),not(Filter(FILTER($H$4:$PI76,$H$1:$PI$1&lt;today()),$A$4:$A76=A38)=0),Filter(FILTER($H$4:$PI7"&amp;"6,$H$1:$PI$1&lt;today()),$A$4:$A76=A38)&lt;23)))"),57.0)</f>
        <v>57</v>
      </c>
      <c r="H38" s="435"/>
      <c r="I38" s="435"/>
      <c r="J38" s="435"/>
      <c r="K38" s="435"/>
      <c r="L38" s="435"/>
      <c r="M38" s="435"/>
      <c r="N38" s="435"/>
      <c r="O38" s="435"/>
      <c r="P38" s="435"/>
      <c r="Q38" s="435"/>
      <c r="R38" s="435"/>
      <c r="S38" s="435"/>
      <c r="T38" s="435"/>
      <c r="U38" s="435"/>
      <c r="V38" s="435"/>
      <c r="W38" s="435"/>
      <c r="X38" s="435"/>
      <c r="Y38" s="435"/>
      <c r="Z38" s="435"/>
      <c r="AA38" s="435"/>
      <c r="AB38" s="435"/>
      <c r="AC38" s="435"/>
      <c r="AD38" s="435"/>
      <c r="AE38" s="435"/>
      <c r="AF38" s="435"/>
      <c r="AG38" s="435"/>
      <c r="AH38" s="435"/>
      <c r="AI38" s="435"/>
      <c r="AJ38" s="435"/>
      <c r="AK38" s="435"/>
      <c r="AL38" s="435"/>
      <c r="AM38" s="405"/>
      <c r="AO38" s="400"/>
      <c r="AP38" s="400"/>
      <c r="AQ38" s="400"/>
      <c r="AR38" s="400"/>
      <c r="AS38" s="400"/>
      <c r="AT38" s="400"/>
      <c r="AU38" s="394"/>
      <c r="AV38" s="400"/>
      <c r="AW38" s="400"/>
      <c r="AX38" s="394"/>
      <c r="AY38" s="400"/>
      <c r="AZ38" s="400"/>
      <c r="BA38" s="394"/>
      <c r="BB38" s="400"/>
      <c r="BC38" s="400"/>
      <c r="BD38" s="400"/>
      <c r="BE38" s="400"/>
      <c r="BF38" s="400"/>
      <c r="BG38" s="400"/>
      <c r="BH38" s="400"/>
      <c r="BI38" s="400"/>
      <c r="BJ38" s="400"/>
      <c r="BK38" s="400"/>
      <c r="BL38" s="400"/>
      <c r="BM38" s="400"/>
      <c r="BN38" s="400"/>
      <c r="BO38" s="400"/>
      <c r="BP38" s="400"/>
      <c r="BQ38" s="400"/>
      <c r="BR38" s="400"/>
      <c r="BS38" s="400"/>
      <c r="BU38" s="405"/>
      <c r="BV38" s="405"/>
      <c r="BW38" s="405"/>
      <c r="BX38" s="405"/>
      <c r="BY38" s="405"/>
      <c r="BZ38" s="405"/>
      <c r="CA38" s="405"/>
      <c r="CB38" s="405"/>
      <c r="CC38" s="405"/>
      <c r="CD38" s="405"/>
      <c r="CE38" s="405"/>
      <c r="CF38" s="405"/>
      <c r="CG38" s="405"/>
      <c r="CH38" s="405"/>
      <c r="CI38" s="405"/>
      <c r="CJ38" s="405"/>
      <c r="CK38" s="405"/>
      <c r="CL38" s="405"/>
      <c r="CM38" s="405"/>
      <c r="CN38" s="405"/>
      <c r="CO38" s="405"/>
      <c r="CP38" s="405"/>
      <c r="CQ38" s="405"/>
      <c r="CR38" s="405"/>
      <c r="CS38" s="405"/>
      <c r="CT38" s="405"/>
      <c r="CU38" s="405"/>
      <c r="CV38" s="405"/>
      <c r="CW38" s="405"/>
      <c r="CX38" s="405"/>
      <c r="CY38" s="405"/>
      <c r="CZ38" s="405"/>
      <c r="DB38" s="405"/>
      <c r="DC38" s="405"/>
      <c r="DD38" s="405"/>
      <c r="DE38" s="405"/>
      <c r="DF38" s="405"/>
      <c r="DG38" s="405"/>
      <c r="DH38" s="405"/>
      <c r="DI38" s="405"/>
      <c r="DJ38" s="405"/>
      <c r="DK38" s="405"/>
      <c r="DL38" s="405"/>
      <c r="DM38" s="405"/>
      <c r="DN38" s="405"/>
      <c r="DO38" s="405"/>
      <c r="DP38" s="405"/>
      <c r="DQ38" s="405"/>
      <c r="DR38" s="405"/>
      <c r="DS38" s="405"/>
      <c r="DT38" s="405"/>
      <c r="DU38" s="405"/>
      <c r="DV38" s="405"/>
      <c r="DW38" s="405"/>
      <c r="DX38" s="405"/>
      <c r="DY38" s="405"/>
      <c r="DZ38" s="405"/>
      <c r="EA38" s="405"/>
      <c r="EB38" s="405"/>
      <c r="EC38" s="405"/>
      <c r="ED38" s="405"/>
      <c r="EE38" s="405"/>
      <c r="EF38" s="405"/>
      <c r="EG38" s="438"/>
      <c r="EI38" s="435"/>
      <c r="EJ38" s="435"/>
      <c r="EK38" s="435"/>
      <c r="EL38" s="435"/>
      <c r="EM38" s="435"/>
      <c r="EN38" s="435"/>
      <c r="EO38" s="435"/>
      <c r="EP38" s="435"/>
      <c r="EQ38" s="435"/>
      <c r="ER38" s="435"/>
      <c r="ES38" s="435"/>
      <c r="ET38" s="435"/>
      <c r="EU38" s="435"/>
      <c r="EV38" s="435"/>
      <c r="EW38" s="435"/>
      <c r="EX38" s="435"/>
      <c r="EY38" s="435"/>
      <c r="EZ38" s="435"/>
      <c r="FA38" s="435"/>
      <c r="FB38" s="435"/>
      <c r="FC38" s="435"/>
      <c r="FD38" s="435"/>
      <c r="FE38" s="435"/>
      <c r="FF38" s="435"/>
      <c r="FG38" s="435"/>
      <c r="FH38" s="435"/>
      <c r="FI38" s="435"/>
      <c r="FJ38" s="435"/>
      <c r="FK38" s="405"/>
      <c r="FL38" s="405"/>
      <c r="FM38" s="405"/>
      <c r="FO38" s="394" t="s">
        <v>166</v>
      </c>
      <c r="FP38" s="394" t="s">
        <v>166</v>
      </c>
      <c r="FQ38" s="394" t="s">
        <v>166</v>
      </c>
      <c r="FR38" s="394" t="s">
        <v>166</v>
      </c>
      <c r="FS38" s="394" t="s">
        <v>166</v>
      </c>
      <c r="FT38" s="394" t="s">
        <v>166</v>
      </c>
      <c r="FU38" s="394" t="s">
        <v>166</v>
      </c>
      <c r="FV38" s="394" t="s">
        <v>166</v>
      </c>
      <c r="FW38" s="394" t="s">
        <v>166</v>
      </c>
      <c r="FX38" s="394" t="s">
        <v>166</v>
      </c>
      <c r="FY38" s="394">
        <v>8.0</v>
      </c>
      <c r="FZ38" s="394">
        <v>5.0</v>
      </c>
      <c r="GA38" s="394">
        <v>5.5</v>
      </c>
      <c r="GB38" s="394">
        <v>9.0</v>
      </c>
      <c r="GC38" s="394">
        <v>9.0</v>
      </c>
      <c r="GD38" s="403" t="s">
        <v>165</v>
      </c>
      <c r="GE38" s="403" t="s">
        <v>165</v>
      </c>
      <c r="GF38" s="403" t="s">
        <v>165</v>
      </c>
      <c r="GG38" s="403" t="s">
        <v>165</v>
      </c>
      <c r="GH38" s="394">
        <v>9.0</v>
      </c>
      <c r="GI38" s="394" t="s">
        <v>245</v>
      </c>
      <c r="GJ38" s="394">
        <v>0.0</v>
      </c>
      <c r="GK38" s="394">
        <v>8.0</v>
      </c>
      <c r="GL38" s="394">
        <v>8.0</v>
      </c>
      <c r="GM38" s="403" t="s">
        <v>165</v>
      </c>
      <c r="GN38" s="410">
        <v>8.0</v>
      </c>
      <c r="GO38" s="394">
        <v>8.0</v>
      </c>
      <c r="GP38" s="394">
        <v>8.0</v>
      </c>
      <c r="GQ38" s="394">
        <v>8.0</v>
      </c>
      <c r="GR38" s="394">
        <v>8.0</v>
      </c>
      <c r="GS38" s="394">
        <v>8.0</v>
      </c>
      <c r="GT38" s="400">
        <f t="shared" si="10"/>
        <v>109.5</v>
      </c>
      <c r="GV38" s="403" t="s">
        <v>165</v>
      </c>
      <c r="GW38" s="403" t="s">
        <v>165</v>
      </c>
      <c r="GX38" s="394">
        <v>8.0</v>
      </c>
      <c r="GY38" s="394">
        <v>8.0</v>
      </c>
      <c r="GZ38" s="394">
        <v>8.0</v>
      </c>
      <c r="HA38" s="394">
        <v>8.0</v>
      </c>
      <c r="HB38" s="394">
        <v>8.0</v>
      </c>
      <c r="HC38" s="403" t="s">
        <v>165</v>
      </c>
      <c r="HD38" s="403" t="s">
        <v>165</v>
      </c>
      <c r="HE38" s="394">
        <v>8.0</v>
      </c>
      <c r="HF38" s="394">
        <v>8.0</v>
      </c>
      <c r="HG38" s="394">
        <v>8.0</v>
      </c>
      <c r="HH38" s="394">
        <v>8.0</v>
      </c>
      <c r="HI38" s="394">
        <v>8.0</v>
      </c>
      <c r="HJ38" s="403" t="s">
        <v>165</v>
      </c>
      <c r="HK38" s="403" t="s">
        <v>165</v>
      </c>
      <c r="HL38" s="394">
        <v>8.0</v>
      </c>
      <c r="HM38" s="394">
        <v>8.0</v>
      </c>
      <c r="HN38" s="394">
        <v>8.0</v>
      </c>
      <c r="HO38" s="394">
        <v>8.0</v>
      </c>
      <c r="HP38" s="403" t="s">
        <v>165</v>
      </c>
      <c r="HQ38" s="403" t="s">
        <v>165</v>
      </c>
      <c r="HR38" s="394">
        <v>8.0</v>
      </c>
      <c r="HS38" s="394">
        <v>8.0</v>
      </c>
      <c r="HT38" s="394">
        <v>8.0</v>
      </c>
      <c r="HU38" s="394">
        <v>8.0</v>
      </c>
      <c r="HV38" s="394">
        <v>8.0</v>
      </c>
      <c r="HW38" s="394">
        <v>8.0</v>
      </c>
      <c r="HX38" s="403" t="s">
        <v>165</v>
      </c>
      <c r="HY38" s="403" t="s">
        <v>165</v>
      </c>
      <c r="HZ38" s="400">
        <f t="shared" si="2"/>
        <v>160</v>
      </c>
      <c r="IB38" s="394">
        <v>8.0</v>
      </c>
      <c r="IC38" s="394">
        <v>8.0</v>
      </c>
      <c r="ID38" s="394">
        <v>8.0</v>
      </c>
      <c r="IE38" s="394">
        <v>8.0</v>
      </c>
      <c r="IF38" s="394">
        <v>8.0</v>
      </c>
      <c r="IG38" s="403" t="s">
        <v>165</v>
      </c>
      <c r="IH38" s="403" t="s">
        <v>165</v>
      </c>
      <c r="II38" s="394">
        <v>8.0</v>
      </c>
      <c r="IJ38" s="394">
        <v>8.0</v>
      </c>
      <c r="IK38" s="394">
        <v>8.0</v>
      </c>
      <c r="IL38" s="394">
        <v>8.0</v>
      </c>
      <c r="IM38" s="394">
        <v>8.0</v>
      </c>
      <c r="IN38" s="403" t="s">
        <v>165</v>
      </c>
      <c r="IO38" s="403" t="s">
        <v>165</v>
      </c>
      <c r="IP38" s="394">
        <v>8.0</v>
      </c>
      <c r="IQ38" s="394">
        <v>8.0</v>
      </c>
      <c r="IR38" s="394">
        <v>8.0</v>
      </c>
      <c r="IS38" s="394">
        <v>8.0</v>
      </c>
      <c r="IT38" s="394">
        <v>8.0</v>
      </c>
      <c r="IU38" s="403" t="s">
        <v>165</v>
      </c>
      <c r="IV38" s="403" t="s">
        <v>165</v>
      </c>
      <c r="IW38" s="394">
        <v>8.0</v>
      </c>
      <c r="IX38" s="394">
        <v>8.0</v>
      </c>
      <c r="IY38" s="394">
        <v>8.0</v>
      </c>
      <c r="IZ38" s="394">
        <v>8.0</v>
      </c>
      <c r="JA38" s="394">
        <v>8.0</v>
      </c>
      <c r="JB38" s="403" t="s">
        <v>165</v>
      </c>
      <c r="JC38" s="410">
        <v>8.0</v>
      </c>
      <c r="JD38" s="394">
        <v>8.0</v>
      </c>
      <c r="JE38" s="394">
        <v>8.0</v>
      </c>
      <c r="JF38" s="394" t="s">
        <v>245</v>
      </c>
      <c r="JG38" s="400">
        <f t="shared" si="3"/>
        <v>184</v>
      </c>
      <c r="JI38" s="394" t="s">
        <v>245</v>
      </c>
      <c r="JJ38" s="394" t="s">
        <v>245</v>
      </c>
      <c r="JK38" s="403" t="s">
        <v>165</v>
      </c>
      <c r="JL38" s="403" t="s">
        <v>165</v>
      </c>
      <c r="JM38" s="394">
        <v>8.0</v>
      </c>
      <c r="JN38" s="394">
        <v>8.0</v>
      </c>
      <c r="JO38" s="394">
        <v>8.0</v>
      </c>
      <c r="JP38" s="394">
        <v>8.0</v>
      </c>
      <c r="JQ38" s="394">
        <v>8.0</v>
      </c>
      <c r="JR38" s="403" t="s">
        <v>165</v>
      </c>
      <c r="JS38" s="403">
        <v>8.0</v>
      </c>
      <c r="JT38" s="394">
        <v>8.0</v>
      </c>
      <c r="JU38" s="394">
        <v>8.0</v>
      </c>
      <c r="JV38" s="394">
        <v>8.0</v>
      </c>
      <c r="JW38" s="394">
        <v>8.0</v>
      </c>
      <c r="JX38" s="394">
        <v>8.0</v>
      </c>
      <c r="JY38" s="403" t="s">
        <v>165</v>
      </c>
      <c r="JZ38" s="403">
        <v>8.0</v>
      </c>
      <c r="KA38" s="394">
        <v>8.0</v>
      </c>
      <c r="KB38" s="394">
        <v>8.0</v>
      </c>
      <c r="KC38" s="394">
        <v>8.0</v>
      </c>
      <c r="KD38" s="394">
        <v>8.0</v>
      </c>
      <c r="KE38" s="394">
        <v>8.0</v>
      </c>
      <c r="KF38" s="403" t="s">
        <v>165</v>
      </c>
      <c r="KG38" s="403" t="s">
        <v>165</v>
      </c>
      <c r="KH38" s="394">
        <v>8.0</v>
      </c>
      <c r="KI38" s="394">
        <v>8.0</v>
      </c>
      <c r="KJ38" s="394">
        <v>8.0</v>
      </c>
      <c r="KK38" s="394">
        <v>8.0</v>
      </c>
      <c r="KL38" s="394">
        <v>8.0</v>
      </c>
      <c r="KM38" s="403" t="s">
        <v>165</v>
      </c>
      <c r="KN38" s="145">
        <f t="shared" si="4"/>
        <v>176</v>
      </c>
      <c r="KP38" s="398"/>
      <c r="KQ38" s="398"/>
      <c r="KR38" s="398"/>
      <c r="KS38" s="398"/>
      <c r="KT38" s="398"/>
      <c r="KU38" s="398"/>
      <c r="KV38" s="398"/>
      <c r="KW38" s="398"/>
      <c r="KX38" s="398"/>
      <c r="KY38" s="398"/>
      <c r="KZ38" s="398"/>
      <c r="LA38" s="398"/>
      <c r="LB38" s="398"/>
      <c r="LC38" s="398"/>
      <c r="LD38" s="398"/>
      <c r="LE38" s="398"/>
      <c r="LF38" s="398"/>
      <c r="LG38" s="398"/>
      <c r="LH38" s="398"/>
      <c r="LI38" s="398"/>
      <c r="LJ38" s="398"/>
      <c r="LK38" s="398"/>
      <c r="LL38" s="398"/>
      <c r="LM38" s="398"/>
      <c r="LN38" s="398"/>
      <c r="LO38" s="398"/>
      <c r="LP38" s="398"/>
      <c r="LQ38" s="398"/>
      <c r="LR38" s="398"/>
      <c r="LT38" s="398"/>
      <c r="LU38" s="398"/>
      <c r="LV38" s="398"/>
      <c r="LW38" s="398"/>
      <c r="LX38" s="398"/>
      <c r="LY38" s="398"/>
      <c r="LZ38" s="398"/>
      <c r="MA38" s="398"/>
      <c r="MB38" s="398"/>
      <c r="MC38" s="398"/>
      <c r="MD38" s="398"/>
      <c r="ME38" s="398"/>
      <c r="MF38" s="398"/>
      <c r="MG38" s="398"/>
      <c r="MH38" s="398"/>
      <c r="MI38" s="398"/>
      <c r="MJ38" s="398"/>
      <c r="MK38" s="398"/>
      <c r="ML38" s="398"/>
      <c r="MM38" s="398"/>
      <c r="MN38" s="398"/>
      <c r="MO38" s="398"/>
      <c r="MP38" s="398"/>
      <c r="MQ38" s="398"/>
      <c r="MR38" s="398"/>
      <c r="MS38" s="398"/>
    </row>
    <row r="39">
      <c r="A39" s="393" t="s">
        <v>1288</v>
      </c>
      <c r="B39" s="394" t="s">
        <v>88</v>
      </c>
      <c r="C39" s="394" t="s">
        <v>99</v>
      </c>
      <c r="D39" s="395">
        <f t="shared" si="1"/>
        <v>0</v>
      </c>
      <c r="E39" s="396" t="s">
        <v>1237</v>
      </c>
      <c r="F39" s="397">
        <f>IFERROR(__xludf.DUMMYFUNCTION("IF(A39="""","""", counta(filter(Filter(FILTER($H$4:$PI76,$H$1:$PI$1&lt;today()),$A$4:$A76=A39),not(istext(Filter(FILTER($H$4:$PI76,$H$1:$PI$1&lt;today()),$A$4:$A76=A39))),not(Filter(FILTER($H$4:$PI76,$H$1:$PI$1&lt;today()),$A$4:$A76=A39)=0),Filter(FILTER($H$4:$PI7"&amp;"6,$H$1:$PI$1&lt;today()),$A$4:$A76=A39)&lt;23)))"),58.0)</f>
        <v>58</v>
      </c>
      <c r="H39" s="394"/>
      <c r="I39" s="394"/>
      <c r="J39" s="394"/>
      <c r="K39" s="394"/>
      <c r="L39" s="394"/>
      <c r="M39" s="394"/>
      <c r="N39" s="394"/>
      <c r="O39" s="394"/>
      <c r="P39" s="394"/>
      <c r="Q39" s="394"/>
      <c r="R39" s="394"/>
      <c r="S39" s="394"/>
      <c r="T39" s="394"/>
      <c r="U39" s="394"/>
      <c r="V39" s="394"/>
      <c r="W39" s="394"/>
      <c r="X39" s="394"/>
      <c r="Y39" s="394"/>
      <c r="Z39" s="394"/>
      <c r="AA39" s="394"/>
      <c r="AB39" s="394"/>
      <c r="AC39" s="394"/>
      <c r="AD39" s="394"/>
      <c r="AE39" s="394"/>
      <c r="AF39" s="394"/>
      <c r="AG39" s="394"/>
      <c r="AH39" s="394"/>
      <c r="AI39" s="394"/>
      <c r="AJ39" s="394"/>
      <c r="AK39" s="394"/>
      <c r="AL39" s="394"/>
      <c r="AM39" s="397"/>
      <c r="AO39" s="400"/>
      <c r="AP39" s="400"/>
      <c r="AQ39" s="400"/>
      <c r="AR39" s="400"/>
      <c r="AS39" s="400"/>
      <c r="AT39" s="400"/>
      <c r="AU39" s="394"/>
      <c r="AV39" s="400"/>
      <c r="AW39" s="400"/>
      <c r="AX39" s="394"/>
      <c r="AY39" s="400"/>
      <c r="AZ39" s="400"/>
      <c r="BA39" s="394"/>
      <c r="BB39" s="400"/>
      <c r="BC39" s="400"/>
      <c r="BD39" s="400"/>
      <c r="BE39" s="400"/>
      <c r="BF39" s="400"/>
      <c r="BG39" s="400"/>
      <c r="BH39" s="400"/>
      <c r="BI39" s="400"/>
      <c r="BJ39" s="400"/>
      <c r="BK39" s="400"/>
      <c r="BL39" s="400"/>
      <c r="BM39" s="400"/>
      <c r="BN39" s="400"/>
      <c r="BO39" s="400"/>
      <c r="BP39" s="400"/>
      <c r="BQ39" s="400"/>
      <c r="BR39" s="400"/>
      <c r="BS39" s="400"/>
      <c r="BU39" s="400"/>
      <c r="BV39" s="400"/>
      <c r="BW39" s="400"/>
      <c r="BX39" s="400"/>
      <c r="BY39" s="400"/>
      <c r="BZ39" s="400"/>
      <c r="CA39" s="400"/>
      <c r="CB39" s="400"/>
      <c r="CC39" s="400"/>
      <c r="CD39" s="400"/>
      <c r="CE39" s="400"/>
      <c r="CF39" s="400"/>
      <c r="CG39" s="400"/>
      <c r="CH39" s="400"/>
      <c r="CI39" s="400"/>
      <c r="CJ39" s="400"/>
      <c r="CK39" s="400"/>
      <c r="CL39" s="400"/>
      <c r="CM39" s="400"/>
      <c r="CN39" s="400"/>
      <c r="CO39" s="400"/>
      <c r="CP39" s="400"/>
      <c r="CQ39" s="400"/>
      <c r="CR39" s="400"/>
      <c r="CS39" s="400"/>
      <c r="CT39" s="400"/>
      <c r="CU39" s="400"/>
      <c r="CV39" s="400"/>
      <c r="CW39" s="400"/>
      <c r="CX39" s="400"/>
      <c r="CY39" s="400"/>
      <c r="CZ39" s="400"/>
      <c r="DB39" s="400"/>
      <c r="DC39" s="400"/>
      <c r="DD39" s="400"/>
      <c r="DE39" s="400"/>
      <c r="DF39" s="400"/>
      <c r="DG39" s="400"/>
      <c r="DH39" s="400"/>
      <c r="DI39" s="400"/>
      <c r="DJ39" s="400"/>
      <c r="DK39" s="400"/>
      <c r="DL39" s="400"/>
      <c r="DM39" s="400"/>
      <c r="DN39" s="400"/>
      <c r="DO39" s="400"/>
      <c r="DP39" s="400"/>
      <c r="DQ39" s="400"/>
      <c r="DR39" s="400"/>
      <c r="DS39" s="400"/>
      <c r="DT39" s="400"/>
      <c r="DU39" s="400"/>
      <c r="DV39" s="400"/>
      <c r="DW39" s="400"/>
      <c r="DX39" s="400"/>
      <c r="DY39" s="400"/>
      <c r="DZ39" s="400"/>
      <c r="EA39" s="400"/>
      <c r="EB39" s="400"/>
      <c r="EC39" s="400"/>
      <c r="ED39" s="400"/>
      <c r="EE39" s="400"/>
      <c r="EF39" s="400"/>
      <c r="EG39" s="401"/>
      <c r="EI39" s="400"/>
      <c r="EJ39" s="400"/>
      <c r="EK39" s="400"/>
      <c r="EL39" s="400"/>
      <c r="EM39" s="400"/>
      <c r="EN39" s="400"/>
      <c r="EO39" s="400"/>
      <c r="EP39" s="400"/>
      <c r="EQ39" s="400"/>
      <c r="ER39" s="400"/>
      <c r="ES39" s="400"/>
      <c r="ET39" s="400"/>
      <c r="EU39" s="400"/>
      <c r="EV39" s="400"/>
      <c r="EW39" s="400"/>
      <c r="EX39" s="400"/>
      <c r="EY39" s="400"/>
      <c r="EZ39" s="400"/>
      <c r="FA39" s="400"/>
      <c r="FB39" s="400"/>
      <c r="FC39" s="400"/>
      <c r="FD39" s="400"/>
      <c r="FE39" s="400"/>
      <c r="FF39" s="400"/>
      <c r="FG39" s="400"/>
      <c r="FH39" s="400"/>
      <c r="FI39" s="400"/>
      <c r="FJ39" s="400"/>
      <c r="FK39" s="400"/>
      <c r="FL39" s="400"/>
      <c r="FM39" s="400"/>
      <c r="FO39" s="394" t="s">
        <v>166</v>
      </c>
      <c r="FP39" s="394" t="s">
        <v>166</v>
      </c>
      <c r="FQ39" s="394" t="s">
        <v>166</v>
      </c>
      <c r="FR39" s="394" t="s">
        <v>166</v>
      </c>
      <c r="FS39" s="394" t="s">
        <v>166</v>
      </c>
      <c r="FT39" s="394" t="s">
        <v>166</v>
      </c>
      <c r="FU39" s="394" t="s">
        <v>166</v>
      </c>
      <c r="FV39" s="394" t="s">
        <v>166</v>
      </c>
      <c r="FW39" s="394" t="s">
        <v>166</v>
      </c>
      <c r="FX39" s="394" t="s">
        <v>166</v>
      </c>
      <c r="FY39" s="394" t="s">
        <v>166</v>
      </c>
      <c r="FZ39" s="394">
        <v>8.0</v>
      </c>
      <c r="GA39" s="394">
        <v>8.0</v>
      </c>
      <c r="GB39" s="394">
        <v>8.0</v>
      </c>
      <c r="GC39" s="394">
        <v>8.0</v>
      </c>
      <c r="GD39" s="403" t="s">
        <v>165</v>
      </c>
      <c r="GE39" s="403" t="s">
        <v>165</v>
      </c>
      <c r="GF39" s="394">
        <v>8.0</v>
      </c>
      <c r="GG39" s="403" t="s">
        <v>165</v>
      </c>
      <c r="GH39" s="403" t="s">
        <v>165</v>
      </c>
      <c r="GI39" s="394">
        <v>0.0</v>
      </c>
      <c r="GJ39" s="394">
        <v>8.0</v>
      </c>
      <c r="GK39" s="394">
        <v>0.0</v>
      </c>
      <c r="GL39" s="394">
        <v>8.0</v>
      </c>
      <c r="GM39" s="394">
        <v>8.0</v>
      </c>
      <c r="GN39" s="403" t="s">
        <v>165</v>
      </c>
      <c r="GO39" s="403" t="s">
        <v>165</v>
      </c>
      <c r="GP39" s="394">
        <v>8.0</v>
      </c>
      <c r="GQ39" s="394">
        <v>8.0</v>
      </c>
      <c r="GR39" s="394">
        <v>8.0</v>
      </c>
      <c r="GS39" s="394">
        <v>8.0</v>
      </c>
      <c r="GT39" s="400">
        <f t="shared" si="10"/>
        <v>96</v>
      </c>
      <c r="GV39" s="394">
        <v>8.0</v>
      </c>
      <c r="GW39" s="403" t="s">
        <v>165</v>
      </c>
      <c r="GX39" s="403" t="s">
        <v>165</v>
      </c>
      <c r="GY39" s="394">
        <v>8.0</v>
      </c>
      <c r="GZ39" s="394">
        <v>8.0</v>
      </c>
      <c r="HA39" s="394">
        <v>8.0</v>
      </c>
      <c r="HB39" s="394">
        <v>8.0</v>
      </c>
      <c r="HC39" s="394">
        <v>8.0</v>
      </c>
      <c r="HD39" s="403" t="s">
        <v>165</v>
      </c>
      <c r="HE39" s="403" t="s">
        <v>165</v>
      </c>
      <c r="HF39" s="394">
        <v>8.0</v>
      </c>
      <c r="HG39" s="394">
        <v>8.0</v>
      </c>
      <c r="HH39" s="394">
        <v>3.0</v>
      </c>
      <c r="HI39" s="394">
        <v>8.0</v>
      </c>
      <c r="HJ39" s="394">
        <v>8.0</v>
      </c>
      <c r="HK39" s="403" t="s">
        <v>165</v>
      </c>
      <c r="HL39" s="403" t="s">
        <v>165</v>
      </c>
      <c r="HM39" s="394">
        <v>8.0</v>
      </c>
      <c r="HN39" s="394">
        <v>8.0</v>
      </c>
      <c r="HO39" s="394">
        <v>8.0</v>
      </c>
      <c r="HP39" s="394">
        <v>8.0</v>
      </c>
      <c r="HQ39" s="394">
        <v>8.0</v>
      </c>
      <c r="HR39" s="410">
        <v>5.0</v>
      </c>
      <c r="HS39" s="403" t="s">
        <v>165</v>
      </c>
      <c r="HT39" s="394" t="s">
        <v>165</v>
      </c>
      <c r="HU39" s="394">
        <v>8.0</v>
      </c>
      <c r="HV39" s="394">
        <v>8.0</v>
      </c>
      <c r="HW39" s="394">
        <v>8.0</v>
      </c>
      <c r="HX39" s="394">
        <v>8.0</v>
      </c>
      <c r="HY39" s="394">
        <v>8.0</v>
      </c>
      <c r="HZ39" s="400">
        <f t="shared" si="2"/>
        <v>168</v>
      </c>
      <c r="IB39" s="403" t="s">
        <v>165</v>
      </c>
      <c r="IC39" s="403" t="s">
        <v>165</v>
      </c>
      <c r="ID39" s="394">
        <v>8.0</v>
      </c>
      <c r="IE39" s="394">
        <v>8.0</v>
      </c>
      <c r="IF39" s="394">
        <v>8.0</v>
      </c>
      <c r="IG39" s="394">
        <v>8.0</v>
      </c>
      <c r="IH39" s="394">
        <v>8.0</v>
      </c>
      <c r="II39" s="403" t="s">
        <v>165</v>
      </c>
      <c r="IJ39" s="403" t="s">
        <v>165</v>
      </c>
      <c r="IK39" s="394">
        <v>8.0</v>
      </c>
      <c r="IL39" s="394">
        <v>8.0</v>
      </c>
      <c r="IM39" s="394">
        <v>8.0</v>
      </c>
      <c r="IN39" s="394">
        <v>8.0</v>
      </c>
      <c r="IO39" s="394">
        <v>8.0</v>
      </c>
      <c r="IP39" s="403" t="s">
        <v>165</v>
      </c>
      <c r="IQ39" s="403" t="s">
        <v>165</v>
      </c>
      <c r="IR39" s="394">
        <v>8.0</v>
      </c>
      <c r="IS39" s="394">
        <v>8.0</v>
      </c>
      <c r="IT39" s="394">
        <v>8.0</v>
      </c>
      <c r="IU39" s="394">
        <v>8.0</v>
      </c>
      <c r="IV39" s="394">
        <v>8.0</v>
      </c>
      <c r="IW39" s="403" t="s">
        <v>165</v>
      </c>
      <c r="IX39" s="403" t="s">
        <v>165</v>
      </c>
      <c r="IY39" s="394">
        <v>8.0</v>
      </c>
      <c r="IZ39" s="394">
        <v>8.0</v>
      </c>
      <c r="JA39" s="394">
        <v>8.0</v>
      </c>
      <c r="JB39" s="394">
        <v>8.0</v>
      </c>
      <c r="JC39" s="394">
        <v>8.0</v>
      </c>
      <c r="JD39" s="403" t="s">
        <v>165</v>
      </c>
      <c r="JE39" s="403" t="s">
        <v>165</v>
      </c>
      <c r="JF39" s="394">
        <v>8.0</v>
      </c>
      <c r="JG39" s="400">
        <f t="shared" si="3"/>
        <v>168</v>
      </c>
      <c r="JI39" s="394">
        <v>8.0</v>
      </c>
      <c r="JJ39" s="394">
        <v>8.0</v>
      </c>
      <c r="JK39" s="394">
        <v>8.0</v>
      </c>
      <c r="JL39" s="403" t="s">
        <v>165</v>
      </c>
      <c r="JM39" s="403" t="s">
        <v>165</v>
      </c>
      <c r="JN39" s="394">
        <v>8.0</v>
      </c>
      <c r="JO39" s="394">
        <v>8.0</v>
      </c>
      <c r="JP39" s="394">
        <v>8.0</v>
      </c>
      <c r="JQ39" s="394">
        <v>8.0</v>
      </c>
      <c r="JR39" s="394">
        <v>8.0</v>
      </c>
      <c r="JS39" s="403" t="s">
        <v>165</v>
      </c>
      <c r="JT39" s="403" t="s">
        <v>165</v>
      </c>
      <c r="JU39" s="394">
        <v>8.0</v>
      </c>
      <c r="JV39" s="394">
        <v>8.0</v>
      </c>
      <c r="JW39" s="394">
        <v>8.0</v>
      </c>
      <c r="JX39" s="394">
        <v>8.0</v>
      </c>
      <c r="JY39" s="394">
        <v>8.0</v>
      </c>
      <c r="JZ39" s="403" t="s">
        <v>165</v>
      </c>
      <c r="KA39" s="403" t="s">
        <v>165</v>
      </c>
      <c r="KB39" s="394">
        <v>8.0</v>
      </c>
      <c r="KC39" s="394">
        <v>8.0</v>
      </c>
      <c r="KD39" s="394">
        <v>8.0</v>
      </c>
      <c r="KE39" s="394">
        <v>8.0</v>
      </c>
      <c r="KF39" s="394">
        <v>8.0</v>
      </c>
      <c r="KG39" s="403" t="s">
        <v>165</v>
      </c>
      <c r="KH39" s="403" t="s">
        <v>165</v>
      </c>
      <c r="KI39" s="394">
        <v>8.0</v>
      </c>
      <c r="KJ39" s="394">
        <v>8.0</v>
      </c>
      <c r="KK39" s="394">
        <v>8.0</v>
      </c>
      <c r="KL39" s="394">
        <v>8.0</v>
      </c>
      <c r="KM39" s="394">
        <v>8.0</v>
      </c>
      <c r="KN39" s="145">
        <f t="shared" si="4"/>
        <v>184</v>
      </c>
      <c r="KP39" s="398"/>
      <c r="KQ39" s="398"/>
      <c r="KR39" s="398"/>
      <c r="KS39" s="398"/>
      <c r="KT39" s="398"/>
      <c r="KU39" s="398"/>
      <c r="KV39" s="398"/>
      <c r="KW39" s="398"/>
      <c r="KX39" s="398"/>
      <c r="KY39" s="398"/>
      <c r="KZ39" s="398"/>
      <c r="LA39" s="398"/>
      <c r="LB39" s="398"/>
      <c r="LC39" s="398"/>
      <c r="LD39" s="398"/>
      <c r="LE39" s="398"/>
      <c r="LF39" s="398"/>
      <c r="LG39" s="398"/>
      <c r="LH39" s="398"/>
      <c r="LI39" s="398"/>
      <c r="LJ39" s="398"/>
      <c r="LK39" s="398"/>
      <c r="LL39" s="398"/>
      <c r="LM39" s="398"/>
      <c r="LN39" s="398"/>
      <c r="LO39" s="398"/>
      <c r="LP39" s="398"/>
      <c r="LQ39" s="398"/>
      <c r="LR39" s="398"/>
      <c r="LT39" s="398"/>
      <c r="LU39" s="398"/>
      <c r="LV39" s="398"/>
      <c r="LW39" s="398"/>
      <c r="LX39" s="398"/>
      <c r="LY39" s="398"/>
      <c r="LZ39" s="398"/>
      <c r="MA39" s="398"/>
      <c r="MB39" s="398"/>
      <c r="MC39" s="398"/>
      <c r="MD39" s="398"/>
      <c r="ME39" s="398"/>
      <c r="MF39" s="398"/>
      <c r="MG39" s="398"/>
      <c r="MH39" s="398"/>
      <c r="MI39" s="398"/>
      <c r="MJ39" s="398"/>
      <c r="MK39" s="398"/>
      <c r="ML39" s="398"/>
      <c r="MM39" s="398"/>
      <c r="MN39" s="398"/>
      <c r="MO39" s="398"/>
      <c r="MP39" s="398"/>
      <c r="MQ39" s="398"/>
      <c r="MR39" s="398"/>
      <c r="MS39" s="398"/>
    </row>
    <row r="40">
      <c r="A40" s="411" t="s">
        <v>1289</v>
      </c>
      <c r="B40" s="412" t="s">
        <v>90</v>
      </c>
      <c r="C40" s="412" t="s">
        <v>98</v>
      </c>
      <c r="D40" s="413">
        <f t="shared" si="1"/>
        <v>0</v>
      </c>
      <c r="E40" s="414" t="s">
        <v>1250</v>
      </c>
      <c r="F40" s="439">
        <f>IFERROR(__xludf.DUMMYFUNCTION("IF(A40="""","""", counta(filter(Filter(FILTER($H$4:$PI76,$H$1:$PI$1&lt;today()),$A$4:$A76=A40),not(istext(Filter(FILTER($H$4:$PI76,$H$1:$PI$1&lt;today()),$A$4:$A76=A40))),not(Filter(FILTER($H$4:$PI76,$H$1:$PI$1&lt;today()),$A$4:$A76=A40)=0),Filter(FILTER($H$4:$PI7"&amp;"6,$H$1:$PI$1&lt;today()),$A$4:$A76=A40)&lt;23)))"),54.0)</f>
        <v>54</v>
      </c>
      <c r="H40" s="412"/>
      <c r="I40" s="412"/>
      <c r="J40" s="412"/>
      <c r="K40" s="412"/>
      <c r="L40" s="412"/>
      <c r="M40" s="412"/>
      <c r="N40" s="412"/>
      <c r="O40" s="412"/>
      <c r="P40" s="412"/>
      <c r="Q40" s="412"/>
      <c r="R40" s="412"/>
      <c r="S40" s="412"/>
      <c r="T40" s="412"/>
      <c r="U40" s="412"/>
      <c r="V40" s="412"/>
      <c r="W40" s="412"/>
      <c r="X40" s="412"/>
      <c r="Y40" s="412"/>
      <c r="Z40" s="412"/>
      <c r="AA40" s="412"/>
      <c r="AB40" s="412"/>
      <c r="AC40" s="412"/>
      <c r="AD40" s="412"/>
      <c r="AE40" s="412"/>
      <c r="AF40" s="412"/>
      <c r="AG40" s="412"/>
      <c r="AH40" s="412"/>
      <c r="AI40" s="412"/>
      <c r="AJ40" s="412"/>
      <c r="AK40" s="412"/>
      <c r="AL40" s="412"/>
      <c r="AM40" s="439"/>
      <c r="AO40" s="415"/>
      <c r="AP40" s="415"/>
      <c r="AQ40" s="415"/>
      <c r="AR40" s="415"/>
      <c r="AS40" s="415"/>
      <c r="AT40" s="415"/>
      <c r="AU40" s="412"/>
      <c r="AV40" s="415"/>
      <c r="AW40" s="415"/>
      <c r="AX40" s="412"/>
      <c r="AY40" s="415"/>
      <c r="AZ40" s="415"/>
      <c r="BA40" s="412"/>
      <c r="BB40" s="415"/>
      <c r="BC40" s="415"/>
      <c r="BD40" s="415"/>
      <c r="BE40" s="415"/>
      <c r="BF40" s="415"/>
      <c r="BG40" s="415"/>
      <c r="BH40" s="415"/>
      <c r="BI40" s="415"/>
      <c r="BJ40" s="415"/>
      <c r="BK40" s="415"/>
      <c r="BL40" s="415"/>
      <c r="BM40" s="415"/>
      <c r="BN40" s="415"/>
      <c r="BO40" s="415"/>
      <c r="BP40" s="415"/>
      <c r="BQ40" s="415"/>
      <c r="BR40" s="415"/>
      <c r="BS40" s="415"/>
      <c r="BU40" s="415"/>
      <c r="BV40" s="415"/>
      <c r="BW40" s="415"/>
      <c r="BX40" s="415"/>
      <c r="BY40" s="415"/>
      <c r="BZ40" s="415"/>
      <c r="CA40" s="415"/>
      <c r="CB40" s="415"/>
      <c r="CC40" s="415"/>
      <c r="CD40" s="415"/>
      <c r="CE40" s="415"/>
      <c r="CF40" s="415"/>
      <c r="CG40" s="415"/>
      <c r="CH40" s="415"/>
      <c r="CI40" s="415"/>
      <c r="CJ40" s="415"/>
      <c r="CK40" s="415"/>
      <c r="CL40" s="415"/>
      <c r="CM40" s="415"/>
      <c r="CN40" s="415"/>
      <c r="CO40" s="415"/>
      <c r="CP40" s="415"/>
      <c r="CQ40" s="415"/>
      <c r="CR40" s="415"/>
      <c r="CS40" s="415"/>
      <c r="CT40" s="415"/>
      <c r="CU40" s="415"/>
      <c r="CV40" s="415"/>
      <c r="CW40" s="415"/>
      <c r="CX40" s="415"/>
      <c r="CY40" s="415"/>
      <c r="CZ40" s="415"/>
      <c r="DB40" s="415"/>
      <c r="DC40" s="415"/>
      <c r="DD40" s="415"/>
      <c r="DE40" s="415"/>
      <c r="DF40" s="415"/>
      <c r="DG40" s="415"/>
      <c r="DH40" s="415"/>
      <c r="DI40" s="415"/>
      <c r="DJ40" s="415"/>
      <c r="DK40" s="415"/>
      <c r="DL40" s="415"/>
      <c r="DM40" s="415"/>
      <c r="DN40" s="415"/>
      <c r="DO40" s="415"/>
      <c r="DP40" s="415"/>
      <c r="DQ40" s="415"/>
      <c r="DR40" s="415"/>
      <c r="DS40" s="415"/>
      <c r="DT40" s="415"/>
      <c r="DU40" s="415"/>
      <c r="DV40" s="415"/>
      <c r="DW40" s="415"/>
      <c r="DX40" s="415"/>
      <c r="DY40" s="415"/>
      <c r="DZ40" s="415"/>
      <c r="EA40" s="415"/>
      <c r="EB40" s="415"/>
      <c r="EC40" s="415"/>
      <c r="ED40" s="415"/>
      <c r="EE40" s="415"/>
      <c r="EF40" s="415"/>
      <c r="EG40" s="445"/>
      <c r="EI40" s="415"/>
      <c r="EJ40" s="415"/>
      <c r="EK40" s="415"/>
      <c r="EL40" s="415"/>
      <c r="EM40" s="415"/>
      <c r="EN40" s="415"/>
      <c r="EO40" s="415"/>
      <c r="EP40" s="415"/>
      <c r="EQ40" s="415"/>
      <c r="ER40" s="415"/>
      <c r="ES40" s="415"/>
      <c r="ET40" s="415"/>
      <c r="EU40" s="415"/>
      <c r="EV40" s="415"/>
      <c r="EW40" s="415"/>
      <c r="EX40" s="415"/>
      <c r="EY40" s="415"/>
      <c r="EZ40" s="415"/>
      <c r="FA40" s="415"/>
      <c r="FB40" s="415"/>
      <c r="FC40" s="415"/>
      <c r="FD40" s="415"/>
      <c r="FE40" s="415"/>
      <c r="FF40" s="415"/>
      <c r="FG40" s="415"/>
      <c r="FH40" s="415"/>
      <c r="FI40" s="415"/>
      <c r="FJ40" s="415"/>
      <c r="FK40" s="415"/>
      <c r="FL40" s="415"/>
      <c r="FM40" s="415"/>
      <c r="FO40" s="412" t="s">
        <v>166</v>
      </c>
      <c r="FP40" s="412" t="s">
        <v>166</v>
      </c>
      <c r="FQ40" s="412" t="s">
        <v>166</v>
      </c>
      <c r="FR40" s="412" t="s">
        <v>166</v>
      </c>
      <c r="FS40" s="412" t="s">
        <v>166</v>
      </c>
      <c r="FT40" s="412" t="s">
        <v>166</v>
      </c>
      <c r="FU40" s="412" t="s">
        <v>166</v>
      </c>
      <c r="FV40" s="412" t="s">
        <v>166</v>
      </c>
      <c r="FW40" s="412" t="s">
        <v>166</v>
      </c>
      <c r="FX40" s="412" t="s">
        <v>166</v>
      </c>
      <c r="FY40" s="412" t="s">
        <v>166</v>
      </c>
      <c r="FZ40" s="412" t="s">
        <v>166</v>
      </c>
      <c r="GA40" s="412" t="s">
        <v>166</v>
      </c>
      <c r="GB40" s="412" t="s">
        <v>166</v>
      </c>
      <c r="GC40" s="412" t="s">
        <v>166</v>
      </c>
      <c r="GD40" s="412" t="s">
        <v>166</v>
      </c>
      <c r="GE40" s="412" t="s">
        <v>166</v>
      </c>
      <c r="GF40" s="412">
        <v>8.0</v>
      </c>
      <c r="GG40" s="412">
        <v>8.0</v>
      </c>
      <c r="GH40" s="412">
        <v>8.0</v>
      </c>
      <c r="GI40" s="412">
        <v>8.0</v>
      </c>
      <c r="GJ40" s="412">
        <v>8.0</v>
      </c>
      <c r="GK40" s="436" t="s">
        <v>165</v>
      </c>
      <c r="GL40" s="436" t="s">
        <v>165</v>
      </c>
      <c r="GM40" s="412">
        <v>8.0</v>
      </c>
      <c r="GN40" s="412">
        <v>8.0</v>
      </c>
      <c r="GO40" s="412">
        <v>8.0</v>
      </c>
      <c r="GP40" s="412">
        <v>8.0</v>
      </c>
      <c r="GQ40" s="412">
        <v>8.0</v>
      </c>
      <c r="GR40" s="436" t="s">
        <v>165</v>
      </c>
      <c r="GS40" s="436" t="s">
        <v>165</v>
      </c>
      <c r="GT40" s="415">
        <f t="shared" si="10"/>
        <v>80</v>
      </c>
      <c r="GV40" s="428" t="s">
        <v>171</v>
      </c>
      <c r="GW40" s="412">
        <v>8.0</v>
      </c>
      <c r="GX40" s="412">
        <v>8.0</v>
      </c>
      <c r="GY40" s="412">
        <v>8.0</v>
      </c>
      <c r="GZ40" s="412">
        <v>8.0</v>
      </c>
      <c r="HA40" s="436" t="s">
        <v>165</v>
      </c>
      <c r="HB40" s="436" t="s">
        <v>165</v>
      </c>
      <c r="HC40" s="412">
        <v>8.0</v>
      </c>
      <c r="HD40" s="412">
        <v>8.0</v>
      </c>
      <c r="HE40" s="412">
        <v>8.0</v>
      </c>
      <c r="HF40" s="412">
        <v>8.0</v>
      </c>
      <c r="HG40" s="412">
        <v>8.0</v>
      </c>
      <c r="HH40" s="436" t="s">
        <v>165</v>
      </c>
      <c r="HI40" s="436" t="s">
        <v>165</v>
      </c>
      <c r="HJ40" s="412">
        <v>8.0</v>
      </c>
      <c r="HK40" s="412">
        <v>8.0</v>
      </c>
      <c r="HL40" s="412">
        <v>8.0</v>
      </c>
      <c r="HM40" s="412">
        <v>8.0</v>
      </c>
      <c r="HN40" s="412">
        <v>8.0</v>
      </c>
      <c r="HO40" s="436" t="s">
        <v>165</v>
      </c>
      <c r="HP40" s="436" t="s">
        <v>165</v>
      </c>
      <c r="HQ40" s="412">
        <v>8.0</v>
      </c>
      <c r="HR40" s="412">
        <v>8.0</v>
      </c>
      <c r="HS40" s="412">
        <v>8.0</v>
      </c>
      <c r="HT40" s="412">
        <v>8.0</v>
      </c>
      <c r="HU40" s="412">
        <v>8.0</v>
      </c>
      <c r="HV40" s="436" t="s">
        <v>165</v>
      </c>
      <c r="HW40" s="436" t="s">
        <v>165</v>
      </c>
      <c r="HX40" s="412">
        <v>8.0</v>
      </c>
      <c r="HY40" s="412">
        <v>8.0</v>
      </c>
      <c r="HZ40" s="415">
        <f t="shared" si="2"/>
        <v>168</v>
      </c>
      <c r="IB40" s="412">
        <v>8.0</v>
      </c>
      <c r="IC40" s="412">
        <v>8.0</v>
      </c>
      <c r="ID40" s="412">
        <v>8.0</v>
      </c>
      <c r="IE40" s="436" t="s">
        <v>165</v>
      </c>
      <c r="IF40" s="436" t="s">
        <v>165</v>
      </c>
      <c r="IG40" s="412">
        <v>8.0</v>
      </c>
      <c r="IH40" s="412">
        <v>8.0</v>
      </c>
      <c r="II40" s="412">
        <v>8.0</v>
      </c>
      <c r="IJ40" s="412">
        <v>8.0</v>
      </c>
      <c r="IK40" s="412">
        <v>8.0</v>
      </c>
      <c r="IL40" s="436" t="s">
        <v>165</v>
      </c>
      <c r="IM40" s="436" t="s">
        <v>165</v>
      </c>
      <c r="IN40" s="412">
        <v>8.0</v>
      </c>
      <c r="IO40" s="412">
        <v>8.0</v>
      </c>
      <c r="IP40" s="412">
        <v>8.0</v>
      </c>
      <c r="IQ40" s="412">
        <v>8.0</v>
      </c>
      <c r="IR40" s="412">
        <v>8.0</v>
      </c>
      <c r="IS40" s="436" t="s">
        <v>165</v>
      </c>
      <c r="IT40" s="436" t="s">
        <v>165</v>
      </c>
      <c r="IU40" s="412">
        <v>8.0</v>
      </c>
      <c r="IV40" s="412">
        <v>8.0</v>
      </c>
      <c r="IW40" s="412">
        <v>8.0</v>
      </c>
      <c r="IX40" s="412">
        <v>8.0</v>
      </c>
      <c r="IY40" s="412" t="s">
        <v>170</v>
      </c>
      <c r="IZ40" s="436" t="s">
        <v>165</v>
      </c>
      <c r="JA40" s="436" t="s">
        <v>165</v>
      </c>
      <c r="JB40" s="412">
        <v>8.0</v>
      </c>
      <c r="JC40" s="412">
        <v>8.0</v>
      </c>
      <c r="JD40" s="412">
        <v>8.0</v>
      </c>
      <c r="JE40" s="412">
        <v>8.0</v>
      </c>
      <c r="JF40" s="412" t="s">
        <v>170</v>
      </c>
      <c r="JG40" s="415">
        <f t="shared" si="3"/>
        <v>168</v>
      </c>
      <c r="JI40" s="436" t="s">
        <v>165</v>
      </c>
      <c r="JJ40" s="436" t="s">
        <v>165</v>
      </c>
      <c r="JK40" s="412">
        <v>8.0</v>
      </c>
      <c r="JL40" s="412"/>
      <c r="JM40" s="412"/>
      <c r="JN40" s="412"/>
      <c r="JO40" s="412"/>
      <c r="JP40" s="436"/>
      <c r="JQ40" s="436"/>
      <c r="JR40" s="412"/>
      <c r="JS40" s="412"/>
      <c r="JT40" s="412"/>
      <c r="JU40" s="412"/>
      <c r="JV40" s="412"/>
      <c r="JW40" s="436"/>
      <c r="JX40" s="436"/>
      <c r="JY40" s="412"/>
      <c r="JZ40" s="412"/>
      <c r="KA40" s="412"/>
      <c r="KB40" s="412"/>
      <c r="KC40" s="412"/>
      <c r="KD40" s="436"/>
      <c r="KE40" s="436"/>
      <c r="KF40" s="412"/>
      <c r="KG40" s="412"/>
      <c r="KH40" s="412"/>
      <c r="KI40" s="412"/>
      <c r="KJ40" s="412"/>
      <c r="KK40" s="436"/>
      <c r="KL40" s="436"/>
      <c r="KM40" s="412"/>
      <c r="KN40" s="155">
        <f t="shared" si="4"/>
        <v>8</v>
      </c>
      <c r="KP40" s="419"/>
      <c r="KQ40" s="419"/>
      <c r="KR40" s="419"/>
      <c r="KS40" s="419"/>
      <c r="KT40" s="419"/>
      <c r="KU40" s="419"/>
      <c r="KV40" s="419"/>
      <c r="KW40" s="419"/>
      <c r="KX40" s="419"/>
      <c r="KY40" s="419"/>
      <c r="KZ40" s="419"/>
      <c r="LA40" s="419"/>
      <c r="LB40" s="419"/>
      <c r="LC40" s="419"/>
      <c r="LD40" s="419"/>
      <c r="LE40" s="419"/>
      <c r="LF40" s="419"/>
      <c r="LG40" s="419"/>
      <c r="LH40" s="419"/>
      <c r="LI40" s="419"/>
      <c r="LJ40" s="419"/>
      <c r="LK40" s="419"/>
      <c r="LL40" s="419"/>
      <c r="LM40" s="419"/>
      <c r="LN40" s="419"/>
      <c r="LO40" s="419"/>
      <c r="LP40" s="419"/>
      <c r="LQ40" s="419"/>
      <c r="LR40" s="419"/>
      <c r="LT40" s="419"/>
      <c r="LU40" s="419"/>
      <c r="LV40" s="419"/>
      <c r="LW40" s="419"/>
      <c r="LX40" s="419"/>
      <c r="LY40" s="419"/>
      <c r="LZ40" s="419"/>
      <c r="MA40" s="419"/>
      <c r="MB40" s="419"/>
      <c r="MC40" s="419"/>
      <c r="MD40" s="419"/>
      <c r="ME40" s="419"/>
      <c r="MF40" s="419"/>
      <c r="MG40" s="419"/>
      <c r="MH40" s="419"/>
      <c r="MI40" s="419"/>
      <c r="MJ40" s="419"/>
      <c r="MK40" s="419"/>
      <c r="ML40" s="419"/>
      <c r="MM40" s="419"/>
      <c r="MN40" s="419"/>
      <c r="MO40" s="419"/>
      <c r="MP40" s="419"/>
      <c r="MQ40" s="419"/>
      <c r="MR40" s="419"/>
      <c r="MS40" s="419"/>
    </row>
    <row r="41" hidden="1">
      <c r="A41" s="411" t="s">
        <v>1290</v>
      </c>
      <c r="B41" s="412" t="s">
        <v>88</v>
      </c>
      <c r="C41" s="412" t="s">
        <v>99</v>
      </c>
      <c r="D41" s="413">
        <f t="shared" si="1"/>
        <v>0</v>
      </c>
      <c r="E41" s="414" t="s">
        <v>1237</v>
      </c>
      <c r="F41" s="439">
        <f>IFERROR(__xludf.DUMMYFUNCTION("IF(A41="""","""", counta(filter(Filter(FILTER($H$4:$PI76,$H$1:$PI$1&lt;today()),$A$4:$A76=A41),not(istext(Filter(FILTER($H$4:$PI76,$H$1:$PI$1&lt;today()),$A$4:$A76=A41))),not(Filter(FILTER($H$4:$PI76,$H$1:$PI$1&lt;today()),$A$4:$A76=A41)=0),Filter(FILTER($H$4:$PI7"&amp;"6,$H$1:$PI$1&lt;today()),$A$4:$A76=A41)&lt;23)))"),48.0)</f>
        <v>48</v>
      </c>
      <c r="H41" s="412"/>
      <c r="I41" s="412"/>
      <c r="J41" s="412"/>
      <c r="K41" s="412"/>
      <c r="L41" s="412"/>
      <c r="M41" s="412"/>
      <c r="N41" s="412"/>
      <c r="O41" s="412"/>
      <c r="P41" s="412"/>
      <c r="Q41" s="412"/>
      <c r="R41" s="412"/>
      <c r="S41" s="412"/>
      <c r="T41" s="412"/>
      <c r="U41" s="412"/>
      <c r="V41" s="412"/>
      <c r="W41" s="412"/>
      <c r="X41" s="412"/>
      <c r="Y41" s="412"/>
      <c r="Z41" s="412"/>
      <c r="AA41" s="412"/>
      <c r="AB41" s="412"/>
      <c r="AC41" s="412"/>
      <c r="AD41" s="412"/>
      <c r="AE41" s="412"/>
      <c r="AF41" s="412"/>
      <c r="AG41" s="412"/>
      <c r="AH41" s="412"/>
      <c r="AI41" s="412"/>
      <c r="AJ41" s="412"/>
      <c r="AK41" s="412"/>
      <c r="AL41" s="412"/>
      <c r="AM41" s="439"/>
      <c r="AO41" s="415"/>
      <c r="AP41" s="415"/>
      <c r="AQ41" s="415"/>
      <c r="AR41" s="415"/>
      <c r="AS41" s="415"/>
      <c r="AT41" s="415"/>
      <c r="AU41" s="412"/>
      <c r="AV41" s="415"/>
      <c r="AW41" s="415"/>
      <c r="AX41" s="412"/>
      <c r="AY41" s="415"/>
      <c r="AZ41" s="415"/>
      <c r="BA41" s="412"/>
      <c r="BB41" s="415"/>
      <c r="BC41" s="415"/>
      <c r="BD41" s="415"/>
      <c r="BE41" s="415"/>
      <c r="BF41" s="415"/>
      <c r="BG41" s="415"/>
      <c r="BH41" s="415"/>
      <c r="BI41" s="415"/>
      <c r="BJ41" s="415"/>
      <c r="BK41" s="415"/>
      <c r="BL41" s="415"/>
      <c r="BM41" s="415"/>
      <c r="BN41" s="415"/>
      <c r="BO41" s="415"/>
      <c r="BP41" s="415"/>
      <c r="BQ41" s="415"/>
      <c r="BR41" s="415"/>
      <c r="BS41" s="415"/>
      <c r="BU41" s="415"/>
      <c r="BV41" s="415"/>
      <c r="BW41" s="415"/>
      <c r="BX41" s="415"/>
      <c r="BY41" s="415"/>
      <c r="BZ41" s="415"/>
      <c r="CA41" s="415"/>
      <c r="CB41" s="415"/>
      <c r="CC41" s="415"/>
      <c r="CD41" s="415"/>
      <c r="CE41" s="415"/>
      <c r="CF41" s="415"/>
      <c r="CG41" s="415"/>
      <c r="CH41" s="415"/>
      <c r="CI41" s="415"/>
      <c r="CJ41" s="415"/>
      <c r="CK41" s="415"/>
      <c r="CL41" s="415"/>
      <c r="CM41" s="415"/>
      <c r="CN41" s="415"/>
      <c r="CO41" s="415"/>
      <c r="CP41" s="415"/>
      <c r="CQ41" s="415"/>
      <c r="CR41" s="415"/>
      <c r="CS41" s="415"/>
      <c r="CT41" s="415"/>
      <c r="CU41" s="415"/>
      <c r="CV41" s="415"/>
      <c r="CW41" s="415"/>
      <c r="CX41" s="415"/>
      <c r="CY41" s="415"/>
      <c r="CZ41" s="415"/>
      <c r="DB41" s="415"/>
      <c r="DC41" s="415"/>
      <c r="DD41" s="415"/>
      <c r="DE41" s="415"/>
      <c r="DF41" s="415"/>
      <c r="DG41" s="415"/>
      <c r="DH41" s="415"/>
      <c r="DI41" s="415"/>
      <c r="DJ41" s="415"/>
      <c r="DK41" s="415"/>
      <c r="DL41" s="415"/>
      <c r="DM41" s="415"/>
      <c r="DN41" s="415"/>
      <c r="DO41" s="415"/>
      <c r="DP41" s="415"/>
      <c r="DQ41" s="415"/>
      <c r="DR41" s="415"/>
      <c r="DS41" s="415"/>
      <c r="DT41" s="415"/>
      <c r="DU41" s="415"/>
      <c r="DV41" s="415"/>
      <c r="DW41" s="415"/>
      <c r="DX41" s="415"/>
      <c r="DY41" s="415"/>
      <c r="DZ41" s="415"/>
      <c r="EA41" s="415"/>
      <c r="EB41" s="415"/>
      <c r="EC41" s="415"/>
      <c r="ED41" s="415"/>
      <c r="EE41" s="415"/>
      <c r="EF41" s="415"/>
      <c r="EG41" s="445"/>
      <c r="EI41" s="415"/>
      <c r="EJ41" s="415"/>
      <c r="EK41" s="415"/>
      <c r="EL41" s="415"/>
      <c r="EM41" s="415"/>
      <c r="EN41" s="415"/>
      <c r="EO41" s="415"/>
      <c r="EP41" s="415"/>
      <c r="EQ41" s="415"/>
      <c r="ER41" s="415"/>
      <c r="ES41" s="415"/>
      <c r="ET41" s="415"/>
      <c r="EU41" s="415"/>
      <c r="EV41" s="415"/>
      <c r="EW41" s="415"/>
      <c r="EX41" s="415"/>
      <c r="EY41" s="415"/>
      <c r="EZ41" s="415"/>
      <c r="FA41" s="415"/>
      <c r="FB41" s="415"/>
      <c r="FC41" s="415"/>
      <c r="FD41" s="415"/>
      <c r="FE41" s="415"/>
      <c r="FF41" s="415"/>
      <c r="FG41" s="415"/>
      <c r="FH41" s="415"/>
      <c r="FI41" s="415"/>
      <c r="FJ41" s="415"/>
      <c r="FK41" s="415"/>
      <c r="FL41" s="415"/>
      <c r="FM41" s="415"/>
      <c r="FO41" s="412" t="s">
        <v>166</v>
      </c>
      <c r="FP41" s="412" t="s">
        <v>166</v>
      </c>
      <c r="FQ41" s="412" t="s">
        <v>166</v>
      </c>
      <c r="FR41" s="412" t="s">
        <v>166</v>
      </c>
      <c r="FS41" s="412" t="s">
        <v>166</v>
      </c>
      <c r="FT41" s="412" t="s">
        <v>166</v>
      </c>
      <c r="FU41" s="412" t="s">
        <v>166</v>
      </c>
      <c r="FV41" s="412" t="s">
        <v>166</v>
      </c>
      <c r="FW41" s="412" t="s">
        <v>166</v>
      </c>
      <c r="FX41" s="412" t="s">
        <v>166</v>
      </c>
      <c r="FY41" s="412" t="s">
        <v>166</v>
      </c>
      <c r="FZ41" s="412" t="s">
        <v>166</v>
      </c>
      <c r="GA41" s="412" t="s">
        <v>166</v>
      </c>
      <c r="GB41" s="412" t="s">
        <v>166</v>
      </c>
      <c r="GC41" s="412" t="s">
        <v>166</v>
      </c>
      <c r="GD41" s="412" t="s">
        <v>166</v>
      </c>
      <c r="GE41" s="412" t="s">
        <v>166</v>
      </c>
      <c r="GF41" s="412">
        <v>8.0</v>
      </c>
      <c r="GG41" s="412">
        <v>8.0</v>
      </c>
      <c r="GH41" s="412">
        <v>8.0</v>
      </c>
      <c r="GI41" s="412">
        <v>8.0</v>
      </c>
      <c r="GJ41" s="412">
        <v>8.0</v>
      </c>
      <c r="GK41" s="436" t="s">
        <v>165</v>
      </c>
      <c r="GL41" s="436" t="s">
        <v>165</v>
      </c>
      <c r="GM41" s="436" t="s">
        <v>165</v>
      </c>
      <c r="GN41" s="436" t="s">
        <v>165</v>
      </c>
      <c r="GO41" s="412">
        <v>0.0</v>
      </c>
      <c r="GP41" s="412">
        <v>8.0</v>
      </c>
      <c r="GQ41" s="412">
        <v>8.0</v>
      </c>
      <c r="GR41" s="412">
        <v>8.0</v>
      </c>
      <c r="GS41" s="412">
        <v>8.0</v>
      </c>
      <c r="GT41" s="415">
        <f t="shared" si="10"/>
        <v>72</v>
      </c>
      <c r="GV41" s="436" t="s">
        <v>165</v>
      </c>
      <c r="GW41" s="436" t="s">
        <v>165</v>
      </c>
      <c r="GX41" s="412">
        <v>8.0</v>
      </c>
      <c r="GY41" s="412">
        <v>8.0</v>
      </c>
      <c r="GZ41" s="412">
        <v>8.0</v>
      </c>
      <c r="HA41" s="412">
        <v>8.0</v>
      </c>
      <c r="HB41" s="412">
        <v>8.0</v>
      </c>
      <c r="HC41" s="436" t="s">
        <v>165</v>
      </c>
      <c r="HD41" s="436" t="s">
        <v>165</v>
      </c>
      <c r="HE41" s="412">
        <v>8.0</v>
      </c>
      <c r="HF41" s="412">
        <v>8.0</v>
      </c>
      <c r="HG41" s="412">
        <v>8.0</v>
      </c>
      <c r="HH41" s="412">
        <v>8.0</v>
      </c>
      <c r="HI41" s="412" t="s">
        <v>245</v>
      </c>
      <c r="HJ41" s="436" t="s">
        <v>165</v>
      </c>
      <c r="HK41" s="436" t="s">
        <v>165</v>
      </c>
      <c r="HL41" s="412">
        <v>4.0</v>
      </c>
      <c r="HM41" s="412">
        <v>10.0</v>
      </c>
      <c r="HN41" s="412">
        <v>10.0</v>
      </c>
      <c r="HO41" s="412">
        <v>8.0</v>
      </c>
      <c r="HP41" s="412">
        <v>8.0</v>
      </c>
      <c r="HQ41" s="436" t="s">
        <v>165</v>
      </c>
      <c r="HR41" s="436" t="s">
        <v>165</v>
      </c>
      <c r="HS41" s="412">
        <v>8.0</v>
      </c>
      <c r="HT41" s="412">
        <v>8.0</v>
      </c>
      <c r="HU41" s="412">
        <v>8.0</v>
      </c>
      <c r="HV41" s="412">
        <v>8.0</v>
      </c>
      <c r="HW41" s="412">
        <v>8.0</v>
      </c>
      <c r="HX41" s="436" t="s">
        <v>165</v>
      </c>
      <c r="HY41" s="436" t="s">
        <v>165</v>
      </c>
      <c r="HZ41" s="415">
        <f t="shared" si="2"/>
        <v>152</v>
      </c>
      <c r="IB41" s="412">
        <v>8.0</v>
      </c>
      <c r="IC41" s="412">
        <v>8.0</v>
      </c>
      <c r="ID41" s="412" t="s">
        <v>245</v>
      </c>
      <c r="IE41" s="412" t="s">
        <v>245</v>
      </c>
      <c r="IF41" s="412">
        <v>8.0</v>
      </c>
      <c r="IG41" s="436" t="s">
        <v>165</v>
      </c>
      <c r="IH41" s="436" t="s">
        <v>165</v>
      </c>
      <c r="II41" s="412">
        <v>8.0</v>
      </c>
      <c r="IJ41" s="412">
        <v>8.0</v>
      </c>
      <c r="IK41" s="412">
        <v>8.0</v>
      </c>
      <c r="IL41" s="412">
        <v>8.0</v>
      </c>
      <c r="IM41" s="412">
        <v>8.0</v>
      </c>
      <c r="IN41" s="436" t="s">
        <v>165</v>
      </c>
      <c r="IO41" s="436" t="s">
        <v>165</v>
      </c>
      <c r="IP41" s="412">
        <v>8.0</v>
      </c>
      <c r="IQ41" s="412">
        <v>8.0</v>
      </c>
      <c r="IR41" s="412">
        <v>8.0</v>
      </c>
      <c r="IS41" s="412" t="s">
        <v>245</v>
      </c>
      <c r="IT41" s="412">
        <v>8.0</v>
      </c>
      <c r="IU41" s="436" t="s">
        <v>165</v>
      </c>
      <c r="IV41" s="436" t="s">
        <v>165</v>
      </c>
      <c r="IW41" s="412">
        <v>8.0</v>
      </c>
      <c r="IX41" s="412">
        <v>8.0</v>
      </c>
      <c r="IY41" s="412">
        <v>8.0</v>
      </c>
      <c r="IZ41" s="412">
        <v>8.0</v>
      </c>
      <c r="JA41" s="412">
        <v>4.0</v>
      </c>
      <c r="JB41" s="436" t="s">
        <v>165</v>
      </c>
      <c r="JC41" s="436" t="s">
        <v>165</v>
      </c>
      <c r="JD41" s="412">
        <v>8.0</v>
      </c>
      <c r="JE41" s="412">
        <v>8.0</v>
      </c>
      <c r="JF41" s="412">
        <v>4.0</v>
      </c>
      <c r="JG41" s="415">
        <f t="shared" si="3"/>
        <v>152</v>
      </c>
      <c r="JI41" s="412"/>
      <c r="JJ41" s="412"/>
      <c r="JK41" s="436"/>
      <c r="JL41" s="436"/>
      <c r="JM41" s="412"/>
      <c r="JN41" s="412"/>
      <c r="JO41" s="412"/>
      <c r="JP41" s="412"/>
      <c r="JQ41" s="412"/>
      <c r="JR41" s="436"/>
      <c r="JS41" s="436"/>
      <c r="JT41" s="412"/>
      <c r="JU41" s="412"/>
      <c r="JV41" s="412"/>
      <c r="JW41" s="412"/>
      <c r="JX41" s="412"/>
      <c r="JY41" s="436"/>
      <c r="JZ41" s="436"/>
      <c r="KA41" s="412"/>
      <c r="KB41" s="412"/>
      <c r="KC41" s="412"/>
      <c r="KD41" s="412"/>
      <c r="KE41" s="412"/>
      <c r="KF41" s="436"/>
      <c r="KG41" s="436"/>
      <c r="KH41" s="412"/>
      <c r="KI41" s="412"/>
      <c r="KJ41" s="412"/>
      <c r="KK41" s="412"/>
      <c r="KL41" s="412"/>
      <c r="KM41" s="436"/>
      <c r="KN41" s="155">
        <f t="shared" si="4"/>
        <v>0</v>
      </c>
      <c r="KP41" s="419"/>
      <c r="KQ41" s="419"/>
      <c r="KR41" s="419"/>
      <c r="KS41" s="419"/>
      <c r="KT41" s="419"/>
      <c r="KU41" s="419"/>
      <c r="KV41" s="419"/>
      <c r="KW41" s="419"/>
      <c r="KX41" s="419"/>
      <c r="KY41" s="419"/>
      <c r="KZ41" s="419"/>
      <c r="LA41" s="419"/>
      <c r="LB41" s="419"/>
      <c r="LC41" s="419"/>
      <c r="LD41" s="419"/>
      <c r="LE41" s="419"/>
      <c r="LF41" s="419"/>
      <c r="LG41" s="419"/>
      <c r="LH41" s="419"/>
      <c r="LI41" s="419"/>
      <c r="LJ41" s="419"/>
      <c r="LK41" s="419"/>
      <c r="LL41" s="419"/>
      <c r="LM41" s="419"/>
      <c r="LN41" s="419"/>
      <c r="LO41" s="419"/>
      <c r="LP41" s="419"/>
      <c r="LQ41" s="419"/>
      <c r="LR41" s="419"/>
      <c r="LT41" s="419"/>
      <c r="LU41" s="419"/>
      <c r="LV41" s="419"/>
      <c r="LW41" s="419"/>
      <c r="LX41" s="419"/>
      <c r="LY41" s="419"/>
      <c r="LZ41" s="419"/>
      <c r="MA41" s="419"/>
      <c r="MB41" s="419"/>
      <c r="MC41" s="419"/>
      <c r="MD41" s="419"/>
      <c r="ME41" s="419"/>
      <c r="MF41" s="419"/>
      <c r="MG41" s="419"/>
      <c r="MH41" s="419"/>
      <c r="MI41" s="419"/>
      <c r="MJ41" s="419"/>
      <c r="MK41" s="419"/>
      <c r="ML41" s="419"/>
      <c r="MM41" s="419"/>
      <c r="MN41" s="419"/>
      <c r="MO41" s="419"/>
      <c r="MP41" s="419"/>
      <c r="MQ41" s="419"/>
      <c r="MR41" s="419"/>
      <c r="MS41" s="419"/>
    </row>
    <row r="42">
      <c r="A42" s="393" t="s">
        <v>1291</v>
      </c>
      <c r="B42" s="394" t="s">
        <v>88</v>
      </c>
      <c r="C42" s="394" t="s">
        <v>99</v>
      </c>
      <c r="D42" s="395">
        <f t="shared" si="1"/>
        <v>0</v>
      </c>
      <c r="E42" s="396" t="s">
        <v>1237</v>
      </c>
      <c r="F42" s="397">
        <f>IFERROR(__xludf.DUMMYFUNCTION("IF(A42="""","""", counta(filter(Filter(FILTER($H$4:$PI76,$H$1:$PI$1&lt;today()),$A$4:$A76=A42),not(istext(Filter(FILTER($H$4:$PI76,$H$1:$PI$1&lt;today()),$A$4:$A76=A42))),not(Filter(FILTER($H$4:$PI76,$H$1:$PI$1&lt;today()),$A$4:$A76=A42)=0),Filter(FILTER($H$4:$PI7"&amp;"6,$H$1:$PI$1&lt;today()),$A$4:$A76=A42)&lt;23)))"),44.0)</f>
        <v>44</v>
      </c>
      <c r="H42" s="394"/>
      <c r="I42" s="394"/>
      <c r="J42" s="394"/>
      <c r="K42" s="394"/>
      <c r="L42" s="394"/>
      <c r="M42" s="394"/>
      <c r="N42" s="394"/>
      <c r="O42" s="394"/>
      <c r="P42" s="394"/>
      <c r="Q42" s="394"/>
      <c r="R42" s="394"/>
      <c r="S42" s="394"/>
      <c r="T42" s="394"/>
      <c r="U42" s="394"/>
      <c r="V42" s="394"/>
      <c r="W42" s="394"/>
      <c r="X42" s="394"/>
      <c r="Y42" s="394"/>
      <c r="Z42" s="394"/>
      <c r="AA42" s="394"/>
      <c r="AB42" s="394"/>
      <c r="AC42" s="394"/>
      <c r="AD42" s="394"/>
      <c r="AE42" s="394"/>
      <c r="AF42" s="394"/>
      <c r="AG42" s="394"/>
      <c r="AH42" s="394"/>
      <c r="AI42" s="394"/>
      <c r="AJ42" s="394"/>
      <c r="AK42" s="394"/>
      <c r="AL42" s="394"/>
      <c r="AM42" s="397"/>
      <c r="AO42" s="400"/>
      <c r="AP42" s="400"/>
      <c r="AQ42" s="400"/>
      <c r="AR42" s="400"/>
      <c r="AS42" s="400"/>
      <c r="AT42" s="400"/>
      <c r="AU42" s="394"/>
      <c r="AV42" s="400"/>
      <c r="AW42" s="400"/>
      <c r="AX42" s="394"/>
      <c r="AY42" s="400"/>
      <c r="AZ42" s="400"/>
      <c r="BA42" s="394"/>
      <c r="BB42" s="400"/>
      <c r="BC42" s="400"/>
      <c r="BD42" s="400"/>
      <c r="BE42" s="400"/>
      <c r="BF42" s="400"/>
      <c r="BG42" s="400"/>
      <c r="BH42" s="400"/>
      <c r="BI42" s="400"/>
      <c r="BJ42" s="400"/>
      <c r="BK42" s="400"/>
      <c r="BL42" s="400"/>
      <c r="BM42" s="400"/>
      <c r="BN42" s="400"/>
      <c r="BO42" s="400"/>
      <c r="BP42" s="400"/>
      <c r="BQ42" s="400"/>
      <c r="BR42" s="400"/>
      <c r="BS42" s="400"/>
      <c r="BU42" s="400"/>
      <c r="BV42" s="400"/>
      <c r="BW42" s="400"/>
      <c r="BX42" s="400"/>
      <c r="BY42" s="400"/>
      <c r="BZ42" s="400"/>
      <c r="CA42" s="400"/>
      <c r="CB42" s="400"/>
      <c r="CC42" s="400"/>
      <c r="CD42" s="400"/>
      <c r="CE42" s="400"/>
      <c r="CF42" s="400"/>
      <c r="CG42" s="400"/>
      <c r="CH42" s="400"/>
      <c r="CI42" s="400"/>
      <c r="CJ42" s="400"/>
      <c r="CK42" s="400"/>
      <c r="CL42" s="400"/>
      <c r="CM42" s="400"/>
      <c r="CN42" s="400"/>
      <c r="CO42" s="400"/>
      <c r="CP42" s="400"/>
      <c r="CQ42" s="400"/>
      <c r="CR42" s="400"/>
      <c r="CS42" s="400"/>
      <c r="CT42" s="400"/>
      <c r="CU42" s="400"/>
      <c r="CV42" s="400"/>
      <c r="CW42" s="400"/>
      <c r="CX42" s="400"/>
      <c r="CY42" s="400"/>
      <c r="CZ42" s="400"/>
      <c r="DB42" s="400"/>
      <c r="DC42" s="400"/>
      <c r="DD42" s="400"/>
      <c r="DE42" s="400"/>
      <c r="DF42" s="400"/>
      <c r="DG42" s="400"/>
      <c r="DH42" s="400"/>
      <c r="DI42" s="400"/>
      <c r="DJ42" s="400"/>
      <c r="DK42" s="400"/>
      <c r="DL42" s="400"/>
      <c r="DM42" s="400"/>
      <c r="DN42" s="400"/>
      <c r="DO42" s="400"/>
      <c r="DP42" s="400"/>
      <c r="DQ42" s="400"/>
      <c r="DR42" s="400"/>
      <c r="DS42" s="400"/>
      <c r="DT42" s="400"/>
      <c r="DU42" s="400"/>
      <c r="DV42" s="400"/>
      <c r="DW42" s="400"/>
      <c r="DX42" s="400"/>
      <c r="DY42" s="400"/>
      <c r="DZ42" s="400"/>
      <c r="EA42" s="400"/>
      <c r="EB42" s="400"/>
      <c r="EC42" s="400"/>
      <c r="ED42" s="400"/>
      <c r="EE42" s="400"/>
      <c r="EF42" s="400"/>
      <c r="EG42" s="401"/>
      <c r="EI42" s="400"/>
      <c r="EJ42" s="400"/>
      <c r="EK42" s="400"/>
      <c r="EL42" s="400"/>
      <c r="EM42" s="400"/>
      <c r="EN42" s="400"/>
      <c r="EO42" s="400"/>
      <c r="EP42" s="400"/>
      <c r="EQ42" s="400"/>
      <c r="ER42" s="400"/>
      <c r="ES42" s="400"/>
      <c r="ET42" s="400"/>
      <c r="EU42" s="400"/>
      <c r="EV42" s="400"/>
      <c r="EW42" s="400"/>
      <c r="EX42" s="400"/>
      <c r="EY42" s="400"/>
      <c r="EZ42" s="400"/>
      <c r="FA42" s="400"/>
      <c r="FB42" s="400"/>
      <c r="FC42" s="400"/>
      <c r="FD42" s="400"/>
      <c r="FE42" s="400"/>
      <c r="FF42" s="400"/>
      <c r="FG42" s="400"/>
      <c r="FH42" s="400"/>
      <c r="FI42" s="400"/>
      <c r="FJ42" s="400"/>
      <c r="FK42" s="400"/>
      <c r="FL42" s="400"/>
      <c r="FM42" s="400"/>
      <c r="FO42" s="394" t="s">
        <v>166</v>
      </c>
      <c r="FP42" s="394" t="s">
        <v>166</v>
      </c>
      <c r="FQ42" s="394" t="s">
        <v>166</v>
      </c>
      <c r="FR42" s="394" t="s">
        <v>166</v>
      </c>
      <c r="FS42" s="394" t="s">
        <v>166</v>
      </c>
      <c r="FT42" s="394" t="s">
        <v>166</v>
      </c>
      <c r="FU42" s="394" t="s">
        <v>166</v>
      </c>
      <c r="FV42" s="394" t="s">
        <v>166</v>
      </c>
      <c r="FW42" s="394" t="s">
        <v>166</v>
      </c>
      <c r="FX42" s="394" t="s">
        <v>166</v>
      </c>
      <c r="FY42" s="394" t="s">
        <v>166</v>
      </c>
      <c r="FZ42" s="394" t="s">
        <v>166</v>
      </c>
      <c r="GA42" s="394" t="s">
        <v>166</v>
      </c>
      <c r="GB42" s="394" t="s">
        <v>166</v>
      </c>
      <c r="GC42" s="394" t="s">
        <v>166</v>
      </c>
      <c r="GD42" s="394" t="s">
        <v>166</v>
      </c>
      <c r="GE42" s="394" t="s">
        <v>166</v>
      </c>
      <c r="GF42" s="394" t="s">
        <v>166</v>
      </c>
      <c r="GG42" s="394" t="s">
        <v>166</v>
      </c>
      <c r="GH42" s="394">
        <v>8.0</v>
      </c>
      <c r="GI42" s="394">
        <v>8.0</v>
      </c>
      <c r="GJ42" s="394">
        <v>8.0</v>
      </c>
      <c r="GK42" s="394">
        <v>8.0</v>
      </c>
      <c r="GL42" s="394">
        <v>8.0</v>
      </c>
      <c r="GM42" s="394">
        <v>8.0</v>
      </c>
      <c r="GN42" s="394">
        <v>8.0</v>
      </c>
      <c r="GO42" s="394">
        <v>8.0</v>
      </c>
      <c r="GP42" s="403" t="s">
        <v>165</v>
      </c>
      <c r="GQ42" s="403" t="s">
        <v>165</v>
      </c>
      <c r="GR42" s="403" t="s">
        <v>165</v>
      </c>
      <c r="GS42" s="403" t="s">
        <v>165</v>
      </c>
      <c r="GT42" s="400">
        <f t="shared" si="10"/>
        <v>64</v>
      </c>
      <c r="GV42" s="394">
        <v>8.0</v>
      </c>
      <c r="GW42" s="394">
        <v>8.0</v>
      </c>
      <c r="GX42" s="394">
        <v>8.0</v>
      </c>
      <c r="GY42" s="403" t="s">
        <v>165</v>
      </c>
      <c r="GZ42" s="403" t="s">
        <v>165</v>
      </c>
      <c r="HA42" s="394">
        <v>8.0</v>
      </c>
      <c r="HB42" s="394">
        <v>8.0</v>
      </c>
      <c r="HC42" s="394" t="s">
        <v>245</v>
      </c>
      <c r="HD42" s="394">
        <v>8.0</v>
      </c>
      <c r="HE42" s="394">
        <v>8.0</v>
      </c>
      <c r="HF42" s="403" t="s">
        <v>165</v>
      </c>
      <c r="HG42" s="403" t="s">
        <v>165</v>
      </c>
      <c r="HH42" s="394">
        <v>8.0</v>
      </c>
      <c r="HI42" s="394">
        <v>8.0</v>
      </c>
      <c r="HJ42" s="394">
        <v>8.0</v>
      </c>
      <c r="HK42" s="394">
        <v>8.0</v>
      </c>
      <c r="HL42" s="394">
        <v>8.0</v>
      </c>
      <c r="HM42" s="403" t="s">
        <v>165</v>
      </c>
      <c r="HN42" s="403" t="s">
        <v>165</v>
      </c>
      <c r="HO42" s="394">
        <v>8.0</v>
      </c>
      <c r="HP42" s="394">
        <v>8.0</v>
      </c>
      <c r="HQ42" s="394">
        <v>8.0</v>
      </c>
      <c r="HR42" s="394">
        <v>8.0</v>
      </c>
      <c r="HS42" s="394">
        <v>8.0</v>
      </c>
      <c r="HT42" s="403" t="s">
        <v>165</v>
      </c>
      <c r="HU42" s="403" t="s">
        <v>165</v>
      </c>
      <c r="HV42" s="394">
        <v>8.0</v>
      </c>
      <c r="HW42" s="394" t="s">
        <v>245</v>
      </c>
      <c r="HX42" s="394">
        <v>8.0</v>
      </c>
      <c r="HY42" s="394">
        <v>8.0</v>
      </c>
      <c r="HZ42" s="400">
        <f t="shared" si="2"/>
        <v>160</v>
      </c>
      <c r="IB42" s="394">
        <v>8.0</v>
      </c>
      <c r="IC42" s="403" t="s">
        <v>165</v>
      </c>
      <c r="ID42" s="403" t="s">
        <v>165</v>
      </c>
      <c r="IE42" s="394">
        <v>8.0</v>
      </c>
      <c r="IF42" s="394">
        <v>8.0</v>
      </c>
      <c r="IG42" s="394">
        <v>8.0</v>
      </c>
      <c r="IH42" s="394">
        <v>4.0</v>
      </c>
      <c r="II42" s="394">
        <v>10.0</v>
      </c>
      <c r="IJ42" s="403" t="s">
        <v>165</v>
      </c>
      <c r="IK42" s="403" t="s">
        <v>165</v>
      </c>
      <c r="IL42" s="394">
        <v>10.0</v>
      </c>
      <c r="IM42" s="394">
        <v>8.0</v>
      </c>
      <c r="IN42" s="394" t="s">
        <v>245</v>
      </c>
      <c r="IO42" s="394">
        <v>8.0</v>
      </c>
      <c r="IP42" s="394">
        <v>8.0</v>
      </c>
      <c r="IQ42" s="403" t="s">
        <v>165</v>
      </c>
      <c r="IR42" s="403" t="s">
        <v>165</v>
      </c>
      <c r="IS42" s="394" t="s">
        <v>245</v>
      </c>
      <c r="IT42" s="394" t="s">
        <v>245</v>
      </c>
      <c r="IU42" s="394" t="s">
        <v>245</v>
      </c>
      <c r="IV42" s="394" t="s">
        <v>245</v>
      </c>
      <c r="IW42" s="394" t="s">
        <v>245</v>
      </c>
      <c r="IX42" s="403" t="s">
        <v>165</v>
      </c>
      <c r="IY42" s="403" t="s">
        <v>165</v>
      </c>
      <c r="IZ42" s="394" t="s">
        <v>245</v>
      </c>
      <c r="JA42" s="394">
        <v>8.0</v>
      </c>
      <c r="JB42" s="394">
        <v>8.0</v>
      </c>
      <c r="JC42" s="394">
        <v>8.0</v>
      </c>
      <c r="JD42" s="394">
        <v>8.0</v>
      </c>
      <c r="JE42" s="403" t="s">
        <v>165</v>
      </c>
      <c r="JF42" s="403" t="s">
        <v>165</v>
      </c>
      <c r="JG42" s="400">
        <f t="shared" si="3"/>
        <v>112</v>
      </c>
      <c r="JI42" s="394">
        <v>8.0</v>
      </c>
      <c r="JJ42" s="394">
        <v>8.0</v>
      </c>
      <c r="JK42" s="394" t="s">
        <v>245</v>
      </c>
      <c r="JL42" s="394">
        <v>8.0</v>
      </c>
      <c r="JM42" s="394">
        <v>8.0</v>
      </c>
      <c r="JN42" s="403" t="s">
        <v>165</v>
      </c>
      <c r="JO42" s="403" t="s">
        <v>165</v>
      </c>
      <c r="JP42" s="394">
        <v>8.0</v>
      </c>
      <c r="JQ42" s="394">
        <v>8.0</v>
      </c>
      <c r="JR42" s="394">
        <v>8.0</v>
      </c>
      <c r="JS42" s="394">
        <v>8.0</v>
      </c>
      <c r="JT42" s="394">
        <v>8.0</v>
      </c>
      <c r="JU42" s="403" t="s">
        <v>165</v>
      </c>
      <c r="JV42" s="403" t="s">
        <v>165</v>
      </c>
      <c r="JW42" s="394">
        <v>8.0</v>
      </c>
      <c r="JX42" s="394">
        <v>8.0</v>
      </c>
      <c r="JY42" s="394">
        <v>8.0</v>
      </c>
      <c r="JZ42" s="394">
        <v>8.0</v>
      </c>
      <c r="KA42" s="394">
        <v>8.0</v>
      </c>
      <c r="KB42" s="403" t="s">
        <v>165</v>
      </c>
      <c r="KC42" s="403" t="s">
        <v>165</v>
      </c>
      <c r="KD42" s="394">
        <v>8.0</v>
      </c>
      <c r="KE42" s="394">
        <v>8.0</v>
      </c>
      <c r="KF42" s="394">
        <v>8.0</v>
      </c>
      <c r="KG42" s="394">
        <v>8.0</v>
      </c>
      <c r="KH42" s="394">
        <v>8.0</v>
      </c>
      <c r="KI42" s="403" t="s">
        <v>165</v>
      </c>
      <c r="KJ42" s="403" t="s">
        <v>165</v>
      </c>
      <c r="KK42" s="394">
        <v>8.0</v>
      </c>
      <c r="KL42" s="394">
        <v>8.0</v>
      </c>
      <c r="KM42" s="394">
        <v>8.0</v>
      </c>
      <c r="KN42" s="145">
        <f t="shared" si="4"/>
        <v>176</v>
      </c>
      <c r="KP42" s="398"/>
      <c r="KQ42" s="398"/>
      <c r="KR42" s="398"/>
      <c r="KS42" s="398"/>
      <c r="KT42" s="398"/>
      <c r="KU42" s="398"/>
      <c r="KV42" s="398"/>
      <c r="KW42" s="398"/>
      <c r="KX42" s="398"/>
      <c r="KY42" s="398"/>
      <c r="KZ42" s="398"/>
      <c r="LA42" s="398"/>
      <c r="LB42" s="398"/>
      <c r="LC42" s="398"/>
      <c r="LD42" s="398"/>
      <c r="LE42" s="398"/>
      <c r="LF42" s="398"/>
      <c r="LG42" s="398"/>
      <c r="LH42" s="398"/>
      <c r="LI42" s="398"/>
      <c r="LJ42" s="398"/>
      <c r="LK42" s="398"/>
      <c r="LL42" s="398"/>
      <c r="LM42" s="398"/>
      <c r="LN42" s="398"/>
      <c r="LO42" s="398"/>
      <c r="LP42" s="398"/>
      <c r="LQ42" s="398"/>
      <c r="LR42" s="398"/>
      <c r="LT42" s="398"/>
      <c r="LU42" s="398"/>
      <c r="LV42" s="398"/>
      <c r="LW42" s="398"/>
      <c r="LX42" s="398"/>
      <c r="LY42" s="398"/>
      <c r="LZ42" s="398"/>
      <c r="MA42" s="398"/>
      <c r="MB42" s="398"/>
      <c r="MC42" s="398"/>
      <c r="MD42" s="398"/>
      <c r="ME42" s="398"/>
      <c r="MF42" s="398"/>
      <c r="MG42" s="398"/>
      <c r="MH42" s="398"/>
      <c r="MI42" s="398"/>
      <c r="MJ42" s="398"/>
      <c r="MK42" s="398"/>
      <c r="ML42" s="398"/>
      <c r="MM42" s="398"/>
      <c r="MN42" s="398"/>
      <c r="MO42" s="398"/>
      <c r="MP42" s="398"/>
      <c r="MQ42" s="398"/>
      <c r="MR42" s="398"/>
      <c r="MS42" s="398"/>
    </row>
    <row r="43">
      <c r="A43" s="411" t="s">
        <v>1292</v>
      </c>
      <c r="B43" s="412" t="s">
        <v>94</v>
      </c>
      <c r="C43" s="412" t="s">
        <v>99</v>
      </c>
      <c r="D43" s="413">
        <f t="shared" si="1"/>
        <v>0</v>
      </c>
      <c r="E43" s="414" t="s">
        <v>1250</v>
      </c>
      <c r="F43" s="439">
        <f>IFERROR(__xludf.DUMMYFUNCTION("IF(A43="""","""", counta(filter(Filter(FILTER($H$4:$PI76,$H$1:$PI$1&lt;today()),$A$4:$A76=A43),not(istext(Filter(FILTER($H$4:$PI76,$H$1:$PI$1&lt;today()),$A$4:$A76=A43))),not(Filter(FILTER($H$4:$PI76,$H$1:$PI$1&lt;today()),$A$4:$A76=A43)=0),Filter(FILTER($H$4:$PI7"&amp;"6,$H$1:$PI$1&lt;today()),$A$4:$A76=A43)&lt;23)))"),44.0)</f>
        <v>44</v>
      </c>
      <c r="H43" s="412"/>
      <c r="I43" s="412"/>
      <c r="J43" s="412"/>
      <c r="K43" s="412"/>
      <c r="L43" s="412"/>
      <c r="M43" s="412"/>
      <c r="N43" s="412"/>
      <c r="O43" s="412"/>
      <c r="P43" s="412"/>
      <c r="Q43" s="412"/>
      <c r="R43" s="412"/>
      <c r="S43" s="412"/>
      <c r="T43" s="412"/>
      <c r="U43" s="412"/>
      <c r="V43" s="412"/>
      <c r="W43" s="412"/>
      <c r="X43" s="412"/>
      <c r="Y43" s="412"/>
      <c r="Z43" s="412"/>
      <c r="AA43" s="412"/>
      <c r="AB43" s="412"/>
      <c r="AC43" s="412"/>
      <c r="AD43" s="412"/>
      <c r="AE43" s="412"/>
      <c r="AF43" s="412"/>
      <c r="AG43" s="412"/>
      <c r="AH43" s="412"/>
      <c r="AI43" s="412"/>
      <c r="AJ43" s="412"/>
      <c r="AK43" s="412"/>
      <c r="AL43" s="412"/>
      <c r="AM43" s="439"/>
      <c r="AO43" s="415"/>
      <c r="AP43" s="415"/>
      <c r="AQ43" s="415"/>
      <c r="AR43" s="415"/>
      <c r="AS43" s="415"/>
      <c r="AT43" s="415"/>
      <c r="AU43" s="412"/>
      <c r="AV43" s="415"/>
      <c r="AW43" s="415"/>
      <c r="AX43" s="412"/>
      <c r="AY43" s="415"/>
      <c r="AZ43" s="415"/>
      <c r="BA43" s="412"/>
      <c r="BB43" s="415"/>
      <c r="BC43" s="415"/>
      <c r="BD43" s="415"/>
      <c r="BE43" s="415"/>
      <c r="BF43" s="415"/>
      <c r="BG43" s="415"/>
      <c r="BH43" s="415"/>
      <c r="BI43" s="415"/>
      <c r="BJ43" s="415"/>
      <c r="BK43" s="415"/>
      <c r="BL43" s="415"/>
      <c r="BM43" s="415"/>
      <c r="BN43" s="415"/>
      <c r="BO43" s="415"/>
      <c r="BP43" s="415"/>
      <c r="BQ43" s="415"/>
      <c r="BR43" s="415"/>
      <c r="BS43" s="415"/>
      <c r="BU43" s="415"/>
      <c r="BV43" s="415"/>
      <c r="BW43" s="415"/>
      <c r="BX43" s="415"/>
      <c r="BY43" s="415"/>
      <c r="BZ43" s="415"/>
      <c r="CA43" s="415"/>
      <c r="CB43" s="415"/>
      <c r="CC43" s="415"/>
      <c r="CD43" s="415"/>
      <c r="CE43" s="415"/>
      <c r="CF43" s="415"/>
      <c r="CG43" s="415"/>
      <c r="CH43" s="415"/>
      <c r="CI43" s="415"/>
      <c r="CJ43" s="415"/>
      <c r="CK43" s="415"/>
      <c r="CL43" s="415"/>
      <c r="CM43" s="415"/>
      <c r="CN43" s="415"/>
      <c r="CO43" s="415"/>
      <c r="CP43" s="415"/>
      <c r="CQ43" s="415"/>
      <c r="CR43" s="415"/>
      <c r="CS43" s="415"/>
      <c r="CT43" s="415"/>
      <c r="CU43" s="415"/>
      <c r="CV43" s="415"/>
      <c r="CW43" s="415"/>
      <c r="CX43" s="415"/>
      <c r="CY43" s="415"/>
      <c r="CZ43" s="415"/>
      <c r="DB43" s="415"/>
      <c r="DC43" s="415"/>
      <c r="DD43" s="415"/>
      <c r="DE43" s="415"/>
      <c r="DF43" s="415"/>
      <c r="DG43" s="415"/>
      <c r="DH43" s="415"/>
      <c r="DI43" s="415"/>
      <c r="DJ43" s="415"/>
      <c r="DK43" s="415"/>
      <c r="DL43" s="415"/>
      <c r="DM43" s="415"/>
      <c r="DN43" s="415"/>
      <c r="DO43" s="415"/>
      <c r="DP43" s="415"/>
      <c r="DQ43" s="415"/>
      <c r="DR43" s="415"/>
      <c r="DS43" s="415"/>
      <c r="DT43" s="415"/>
      <c r="DU43" s="415"/>
      <c r="DV43" s="415"/>
      <c r="DW43" s="415"/>
      <c r="DX43" s="415"/>
      <c r="DY43" s="415"/>
      <c r="DZ43" s="415"/>
      <c r="EA43" s="415"/>
      <c r="EB43" s="415"/>
      <c r="EC43" s="415"/>
      <c r="ED43" s="415"/>
      <c r="EE43" s="415"/>
      <c r="EF43" s="415"/>
      <c r="EG43" s="445"/>
      <c r="EI43" s="415"/>
      <c r="EJ43" s="415"/>
      <c r="EK43" s="415"/>
      <c r="EL43" s="415"/>
      <c r="EM43" s="415"/>
      <c r="EN43" s="415"/>
      <c r="EO43" s="415"/>
      <c r="EP43" s="415"/>
      <c r="EQ43" s="415"/>
      <c r="ER43" s="415"/>
      <c r="ES43" s="415"/>
      <c r="ET43" s="415"/>
      <c r="EU43" s="415"/>
      <c r="EV43" s="415"/>
      <c r="EW43" s="415"/>
      <c r="EX43" s="415"/>
      <c r="EY43" s="415"/>
      <c r="EZ43" s="415"/>
      <c r="FA43" s="415"/>
      <c r="FB43" s="415"/>
      <c r="FC43" s="415"/>
      <c r="FD43" s="415"/>
      <c r="FE43" s="415"/>
      <c r="FF43" s="415"/>
      <c r="FG43" s="415"/>
      <c r="FH43" s="415"/>
      <c r="FI43" s="415"/>
      <c r="FJ43" s="415"/>
      <c r="FK43" s="415"/>
      <c r="FL43" s="415"/>
      <c r="FM43" s="415"/>
      <c r="FO43" s="412" t="s">
        <v>166</v>
      </c>
      <c r="FP43" s="412" t="s">
        <v>166</v>
      </c>
      <c r="FQ43" s="412" t="s">
        <v>166</v>
      </c>
      <c r="FR43" s="412" t="s">
        <v>166</v>
      </c>
      <c r="FS43" s="412" t="s">
        <v>166</v>
      </c>
      <c r="FT43" s="412" t="s">
        <v>166</v>
      </c>
      <c r="FU43" s="412" t="s">
        <v>166</v>
      </c>
      <c r="FV43" s="412" t="s">
        <v>166</v>
      </c>
      <c r="FW43" s="412" t="s">
        <v>166</v>
      </c>
      <c r="FX43" s="412" t="s">
        <v>166</v>
      </c>
      <c r="FY43" s="412" t="s">
        <v>166</v>
      </c>
      <c r="FZ43" s="412" t="s">
        <v>166</v>
      </c>
      <c r="GA43" s="412" t="s">
        <v>166</v>
      </c>
      <c r="GB43" s="412" t="s">
        <v>166</v>
      </c>
      <c r="GC43" s="412" t="s">
        <v>166</v>
      </c>
      <c r="GD43" s="412" t="s">
        <v>166</v>
      </c>
      <c r="GE43" s="412" t="s">
        <v>166</v>
      </c>
      <c r="GF43" s="412" t="s">
        <v>166</v>
      </c>
      <c r="GG43" s="412" t="s">
        <v>166</v>
      </c>
      <c r="GH43" s="412">
        <v>8.0</v>
      </c>
      <c r="GI43" s="412">
        <v>8.0</v>
      </c>
      <c r="GJ43" s="412">
        <v>8.0</v>
      </c>
      <c r="GK43" s="436" t="s">
        <v>165</v>
      </c>
      <c r="GL43" s="436" t="s">
        <v>165</v>
      </c>
      <c r="GM43" s="412">
        <v>0.0</v>
      </c>
      <c r="GN43" s="412">
        <v>8.0</v>
      </c>
      <c r="GO43" s="412">
        <v>8.0</v>
      </c>
      <c r="GP43" s="412">
        <v>8.0</v>
      </c>
      <c r="GQ43" s="412">
        <v>8.0</v>
      </c>
      <c r="GR43" s="436" t="s">
        <v>165</v>
      </c>
      <c r="GS43" s="436" t="s">
        <v>165</v>
      </c>
      <c r="GT43" s="415">
        <f t="shared" si="10"/>
        <v>56</v>
      </c>
      <c r="GV43" s="428" t="s">
        <v>171</v>
      </c>
      <c r="GW43" s="412">
        <v>8.0</v>
      </c>
      <c r="GX43" s="412">
        <v>8.0</v>
      </c>
      <c r="GY43" s="412">
        <v>8.0</v>
      </c>
      <c r="GZ43" s="412">
        <v>8.0</v>
      </c>
      <c r="HA43" s="436" t="s">
        <v>165</v>
      </c>
      <c r="HB43" s="436" t="s">
        <v>165</v>
      </c>
      <c r="HC43" s="412">
        <v>5.0</v>
      </c>
      <c r="HD43" s="412" t="s">
        <v>245</v>
      </c>
      <c r="HE43" s="412">
        <v>8.0</v>
      </c>
      <c r="HF43" s="428" t="s">
        <v>171</v>
      </c>
      <c r="HG43" s="412" t="s">
        <v>245</v>
      </c>
      <c r="HH43" s="436" t="s">
        <v>165</v>
      </c>
      <c r="HI43" s="436" t="s">
        <v>165</v>
      </c>
      <c r="HJ43" s="412">
        <v>6.0</v>
      </c>
      <c r="HK43" s="412">
        <v>6.0</v>
      </c>
      <c r="HL43" s="412">
        <v>6.0</v>
      </c>
      <c r="HM43" s="412">
        <v>6.0</v>
      </c>
      <c r="HN43" s="412">
        <v>11.0</v>
      </c>
      <c r="HO43" s="436" t="s">
        <v>165</v>
      </c>
      <c r="HP43" s="436" t="s">
        <v>165</v>
      </c>
      <c r="HQ43" s="412">
        <v>6.0</v>
      </c>
      <c r="HR43" s="412">
        <v>8.0</v>
      </c>
      <c r="HS43" s="412">
        <v>8.0</v>
      </c>
      <c r="HT43" s="412">
        <v>8.0</v>
      </c>
      <c r="HU43" s="412">
        <v>6.0</v>
      </c>
      <c r="HV43" s="436" t="s">
        <v>165</v>
      </c>
      <c r="HW43" s="436" t="s">
        <v>165</v>
      </c>
      <c r="HX43" s="412">
        <v>8.0</v>
      </c>
      <c r="HY43" s="412">
        <v>6.0</v>
      </c>
      <c r="HZ43" s="415">
        <f t="shared" si="2"/>
        <v>130</v>
      </c>
      <c r="IB43" s="412">
        <v>8.0</v>
      </c>
      <c r="IC43" s="412">
        <v>8.0</v>
      </c>
      <c r="ID43" s="412">
        <v>8.0</v>
      </c>
      <c r="IE43" s="436" t="s">
        <v>165</v>
      </c>
      <c r="IF43" s="436" t="s">
        <v>165</v>
      </c>
      <c r="IG43" s="412">
        <v>6.0</v>
      </c>
      <c r="IH43" s="412">
        <v>8.0</v>
      </c>
      <c r="II43" s="412">
        <v>8.0</v>
      </c>
      <c r="IJ43" s="412">
        <v>8.0</v>
      </c>
      <c r="IK43" s="412">
        <v>8.0</v>
      </c>
      <c r="IL43" s="436" t="s">
        <v>165</v>
      </c>
      <c r="IM43" s="436" t="s">
        <v>165</v>
      </c>
      <c r="IN43" s="412">
        <v>8.0</v>
      </c>
      <c r="IO43" s="412">
        <v>8.0</v>
      </c>
      <c r="IP43" s="412">
        <v>8.0</v>
      </c>
      <c r="IQ43" s="412">
        <v>8.0</v>
      </c>
      <c r="IR43" s="412">
        <v>8.0</v>
      </c>
      <c r="IS43" s="436" t="s">
        <v>165</v>
      </c>
      <c r="IT43" s="436" t="s">
        <v>165</v>
      </c>
      <c r="IU43" s="412" t="s">
        <v>245</v>
      </c>
      <c r="IV43" s="412" t="s">
        <v>245</v>
      </c>
      <c r="IW43" s="412" t="s">
        <v>245</v>
      </c>
      <c r="IX43" s="412">
        <v>8.0</v>
      </c>
      <c r="IY43" s="412" t="s">
        <v>171</v>
      </c>
      <c r="IZ43" s="436" t="s">
        <v>165</v>
      </c>
      <c r="JA43" s="436" t="s">
        <v>165</v>
      </c>
      <c r="JB43" s="412">
        <v>8.0</v>
      </c>
      <c r="JC43" s="412">
        <v>8.0</v>
      </c>
      <c r="JD43" s="412">
        <v>8.0</v>
      </c>
      <c r="JE43" s="412">
        <v>8.0</v>
      </c>
      <c r="JF43" s="412">
        <v>8.0</v>
      </c>
      <c r="JG43" s="415">
        <f t="shared" si="3"/>
        <v>150</v>
      </c>
      <c r="JI43" s="436" t="s">
        <v>165</v>
      </c>
      <c r="JJ43" s="436" t="s">
        <v>165</v>
      </c>
      <c r="JK43" s="412" t="s">
        <v>170</v>
      </c>
      <c r="JL43" s="412" t="s">
        <v>170</v>
      </c>
      <c r="JM43" s="412"/>
      <c r="JN43" s="412"/>
      <c r="JO43" s="412"/>
      <c r="JP43" s="436"/>
      <c r="JQ43" s="436"/>
      <c r="JR43" s="412"/>
      <c r="JS43" s="412"/>
      <c r="JT43" s="412"/>
      <c r="JU43" s="412"/>
      <c r="JV43" s="412"/>
      <c r="JW43" s="436"/>
      <c r="JX43" s="436"/>
      <c r="JY43" s="412"/>
      <c r="JZ43" s="412"/>
      <c r="KA43" s="412"/>
      <c r="KB43" s="412"/>
      <c r="KC43" s="412"/>
      <c r="KD43" s="436"/>
      <c r="KE43" s="436"/>
      <c r="KF43" s="412"/>
      <c r="KG43" s="412"/>
      <c r="KH43" s="412"/>
      <c r="KI43" s="412"/>
      <c r="KJ43" s="412"/>
      <c r="KK43" s="436"/>
      <c r="KL43" s="436"/>
      <c r="KM43" s="412"/>
      <c r="KN43" s="155">
        <f t="shared" si="4"/>
        <v>0</v>
      </c>
      <c r="KP43" s="419"/>
      <c r="KQ43" s="419"/>
      <c r="KR43" s="419"/>
      <c r="KS43" s="419"/>
      <c r="KT43" s="419"/>
      <c r="KU43" s="419"/>
      <c r="KV43" s="419"/>
      <c r="KW43" s="419"/>
      <c r="KX43" s="419"/>
      <c r="KY43" s="419"/>
      <c r="KZ43" s="419"/>
      <c r="LA43" s="419"/>
      <c r="LB43" s="419"/>
      <c r="LC43" s="419"/>
      <c r="LD43" s="419"/>
      <c r="LE43" s="419"/>
      <c r="LF43" s="419"/>
      <c r="LG43" s="419"/>
      <c r="LH43" s="419"/>
      <c r="LI43" s="419"/>
      <c r="LJ43" s="419"/>
      <c r="LK43" s="419"/>
      <c r="LL43" s="419"/>
      <c r="LM43" s="419"/>
      <c r="LN43" s="419"/>
      <c r="LO43" s="419"/>
      <c r="LP43" s="419"/>
      <c r="LQ43" s="419"/>
      <c r="LR43" s="419"/>
      <c r="LT43" s="419"/>
      <c r="LU43" s="419"/>
      <c r="LV43" s="419"/>
      <c r="LW43" s="419"/>
      <c r="LX43" s="419"/>
      <c r="LY43" s="419"/>
      <c r="LZ43" s="419"/>
      <c r="MA43" s="419"/>
      <c r="MB43" s="419"/>
      <c r="MC43" s="419"/>
      <c r="MD43" s="419"/>
      <c r="ME43" s="419"/>
      <c r="MF43" s="419"/>
      <c r="MG43" s="419"/>
      <c r="MH43" s="419"/>
      <c r="MI43" s="419"/>
      <c r="MJ43" s="419"/>
      <c r="MK43" s="419"/>
      <c r="ML43" s="419"/>
      <c r="MM43" s="419"/>
      <c r="MN43" s="419"/>
      <c r="MO43" s="419"/>
      <c r="MP43" s="419"/>
      <c r="MQ43" s="419"/>
      <c r="MR43" s="419"/>
      <c r="MS43" s="419"/>
    </row>
    <row r="44">
      <c r="A44" s="393" t="s">
        <v>1293</v>
      </c>
      <c r="B44" s="394" t="s">
        <v>856</v>
      </c>
      <c r="C44" s="394" t="s">
        <v>99</v>
      </c>
      <c r="D44" s="395">
        <f t="shared" si="1"/>
        <v>0</v>
      </c>
      <c r="E44" s="396" t="s">
        <v>1250</v>
      </c>
      <c r="F44" s="397">
        <f>IFERROR(__xludf.DUMMYFUNCTION("IF(A44="""","""", counta(filter(Filter(FILTER($H$4:$PI76,$H$1:$PI$1&lt;today()),$A$4:$A76=A44),not(istext(Filter(FILTER($H$4:$PI76,$H$1:$PI$1&lt;today()),$A$4:$A76=A44))),not(Filter(FILTER($H$4:$PI76,$H$1:$PI$1&lt;today()),$A$4:$A76=A44)=0),Filter(FILTER($H$4:$PI7"&amp;"6,$H$1:$PI$1&lt;today()),$A$4:$A76=A44)&lt;23)))"),46.0)</f>
        <v>46</v>
      </c>
      <c r="H44" s="394"/>
      <c r="I44" s="394"/>
      <c r="J44" s="394"/>
      <c r="K44" s="394"/>
      <c r="L44" s="394"/>
      <c r="M44" s="394"/>
      <c r="N44" s="394"/>
      <c r="O44" s="394"/>
      <c r="P44" s="394"/>
      <c r="Q44" s="394"/>
      <c r="R44" s="394"/>
      <c r="S44" s="394"/>
      <c r="T44" s="394"/>
      <c r="U44" s="394"/>
      <c r="V44" s="394"/>
      <c r="W44" s="394"/>
      <c r="X44" s="394"/>
      <c r="Y44" s="394"/>
      <c r="Z44" s="394"/>
      <c r="AA44" s="394"/>
      <c r="AB44" s="394"/>
      <c r="AC44" s="394"/>
      <c r="AD44" s="394"/>
      <c r="AE44" s="394"/>
      <c r="AF44" s="394"/>
      <c r="AG44" s="394"/>
      <c r="AH44" s="394"/>
      <c r="AI44" s="394"/>
      <c r="AJ44" s="394"/>
      <c r="AK44" s="394"/>
      <c r="AL44" s="394"/>
      <c r="AM44" s="397"/>
      <c r="AO44" s="400"/>
      <c r="AP44" s="400"/>
      <c r="AQ44" s="400"/>
      <c r="AR44" s="400"/>
      <c r="AS44" s="400"/>
      <c r="AT44" s="400"/>
      <c r="AU44" s="394"/>
      <c r="AV44" s="400"/>
      <c r="AW44" s="400"/>
      <c r="AX44" s="394"/>
      <c r="AY44" s="400"/>
      <c r="AZ44" s="400"/>
      <c r="BA44" s="394"/>
      <c r="BB44" s="400"/>
      <c r="BC44" s="400"/>
      <c r="BD44" s="400"/>
      <c r="BE44" s="400"/>
      <c r="BF44" s="400"/>
      <c r="BG44" s="400"/>
      <c r="BH44" s="400"/>
      <c r="BI44" s="400"/>
      <c r="BJ44" s="400"/>
      <c r="BK44" s="400"/>
      <c r="BL44" s="400"/>
      <c r="BM44" s="400"/>
      <c r="BN44" s="400"/>
      <c r="BO44" s="400"/>
      <c r="BP44" s="400"/>
      <c r="BQ44" s="400"/>
      <c r="BR44" s="400"/>
      <c r="BS44" s="400"/>
      <c r="BU44" s="400"/>
      <c r="BV44" s="400"/>
      <c r="BW44" s="400"/>
      <c r="BX44" s="400"/>
      <c r="BY44" s="400"/>
      <c r="BZ44" s="400"/>
      <c r="CA44" s="400"/>
      <c r="CB44" s="400"/>
      <c r="CC44" s="400"/>
      <c r="CD44" s="400"/>
      <c r="CE44" s="400"/>
      <c r="CF44" s="400"/>
      <c r="CG44" s="400"/>
      <c r="CH44" s="400"/>
      <c r="CI44" s="400"/>
      <c r="CJ44" s="400"/>
      <c r="CK44" s="400"/>
      <c r="CL44" s="400"/>
      <c r="CM44" s="400"/>
      <c r="CN44" s="400"/>
      <c r="CO44" s="400"/>
      <c r="CP44" s="400"/>
      <c r="CQ44" s="400"/>
      <c r="CR44" s="400"/>
      <c r="CS44" s="400"/>
      <c r="CT44" s="400"/>
      <c r="CU44" s="400"/>
      <c r="CV44" s="400"/>
      <c r="CW44" s="400"/>
      <c r="CX44" s="400"/>
      <c r="CY44" s="400"/>
      <c r="CZ44" s="400"/>
      <c r="DB44" s="400"/>
      <c r="DC44" s="400"/>
      <c r="DD44" s="400"/>
      <c r="DE44" s="400"/>
      <c r="DF44" s="400"/>
      <c r="DG44" s="400"/>
      <c r="DH44" s="400"/>
      <c r="DI44" s="400"/>
      <c r="DJ44" s="400"/>
      <c r="DK44" s="400"/>
      <c r="DL44" s="400"/>
      <c r="DM44" s="400"/>
      <c r="DN44" s="400"/>
      <c r="DO44" s="400"/>
      <c r="DP44" s="400"/>
      <c r="DQ44" s="400"/>
      <c r="DR44" s="400"/>
      <c r="DS44" s="400"/>
      <c r="DT44" s="400"/>
      <c r="DU44" s="400"/>
      <c r="DV44" s="400"/>
      <c r="DW44" s="400"/>
      <c r="DX44" s="400"/>
      <c r="DY44" s="400"/>
      <c r="DZ44" s="400"/>
      <c r="EA44" s="400"/>
      <c r="EB44" s="400"/>
      <c r="EC44" s="400"/>
      <c r="ED44" s="400"/>
      <c r="EE44" s="400"/>
      <c r="EF44" s="400"/>
      <c r="EG44" s="401"/>
      <c r="EI44" s="400"/>
      <c r="EJ44" s="400"/>
      <c r="EK44" s="400"/>
      <c r="EL44" s="400"/>
      <c r="EM44" s="400"/>
      <c r="EN44" s="400"/>
      <c r="EO44" s="400"/>
      <c r="EP44" s="400"/>
      <c r="EQ44" s="400"/>
      <c r="ER44" s="400"/>
      <c r="ES44" s="400"/>
      <c r="ET44" s="400"/>
      <c r="EU44" s="400"/>
      <c r="EV44" s="400"/>
      <c r="EW44" s="400"/>
      <c r="EX44" s="400"/>
      <c r="EY44" s="400"/>
      <c r="EZ44" s="400"/>
      <c r="FA44" s="400"/>
      <c r="FB44" s="400"/>
      <c r="FC44" s="400"/>
      <c r="FD44" s="400"/>
      <c r="FE44" s="400"/>
      <c r="FF44" s="400"/>
      <c r="FG44" s="400"/>
      <c r="FH44" s="400"/>
      <c r="FI44" s="400"/>
      <c r="FJ44" s="400"/>
      <c r="FK44" s="400"/>
      <c r="FL44" s="400"/>
      <c r="FM44" s="400"/>
      <c r="FO44" s="394" t="s">
        <v>166</v>
      </c>
      <c r="FP44" s="394" t="s">
        <v>166</v>
      </c>
      <c r="FQ44" s="394" t="s">
        <v>166</v>
      </c>
      <c r="FR44" s="394" t="s">
        <v>166</v>
      </c>
      <c r="FS44" s="394" t="s">
        <v>166</v>
      </c>
      <c r="FT44" s="394" t="s">
        <v>166</v>
      </c>
      <c r="FU44" s="394" t="s">
        <v>166</v>
      </c>
      <c r="FV44" s="394" t="s">
        <v>166</v>
      </c>
      <c r="FW44" s="394" t="s">
        <v>166</v>
      </c>
      <c r="FX44" s="394" t="s">
        <v>166</v>
      </c>
      <c r="FY44" s="394" t="s">
        <v>166</v>
      </c>
      <c r="FZ44" s="394" t="s">
        <v>166</v>
      </c>
      <c r="GA44" s="394" t="s">
        <v>166</v>
      </c>
      <c r="GB44" s="394" t="s">
        <v>166</v>
      </c>
      <c r="GC44" s="394" t="s">
        <v>166</v>
      </c>
      <c r="GD44" s="394" t="s">
        <v>166</v>
      </c>
      <c r="GE44" s="394" t="s">
        <v>166</v>
      </c>
      <c r="GF44" s="394" t="s">
        <v>166</v>
      </c>
      <c r="GG44" s="394" t="s">
        <v>166</v>
      </c>
      <c r="GH44" s="394" t="s">
        <v>166</v>
      </c>
      <c r="GI44" s="394" t="s">
        <v>166</v>
      </c>
      <c r="GJ44" s="394" t="s">
        <v>166</v>
      </c>
      <c r="GK44" s="394" t="s">
        <v>166</v>
      </c>
      <c r="GL44" s="394" t="s">
        <v>166</v>
      </c>
      <c r="GM44" s="394" t="s">
        <v>166</v>
      </c>
      <c r="GN44" s="394" t="s">
        <v>166</v>
      </c>
      <c r="GO44" s="394" t="s">
        <v>166</v>
      </c>
      <c r="GP44" s="394" t="s">
        <v>166</v>
      </c>
      <c r="GQ44" s="394" t="s">
        <v>166</v>
      </c>
      <c r="GR44" s="394" t="s">
        <v>166</v>
      </c>
      <c r="GS44" s="394" t="s">
        <v>166</v>
      </c>
      <c r="GT44" s="394" t="s">
        <v>166</v>
      </c>
      <c r="GV44" s="394">
        <v>8.0</v>
      </c>
      <c r="GW44" s="394">
        <v>8.0</v>
      </c>
      <c r="GX44" s="394">
        <v>8.0</v>
      </c>
      <c r="GY44" s="394">
        <v>8.0</v>
      </c>
      <c r="GZ44" s="394">
        <v>8.0</v>
      </c>
      <c r="HA44" s="403" t="s">
        <v>165</v>
      </c>
      <c r="HB44" s="403" t="s">
        <v>165</v>
      </c>
      <c r="HC44" s="394">
        <v>8.0</v>
      </c>
      <c r="HD44" s="394">
        <v>8.0</v>
      </c>
      <c r="HE44" s="403" t="s">
        <v>165</v>
      </c>
      <c r="HF44" s="403" t="s">
        <v>165</v>
      </c>
      <c r="HG44" s="394">
        <v>8.0</v>
      </c>
      <c r="HH44" s="394">
        <v>8.0</v>
      </c>
      <c r="HI44" s="394">
        <v>8.0</v>
      </c>
      <c r="HJ44" s="394">
        <v>8.0</v>
      </c>
      <c r="HK44" s="394">
        <v>8.0</v>
      </c>
      <c r="HL44" s="403" t="s">
        <v>165</v>
      </c>
      <c r="HM44" s="403" t="s">
        <v>165</v>
      </c>
      <c r="HN44" s="394">
        <v>8.0</v>
      </c>
      <c r="HO44" s="394">
        <v>8.0</v>
      </c>
      <c r="HP44" s="394">
        <v>8.0</v>
      </c>
      <c r="HQ44" s="394">
        <v>8.0</v>
      </c>
      <c r="HR44" s="394">
        <v>8.0</v>
      </c>
      <c r="HS44" s="403" t="s">
        <v>165</v>
      </c>
      <c r="HT44" s="403" t="s">
        <v>165</v>
      </c>
      <c r="HU44" s="394">
        <v>8.0</v>
      </c>
      <c r="HV44" s="394">
        <v>8.0</v>
      </c>
      <c r="HW44" s="394">
        <v>8.0</v>
      </c>
      <c r="HX44" s="394">
        <v>8.0</v>
      </c>
      <c r="HY44" s="394">
        <v>8.0</v>
      </c>
      <c r="HZ44" s="400">
        <f t="shared" si="2"/>
        <v>176</v>
      </c>
      <c r="IB44" s="403" t="s">
        <v>165</v>
      </c>
      <c r="IC44" s="403" t="s">
        <v>165</v>
      </c>
      <c r="ID44" s="394">
        <v>8.0</v>
      </c>
      <c r="IE44" s="394">
        <v>8.0</v>
      </c>
      <c r="IF44" s="394">
        <v>8.0</v>
      </c>
      <c r="IG44" s="394">
        <v>8.0</v>
      </c>
      <c r="IH44" s="394">
        <v>8.0</v>
      </c>
      <c r="II44" s="403" t="s">
        <v>165</v>
      </c>
      <c r="IJ44" s="403" t="s">
        <v>165</v>
      </c>
      <c r="IK44" s="394">
        <v>8.0</v>
      </c>
      <c r="IL44" s="394">
        <v>8.0</v>
      </c>
      <c r="IM44" s="394">
        <v>8.0</v>
      </c>
      <c r="IN44" s="394">
        <v>8.0</v>
      </c>
      <c r="IO44" s="394">
        <v>8.0</v>
      </c>
      <c r="IP44" s="403" t="s">
        <v>165</v>
      </c>
      <c r="IQ44" s="403" t="s">
        <v>165</v>
      </c>
      <c r="IR44" s="394">
        <v>8.0</v>
      </c>
      <c r="IS44" s="394">
        <v>8.0</v>
      </c>
      <c r="IT44" s="394">
        <v>8.0</v>
      </c>
      <c r="IU44" s="394">
        <v>8.0</v>
      </c>
      <c r="IV44" s="394">
        <v>8.0</v>
      </c>
      <c r="IW44" s="403" t="s">
        <v>165</v>
      </c>
      <c r="IX44" s="403" t="s">
        <v>165</v>
      </c>
      <c r="IY44" s="394">
        <v>8.0</v>
      </c>
      <c r="IZ44" s="394">
        <v>8.0</v>
      </c>
      <c r="JA44" s="394">
        <v>8.0</v>
      </c>
      <c r="JB44" s="394">
        <v>8.0</v>
      </c>
      <c r="JC44" s="394">
        <v>8.0</v>
      </c>
      <c r="JD44" s="403" t="s">
        <v>165</v>
      </c>
      <c r="JE44" s="403" t="s">
        <v>165</v>
      </c>
      <c r="JF44" s="394">
        <v>8.0</v>
      </c>
      <c r="JG44" s="400">
        <f t="shared" si="3"/>
        <v>168</v>
      </c>
      <c r="JI44" s="394">
        <v>8.0</v>
      </c>
      <c r="JJ44" s="394">
        <v>8.0</v>
      </c>
      <c r="JK44" s="394">
        <v>8.0</v>
      </c>
      <c r="JL44" s="394">
        <v>8.0</v>
      </c>
      <c r="JM44" s="403" t="s">
        <v>165</v>
      </c>
      <c r="JN44" s="403" t="s">
        <v>165</v>
      </c>
      <c r="JO44" s="394">
        <v>8.0</v>
      </c>
      <c r="JP44" s="394">
        <v>8.0</v>
      </c>
      <c r="JQ44" s="394">
        <v>8.0</v>
      </c>
      <c r="JR44" s="394">
        <v>8.0</v>
      </c>
      <c r="JS44" s="394">
        <v>8.0</v>
      </c>
      <c r="JT44" s="403" t="s">
        <v>165</v>
      </c>
      <c r="JU44" s="403" t="s">
        <v>165</v>
      </c>
      <c r="JV44" s="394">
        <v>8.0</v>
      </c>
      <c r="JW44" s="394">
        <v>8.0</v>
      </c>
      <c r="JX44" s="394">
        <v>8.0</v>
      </c>
      <c r="JY44" s="394">
        <v>8.0</v>
      </c>
      <c r="JZ44" s="394">
        <v>8.0</v>
      </c>
      <c r="KA44" s="403" t="s">
        <v>165</v>
      </c>
      <c r="KB44" s="403" t="s">
        <v>165</v>
      </c>
      <c r="KC44" s="394">
        <v>8.0</v>
      </c>
      <c r="KD44" s="394">
        <v>8.0</v>
      </c>
      <c r="KE44" s="394">
        <v>8.0</v>
      </c>
      <c r="KF44" s="394">
        <v>8.0</v>
      </c>
      <c r="KG44" s="394">
        <v>8.0</v>
      </c>
      <c r="KH44" s="403" t="s">
        <v>165</v>
      </c>
      <c r="KI44" s="403" t="s">
        <v>165</v>
      </c>
      <c r="KJ44" s="394">
        <v>8.0</v>
      </c>
      <c r="KK44" s="394">
        <v>8.0</v>
      </c>
      <c r="KL44" s="394">
        <v>8.0</v>
      </c>
      <c r="KM44" s="394">
        <v>8.0</v>
      </c>
      <c r="KN44" s="145">
        <f t="shared" si="4"/>
        <v>184</v>
      </c>
      <c r="KP44" s="398"/>
      <c r="KQ44" s="398"/>
      <c r="KR44" s="398"/>
      <c r="KS44" s="398"/>
      <c r="KT44" s="398"/>
      <c r="KU44" s="398"/>
      <c r="KV44" s="398"/>
      <c r="KW44" s="398"/>
      <c r="KX44" s="398"/>
      <c r="KY44" s="398"/>
      <c r="KZ44" s="398"/>
      <c r="LA44" s="398"/>
      <c r="LB44" s="398"/>
      <c r="LC44" s="398"/>
      <c r="LD44" s="398"/>
      <c r="LE44" s="398"/>
      <c r="LF44" s="398"/>
      <c r="LG44" s="398"/>
      <c r="LH44" s="398"/>
      <c r="LI44" s="398"/>
      <c r="LJ44" s="398"/>
      <c r="LK44" s="398"/>
      <c r="LL44" s="398"/>
      <c r="LM44" s="398"/>
      <c r="LN44" s="398"/>
      <c r="LO44" s="398"/>
      <c r="LP44" s="398"/>
      <c r="LQ44" s="398"/>
      <c r="LR44" s="398"/>
      <c r="LT44" s="398"/>
      <c r="LU44" s="398"/>
      <c r="LV44" s="398"/>
      <c r="LW44" s="398"/>
      <c r="LX44" s="398"/>
      <c r="LY44" s="398"/>
      <c r="LZ44" s="398"/>
      <c r="MA44" s="398"/>
      <c r="MB44" s="398"/>
      <c r="MC44" s="398"/>
      <c r="MD44" s="398"/>
      <c r="ME44" s="398"/>
      <c r="MF44" s="398"/>
      <c r="MG44" s="398"/>
      <c r="MH44" s="398"/>
      <c r="MI44" s="398"/>
      <c r="MJ44" s="398"/>
      <c r="MK44" s="398"/>
      <c r="ML44" s="398"/>
      <c r="MM44" s="398"/>
      <c r="MN44" s="398"/>
      <c r="MO44" s="398"/>
      <c r="MP44" s="398"/>
      <c r="MQ44" s="398"/>
      <c r="MR44" s="398"/>
      <c r="MS44" s="398"/>
    </row>
    <row r="45" ht="16.5" customHeight="1">
      <c r="A45" s="393" t="s">
        <v>1294</v>
      </c>
      <c r="B45" s="394" t="s">
        <v>88</v>
      </c>
      <c r="C45" s="394" t="s">
        <v>98</v>
      </c>
      <c r="D45" s="395">
        <f t="shared" si="1"/>
        <v>0</v>
      </c>
      <c r="E45" s="396" t="s">
        <v>1250</v>
      </c>
      <c r="F45" s="397">
        <f>IFERROR(__xludf.DUMMYFUNCTION("IF(A45="""","""", counta(filter(Filter(FILTER($H$4:$PI76,$H$1:$PI$1&lt;today()),$A$4:$A76=A45),not(istext(Filter(FILTER($H$4:$PI76,$H$1:$PI$1&lt;today()),$A$4:$A76=A45))),not(Filter(FILTER($H$4:$PI76,$H$1:$PI$1&lt;today()),$A$4:$A76=A45)=0),Filter(FILTER($H$4:$PI7"&amp;"6,$H$1:$PI$1&lt;today()),$A$4:$A76=A45)&lt;23)))"),31.0)</f>
        <v>31</v>
      </c>
      <c r="H45" s="394"/>
      <c r="I45" s="394"/>
      <c r="J45" s="394"/>
      <c r="K45" s="394"/>
      <c r="L45" s="394"/>
      <c r="M45" s="394"/>
      <c r="N45" s="394"/>
      <c r="O45" s="394"/>
      <c r="P45" s="394"/>
      <c r="Q45" s="394"/>
      <c r="R45" s="394"/>
      <c r="S45" s="394"/>
      <c r="T45" s="394"/>
      <c r="U45" s="394"/>
      <c r="V45" s="394"/>
      <c r="W45" s="394"/>
      <c r="X45" s="394"/>
      <c r="Y45" s="394"/>
      <c r="Z45" s="394"/>
      <c r="AA45" s="394"/>
      <c r="AB45" s="394"/>
      <c r="AC45" s="394"/>
      <c r="AD45" s="394"/>
      <c r="AE45" s="394"/>
      <c r="AF45" s="394"/>
      <c r="AG45" s="394"/>
      <c r="AH45" s="394"/>
      <c r="AI45" s="394"/>
      <c r="AJ45" s="394"/>
      <c r="AK45" s="394"/>
      <c r="AL45" s="394"/>
      <c r="AM45" s="397"/>
      <c r="AO45" s="400"/>
      <c r="AP45" s="400"/>
      <c r="AQ45" s="400"/>
      <c r="AR45" s="400"/>
      <c r="AS45" s="400"/>
      <c r="AT45" s="400"/>
      <c r="AU45" s="394"/>
      <c r="AV45" s="400"/>
      <c r="AW45" s="400"/>
      <c r="AX45" s="394"/>
      <c r="AY45" s="400"/>
      <c r="AZ45" s="400"/>
      <c r="BA45" s="394"/>
      <c r="BB45" s="400"/>
      <c r="BC45" s="400"/>
      <c r="BD45" s="400"/>
      <c r="BE45" s="400"/>
      <c r="BF45" s="400"/>
      <c r="BG45" s="400"/>
      <c r="BH45" s="400"/>
      <c r="BI45" s="400"/>
      <c r="BJ45" s="400"/>
      <c r="BK45" s="400"/>
      <c r="BL45" s="400"/>
      <c r="BM45" s="400"/>
      <c r="BN45" s="400"/>
      <c r="BO45" s="400"/>
      <c r="BP45" s="400"/>
      <c r="BQ45" s="400"/>
      <c r="BR45" s="400"/>
      <c r="BS45" s="400"/>
      <c r="BU45" s="400"/>
      <c r="BV45" s="400"/>
      <c r="BW45" s="400"/>
      <c r="BX45" s="400"/>
      <c r="BY45" s="400"/>
      <c r="BZ45" s="400"/>
      <c r="CA45" s="400"/>
      <c r="CB45" s="400"/>
      <c r="CC45" s="400"/>
      <c r="CD45" s="400"/>
      <c r="CE45" s="400"/>
      <c r="CF45" s="400"/>
      <c r="CG45" s="400"/>
      <c r="CH45" s="400"/>
      <c r="CI45" s="400"/>
      <c r="CJ45" s="400"/>
      <c r="CK45" s="400"/>
      <c r="CL45" s="400"/>
      <c r="CM45" s="400"/>
      <c r="CN45" s="400"/>
      <c r="CO45" s="400"/>
      <c r="CP45" s="400"/>
      <c r="CQ45" s="400"/>
      <c r="CR45" s="400"/>
      <c r="CS45" s="400"/>
      <c r="CT45" s="400"/>
      <c r="CU45" s="400"/>
      <c r="CV45" s="400"/>
      <c r="CW45" s="400"/>
      <c r="CX45" s="400"/>
      <c r="CY45" s="400"/>
      <c r="CZ45" s="400"/>
      <c r="DB45" s="400"/>
      <c r="DC45" s="400"/>
      <c r="DD45" s="400"/>
      <c r="DE45" s="400"/>
      <c r="DF45" s="400"/>
      <c r="DG45" s="400"/>
      <c r="DH45" s="400"/>
      <c r="DI45" s="400"/>
      <c r="DJ45" s="400"/>
      <c r="DK45" s="400"/>
      <c r="DL45" s="400"/>
      <c r="DM45" s="400"/>
      <c r="DN45" s="400"/>
      <c r="DO45" s="400"/>
      <c r="DP45" s="400"/>
      <c r="DQ45" s="400"/>
      <c r="DR45" s="400"/>
      <c r="DS45" s="400"/>
      <c r="DT45" s="400"/>
      <c r="DU45" s="400"/>
      <c r="DV45" s="400"/>
      <c r="DW45" s="400"/>
      <c r="DX45" s="400"/>
      <c r="DY45" s="400"/>
      <c r="DZ45" s="400"/>
      <c r="EA45" s="400"/>
      <c r="EB45" s="400"/>
      <c r="EC45" s="400"/>
      <c r="ED45" s="400"/>
      <c r="EE45" s="400"/>
      <c r="EF45" s="400"/>
      <c r="EG45" s="401"/>
      <c r="EI45" s="400"/>
      <c r="EJ45" s="400"/>
      <c r="EK45" s="400"/>
      <c r="EL45" s="400"/>
      <c r="EM45" s="400"/>
      <c r="EN45" s="400"/>
      <c r="EO45" s="400"/>
      <c r="EP45" s="400"/>
      <c r="EQ45" s="400"/>
      <c r="ER45" s="400"/>
      <c r="ES45" s="400"/>
      <c r="ET45" s="400"/>
      <c r="EU45" s="400"/>
      <c r="EV45" s="400"/>
      <c r="EW45" s="400"/>
      <c r="EX45" s="400"/>
      <c r="EY45" s="400"/>
      <c r="EZ45" s="400"/>
      <c r="FA45" s="400"/>
      <c r="FB45" s="400"/>
      <c r="FC45" s="400"/>
      <c r="FD45" s="400"/>
      <c r="FE45" s="400"/>
      <c r="FF45" s="400"/>
      <c r="FG45" s="400"/>
      <c r="FH45" s="400"/>
      <c r="FI45" s="400"/>
      <c r="FJ45" s="400"/>
      <c r="FK45" s="400"/>
      <c r="FL45" s="400"/>
      <c r="FM45" s="400"/>
      <c r="FO45" s="400"/>
      <c r="FP45" s="400"/>
      <c r="FQ45" s="400"/>
      <c r="FR45" s="400"/>
      <c r="FS45" s="400"/>
      <c r="FT45" s="400"/>
      <c r="FU45" s="400"/>
      <c r="FV45" s="400"/>
      <c r="FW45" s="400"/>
      <c r="FX45" s="400"/>
      <c r="FY45" s="400"/>
      <c r="FZ45" s="400"/>
      <c r="GA45" s="400"/>
      <c r="GB45" s="400"/>
      <c r="GC45" s="400"/>
      <c r="GD45" s="400"/>
      <c r="GE45" s="400"/>
      <c r="GF45" s="400"/>
      <c r="GG45" s="400"/>
      <c r="GH45" s="400"/>
      <c r="GI45" s="400"/>
      <c r="GJ45" s="400"/>
      <c r="GK45" s="400"/>
      <c r="GL45" s="400"/>
      <c r="GM45" s="400"/>
      <c r="GN45" s="400"/>
      <c r="GO45" s="400"/>
      <c r="GP45" s="400"/>
      <c r="GQ45" s="400"/>
      <c r="GR45" s="400"/>
      <c r="GS45" s="400"/>
      <c r="GT45" s="400"/>
      <c r="GV45" s="394" t="s">
        <v>166</v>
      </c>
      <c r="GW45" s="394" t="s">
        <v>166</v>
      </c>
      <c r="GX45" s="394" t="s">
        <v>166</v>
      </c>
      <c r="GY45" s="394" t="s">
        <v>166</v>
      </c>
      <c r="GZ45" s="394" t="s">
        <v>166</v>
      </c>
      <c r="HA45" s="394" t="s">
        <v>166</v>
      </c>
      <c r="HB45" s="394" t="s">
        <v>166</v>
      </c>
      <c r="HC45" s="394" t="s">
        <v>166</v>
      </c>
      <c r="HD45" s="394" t="s">
        <v>166</v>
      </c>
      <c r="HE45" s="394" t="s">
        <v>166</v>
      </c>
      <c r="HF45" s="394" t="s">
        <v>166</v>
      </c>
      <c r="HG45" s="394" t="s">
        <v>166</v>
      </c>
      <c r="HH45" s="394" t="s">
        <v>166</v>
      </c>
      <c r="HI45" s="394" t="s">
        <v>166</v>
      </c>
      <c r="HJ45" s="394" t="s">
        <v>166</v>
      </c>
      <c r="HK45" s="394" t="s">
        <v>166</v>
      </c>
      <c r="HL45" s="394" t="s">
        <v>166</v>
      </c>
      <c r="HM45" s="394" t="s">
        <v>166</v>
      </c>
      <c r="HN45" s="394" t="s">
        <v>166</v>
      </c>
      <c r="HO45" s="394" t="s">
        <v>166</v>
      </c>
      <c r="HP45" s="394" t="s">
        <v>166</v>
      </c>
      <c r="HQ45" s="394">
        <v>8.0</v>
      </c>
      <c r="HR45" s="394">
        <v>8.0</v>
      </c>
      <c r="HS45" s="394">
        <v>8.0</v>
      </c>
      <c r="HT45" s="394">
        <v>8.0</v>
      </c>
      <c r="HU45" s="394">
        <v>8.0</v>
      </c>
      <c r="HV45" s="403" t="s">
        <v>165</v>
      </c>
      <c r="HW45" s="403" t="s">
        <v>165</v>
      </c>
      <c r="HX45" s="394">
        <v>8.0</v>
      </c>
      <c r="HY45" s="394">
        <v>8.0</v>
      </c>
      <c r="HZ45" s="400">
        <f t="shared" si="2"/>
        <v>56</v>
      </c>
      <c r="IB45" s="394">
        <v>8.0</v>
      </c>
      <c r="IC45" s="394">
        <v>8.0</v>
      </c>
      <c r="ID45" s="394">
        <v>8.0</v>
      </c>
      <c r="IE45" s="403" t="s">
        <v>165</v>
      </c>
      <c r="IF45" s="403" t="s">
        <v>165</v>
      </c>
      <c r="IG45" s="394">
        <v>8.0</v>
      </c>
      <c r="IH45" s="394">
        <v>8.0</v>
      </c>
      <c r="II45" s="394">
        <v>8.0</v>
      </c>
      <c r="IJ45" s="394">
        <v>8.0</v>
      </c>
      <c r="IK45" s="394">
        <v>8.0</v>
      </c>
      <c r="IL45" s="403" t="s">
        <v>165</v>
      </c>
      <c r="IM45" s="403" t="s">
        <v>165</v>
      </c>
      <c r="IN45" s="394">
        <v>8.0</v>
      </c>
      <c r="IO45" s="394">
        <v>8.0</v>
      </c>
      <c r="IP45" s="394">
        <v>8.0</v>
      </c>
      <c r="IQ45" s="394">
        <v>8.0</v>
      </c>
      <c r="IR45" s="394">
        <v>8.0</v>
      </c>
      <c r="IS45" s="403" t="s">
        <v>165</v>
      </c>
      <c r="IT45" s="403" t="s">
        <v>165</v>
      </c>
      <c r="IU45" s="394">
        <v>8.0</v>
      </c>
      <c r="IV45" s="394">
        <v>8.0</v>
      </c>
      <c r="IW45" s="394">
        <v>8.0</v>
      </c>
      <c r="IX45" s="394">
        <v>8.0</v>
      </c>
      <c r="IY45" s="394">
        <v>8.0</v>
      </c>
      <c r="IZ45" s="403" t="s">
        <v>165</v>
      </c>
      <c r="JA45" s="403" t="s">
        <v>165</v>
      </c>
      <c r="JB45" s="394">
        <v>8.0</v>
      </c>
      <c r="JC45" s="394">
        <v>8.0</v>
      </c>
      <c r="JD45" s="394">
        <v>8.0</v>
      </c>
      <c r="JE45" s="394">
        <v>8.0</v>
      </c>
      <c r="JF45" s="394">
        <v>8.0</v>
      </c>
      <c r="JG45" s="400">
        <f t="shared" si="3"/>
        <v>184</v>
      </c>
      <c r="JI45" s="403" t="s">
        <v>165</v>
      </c>
      <c r="JJ45" s="403" t="s">
        <v>165</v>
      </c>
      <c r="JK45" s="394">
        <v>8.0</v>
      </c>
      <c r="JL45" s="394">
        <v>8.0</v>
      </c>
      <c r="JM45" s="394">
        <v>8.0</v>
      </c>
      <c r="JN45" s="394">
        <v>8.0</v>
      </c>
      <c r="JO45" s="394">
        <v>8.0</v>
      </c>
      <c r="JP45" s="403" t="s">
        <v>165</v>
      </c>
      <c r="JQ45" s="403" t="s">
        <v>165</v>
      </c>
      <c r="JR45" s="394">
        <v>8.0</v>
      </c>
      <c r="JS45" s="394">
        <v>8.0</v>
      </c>
      <c r="JT45" s="394">
        <v>8.0</v>
      </c>
      <c r="JU45" s="394">
        <v>8.0</v>
      </c>
      <c r="JV45" s="394">
        <v>8.0</v>
      </c>
      <c r="JW45" s="403" t="s">
        <v>165</v>
      </c>
      <c r="JX45" s="403" t="s">
        <v>165</v>
      </c>
      <c r="JY45" s="394">
        <v>8.0</v>
      </c>
      <c r="JZ45" s="394">
        <v>8.0</v>
      </c>
      <c r="KA45" s="394">
        <v>8.0</v>
      </c>
      <c r="KB45" s="394">
        <v>8.0</v>
      </c>
      <c r="KC45" s="394">
        <v>8.0</v>
      </c>
      <c r="KD45" s="403" t="s">
        <v>165</v>
      </c>
      <c r="KE45" s="403" t="s">
        <v>165</v>
      </c>
      <c r="KF45" s="394">
        <v>8.0</v>
      </c>
      <c r="KG45" s="394">
        <v>8.0</v>
      </c>
      <c r="KH45" s="394">
        <v>8.0</v>
      </c>
      <c r="KI45" s="394">
        <v>8.0</v>
      </c>
      <c r="KJ45" s="394">
        <v>8.0</v>
      </c>
      <c r="KK45" s="403" t="s">
        <v>165</v>
      </c>
      <c r="KL45" s="403" t="s">
        <v>165</v>
      </c>
      <c r="KM45" s="394">
        <v>8.0</v>
      </c>
      <c r="KN45" s="145">
        <f t="shared" si="4"/>
        <v>168</v>
      </c>
      <c r="KP45" s="400"/>
      <c r="KQ45" s="400"/>
      <c r="KR45" s="400"/>
      <c r="KS45" s="400"/>
      <c r="KT45" s="400"/>
      <c r="KU45" s="400"/>
      <c r="KV45" s="400"/>
      <c r="KW45" s="400"/>
      <c r="KX45" s="400"/>
      <c r="KY45" s="400"/>
      <c r="KZ45" s="400"/>
      <c r="LA45" s="400"/>
      <c r="LB45" s="400"/>
      <c r="LC45" s="400"/>
      <c r="LD45" s="400"/>
      <c r="LE45" s="400"/>
      <c r="LF45" s="400"/>
      <c r="LG45" s="400"/>
      <c r="LH45" s="400"/>
      <c r="LI45" s="400"/>
      <c r="LJ45" s="400"/>
      <c r="LK45" s="400"/>
      <c r="LL45" s="400"/>
      <c r="LM45" s="400"/>
      <c r="LN45" s="400"/>
      <c r="LO45" s="400"/>
      <c r="LP45" s="400"/>
      <c r="LQ45" s="400"/>
      <c r="LR45" s="400"/>
      <c r="LT45" s="400"/>
      <c r="LU45" s="400"/>
      <c r="LV45" s="400"/>
      <c r="LW45" s="400"/>
      <c r="LX45" s="400"/>
      <c r="LY45" s="400"/>
      <c r="LZ45" s="400"/>
      <c r="MA45" s="400"/>
      <c r="MB45" s="400"/>
      <c r="MC45" s="400"/>
      <c r="MD45" s="400"/>
      <c r="ME45" s="400"/>
      <c r="MF45" s="400"/>
      <c r="MG45" s="400"/>
      <c r="MH45" s="400"/>
      <c r="MI45" s="400"/>
      <c r="MJ45" s="400"/>
      <c r="MK45" s="400"/>
      <c r="ML45" s="400"/>
      <c r="MM45" s="400"/>
      <c r="MN45" s="400"/>
      <c r="MO45" s="400"/>
      <c r="MP45" s="400"/>
      <c r="MQ45" s="400"/>
      <c r="MR45" s="400"/>
      <c r="MS45" s="400"/>
    </row>
    <row r="46">
      <c r="A46" s="393" t="s">
        <v>1295</v>
      </c>
      <c r="B46" s="394" t="s">
        <v>88</v>
      </c>
      <c r="C46" s="394" t="s">
        <v>99</v>
      </c>
      <c r="D46" s="395">
        <f t="shared" si="1"/>
        <v>0</v>
      </c>
      <c r="E46" s="431" t="s">
        <v>1259</v>
      </c>
      <c r="F46" s="397">
        <f>IFERROR(__xludf.DUMMYFUNCTION("IF(A46="""","""", counta(filter(Filter(FILTER($H$4:$PI76,$H$1:$PI$1&lt;today()),$A$4:$A76=A46),not(istext(Filter(FILTER($H$4:$PI76,$H$1:$PI$1&lt;today()),$A$4:$A76=A46))),not(Filter(FILTER($H$4:$PI76,$H$1:$PI$1&lt;today()),$A$4:$A76=A46)=0),Filter(FILTER($H$4:$PI7"&amp;"6,$H$1:$PI$1&lt;today()),$A$4:$A76=A46)&lt;23)))"),29.0)</f>
        <v>29</v>
      </c>
      <c r="H46" s="394"/>
      <c r="I46" s="394"/>
      <c r="J46" s="394"/>
      <c r="K46" s="394"/>
      <c r="L46" s="394"/>
      <c r="M46" s="394"/>
      <c r="N46" s="394"/>
      <c r="O46" s="394"/>
      <c r="P46" s="394"/>
      <c r="Q46" s="394"/>
      <c r="R46" s="394"/>
      <c r="S46" s="394"/>
      <c r="T46" s="394"/>
      <c r="U46" s="394"/>
      <c r="V46" s="394"/>
      <c r="W46" s="394"/>
      <c r="X46" s="394"/>
      <c r="Y46" s="394"/>
      <c r="Z46" s="394"/>
      <c r="AA46" s="394"/>
      <c r="AB46" s="394"/>
      <c r="AC46" s="394"/>
      <c r="AD46" s="394"/>
      <c r="AE46" s="394"/>
      <c r="AF46" s="394"/>
      <c r="AG46" s="394"/>
      <c r="AH46" s="394"/>
      <c r="AI46" s="394"/>
      <c r="AJ46" s="394"/>
      <c r="AK46" s="394"/>
      <c r="AL46" s="394"/>
      <c r="AM46" s="397"/>
      <c r="AO46" s="400"/>
      <c r="AP46" s="400"/>
      <c r="AQ46" s="400"/>
      <c r="AR46" s="400"/>
      <c r="AS46" s="400"/>
      <c r="AT46" s="400"/>
      <c r="AU46" s="394"/>
      <c r="AV46" s="400"/>
      <c r="AW46" s="400"/>
      <c r="AX46" s="394"/>
      <c r="AY46" s="400"/>
      <c r="AZ46" s="400"/>
      <c r="BA46" s="394"/>
      <c r="BB46" s="400"/>
      <c r="BC46" s="400"/>
      <c r="BD46" s="400"/>
      <c r="BE46" s="400"/>
      <c r="BF46" s="400"/>
      <c r="BG46" s="400"/>
      <c r="BH46" s="400"/>
      <c r="BI46" s="400"/>
      <c r="BJ46" s="400"/>
      <c r="BK46" s="400"/>
      <c r="BL46" s="400"/>
      <c r="BM46" s="400"/>
      <c r="BN46" s="400"/>
      <c r="BO46" s="400"/>
      <c r="BP46" s="400"/>
      <c r="BQ46" s="400"/>
      <c r="BR46" s="400"/>
      <c r="BS46" s="400"/>
      <c r="BU46" s="400"/>
      <c r="BV46" s="400"/>
      <c r="BW46" s="400"/>
      <c r="BX46" s="400"/>
      <c r="BY46" s="400"/>
      <c r="BZ46" s="400"/>
      <c r="CA46" s="400"/>
      <c r="CB46" s="400"/>
      <c r="CC46" s="400"/>
      <c r="CD46" s="400"/>
      <c r="CE46" s="400"/>
      <c r="CF46" s="400"/>
      <c r="CG46" s="400"/>
      <c r="CH46" s="400"/>
      <c r="CI46" s="400"/>
      <c r="CJ46" s="400"/>
      <c r="CK46" s="400"/>
      <c r="CL46" s="400"/>
      <c r="CM46" s="400"/>
      <c r="CN46" s="400"/>
      <c r="CO46" s="400"/>
      <c r="CP46" s="400"/>
      <c r="CQ46" s="400"/>
      <c r="CR46" s="400"/>
      <c r="CS46" s="400"/>
      <c r="CT46" s="400"/>
      <c r="CU46" s="400"/>
      <c r="CV46" s="400"/>
      <c r="CW46" s="400"/>
      <c r="CX46" s="400"/>
      <c r="CY46" s="400"/>
      <c r="CZ46" s="400"/>
      <c r="DB46" s="400"/>
      <c r="DC46" s="400"/>
      <c r="DD46" s="400"/>
      <c r="DE46" s="400"/>
      <c r="DF46" s="400"/>
      <c r="DG46" s="400"/>
      <c r="DH46" s="400"/>
      <c r="DI46" s="400"/>
      <c r="DJ46" s="400"/>
      <c r="DK46" s="400"/>
      <c r="DL46" s="400"/>
      <c r="DM46" s="400"/>
      <c r="DN46" s="400"/>
      <c r="DO46" s="400"/>
      <c r="DP46" s="400"/>
      <c r="DQ46" s="400"/>
      <c r="DR46" s="400"/>
      <c r="DS46" s="400"/>
      <c r="DT46" s="400"/>
      <c r="DU46" s="400"/>
      <c r="DV46" s="400"/>
      <c r="DW46" s="400"/>
      <c r="DX46" s="400"/>
      <c r="DY46" s="400"/>
      <c r="DZ46" s="400"/>
      <c r="EA46" s="400"/>
      <c r="EB46" s="400"/>
      <c r="EC46" s="400"/>
      <c r="ED46" s="400"/>
      <c r="EE46" s="400"/>
      <c r="EF46" s="400"/>
      <c r="EG46" s="401"/>
      <c r="EI46" s="400"/>
      <c r="EJ46" s="400"/>
      <c r="EK46" s="400"/>
      <c r="EL46" s="400"/>
      <c r="EM46" s="400"/>
      <c r="EN46" s="400"/>
      <c r="EO46" s="400"/>
      <c r="EP46" s="400"/>
      <c r="EQ46" s="400"/>
      <c r="ER46" s="400"/>
      <c r="ES46" s="400"/>
      <c r="ET46" s="400"/>
      <c r="EU46" s="400"/>
      <c r="EV46" s="400"/>
      <c r="EW46" s="400"/>
      <c r="EX46" s="400"/>
      <c r="EY46" s="400"/>
      <c r="EZ46" s="400"/>
      <c r="FA46" s="400"/>
      <c r="FB46" s="400"/>
      <c r="FC46" s="400"/>
      <c r="FD46" s="400"/>
      <c r="FE46" s="400"/>
      <c r="FF46" s="400"/>
      <c r="FG46" s="400"/>
      <c r="FH46" s="400"/>
      <c r="FI46" s="400"/>
      <c r="FJ46" s="400"/>
      <c r="FK46" s="400"/>
      <c r="FL46" s="400"/>
      <c r="FM46" s="400"/>
      <c r="FO46" s="400"/>
      <c r="FP46" s="400"/>
      <c r="FQ46" s="400"/>
      <c r="FR46" s="400"/>
      <c r="FS46" s="400"/>
      <c r="FT46" s="400"/>
      <c r="FU46" s="400"/>
      <c r="FV46" s="400"/>
      <c r="FW46" s="400"/>
      <c r="FX46" s="400"/>
      <c r="FY46" s="400"/>
      <c r="FZ46" s="400"/>
      <c r="GA46" s="400"/>
      <c r="GB46" s="400"/>
      <c r="GC46" s="400"/>
      <c r="GD46" s="400"/>
      <c r="GE46" s="400"/>
      <c r="GF46" s="400"/>
      <c r="GG46" s="400"/>
      <c r="GH46" s="400"/>
      <c r="GI46" s="400"/>
      <c r="GJ46" s="400"/>
      <c r="GK46" s="400"/>
      <c r="GL46" s="400"/>
      <c r="GM46" s="400"/>
      <c r="GN46" s="400"/>
      <c r="GO46" s="400"/>
      <c r="GP46" s="400"/>
      <c r="GQ46" s="400"/>
      <c r="GR46" s="400"/>
      <c r="GS46" s="400"/>
      <c r="GT46" s="400"/>
      <c r="GV46" s="394" t="s">
        <v>166</v>
      </c>
      <c r="GW46" s="394" t="s">
        <v>166</v>
      </c>
      <c r="GX46" s="394" t="s">
        <v>166</v>
      </c>
      <c r="GY46" s="394" t="s">
        <v>166</v>
      </c>
      <c r="GZ46" s="394" t="s">
        <v>166</v>
      </c>
      <c r="HA46" s="394" t="s">
        <v>166</v>
      </c>
      <c r="HB46" s="394" t="s">
        <v>166</v>
      </c>
      <c r="HC46" s="394" t="s">
        <v>166</v>
      </c>
      <c r="HD46" s="394" t="s">
        <v>166</v>
      </c>
      <c r="HE46" s="394" t="s">
        <v>166</v>
      </c>
      <c r="HF46" s="394" t="s">
        <v>166</v>
      </c>
      <c r="HG46" s="394" t="s">
        <v>166</v>
      </c>
      <c r="HH46" s="394" t="s">
        <v>166</v>
      </c>
      <c r="HI46" s="394" t="s">
        <v>166</v>
      </c>
      <c r="HJ46" s="394" t="s">
        <v>166</v>
      </c>
      <c r="HK46" s="394" t="s">
        <v>166</v>
      </c>
      <c r="HL46" s="394" t="s">
        <v>166</v>
      </c>
      <c r="HM46" s="394" t="s">
        <v>166</v>
      </c>
      <c r="HN46" s="394" t="s">
        <v>166</v>
      </c>
      <c r="HO46" s="394" t="s">
        <v>166</v>
      </c>
      <c r="HP46" s="394" t="s">
        <v>166</v>
      </c>
      <c r="HQ46" s="394">
        <v>8.0</v>
      </c>
      <c r="HR46" s="394">
        <v>8.0</v>
      </c>
      <c r="HS46" s="394">
        <v>8.0</v>
      </c>
      <c r="HT46" s="394">
        <v>8.0</v>
      </c>
      <c r="HU46" s="394">
        <v>8.0</v>
      </c>
      <c r="HV46" s="403" t="s">
        <v>165</v>
      </c>
      <c r="HW46" s="403" t="s">
        <v>165</v>
      </c>
      <c r="HX46" s="394">
        <v>8.0</v>
      </c>
      <c r="HY46" s="394">
        <v>8.0</v>
      </c>
      <c r="HZ46" s="400">
        <f t="shared" si="2"/>
        <v>56</v>
      </c>
      <c r="IB46" s="403" t="s">
        <v>165</v>
      </c>
      <c r="IC46" s="394">
        <v>8.0</v>
      </c>
      <c r="ID46" s="394">
        <v>8.0</v>
      </c>
      <c r="IE46" s="394">
        <v>8.0</v>
      </c>
      <c r="IF46" s="403" t="s">
        <v>165</v>
      </c>
      <c r="IG46" s="394">
        <v>8.0</v>
      </c>
      <c r="IH46" s="394">
        <v>8.0</v>
      </c>
      <c r="II46" s="403" t="s">
        <v>165</v>
      </c>
      <c r="IJ46" s="394">
        <v>8.0</v>
      </c>
      <c r="IK46" s="394">
        <v>8.0</v>
      </c>
      <c r="IL46" s="394">
        <v>8.0</v>
      </c>
      <c r="IM46" s="403" t="s">
        <v>165</v>
      </c>
      <c r="IN46" s="394">
        <v>8.0</v>
      </c>
      <c r="IO46" s="394">
        <v>8.0</v>
      </c>
      <c r="IP46" s="403" t="s">
        <v>165</v>
      </c>
      <c r="IQ46" s="394">
        <v>8.0</v>
      </c>
      <c r="IR46" s="394">
        <v>8.0</v>
      </c>
      <c r="IS46" s="394">
        <v>8.0</v>
      </c>
      <c r="IT46" s="403" t="s">
        <v>165</v>
      </c>
      <c r="IU46" s="394">
        <v>8.0</v>
      </c>
      <c r="IV46" s="394">
        <v>8.0</v>
      </c>
      <c r="IW46" s="403" t="s">
        <v>165</v>
      </c>
      <c r="IX46" s="394">
        <v>8.0</v>
      </c>
      <c r="IY46" s="394">
        <v>8.0</v>
      </c>
      <c r="IZ46" s="394" t="s">
        <v>171</v>
      </c>
      <c r="JA46" s="403" t="s">
        <v>165</v>
      </c>
      <c r="JB46" s="394">
        <v>8.0</v>
      </c>
      <c r="JC46" s="394">
        <v>8.0</v>
      </c>
      <c r="JD46" s="403" t="s">
        <v>165</v>
      </c>
      <c r="JE46" s="394">
        <v>8.0</v>
      </c>
      <c r="JF46" s="394">
        <v>8.0</v>
      </c>
      <c r="JG46" s="400">
        <f t="shared" si="3"/>
        <v>168</v>
      </c>
      <c r="JI46" s="394" t="s">
        <v>171</v>
      </c>
      <c r="JJ46" s="403" t="s">
        <v>165</v>
      </c>
      <c r="JK46" s="394">
        <v>8.0</v>
      </c>
      <c r="JL46" s="394">
        <v>8.0</v>
      </c>
      <c r="JM46" s="403" t="s">
        <v>165</v>
      </c>
      <c r="JN46" s="394">
        <v>8.0</v>
      </c>
      <c r="JO46" s="394">
        <v>8.0</v>
      </c>
      <c r="JP46" s="394">
        <v>8.0</v>
      </c>
      <c r="JQ46" s="403" t="s">
        <v>165</v>
      </c>
      <c r="JR46" s="394">
        <v>8.0</v>
      </c>
      <c r="JS46" s="394">
        <v>8.0</v>
      </c>
      <c r="JT46" s="403" t="s">
        <v>165</v>
      </c>
      <c r="JU46" s="394">
        <v>8.0</v>
      </c>
      <c r="JV46" s="394">
        <v>8.0</v>
      </c>
      <c r="JW46" s="394">
        <v>8.0</v>
      </c>
      <c r="JX46" s="403" t="s">
        <v>165</v>
      </c>
      <c r="JY46" s="394">
        <v>8.0</v>
      </c>
      <c r="JZ46" s="394">
        <v>8.0</v>
      </c>
      <c r="KA46" s="403" t="s">
        <v>165</v>
      </c>
      <c r="KB46" s="394">
        <v>8.0</v>
      </c>
      <c r="KC46" s="394">
        <v>8.0</v>
      </c>
      <c r="KD46" s="394">
        <v>8.0</v>
      </c>
      <c r="KE46" s="403" t="s">
        <v>165</v>
      </c>
      <c r="KF46" s="394">
        <v>8.0</v>
      </c>
      <c r="KG46" s="394">
        <v>8.0</v>
      </c>
      <c r="KH46" s="403" t="s">
        <v>165</v>
      </c>
      <c r="KI46" s="394">
        <v>8.0</v>
      </c>
      <c r="KJ46" s="394">
        <v>8.0</v>
      </c>
      <c r="KK46" s="394">
        <v>8.0</v>
      </c>
      <c r="KL46" s="403" t="s">
        <v>165</v>
      </c>
      <c r="KM46" s="394">
        <v>8.0</v>
      </c>
      <c r="KN46" s="145">
        <f t="shared" si="4"/>
        <v>168</v>
      </c>
      <c r="KP46" s="400"/>
      <c r="KQ46" s="400"/>
      <c r="KR46" s="400"/>
      <c r="KS46" s="400"/>
      <c r="KT46" s="400"/>
      <c r="KU46" s="400"/>
      <c r="KV46" s="400"/>
      <c r="KW46" s="400"/>
      <c r="KX46" s="400"/>
      <c r="KY46" s="400"/>
      <c r="KZ46" s="400"/>
      <c r="LA46" s="400"/>
      <c r="LB46" s="400"/>
      <c r="LC46" s="400"/>
      <c r="LD46" s="400"/>
      <c r="LE46" s="400"/>
      <c r="LF46" s="400"/>
      <c r="LG46" s="400"/>
      <c r="LH46" s="400"/>
      <c r="LI46" s="400"/>
      <c r="LJ46" s="400"/>
      <c r="LK46" s="400"/>
      <c r="LL46" s="400"/>
      <c r="LM46" s="400"/>
      <c r="LN46" s="400"/>
      <c r="LO46" s="400"/>
      <c r="LP46" s="400"/>
      <c r="LQ46" s="400"/>
      <c r="LR46" s="400"/>
      <c r="LT46" s="400"/>
      <c r="LU46" s="400"/>
      <c r="LV46" s="400"/>
      <c r="LW46" s="400"/>
      <c r="LX46" s="400"/>
      <c r="LY46" s="400"/>
      <c r="LZ46" s="400"/>
      <c r="MA46" s="400"/>
      <c r="MB46" s="400"/>
      <c r="MC46" s="400"/>
      <c r="MD46" s="400"/>
      <c r="ME46" s="400"/>
      <c r="MF46" s="400"/>
      <c r="MG46" s="400"/>
      <c r="MH46" s="400"/>
      <c r="MI46" s="400"/>
      <c r="MJ46" s="400"/>
      <c r="MK46" s="400"/>
      <c r="ML46" s="400"/>
      <c r="MM46" s="400"/>
      <c r="MN46" s="400"/>
      <c r="MO46" s="400"/>
      <c r="MP46" s="400"/>
      <c r="MQ46" s="400"/>
      <c r="MR46" s="400"/>
      <c r="MS46" s="400"/>
    </row>
    <row r="47">
      <c r="A47" s="393" t="s">
        <v>1296</v>
      </c>
      <c r="B47" s="394" t="s">
        <v>94</v>
      </c>
      <c r="C47" s="394" t="s">
        <v>99</v>
      </c>
      <c r="D47" s="395">
        <f t="shared" si="1"/>
        <v>0</v>
      </c>
      <c r="E47" s="396" t="s">
        <v>1250</v>
      </c>
      <c r="F47" s="397">
        <f>IFERROR(__xludf.DUMMYFUNCTION("IF(A47="""","""", counta(filter(Filter(FILTER($H$4:$PI76,$H$1:$PI$1&lt;today()),$A$4:$A76=A47),not(istext(Filter(FILTER($H$4:$PI76,$H$1:$PI$1&lt;today()),$A$4:$A76=A47))),not(Filter(FILTER($H$4:$PI76,$H$1:$PI$1&lt;today()),$A$4:$A76=A47)=0),Filter(FILTER($H$4:$PI7"&amp;"6,$H$1:$PI$1&lt;today()),$A$4:$A76=A47)&lt;23)))"),27.0)</f>
        <v>27</v>
      </c>
      <c r="H47" s="394"/>
      <c r="I47" s="394"/>
      <c r="J47" s="394"/>
      <c r="K47" s="394"/>
      <c r="L47" s="394"/>
      <c r="M47" s="394"/>
      <c r="N47" s="394"/>
      <c r="O47" s="394"/>
      <c r="P47" s="394"/>
      <c r="Q47" s="394"/>
      <c r="R47" s="394"/>
      <c r="S47" s="394"/>
      <c r="T47" s="394"/>
      <c r="U47" s="394"/>
      <c r="V47" s="394"/>
      <c r="W47" s="394"/>
      <c r="X47" s="394"/>
      <c r="Y47" s="394"/>
      <c r="Z47" s="394"/>
      <c r="AA47" s="394"/>
      <c r="AB47" s="394"/>
      <c r="AC47" s="394"/>
      <c r="AD47" s="394"/>
      <c r="AE47" s="394"/>
      <c r="AF47" s="394"/>
      <c r="AG47" s="394"/>
      <c r="AH47" s="394"/>
      <c r="AI47" s="394"/>
      <c r="AJ47" s="394"/>
      <c r="AK47" s="394"/>
      <c r="AL47" s="394"/>
      <c r="AM47" s="397"/>
      <c r="AO47" s="400"/>
      <c r="AP47" s="400"/>
      <c r="AQ47" s="400"/>
      <c r="AR47" s="400"/>
      <c r="AS47" s="400"/>
      <c r="AT47" s="400"/>
      <c r="AU47" s="394"/>
      <c r="AV47" s="400"/>
      <c r="AW47" s="400"/>
      <c r="AX47" s="394"/>
      <c r="AY47" s="400"/>
      <c r="AZ47" s="400"/>
      <c r="BA47" s="394"/>
      <c r="BB47" s="400"/>
      <c r="BC47" s="400"/>
      <c r="BD47" s="400"/>
      <c r="BE47" s="400"/>
      <c r="BF47" s="400"/>
      <c r="BG47" s="400"/>
      <c r="BH47" s="400"/>
      <c r="BI47" s="400"/>
      <c r="BJ47" s="400"/>
      <c r="BK47" s="400"/>
      <c r="BL47" s="400"/>
      <c r="BM47" s="400"/>
      <c r="BN47" s="400"/>
      <c r="BO47" s="400"/>
      <c r="BP47" s="400"/>
      <c r="BQ47" s="400"/>
      <c r="BR47" s="400"/>
      <c r="BS47" s="400"/>
      <c r="BU47" s="400"/>
      <c r="BV47" s="400"/>
      <c r="BW47" s="400"/>
      <c r="BX47" s="400"/>
      <c r="BY47" s="400"/>
      <c r="BZ47" s="400"/>
      <c r="CA47" s="400"/>
      <c r="CB47" s="400"/>
      <c r="CC47" s="400"/>
      <c r="CD47" s="400"/>
      <c r="CE47" s="400"/>
      <c r="CF47" s="400"/>
      <c r="CG47" s="400"/>
      <c r="CH47" s="400"/>
      <c r="CI47" s="400"/>
      <c r="CJ47" s="400"/>
      <c r="CK47" s="400"/>
      <c r="CL47" s="400"/>
      <c r="CM47" s="400"/>
      <c r="CN47" s="400"/>
      <c r="CO47" s="400"/>
      <c r="CP47" s="400"/>
      <c r="CQ47" s="400"/>
      <c r="CR47" s="400"/>
      <c r="CS47" s="400"/>
      <c r="CT47" s="400"/>
      <c r="CU47" s="400"/>
      <c r="CV47" s="400"/>
      <c r="CW47" s="400"/>
      <c r="CX47" s="400"/>
      <c r="CY47" s="400"/>
      <c r="CZ47" s="400"/>
      <c r="DB47" s="400"/>
      <c r="DC47" s="400"/>
      <c r="DD47" s="400"/>
      <c r="DE47" s="400"/>
      <c r="DF47" s="400"/>
      <c r="DG47" s="400"/>
      <c r="DH47" s="400"/>
      <c r="DI47" s="400"/>
      <c r="DJ47" s="400"/>
      <c r="DK47" s="400"/>
      <c r="DL47" s="400"/>
      <c r="DM47" s="400"/>
      <c r="DN47" s="400"/>
      <c r="DO47" s="400"/>
      <c r="DP47" s="400"/>
      <c r="DQ47" s="400"/>
      <c r="DR47" s="400"/>
      <c r="DS47" s="400"/>
      <c r="DT47" s="400"/>
      <c r="DU47" s="400"/>
      <c r="DV47" s="400"/>
      <c r="DW47" s="400"/>
      <c r="DX47" s="400"/>
      <c r="DY47" s="400"/>
      <c r="DZ47" s="400"/>
      <c r="EA47" s="400"/>
      <c r="EB47" s="400"/>
      <c r="EC47" s="400"/>
      <c r="ED47" s="400"/>
      <c r="EE47" s="400"/>
      <c r="EF47" s="400"/>
      <c r="EG47" s="401"/>
      <c r="EI47" s="400"/>
      <c r="EJ47" s="400"/>
      <c r="EK47" s="400"/>
      <c r="EL47" s="400"/>
      <c r="EM47" s="400"/>
      <c r="EN47" s="400"/>
      <c r="EO47" s="400"/>
      <c r="EP47" s="400"/>
      <c r="EQ47" s="400"/>
      <c r="ER47" s="400"/>
      <c r="ES47" s="400"/>
      <c r="ET47" s="400"/>
      <c r="EU47" s="400"/>
      <c r="EV47" s="400"/>
      <c r="EW47" s="400"/>
      <c r="EX47" s="400"/>
      <c r="EY47" s="400"/>
      <c r="EZ47" s="400"/>
      <c r="FA47" s="400"/>
      <c r="FB47" s="400"/>
      <c r="FC47" s="400"/>
      <c r="FD47" s="400"/>
      <c r="FE47" s="400"/>
      <c r="FF47" s="400"/>
      <c r="FG47" s="400"/>
      <c r="FH47" s="400"/>
      <c r="FI47" s="400"/>
      <c r="FJ47" s="400"/>
      <c r="FK47" s="400"/>
      <c r="FL47" s="400"/>
      <c r="FM47" s="400"/>
      <c r="FO47" s="400"/>
      <c r="FP47" s="400"/>
      <c r="FQ47" s="400"/>
      <c r="FR47" s="400"/>
      <c r="FS47" s="400"/>
      <c r="FT47" s="400"/>
      <c r="FU47" s="400"/>
      <c r="FV47" s="400"/>
      <c r="FW47" s="400"/>
      <c r="FX47" s="400"/>
      <c r="FY47" s="400"/>
      <c r="FZ47" s="400"/>
      <c r="GA47" s="400"/>
      <c r="GB47" s="400"/>
      <c r="GC47" s="400"/>
      <c r="GD47" s="400"/>
      <c r="GE47" s="400"/>
      <c r="GF47" s="400"/>
      <c r="GG47" s="400"/>
      <c r="GH47" s="400"/>
      <c r="GI47" s="400"/>
      <c r="GJ47" s="400"/>
      <c r="GK47" s="400"/>
      <c r="GL47" s="400"/>
      <c r="GM47" s="400"/>
      <c r="GN47" s="400"/>
      <c r="GO47" s="400"/>
      <c r="GP47" s="400"/>
      <c r="GQ47" s="400"/>
      <c r="GR47" s="400"/>
      <c r="GS47" s="400"/>
      <c r="GT47" s="400"/>
      <c r="GV47" s="394" t="s">
        <v>166</v>
      </c>
      <c r="GW47" s="394" t="s">
        <v>166</v>
      </c>
      <c r="GX47" s="394" t="s">
        <v>166</v>
      </c>
      <c r="GY47" s="394" t="s">
        <v>166</v>
      </c>
      <c r="GZ47" s="394" t="s">
        <v>166</v>
      </c>
      <c r="HA47" s="394" t="s">
        <v>166</v>
      </c>
      <c r="HB47" s="394" t="s">
        <v>166</v>
      </c>
      <c r="HC47" s="394" t="s">
        <v>166</v>
      </c>
      <c r="HD47" s="394" t="s">
        <v>166</v>
      </c>
      <c r="HE47" s="394" t="s">
        <v>166</v>
      </c>
      <c r="HF47" s="394" t="s">
        <v>166</v>
      </c>
      <c r="HG47" s="394" t="s">
        <v>166</v>
      </c>
      <c r="HH47" s="394" t="s">
        <v>166</v>
      </c>
      <c r="HI47" s="394" t="s">
        <v>166</v>
      </c>
      <c r="HJ47" s="394" t="s">
        <v>166</v>
      </c>
      <c r="HK47" s="394" t="s">
        <v>166</v>
      </c>
      <c r="HL47" s="394" t="s">
        <v>166</v>
      </c>
      <c r="HM47" s="394" t="s">
        <v>166</v>
      </c>
      <c r="HN47" s="394" t="s">
        <v>166</v>
      </c>
      <c r="HO47" s="394" t="s">
        <v>166</v>
      </c>
      <c r="HP47" s="394" t="s">
        <v>166</v>
      </c>
      <c r="HQ47" s="394" t="s">
        <v>166</v>
      </c>
      <c r="HR47" s="394">
        <v>8.0</v>
      </c>
      <c r="HS47" s="394">
        <v>8.0</v>
      </c>
      <c r="HT47" s="394">
        <v>8.0</v>
      </c>
      <c r="HU47" s="394">
        <v>8.0</v>
      </c>
      <c r="HV47" s="403" t="s">
        <v>165</v>
      </c>
      <c r="HW47" s="403" t="s">
        <v>165</v>
      </c>
      <c r="HX47" s="394">
        <v>8.0</v>
      </c>
      <c r="HY47" s="403">
        <v>8.0</v>
      </c>
      <c r="HZ47" s="400">
        <f t="shared" si="2"/>
        <v>48</v>
      </c>
      <c r="IB47" s="403" t="s">
        <v>165</v>
      </c>
      <c r="IC47" s="403" t="s">
        <v>165</v>
      </c>
      <c r="ID47" s="394">
        <v>8.0</v>
      </c>
      <c r="IE47" s="394">
        <v>8.0</v>
      </c>
      <c r="IF47" s="394">
        <v>8.0</v>
      </c>
      <c r="IG47" s="403" t="s">
        <v>165</v>
      </c>
      <c r="IH47" s="403" t="s">
        <v>165</v>
      </c>
      <c r="II47" s="394">
        <v>8.0</v>
      </c>
      <c r="IJ47" s="394">
        <v>8.0</v>
      </c>
      <c r="IK47" s="394">
        <v>8.0</v>
      </c>
      <c r="IL47" s="394">
        <v>8.0</v>
      </c>
      <c r="IM47" s="394">
        <v>8.0</v>
      </c>
      <c r="IN47" s="403" t="s">
        <v>165</v>
      </c>
      <c r="IO47" s="403" t="s">
        <v>165</v>
      </c>
      <c r="IP47" s="394">
        <v>8.0</v>
      </c>
      <c r="IQ47" s="394">
        <v>8.0</v>
      </c>
      <c r="IR47" s="394">
        <v>8.0</v>
      </c>
      <c r="IS47" s="394">
        <v>8.0</v>
      </c>
      <c r="IT47" s="394">
        <v>8.0</v>
      </c>
      <c r="IU47" s="403" t="s">
        <v>165</v>
      </c>
      <c r="IV47" s="410">
        <v>8.0</v>
      </c>
      <c r="IW47" s="394">
        <v>8.0</v>
      </c>
      <c r="IX47" s="394">
        <v>8.0</v>
      </c>
      <c r="IY47" s="394" t="s">
        <v>171</v>
      </c>
      <c r="IZ47" s="394">
        <v>8.0</v>
      </c>
      <c r="JA47" s="394" t="s">
        <v>171</v>
      </c>
      <c r="JB47" s="403" t="s">
        <v>165</v>
      </c>
      <c r="JC47" s="394" t="s">
        <v>245</v>
      </c>
      <c r="JD47" s="394" t="s">
        <v>245</v>
      </c>
      <c r="JE47" s="394">
        <v>8.0</v>
      </c>
      <c r="JF47" s="394">
        <v>8.0</v>
      </c>
      <c r="JG47" s="400">
        <f t="shared" si="3"/>
        <v>152</v>
      </c>
      <c r="JI47" s="394">
        <v>8.0</v>
      </c>
      <c r="JJ47" s="394">
        <v>8.0</v>
      </c>
      <c r="JK47" s="403" t="s">
        <v>165</v>
      </c>
      <c r="JL47" s="403" t="s">
        <v>165</v>
      </c>
      <c r="JM47" s="394">
        <v>8.0</v>
      </c>
      <c r="JN47" s="394">
        <v>8.0</v>
      </c>
      <c r="JO47" s="394" t="s">
        <v>171</v>
      </c>
      <c r="JP47" s="394">
        <v>8.0</v>
      </c>
      <c r="JQ47" s="394">
        <v>8.0</v>
      </c>
      <c r="JR47" s="403" t="s">
        <v>165</v>
      </c>
      <c r="JS47" s="403" t="s">
        <v>165</v>
      </c>
      <c r="JT47" s="394">
        <v>8.0</v>
      </c>
      <c r="JU47" s="394">
        <v>8.0</v>
      </c>
      <c r="JV47" s="394">
        <v>8.0</v>
      </c>
      <c r="JW47" s="394">
        <v>8.0</v>
      </c>
      <c r="JX47" s="394">
        <v>8.0</v>
      </c>
      <c r="JY47" s="403" t="s">
        <v>165</v>
      </c>
      <c r="JZ47" s="403" t="s">
        <v>165</v>
      </c>
      <c r="KA47" s="394">
        <v>8.0</v>
      </c>
      <c r="KB47" s="394">
        <v>8.0</v>
      </c>
      <c r="KC47" s="394">
        <v>8.0</v>
      </c>
      <c r="KD47" s="394">
        <v>8.0</v>
      </c>
      <c r="KE47" s="394">
        <v>8.0</v>
      </c>
      <c r="KF47" s="403" t="s">
        <v>165</v>
      </c>
      <c r="KG47" s="403" t="s">
        <v>165</v>
      </c>
      <c r="KH47" s="394">
        <v>8.0</v>
      </c>
      <c r="KI47" s="394">
        <v>8.0</v>
      </c>
      <c r="KJ47" s="394">
        <v>8.0</v>
      </c>
      <c r="KK47" s="394">
        <v>8.0</v>
      </c>
      <c r="KL47" s="394">
        <v>8.0</v>
      </c>
      <c r="KM47" s="403" t="s">
        <v>165</v>
      </c>
      <c r="KN47" s="145">
        <f t="shared" si="4"/>
        <v>168</v>
      </c>
      <c r="KP47" s="400"/>
      <c r="KQ47" s="400"/>
      <c r="KR47" s="400"/>
      <c r="KS47" s="400"/>
      <c r="KT47" s="400"/>
      <c r="KU47" s="400"/>
      <c r="KV47" s="400"/>
      <c r="KW47" s="400"/>
      <c r="KX47" s="400"/>
      <c r="KY47" s="400"/>
      <c r="KZ47" s="400"/>
      <c r="LA47" s="400"/>
      <c r="LB47" s="400"/>
      <c r="LC47" s="400"/>
      <c r="LD47" s="400"/>
      <c r="LE47" s="400"/>
      <c r="LF47" s="400"/>
      <c r="LG47" s="400"/>
      <c r="LH47" s="400"/>
      <c r="LI47" s="400"/>
      <c r="LJ47" s="400"/>
      <c r="LK47" s="400"/>
      <c r="LL47" s="400"/>
      <c r="LM47" s="400"/>
      <c r="LN47" s="400"/>
      <c r="LO47" s="400"/>
      <c r="LP47" s="400"/>
      <c r="LQ47" s="400"/>
      <c r="LR47" s="400"/>
      <c r="LT47" s="400"/>
      <c r="LU47" s="400"/>
      <c r="LV47" s="400"/>
      <c r="LW47" s="400"/>
      <c r="LX47" s="400"/>
      <c r="LY47" s="400"/>
      <c r="LZ47" s="400"/>
      <c r="MA47" s="400"/>
      <c r="MB47" s="400"/>
      <c r="MC47" s="400"/>
      <c r="MD47" s="400"/>
      <c r="ME47" s="400"/>
      <c r="MF47" s="400"/>
      <c r="MG47" s="400"/>
      <c r="MH47" s="400"/>
      <c r="MI47" s="400"/>
      <c r="MJ47" s="400"/>
      <c r="MK47" s="400"/>
      <c r="ML47" s="400"/>
      <c r="MM47" s="400"/>
      <c r="MN47" s="400"/>
      <c r="MO47" s="400"/>
      <c r="MP47" s="400"/>
      <c r="MQ47" s="400"/>
      <c r="MR47" s="400"/>
      <c r="MS47" s="400"/>
    </row>
    <row r="48">
      <c r="A48" s="393" t="s">
        <v>1297</v>
      </c>
      <c r="B48" s="394" t="s">
        <v>755</v>
      </c>
      <c r="C48" s="394" t="s">
        <v>98</v>
      </c>
      <c r="D48" s="395">
        <f t="shared" si="1"/>
        <v>0</v>
      </c>
      <c r="E48" s="431" t="s">
        <v>1259</v>
      </c>
      <c r="F48" s="397">
        <f>IFERROR(__xludf.DUMMYFUNCTION("IF(A48="""","""", counta(filter(Filter(FILTER($H$4:$PI76,$H$1:$PI$1&lt;today()),$A$4:$A76=A48),not(istext(Filter(FILTER($H$4:$PI76,$H$1:$PI$1&lt;today()),$A$4:$A76=A48))),not(Filter(FILTER($H$4:$PI76,$H$1:$PI$1&lt;today()),$A$4:$A76=A48)=0),Filter(FILTER($H$4:$PI7"&amp;"6,$H$1:$PI$1&lt;today()),$A$4:$A76=A48)&lt;23)))"),27.0)</f>
        <v>27</v>
      </c>
      <c r="H48" s="394"/>
      <c r="I48" s="394"/>
      <c r="J48" s="394"/>
      <c r="K48" s="394"/>
      <c r="L48" s="394"/>
      <c r="M48" s="394"/>
      <c r="N48" s="394"/>
      <c r="O48" s="394"/>
      <c r="P48" s="394"/>
      <c r="Q48" s="394"/>
      <c r="R48" s="394"/>
      <c r="S48" s="394"/>
      <c r="T48" s="394"/>
      <c r="U48" s="394"/>
      <c r="V48" s="394"/>
      <c r="W48" s="394"/>
      <c r="X48" s="394"/>
      <c r="Y48" s="394"/>
      <c r="Z48" s="394"/>
      <c r="AA48" s="394"/>
      <c r="AB48" s="394"/>
      <c r="AC48" s="394"/>
      <c r="AD48" s="394"/>
      <c r="AE48" s="394"/>
      <c r="AF48" s="394"/>
      <c r="AG48" s="394"/>
      <c r="AH48" s="394"/>
      <c r="AI48" s="394"/>
      <c r="AJ48" s="394"/>
      <c r="AK48" s="394"/>
      <c r="AL48" s="394"/>
      <c r="AM48" s="397"/>
      <c r="AO48" s="400"/>
      <c r="AP48" s="400"/>
      <c r="AQ48" s="400"/>
      <c r="AR48" s="400"/>
      <c r="AS48" s="400"/>
      <c r="AT48" s="400"/>
      <c r="AU48" s="394"/>
      <c r="AV48" s="400"/>
      <c r="AW48" s="400"/>
      <c r="AX48" s="394"/>
      <c r="AY48" s="400"/>
      <c r="AZ48" s="400"/>
      <c r="BA48" s="394"/>
      <c r="BB48" s="400"/>
      <c r="BC48" s="400"/>
      <c r="BD48" s="400"/>
      <c r="BE48" s="400"/>
      <c r="BF48" s="400"/>
      <c r="BG48" s="400"/>
      <c r="BH48" s="400"/>
      <c r="BI48" s="400"/>
      <c r="BJ48" s="400"/>
      <c r="BK48" s="400"/>
      <c r="BL48" s="400"/>
      <c r="BM48" s="400"/>
      <c r="BN48" s="400"/>
      <c r="BO48" s="400"/>
      <c r="BP48" s="400"/>
      <c r="BQ48" s="400"/>
      <c r="BR48" s="400"/>
      <c r="BS48" s="400"/>
      <c r="BU48" s="400"/>
      <c r="BV48" s="400"/>
      <c r="BW48" s="400"/>
      <c r="BX48" s="400"/>
      <c r="BY48" s="400"/>
      <c r="BZ48" s="400"/>
      <c r="CA48" s="400"/>
      <c r="CB48" s="400"/>
      <c r="CC48" s="400"/>
      <c r="CD48" s="400"/>
      <c r="CE48" s="400"/>
      <c r="CF48" s="400"/>
      <c r="CG48" s="400"/>
      <c r="CH48" s="400"/>
      <c r="CI48" s="400"/>
      <c r="CJ48" s="400"/>
      <c r="CK48" s="400"/>
      <c r="CL48" s="400"/>
      <c r="CM48" s="400"/>
      <c r="CN48" s="400"/>
      <c r="CO48" s="400"/>
      <c r="CP48" s="400"/>
      <c r="CQ48" s="400"/>
      <c r="CR48" s="400"/>
      <c r="CS48" s="400"/>
      <c r="CT48" s="400"/>
      <c r="CU48" s="400"/>
      <c r="CV48" s="400"/>
      <c r="CW48" s="400"/>
      <c r="CX48" s="400"/>
      <c r="CY48" s="400"/>
      <c r="CZ48" s="400"/>
      <c r="DB48" s="400"/>
      <c r="DC48" s="400"/>
      <c r="DD48" s="400"/>
      <c r="DE48" s="400"/>
      <c r="DF48" s="400"/>
      <c r="DG48" s="400"/>
      <c r="DH48" s="400"/>
      <c r="DI48" s="400"/>
      <c r="DJ48" s="400"/>
      <c r="DK48" s="400"/>
      <c r="DL48" s="400"/>
      <c r="DM48" s="400"/>
      <c r="DN48" s="400"/>
      <c r="DO48" s="400"/>
      <c r="DP48" s="400"/>
      <c r="DQ48" s="400"/>
      <c r="DR48" s="400"/>
      <c r="DS48" s="400"/>
      <c r="DT48" s="400"/>
      <c r="DU48" s="400"/>
      <c r="DV48" s="400"/>
      <c r="DW48" s="400"/>
      <c r="DX48" s="400"/>
      <c r="DY48" s="400"/>
      <c r="DZ48" s="400"/>
      <c r="EA48" s="400"/>
      <c r="EB48" s="400"/>
      <c r="EC48" s="400"/>
      <c r="ED48" s="400"/>
      <c r="EE48" s="400"/>
      <c r="EF48" s="400"/>
      <c r="EG48" s="401"/>
      <c r="EI48" s="400"/>
      <c r="EJ48" s="400"/>
      <c r="EK48" s="400"/>
      <c r="EL48" s="400"/>
      <c r="EM48" s="400"/>
      <c r="EN48" s="400"/>
      <c r="EO48" s="400"/>
      <c r="EP48" s="400"/>
      <c r="EQ48" s="400"/>
      <c r="ER48" s="400"/>
      <c r="ES48" s="400"/>
      <c r="ET48" s="400"/>
      <c r="EU48" s="400"/>
      <c r="EV48" s="400"/>
      <c r="EW48" s="400"/>
      <c r="EX48" s="400"/>
      <c r="EY48" s="400"/>
      <c r="EZ48" s="400"/>
      <c r="FA48" s="400"/>
      <c r="FB48" s="400"/>
      <c r="FC48" s="400"/>
      <c r="FD48" s="400"/>
      <c r="FE48" s="400"/>
      <c r="FF48" s="400"/>
      <c r="FG48" s="400"/>
      <c r="FH48" s="400"/>
      <c r="FI48" s="400"/>
      <c r="FJ48" s="400"/>
      <c r="FK48" s="400"/>
      <c r="FL48" s="400"/>
      <c r="FM48" s="400"/>
      <c r="FO48" s="400"/>
      <c r="FP48" s="400"/>
      <c r="FQ48" s="400"/>
      <c r="FR48" s="400"/>
      <c r="FS48" s="400"/>
      <c r="FT48" s="400"/>
      <c r="FU48" s="400"/>
      <c r="FV48" s="400"/>
      <c r="FW48" s="400"/>
      <c r="FX48" s="400"/>
      <c r="FY48" s="400"/>
      <c r="FZ48" s="400"/>
      <c r="GA48" s="400"/>
      <c r="GB48" s="400"/>
      <c r="GC48" s="400"/>
      <c r="GD48" s="400"/>
      <c r="GE48" s="400"/>
      <c r="GF48" s="400"/>
      <c r="GG48" s="400"/>
      <c r="GH48" s="400"/>
      <c r="GI48" s="400"/>
      <c r="GJ48" s="400"/>
      <c r="GK48" s="400"/>
      <c r="GL48" s="400"/>
      <c r="GM48" s="400"/>
      <c r="GN48" s="400"/>
      <c r="GO48" s="400"/>
      <c r="GP48" s="400"/>
      <c r="GQ48" s="400"/>
      <c r="GR48" s="400"/>
      <c r="GS48" s="400"/>
      <c r="GT48" s="400"/>
      <c r="GV48" s="394" t="s">
        <v>166</v>
      </c>
      <c r="GW48" s="394" t="s">
        <v>166</v>
      </c>
      <c r="GX48" s="394" t="s">
        <v>166</v>
      </c>
      <c r="GY48" s="394" t="s">
        <v>166</v>
      </c>
      <c r="GZ48" s="394" t="s">
        <v>166</v>
      </c>
      <c r="HA48" s="394" t="s">
        <v>166</v>
      </c>
      <c r="HB48" s="394" t="s">
        <v>166</v>
      </c>
      <c r="HC48" s="394" t="s">
        <v>166</v>
      </c>
      <c r="HD48" s="394" t="s">
        <v>166</v>
      </c>
      <c r="HE48" s="394" t="s">
        <v>166</v>
      </c>
      <c r="HF48" s="394" t="s">
        <v>166</v>
      </c>
      <c r="HG48" s="394" t="s">
        <v>166</v>
      </c>
      <c r="HH48" s="394" t="s">
        <v>166</v>
      </c>
      <c r="HI48" s="394" t="s">
        <v>166</v>
      </c>
      <c r="HJ48" s="394" t="s">
        <v>166</v>
      </c>
      <c r="HK48" s="394" t="s">
        <v>166</v>
      </c>
      <c r="HL48" s="394" t="s">
        <v>166</v>
      </c>
      <c r="HM48" s="394" t="s">
        <v>166</v>
      </c>
      <c r="HN48" s="394" t="s">
        <v>166</v>
      </c>
      <c r="HO48" s="394" t="s">
        <v>166</v>
      </c>
      <c r="HP48" s="394" t="s">
        <v>166</v>
      </c>
      <c r="HQ48" s="394" t="s">
        <v>166</v>
      </c>
      <c r="HR48" s="394" t="s">
        <v>166</v>
      </c>
      <c r="HS48" s="394" t="s">
        <v>166</v>
      </c>
      <c r="HT48" s="394" t="s">
        <v>166</v>
      </c>
      <c r="HU48" s="394" t="s">
        <v>166</v>
      </c>
      <c r="HV48" s="394" t="s">
        <v>166</v>
      </c>
      <c r="HW48" s="394" t="s">
        <v>166</v>
      </c>
      <c r="HX48" s="394">
        <v>8.0</v>
      </c>
      <c r="HY48" s="394">
        <v>8.0</v>
      </c>
      <c r="HZ48" s="400">
        <f t="shared" si="2"/>
        <v>16</v>
      </c>
      <c r="IB48" s="394">
        <v>8.0</v>
      </c>
      <c r="IC48" s="394">
        <v>8.0</v>
      </c>
      <c r="ID48" s="394">
        <v>8.0</v>
      </c>
      <c r="IE48" s="394" t="s">
        <v>165</v>
      </c>
      <c r="IF48" s="394" t="s">
        <v>165</v>
      </c>
      <c r="IG48" s="394">
        <v>8.0</v>
      </c>
      <c r="IH48" s="394">
        <v>8.0</v>
      </c>
      <c r="II48" s="394">
        <v>8.0</v>
      </c>
      <c r="IJ48" s="394" t="s">
        <v>165</v>
      </c>
      <c r="IK48" s="394" t="s">
        <v>165</v>
      </c>
      <c r="IL48" s="394">
        <v>8.0</v>
      </c>
      <c r="IM48" s="394">
        <v>8.0</v>
      </c>
      <c r="IN48" s="394">
        <v>8.0</v>
      </c>
      <c r="IO48" s="394">
        <v>8.0</v>
      </c>
      <c r="IP48" s="394">
        <v>8.0</v>
      </c>
      <c r="IQ48" s="394" t="s">
        <v>165</v>
      </c>
      <c r="IR48" s="394" t="s">
        <v>165</v>
      </c>
      <c r="IS48" s="394">
        <v>8.0</v>
      </c>
      <c r="IT48" s="394">
        <v>8.0</v>
      </c>
      <c r="IU48" s="394">
        <v>8.0</v>
      </c>
      <c r="IV48" s="394">
        <v>8.0</v>
      </c>
      <c r="IW48" s="394">
        <v>8.0</v>
      </c>
      <c r="IX48" s="394" t="s">
        <v>165</v>
      </c>
      <c r="IY48" s="394" t="s">
        <v>165</v>
      </c>
      <c r="IZ48" s="394">
        <v>8.0</v>
      </c>
      <c r="JA48" s="394">
        <v>8.0</v>
      </c>
      <c r="JB48" s="394">
        <v>8.0</v>
      </c>
      <c r="JC48" s="394">
        <v>8.0</v>
      </c>
      <c r="JD48" s="394">
        <v>8.0</v>
      </c>
      <c r="JE48" s="394" t="s">
        <v>165</v>
      </c>
      <c r="JF48" s="394" t="s">
        <v>165</v>
      </c>
      <c r="JG48" s="400">
        <f t="shared" si="3"/>
        <v>168</v>
      </c>
      <c r="JI48" s="394">
        <v>8.0</v>
      </c>
      <c r="JJ48" s="394">
        <v>8.0</v>
      </c>
      <c r="JK48" s="394">
        <v>8.0</v>
      </c>
      <c r="JL48" s="394">
        <v>8.0</v>
      </c>
      <c r="JM48" s="394">
        <v>8.0</v>
      </c>
      <c r="JN48" s="394" t="s">
        <v>165</v>
      </c>
      <c r="JO48" s="394" t="s">
        <v>165</v>
      </c>
      <c r="JP48" s="394">
        <v>8.0</v>
      </c>
      <c r="JQ48" s="394">
        <v>8.0</v>
      </c>
      <c r="JR48" s="394">
        <v>8.0</v>
      </c>
      <c r="JS48" s="394">
        <v>8.0</v>
      </c>
      <c r="JT48" s="394">
        <v>8.0</v>
      </c>
      <c r="JU48" s="394" t="s">
        <v>165</v>
      </c>
      <c r="JV48" s="394" t="s">
        <v>165</v>
      </c>
      <c r="JW48" s="394">
        <v>8.0</v>
      </c>
      <c r="JX48" s="394">
        <v>8.0</v>
      </c>
      <c r="JY48" s="394">
        <v>8.0</v>
      </c>
      <c r="JZ48" s="394">
        <v>8.0</v>
      </c>
      <c r="KA48" s="394">
        <v>8.0</v>
      </c>
      <c r="KB48" s="394" t="s">
        <v>165</v>
      </c>
      <c r="KC48" s="394" t="s">
        <v>165</v>
      </c>
      <c r="KD48" s="394">
        <v>8.0</v>
      </c>
      <c r="KE48" s="394">
        <v>8.0</v>
      </c>
      <c r="KF48" s="394">
        <v>8.0</v>
      </c>
      <c r="KG48" s="394">
        <v>8.0</v>
      </c>
      <c r="KH48" s="394">
        <v>8.0</v>
      </c>
      <c r="KI48" s="394" t="s">
        <v>165</v>
      </c>
      <c r="KJ48" s="394" t="s">
        <v>165</v>
      </c>
      <c r="KK48" s="394">
        <v>8.0</v>
      </c>
      <c r="KL48" s="394">
        <v>8.0</v>
      </c>
      <c r="KM48" s="394">
        <v>8.0</v>
      </c>
      <c r="KN48" s="145">
        <f t="shared" si="4"/>
        <v>184</v>
      </c>
      <c r="KP48" s="400"/>
      <c r="KQ48" s="400"/>
      <c r="KR48" s="400"/>
      <c r="KS48" s="400"/>
      <c r="KT48" s="400"/>
      <c r="KU48" s="400"/>
      <c r="KV48" s="400"/>
      <c r="KW48" s="400"/>
      <c r="KX48" s="400"/>
      <c r="KY48" s="400"/>
      <c r="KZ48" s="400"/>
      <c r="LA48" s="400"/>
      <c r="LB48" s="400"/>
      <c r="LC48" s="400"/>
      <c r="LD48" s="400"/>
      <c r="LE48" s="400"/>
      <c r="LF48" s="400"/>
      <c r="LG48" s="400"/>
      <c r="LH48" s="400"/>
      <c r="LI48" s="400"/>
      <c r="LJ48" s="400"/>
      <c r="LK48" s="400"/>
      <c r="LL48" s="400"/>
      <c r="LM48" s="400"/>
      <c r="LN48" s="400"/>
      <c r="LO48" s="400"/>
      <c r="LP48" s="400"/>
      <c r="LQ48" s="400"/>
      <c r="LR48" s="400"/>
      <c r="LT48" s="400"/>
      <c r="LU48" s="400"/>
      <c r="LV48" s="400"/>
      <c r="LW48" s="400"/>
      <c r="LX48" s="400"/>
      <c r="LY48" s="400"/>
      <c r="LZ48" s="400"/>
      <c r="MA48" s="400"/>
      <c r="MB48" s="400"/>
      <c r="MC48" s="400"/>
      <c r="MD48" s="400"/>
      <c r="ME48" s="400"/>
      <c r="MF48" s="400"/>
      <c r="MG48" s="400"/>
      <c r="MH48" s="400"/>
      <c r="MI48" s="400"/>
      <c r="MJ48" s="400"/>
      <c r="MK48" s="400"/>
      <c r="ML48" s="400"/>
      <c r="MM48" s="400"/>
      <c r="MN48" s="400"/>
      <c r="MO48" s="400"/>
      <c r="MP48" s="400"/>
      <c r="MQ48" s="400"/>
      <c r="MR48" s="400"/>
      <c r="MS48" s="400"/>
    </row>
    <row r="49" hidden="1">
      <c r="A49" s="411" t="s">
        <v>1298</v>
      </c>
      <c r="B49" s="412" t="s">
        <v>88</v>
      </c>
      <c r="C49" s="412" t="s">
        <v>98</v>
      </c>
      <c r="D49" s="413">
        <f t="shared" si="1"/>
        <v>0</v>
      </c>
      <c r="E49" s="446" t="s">
        <v>1259</v>
      </c>
      <c r="F49" s="439">
        <f>IFERROR(__xludf.DUMMYFUNCTION("IF(A49="""","""", counta(filter(Filter(FILTER($H$4:$PI76,$H$1:$PI$1&lt;today()),$A$4:$A76=A49),not(istext(Filter(FILTER($H$4:$PI76,$H$1:$PI$1&lt;today()),$A$4:$A76=A49))),not(Filter(FILTER($H$4:$PI76,$H$1:$PI$1&lt;today()),$A$4:$A76=A49)=0),Filter(FILTER($H$4:$PI7"&amp;"6,$H$1:$PI$1&lt;today()),$A$4:$A76=A49)&lt;23)))"),9.0)</f>
        <v>9</v>
      </c>
      <c r="H49" s="412"/>
      <c r="I49" s="412"/>
      <c r="J49" s="412"/>
      <c r="K49" s="412"/>
      <c r="L49" s="412"/>
      <c r="M49" s="412"/>
      <c r="N49" s="412"/>
      <c r="O49" s="412"/>
      <c r="P49" s="412"/>
      <c r="Q49" s="412"/>
      <c r="R49" s="412"/>
      <c r="S49" s="412"/>
      <c r="T49" s="412"/>
      <c r="U49" s="412"/>
      <c r="V49" s="412"/>
      <c r="W49" s="412"/>
      <c r="X49" s="412"/>
      <c r="Y49" s="412"/>
      <c r="Z49" s="412"/>
      <c r="AA49" s="412"/>
      <c r="AB49" s="412"/>
      <c r="AC49" s="412"/>
      <c r="AD49" s="412"/>
      <c r="AE49" s="412"/>
      <c r="AF49" s="412"/>
      <c r="AG49" s="412"/>
      <c r="AH49" s="412"/>
      <c r="AI49" s="412"/>
      <c r="AJ49" s="412"/>
      <c r="AK49" s="412"/>
      <c r="AL49" s="412"/>
      <c r="AM49" s="439"/>
      <c r="AO49" s="415"/>
      <c r="AP49" s="415"/>
      <c r="AQ49" s="415"/>
      <c r="AR49" s="415"/>
      <c r="AS49" s="415"/>
      <c r="AT49" s="415"/>
      <c r="AU49" s="412"/>
      <c r="AV49" s="415"/>
      <c r="AW49" s="415"/>
      <c r="AX49" s="412"/>
      <c r="AY49" s="415"/>
      <c r="AZ49" s="415"/>
      <c r="BA49" s="412"/>
      <c r="BB49" s="415"/>
      <c r="BC49" s="415"/>
      <c r="BD49" s="415"/>
      <c r="BE49" s="415"/>
      <c r="BF49" s="415"/>
      <c r="BG49" s="415"/>
      <c r="BH49" s="415"/>
      <c r="BI49" s="415"/>
      <c r="BJ49" s="415"/>
      <c r="BK49" s="415"/>
      <c r="BL49" s="415"/>
      <c r="BM49" s="415"/>
      <c r="BN49" s="415"/>
      <c r="BO49" s="415"/>
      <c r="BP49" s="415"/>
      <c r="BQ49" s="415"/>
      <c r="BR49" s="415"/>
      <c r="BS49" s="415"/>
      <c r="BU49" s="415"/>
      <c r="BV49" s="415"/>
      <c r="BW49" s="415"/>
      <c r="BX49" s="415"/>
      <c r="BY49" s="415"/>
      <c r="BZ49" s="415"/>
      <c r="CA49" s="415"/>
      <c r="CB49" s="415"/>
      <c r="CC49" s="415"/>
      <c r="CD49" s="415"/>
      <c r="CE49" s="415"/>
      <c r="CF49" s="415"/>
      <c r="CG49" s="415"/>
      <c r="CH49" s="415"/>
      <c r="CI49" s="415"/>
      <c r="CJ49" s="415"/>
      <c r="CK49" s="415"/>
      <c r="CL49" s="415"/>
      <c r="CM49" s="415"/>
      <c r="CN49" s="415"/>
      <c r="CO49" s="415"/>
      <c r="CP49" s="415"/>
      <c r="CQ49" s="415"/>
      <c r="CR49" s="415"/>
      <c r="CS49" s="415"/>
      <c r="CT49" s="415"/>
      <c r="CU49" s="415"/>
      <c r="CV49" s="415"/>
      <c r="CW49" s="415"/>
      <c r="CX49" s="415"/>
      <c r="CY49" s="415"/>
      <c r="CZ49" s="415"/>
      <c r="DB49" s="415"/>
      <c r="DC49" s="415"/>
      <c r="DD49" s="415"/>
      <c r="DE49" s="415"/>
      <c r="DF49" s="415"/>
      <c r="DG49" s="415"/>
      <c r="DH49" s="415"/>
      <c r="DI49" s="415"/>
      <c r="DJ49" s="415"/>
      <c r="DK49" s="415"/>
      <c r="DL49" s="415"/>
      <c r="DM49" s="415"/>
      <c r="DN49" s="415"/>
      <c r="DO49" s="415"/>
      <c r="DP49" s="415"/>
      <c r="DQ49" s="415"/>
      <c r="DR49" s="415"/>
      <c r="DS49" s="415"/>
      <c r="DT49" s="415"/>
      <c r="DU49" s="415"/>
      <c r="DV49" s="415"/>
      <c r="DW49" s="415"/>
      <c r="DX49" s="415"/>
      <c r="DY49" s="415"/>
      <c r="DZ49" s="415"/>
      <c r="EA49" s="415"/>
      <c r="EB49" s="415"/>
      <c r="EC49" s="415"/>
      <c r="ED49" s="415"/>
      <c r="EE49" s="415"/>
      <c r="EF49" s="415"/>
      <c r="EG49" s="445"/>
      <c r="EI49" s="415"/>
      <c r="EJ49" s="415"/>
      <c r="EK49" s="415"/>
      <c r="EL49" s="415"/>
      <c r="EM49" s="415"/>
      <c r="EN49" s="415"/>
      <c r="EO49" s="415"/>
      <c r="EP49" s="415"/>
      <c r="EQ49" s="415"/>
      <c r="ER49" s="415"/>
      <c r="ES49" s="415"/>
      <c r="ET49" s="415"/>
      <c r="EU49" s="415"/>
      <c r="EV49" s="415"/>
      <c r="EW49" s="415"/>
      <c r="EX49" s="415"/>
      <c r="EY49" s="415"/>
      <c r="EZ49" s="415"/>
      <c r="FA49" s="415"/>
      <c r="FB49" s="415"/>
      <c r="FC49" s="415"/>
      <c r="FD49" s="415"/>
      <c r="FE49" s="415"/>
      <c r="FF49" s="415"/>
      <c r="FG49" s="415"/>
      <c r="FH49" s="415"/>
      <c r="FI49" s="415"/>
      <c r="FJ49" s="415"/>
      <c r="FK49" s="415"/>
      <c r="FL49" s="415"/>
      <c r="FM49" s="415"/>
      <c r="FO49" s="415"/>
      <c r="FP49" s="415"/>
      <c r="FQ49" s="415"/>
      <c r="FR49" s="415"/>
      <c r="FS49" s="415"/>
      <c r="FT49" s="415"/>
      <c r="FU49" s="415"/>
      <c r="FV49" s="415"/>
      <c r="FW49" s="415"/>
      <c r="FX49" s="415"/>
      <c r="FY49" s="415"/>
      <c r="FZ49" s="415"/>
      <c r="GA49" s="415"/>
      <c r="GB49" s="415"/>
      <c r="GC49" s="415"/>
      <c r="GD49" s="415"/>
      <c r="GE49" s="415"/>
      <c r="GF49" s="415"/>
      <c r="GG49" s="415"/>
      <c r="GH49" s="415"/>
      <c r="GI49" s="415"/>
      <c r="GJ49" s="415"/>
      <c r="GK49" s="415"/>
      <c r="GL49" s="415"/>
      <c r="GM49" s="415"/>
      <c r="GN49" s="415"/>
      <c r="GO49" s="415"/>
      <c r="GP49" s="415"/>
      <c r="GQ49" s="415"/>
      <c r="GR49" s="415"/>
      <c r="GS49" s="415"/>
      <c r="GT49" s="415"/>
      <c r="GV49" s="412" t="s">
        <v>166</v>
      </c>
      <c r="GW49" s="412" t="s">
        <v>166</v>
      </c>
      <c r="GX49" s="412" t="s">
        <v>166</v>
      </c>
      <c r="GY49" s="412" t="s">
        <v>166</v>
      </c>
      <c r="GZ49" s="412" t="s">
        <v>166</v>
      </c>
      <c r="HA49" s="412" t="s">
        <v>166</v>
      </c>
      <c r="HB49" s="412" t="s">
        <v>166</v>
      </c>
      <c r="HC49" s="412" t="s">
        <v>166</v>
      </c>
      <c r="HD49" s="412" t="s">
        <v>166</v>
      </c>
      <c r="HE49" s="412" t="s">
        <v>166</v>
      </c>
      <c r="HF49" s="412" t="s">
        <v>166</v>
      </c>
      <c r="HG49" s="412" t="s">
        <v>166</v>
      </c>
      <c r="HH49" s="412" t="s">
        <v>166</v>
      </c>
      <c r="HI49" s="412" t="s">
        <v>166</v>
      </c>
      <c r="HJ49" s="412" t="s">
        <v>166</v>
      </c>
      <c r="HK49" s="412" t="s">
        <v>166</v>
      </c>
      <c r="HL49" s="412" t="s">
        <v>166</v>
      </c>
      <c r="HM49" s="412" t="s">
        <v>166</v>
      </c>
      <c r="HN49" s="412" t="s">
        <v>166</v>
      </c>
      <c r="HO49" s="412" t="s">
        <v>166</v>
      </c>
      <c r="HP49" s="412" t="s">
        <v>166</v>
      </c>
      <c r="HQ49" s="412" t="s">
        <v>166</v>
      </c>
      <c r="HR49" s="412" t="s">
        <v>166</v>
      </c>
      <c r="HS49" s="412" t="s">
        <v>166</v>
      </c>
      <c r="HT49" s="412" t="s">
        <v>166</v>
      </c>
      <c r="HU49" s="412" t="s">
        <v>166</v>
      </c>
      <c r="HV49" s="412" t="s">
        <v>166</v>
      </c>
      <c r="HW49" s="412" t="s">
        <v>166</v>
      </c>
      <c r="HX49" s="412">
        <v>8.0</v>
      </c>
      <c r="HY49" s="412">
        <v>8.0</v>
      </c>
      <c r="HZ49" s="415">
        <f t="shared" si="2"/>
        <v>16</v>
      </c>
      <c r="IB49" s="412">
        <v>8.0</v>
      </c>
      <c r="IC49" s="412">
        <v>8.0</v>
      </c>
      <c r="ID49" s="412">
        <v>8.0</v>
      </c>
      <c r="IE49" s="412" t="s">
        <v>165</v>
      </c>
      <c r="IF49" s="412" t="s">
        <v>165</v>
      </c>
      <c r="IG49" s="412">
        <v>8.0</v>
      </c>
      <c r="IH49" s="412">
        <v>8.0</v>
      </c>
      <c r="II49" s="412">
        <v>8.0</v>
      </c>
      <c r="IJ49" s="412" t="s">
        <v>170</v>
      </c>
      <c r="IK49" s="412"/>
      <c r="IL49" s="436"/>
      <c r="IM49" s="436"/>
      <c r="IN49" s="412"/>
      <c r="IO49" s="412"/>
      <c r="IP49" s="412"/>
      <c r="IQ49" s="412"/>
      <c r="IR49" s="412"/>
      <c r="IS49" s="436"/>
      <c r="IT49" s="436"/>
      <c r="IU49" s="412"/>
      <c r="IV49" s="412"/>
      <c r="IW49" s="412"/>
      <c r="IX49" s="412"/>
      <c r="IY49" s="412"/>
      <c r="IZ49" s="436"/>
      <c r="JA49" s="436"/>
      <c r="JB49" s="412"/>
      <c r="JC49" s="412"/>
      <c r="JD49" s="412"/>
      <c r="JE49" s="412"/>
      <c r="JF49" s="412"/>
      <c r="JG49" s="415">
        <f t="shared" si="3"/>
        <v>48</v>
      </c>
      <c r="JI49" s="436"/>
      <c r="JJ49" s="436"/>
      <c r="JK49" s="412"/>
      <c r="JL49" s="412"/>
      <c r="JM49" s="412"/>
      <c r="JN49" s="412"/>
      <c r="JO49" s="412"/>
      <c r="JP49" s="436"/>
      <c r="JQ49" s="436"/>
      <c r="JR49" s="412"/>
      <c r="JS49" s="412"/>
      <c r="JT49" s="412"/>
      <c r="JU49" s="412"/>
      <c r="JV49" s="412"/>
      <c r="JW49" s="436"/>
      <c r="JX49" s="436"/>
      <c r="JY49" s="412"/>
      <c r="JZ49" s="412"/>
      <c r="KA49" s="412"/>
      <c r="KB49" s="412"/>
      <c r="KC49" s="412"/>
      <c r="KD49" s="436"/>
      <c r="KE49" s="436"/>
      <c r="KF49" s="412"/>
      <c r="KG49" s="412"/>
      <c r="KH49" s="412"/>
      <c r="KI49" s="412"/>
      <c r="KJ49" s="412"/>
      <c r="KK49" s="436"/>
      <c r="KL49" s="436"/>
      <c r="KM49" s="412"/>
      <c r="KN49" s="155">
        <f t="shared" si="4"/>
        <v>0</v>
      </c>
      <c r="KP49" s="415"/>
      <c r="KQ49" s="415"/>
      <c r="KR49" s="415"/>
      <c r="KS49" s="415"/>
      <c r="KT49" s="415"/>
      <c r="KU49" s="415"/>
      <c r="KV49" s="415"/>
      <c r="KW49" s="415"/>
      <c r="KX49" s="415"/>
      <c r="KY49" s="415"/>
      <c r="KZ49" s="415"/>
      <c r="LA49" s="415"/>
      <c r="LB49" s="415"/>
      <c r="LC49" s="415"/>
      <c r="LD49" s="415"/>
      <c r="LE49" s="415"/>
      <c r="LF49" s="415"/>
      <c r="LG49" s="415"/>
      <c r="LH49" s="415"/>
      <c r="LI49" s="415"/>
      <c r="LJ49" s="415"/>
      <c r="LK49" s="415"/>
      <c r="LL49" s="415"/>
      <c r="LM49" s="415"/>
      <c r="LN49" s="415"/>
      <c r="LO49" s="415"/>
      <c r="LP49" s="415"/>
      <c r="LQ49" s="415"/>
      <c r="LR49" s="415"/>
      <c r="LT49" s="415"/>
      <c r="LU49" s="415"/>
      <c r="LV49" s="415"/>
      <c r="LW49" s="415"/>
      <c r="LX49" s="415"/>
      <c r="LY49" s="415"/>
      <c r="LZ49" s="415"/>
      <c r="MA49" s="415"/>
      <c r="MB49" s="415"/>
      <c r="MC49" s="415"/>
      <c r="MD49" s="415"/>
      <c r="ME49" s="415"/>
      <c r="MF49" s="415"/>
      <c r="MG49" s="415"/>
      <c r="MH49" s="415"/>
      <c r="MI49" s="415"/>
      <c r="MJ49" s="415"/>
      <c r="MK49" s="415"/>
      <c r="ML49" s="415"/>
      <c r="MM49" s="415"/>
      <c r="MN49" s="415"/>
      <c r="MO49" s="415"/>
      <c r="MP49" s="415"/>
      <c r="MQ49" s="415"/>
      <c r="MR49" s="415"/>
      <c r="MS49" s="415"/>
    </row>
    <row r="50">
      <c r="A50" s="393" t="s">
        <v>1299</v>
      </c>
      <c r="B50" s="394" t="s">
        <v>88</v>
      </c>
      <c r="C50" s="394" t="s">
        <v>99</v>
      </c>
      <c r="D50" s="395">
        <f t="shared" si="1"/>
        <v>0</v>
      </c>
      <c r="E50" s="396" t="s">
        <v>1250</v>
      </c>
      <c r="F50" s="397">
        <f>IFERROR(__xludf.DUMMYFUNCTION("IF(A50="""","""", counta(filter(Filter(FILTER($H$4:$PI76,$H$1:$PI$1&lt;today()),$A$4:$A76=A50),not(istext(Filter(FILTER($H$4:$PI76,$H$1:$PI$1&lt;today()),$A$4:$A76=A50))),not(Filter(FILTER($H$4:$PI76,$H$1:$PI$1&lt;today()),$A$4:$A76=A50)=0),Filter(FILTER($H$4:$PI7"&amp;"6,$H$1:$PI$1&lt;today()),$A$4:$A76=A50)&lt;23)))"),20.0)</f>
        <v>20</v>
      </c>
      <c r="H50" s="394"/>
      <c r="I50" s="394"/>
      <c r="J50" s="394"/>
      <c r="K50" s="394"/>
      <c r="L50" s="394"/>
      <c r="M50" s="394"/>
      <c r="N50" s="394"/>
      <c r="O50" s="394"/>
      <c r="P50" s="394"/>
      <c r="Q50" s="394"/>
      <c r="R50" s="394"/>
      <c r="S50" s="394"/>
      <c r="T50" s="394"/>
      <c r="U50" s="394"/>
      <c r="V50" s="394"/>
      <c r="W50" s="394"/>
      <c r="X50" s="394"/>
      <c r="Y50" s="394"/>
      <c r="Z50" s="394"/>
      <c r="AA50" s="394"/>
      <c r="AB50" s="394"/>
      <c r="AC50" s="394"/>
      <c r="AD50" s="394"/>
      <c r="AE50" s="394"/>
      <c r="AF50" s="394"/>
      <c r="AG50" s="394"/>
      <c r="AH50" s="394"/>
      <c r="AI50" s="394"/>
      <c r="AJ50" s="394"/>
      <c r="AK50" s="394"/>
      <c r="AL50" s="394"/>
      <c r="AM50" s="397"/>
      <c r="AO50" s="400"/>
      <c r="AP50" s="400"/>
      <c r="AQ50" s="400"/>
      <c r="AR50" s="400"/>
      <c r="AS50" s="400"/>
      <c r="AT50" s="400"/>
      <c r="AU50" s="394"/>
      <c r="AV50" s="400"/>
      <c r="AW50" s="400"/>
      <c r="AX50" s="394"/>
      <c r="AY50" s="400"/>
      <c r="AZ50" s="400"/>
      <c r="BA50" s="394"/>
      <c r="BB50" s="400"/>
      <c r="BC50" s="400"/>
      <c r="BD50" s="400"/>
      <c r="BE50" s="400"/>
      <c r="BF50" s="400"/>
      <c r="BG50" s="400"/>
      <c r="BH50" s="400"/>
      <c r="BI50" s="400"/>
      <c r="BJ50" s="400"/>
      <c r="BK50" s="400"/>
      <c r="BL50" s="400"/>
      <c r="BM50" s="400"/>
      <c r="BN50" s="400"/>
      <c r="BO50" s="400"/>
      <c r="BP50" s="400"/>
      <c r="BQ50" s="400"/>
      <c r="BR50" s="400"/>
      <c r="BS50" s="400"/>
      <c r="BU50" s="400"/>
      <c r="BV50" s="400"/>
      <c r="BW50" s="400"/>
      <c r="BX50" s="400"/>
      <c r="BY50" s="400"/>
      <c r="BZ50" s="400"/>
      <c r="CA50" s="400"/>
      <c r="CB50" s="400"/>
      <c r="CC50" s="400"/>
      <c r="CD50" s="400"/>
      <c r="CE50" s="400"/>
      <c r="CF50" s="400"/>
      <c r="CG50" s="400"/>
      <c r="CH50" s="400"/>
      <c r="CI50" s="400"/>
      <c r="CJ50" s="400"/>
      <c r="CK50" s="400"/>
      <c r="CL50" s="400"/>
      <c r="CM50" s="400"/>
      <c r="CN50" s="400"/>
      <c r="CO50" s="400"/>
      <c r="CP50" s="400"/>
      <c r="CQ50" s="400"/>
      <c r="CR50" s="400"/>
      <c r="CS50" s="400"/>
      <c r="CT50" s="400"/>
      <c r="CU50" s="400"/>
      <c r="CV50" s="400"/>
      <c r="CW50" s="400"/>
      <c r="CX50" s="400"/>
      <c r="CY50" s="400"/>
      <c r="CZ50" s="400"/>
      <c r="DB50" s="400"/>
      <c r="DC50" s="400"/>
      <c r="DD50" s="400"/>
      <c r="DE50" s="400"/>
      <c r="DF50" s="400"/>
      <c r="DG50" s="400"/>
      <c r="DH50" s="400"/>
      <c r="DI50" s="400"/>
      <c r="DJ50" s="400"/>
      <c r="DK50" s="400"/>
      <c r="DL50" s="400"/>
      <c r="DM50" s="400"/>
      <c r="DN50" s="400"/>
      <c r="DO50" s="400"/>
      <c r="DP50" s="400"/>
      <c r="DQ50" s="400"/>
      <c r="DR50" s="400"/>
      <c r="DS50" s="400"/>
      <c r="DT50" s="400"/>
      <c r="DU50" s="400"/>
      <c r="DV50" s="400"/>
      <c r="DW50" s="400"/>
      <c r="DX50" s="400"/>
      <c r="DY50" s="400"/>
      <c r="DZ50" s="400"/>
      <c r="EA50" s="400"/>
      <c r="EB50" s="400"/>
      <c r="EC50" s="400"/>
      <c r="ED50" s="400"/>
      <c r="EE50" s="400"/>
      <c r="EF50" s="400"/>
      <c r="EG50" s="401"/>
      <c r="EI50" s="400"/>
      <c r="EJ50" s="400"/>
      <c r="EK50" s="400"/>
      <c r="EL50" s="400"/>
      <c r="EM50" s="400"/>
      <c r="EN50" s="400"/>
      <c r="EO50" s="400"/>
      <c r="EP50" s="400"/>
      <c r="EQ50" s="400"/>
      <c r="ER50" s="400"/>
      <c r="ES50" s="400"/>
      <c r="ET50" s="400"/>
      <c r="EU50" s="400"/>
      <c r="EV50" s="400"/>
      <c r="EW50" s="400"/>
      <c r="EX50" s="400"/>
      <c r="EY50" s="400"/>
      <c r="EZ50" s="400"/>
      <c r="FA50" s="400"/>
      <c r="FB50" s="400"/>
      <c r="FC50" s="400"/>
      <c r="FD50" s="400"/>
      <c r="FE50" s="400"/>
      <c r="FF50" s="400"/>
      <c r="FG50" s="400"/>
      <c r="FH50" s="400"/>
      <c r="FI50" s="400"/>
      <c r="FJ50" s="400"/>
      <c r="FK50" s="400"/>
      <c r="FL50" s="400"/>
      <c r="FM50" s="400"/>
      <c r="FO50" s="400"/>
      <c r="FP50" s="400"/>
      <c r="FQ50" s="400"/>
      <c r="FR50" s="400"/>
      <c r="FS50" s="400"/>
      <c r="FT50" s="400"/>
      <c r="FU50" s="400"/>
      <c r="FV50" s="400"/>
      <c r="FW50" s="400"/>
      <c r="FX50" s="400"/>
      <c r="FY50" s="400"/>
      <c r="FZ50" s="400"/>
      <c r="GA50" s="400"/>
      <c r="GB50" s="400"/>
      <c r="GC50" s="400"/>
      <c r="GD50" s="400"/>
      <c r="GE50" s="400"/>
      <c r="GF50" s="400"/>
      <c r="GG50" s="400"/>
      <c r="GH50" s="400"/>
      <c r="GI50" s="400"/>
      <c r="GJ50" s="400"/>
      <c r="GK50" s="400"/>
      <c r="GL50" s="400"/>
      <c r="GM50" s="400"/>
      <c r="GN50" s="400"/>
      <c r="GO50" s="400"/>
      <c r="GP50" s="400"/>
      <c r="GQ50" s="400"/>
      <c r="GR50" s="400"/>
      <c r="GS50" s="400"/>
      <c r="GT50" s="400"/>
      <c r="GV50" s="400"/>
      <c r="GW50" s="400"/>
      <c r="GX50" s="400"/>
      <c r="GY50" s="400"/>
      <c r="GZ50" s="400"/>
      <c r="HA50" s="400"/>
      <c r="HB50" s="400"/>
      <c r="HC50" s="400"/>
      <c r="HD50" s="400"/>
      <c r="HE50" s="400"/>
      <c r="HF50" s="400"/>
      <c r="HG50" s="400"/>
      <c r="HH50" s="400"/>
      <c r="HI50" s="400"/>
      <c r="HJ50" s="400"/>
      <c r="HK50" s="400"/>
      <c r="HL50" s="400"/>
      <c r="HM50" s="400"/>
      <c r="HN50" s="400"/>
      <c r="HO50" s="400"/>
      <c r="HP50" s="400"/>
      <c r="HQ50" s="400"/>
      <c r="HR50" s="400"/>
      <c r="HS50" s="400"/>
      <c r="HT50" s="400"/>
      <c r="HU50" s="400"/>
      <c r="HV50" s="400"/>
      <c r="HW50" s="400"/>
      <c r="HX50" s="400"/>
      <c r="HY50" s="400"/>
      <c r="HZ50" s="400"/>
      <c r="IB50" s="394" t="s">
        <v>166</v>
      </c>
      <c r="IC50" s="394" t="s">
        <v>166</v>
      </c>
      <c r="ID50" s="394">
        <v>8.0</v>
      </c>
      <c r="IE50" s="403" t="s">
        <v>165</v>
      </c>
      <c r="IF50" s="403" t="s">
        <v>165</v>
      </c>
      <c r="IG50" s="394">
        <v>8.0</v>
      </c>
      <c r="IH50" s="394">
        <v>8.0</v>
      </c>
      <c r="II50" s="394">
        <v>8.0</v>
      </c>
      <c r="IJ50" s="394">
        <v>8.0</v>
      </c>
      <c r="IK50" s="394">
        <v>8.0</v>
      </c>
      <c r="IL50" s="403" t="s">
        <v>165</v>
      </c>
      <c r="IM50" s="403" t="s">
        <v>165</v>
      </c>
      <c r="IN50" s="394">
        <v>8.0</v>
      </c>
      <c r="IO50" s="394">
        <v>8.0</v>
      </c>
      <c r="IP50" s="394">
        <v>8.0</v>
      </c>
      <c r="IQ50" s="403" t="s">
        <v>165</v>
      </c>
      <c r="IR50" s="403" t="s">
        <v>165</v>
      </c>
      <c r="IS50" s="394">
        <v>8.0</v>
      </c>
      <c r="IT50" s="394">
        <v>8.0</v>
      </c>
      <c r="IU50" s="394" t="s">
        <v>165</v>
      </c>
      <c r="IV50" s="394">
        <v>8.0</v>
      </c>
      <c r="IW50" s="394">
        <v>8.0</v>
      </c>
      <c r="IX50" s="394">
        <v>8.0</v>
      </c>
      <c r="IY50" s="394" t="s">
        <v>165</v>
      </c>
      <c r="IZ50" s="394" t="s">
        <v>171</v>
      </c>
      <c r="JA50" s="394">
        <v>8.0</v>
      </c>
      <c r="JB50" s="394">
        <v>8.0</v>
      </c>
      <c r="JC50" s="394">
        <v>8.0</v>
      </c>
      <c r="JD50" s="394">
        <v>8.0</v>
      </c>
      <c r="JE50" s="394" t="s">
        <v>165</v>
      </c>
      <c r="JF50" s="394" t="s">
        <v>165</v>
      </c>
      <c r="JG50" s="400">
        <f t="shared" si="3"/>
        <v>144</v>
      </c>
      <c r="JI50" s="394" t="s">
        <v>171</v>
      </c>
      <c r="JJ50" s="394">
        <v>8.0</v>
      </c>
      <c r="JK50" s="394">
        <v>8.0</v>
      </c>
      <c r="JL50" s="394">
        <v>8.0</v>
      </c>
      <c r="JM50" s="394">
        <v>8.0</v>
      </c>
      <c r="JN50" s="394" t="s">
        <v>165</v>
      </c>
      <c r="JO50" s="394" t="s">
        <v>165</v>
      </c>
      <c r="JP50" s="394">
        <v>8.0</v>
      </c>
      <c r="JQ50" s="394">
        <v>8.0</v>
      </c>
      <c r="JR50" s="394">
        <v>8.0</v>
      </c>
      <c r="JS50" s="394">
        <v>8.0</v>
      </c>
      <c r="JT50" s="394">
        <v>8.0</v>
      </c>
      <c r="JU50" s="394" t="s">
        <v>165</v>
      </c>
      <c r="JV50" s="394" t="s">
        <v>165</v>
      </c>
      <c r="JW50" s="394">
        <v>8.0</v>
      </c>
      <c r="JX50" s="394">
        <v>8.0</v>
      </c>
      <c r="JY50" s="394">
        <v>8.0</v>
      </c>
      <c r="JZ50" s="394">
        <v>8.0</v>
      </c>
      <c r="KA50" s="394">
        <v>8.0</v>
      </c>
      <c r="KB50" s="394" t="s">
        <v>165</v>
      </c>
      <c r="KC50" s="394" t="s">
        <v>165</v>
      </c>
      <c r="KD50" s="394">
        <v>8.0</v>
      </c>
      <c r="KE50" s="394">
        <v>8.0</v>
      </c>
      <c r="KF50" s="394">
        <v>8.0</v>
      </c>
      <c r="KG50" s="394">
        <v>8.0</v>
      </c>
      <c r="KH50" s="394">
        <v>8.0</v>
      </c>
      <c r="KI50" s="394" t="s">
        <v>165</v>
      </c>
      <c r="KJ50" s="394" t="s">
        <v>165</v>
      </c>
      <c r="KK50" s="394">
        <v>8.0</v>
      </c>
      <c r="KL50" s="394">
        <v>8.0</v>
      </c>
      <c r="KM50" s="394">
        <v>8.0</v>
      </c>
      <c r="KN50" s="145">
        <f t="shared" si="4"/>
        <v>176</v>
      </c>
      <c r="KP50" s="400"/>
      <c r="KQ50" s="400"/>
      <c r="KR50" s="400"/>
      <c r="KS50" s="400"/>
      <c r="KT50" s="400"/>
      <c r="KU50" s="400"/>
      <c r="KV50" s="400"/>
      <c r="KW50" s="400"/>
      <c r="KX50" s="400"/>
      <c r="KY50" s="400"/>
      <c r="KZ50" s="400"/>
      <c r="LA50" s="400"/>
      <c r="LB50" s="400"/>
      <c r="LC50" s="400"/>
      <c r="LD50" s="400"/>
      <c r="LE50" s="400"/>
      <c r="LF50" s="400"/>
      <c r="LG50" s="400"/>
      <c r="LH50" s="400"/>
      <c r="LI50" s="400"/>
      <c r="LJ50" s="400"/>
      <c r="LK50" s="400"/>
      <c r="LL50" s="400"/>
      <c r="LM50" s="400"/>
      <c r="LN50" s="400"/>
      <c r="LO50" s="400"/>
      <c r="LP50" s="400"/>
      <c r="LQ50" s="400"/>
      <c r="LR50" s="400"/>
      <c r="LT50" s="400"/>
      <c r="LU50" s="400"/>
      <c r="LV50" s="400"/>
      <c r="LW50" s="400"/>
      <c r="LX50" s="400"/>
      <c r="LY50" s="400"/>
      <c r="LZ50" s="400"/>
      <c r="MA50" s="400"/>
      <c r="MB50" s="400"/>
      <c r="MC50" s="400"/>
      <c r="MD50" s="400"/>
      <c r="ME50" s="400"/>
      <c r="MF50" s="400"/>
      <c r="MG50" s="400"/>
      <c r="MH50" s="400"/>
      <c r="MI50" s="400"/>
      <c r="MJ50" s="400"/>
      <c r="MK50" s="400"/>
      <c r="ML50" s="400"/>
      <c r="MM50" s="400"/>
      <c r="MN50" s="400"/>
      <c r="MO50" s="400"/>
      <c r="MP50" s="400"/>
      <c r="MQ50" s="400"/>
      <c r="MR50" s="400"/>
      <c r="MS50" s="400"/>
    </row>
    <row r="51">
      <c r="A51" s="393" t="s">
        <v>1300</v>
      </c>
      <c r="B51" s="394" t="s">
        <v>91</v>
      </c>
      <c r="C51" s="394" t="s">
        <v>98</v>
      </c>
      <c r="D51" s="395">
        <f t="shared" si="1"/>
        <v>0</v>
      </c>
      <c r="E51" s="431" t="s">
        <v>1259</v>
      </c>
      <c r="F51" s="397">
        <f>IFERROR(__xludf.DUMMYFUNCTION("IF(A51="""","""", counta(filter(Filter(FILTER($H$4:$PI76,$H$1:$PI$1&lt;today()),$A$4:$A76=A51),not(istext(Filter(FILTER($H$4:$PI76,$H$1:$PI$1&lt;today()),$A$4:$A76=A51))),not(Filter(FILTER($H$4:$PI76,$H$1:$PI$1&lt;today()),$A$4:$A76=A51)=0),Filter(FILTER($H$4:$PI7"&amp;"6,$H$1:$PI$1&lt;today()),$A$4:$A76=A51)&lt;23)))"),21.0)</f>
        <v>21</v>
      </c>
      <c r="H51" s="394"/>
      <c r="I51" s="394"/>
      <c r="J51" s="394"/>
      <c r="K51" s="394"/>
      <c r="L51" s="394"/>
      <c r="M51" s="394"/>
      <c r="N51" s="394"/>
      <c r="O51" s="394"/>
      <c r="P51" s="394"/>
      <c r="Q51" s="394"/>
      <c r="R51" s="394"/>
      <c r="S51" s="394"/>
      <c r="T51" s="394"/>
      <c r="U51" s="394"/>
      <c r="V51" s="394"/>
      <c r="W51" s="394"/>
      <c r="X51" s="394"/>
      <c r="Y51" s="394"/>
      <c r="Z51" s="394"/>
      <c r="AA51" s="394"/>
      <c r="AB51" s="394"/>
      <c r="AC51" s="394"/>
      <c r="AD51" s="394"/>
      <c r="AE51" s="394"/>
      <c r="AF51" s="394"/>
      <c r="AG51" s="394"/>
      <c r="AH51" s="394"/>
      <c r="AI51" s="394"/>
      <c r="AJ51" s="394"/>
      <c r="AK51" s="394"/>
      <c r="AL51" s="394"/>
      <c r="AM51" s="397"/>
      <c r="AO51" s="400"/>
      <c r="AP51" s="400"/>
      <c r="AQ51" s="400"/>
      <c r="AR51" s="400"/>
      <c r="AS51" s="400"/>
      <c r="AT51" s="400"/>
      <c r="AU51" s="394"/>
      <c r="AV51" s="400"/>
      <c r="AW51" s="400"/>
      <c r="AX51" s="394"/>
      <c r="AY51" s="400"/>
      <c r="AZ51" s="400"/>
      <c r="BA51" s="394"/>
      <c r="BB51" s="400"/>
      <c r="BC51" s="400"/>
      <c r="BD51" s="400"/>
      <c r="BE51" s="400"/>
      <c r="BF51" s="400"/>
      <c r="BG51" s="400"/>
      <c r="BH51" s="400"/>
      <c r="BI51" s="400"/>
      <c r="BJ51" s="400"/>
      <c r="BK51" s="400"/>
      <c r="BL51" s="400"/>
      <c r="BM51" s="400"/>
      <c r="BN51" s="400"/>
      <c r="BO51" s="400"/>
      <c r="BP51" s="400"/>
      <c r="BQ51" s="400"/>
      <c r="BR51" s="400"/>
      <c r="BS51" s="400"/>
      <c r="BU51" s="400"/>
      <c r="BV51" s="400"/>
      <c r="BW51" s="400"/>
      <c r="BX51" s="400"/>
      <c r="BY51" s="400"/>
      <c r="BZ51" s="400"/>
      <c r="CA51" s="400"/>
      <c r="CB51" s="400"/>
      <c r="CC51" s="400"/>
      <c r="CD51" s="400"/>
      <c r="CE51" s="400"/>
      <c r="CF51" s="400"/>
      <c r="CG51" s="400"/>
      <c r="CH51" s="400"/>
      <c r="CI51" s="400"/>
      <c r="CJ51" s="400"/>
      <c r="CK51" s="400"/>
      <c r="CL51" s="400"/>
      <c r="CM51" s="400"/>
      <c r="CN51" s="400"/>
      <c r="CO51" s="400"/>
      <c r="CP51" s="400"/>
      <c r="CQ51" s="400"/>
      <c r="CR51" s="400"/>
      <c r="CS51" s="400"/>
      <c r="CT51" s="400"/>
      <c r="CU51" s="400"/>
      <c r="CV51" s="400"/>
      <c r="CW51" s="400"/>
      <c r="CX51" s="400"/>
      <c r="CY51" s="400"/>
      <c r="CZ51" s="400"/>
      <c r="DB51" s="400"/>
      <c r="DC51" s="400"/>
      <c r="DD51" s="400"/>
      <c r="DE51" s="400"/>
      <c r="DF51" s="400"/>
      <c r="DG51" s="400"/>
      <c r="DH51" s="400"/>
      <c r="DI51" s="400"/>
      <c r="DJ51" s="400"/>
      <c r="DK51" s="400"/>
      <c r="DL51" s="400"/>
      <c r="DM51" s="400"/>
      <c r="DN51" s="400"/>
      <c r="DO51" s="400"/>
      <c r="DP51" s="400"/>
      <c r="DQ51" s="400"/>
      <c r="DR51" s="400"/>
      <c r="DS51" s="400"/>
      <c r="DT51" s="400"/>
      <c r="DU51" s="400"/>
      <c r="DV51" s="400"/>
      <c r="DW51" s="400"/>
      <c r="DX51" s="400"/>
      <c r="DY51" s="400"/>
      <c r="DZ51" s="400"/>
      <c r="EA51" s="400"/>
      <c r="EB51" s="400"/>
      <c r="EC51" s="400"/>
      <c r="ED51" s="400"/>
      <c r="EE51" s="400"/>
      <c r="EF51" s="400"/>
      <c r="EG51" s="401"/>
      <c r="EI51" s="400"/>
      <c r="EJ51" s="400"/>
      <c r="EK51" s="400"/>
      <c r="EL51" s="400"/>
      <c r="EM51" s="400"/>
      <c r="EN51" s="400"/>
      <c r="EO51" s="400"/>
      <c r="EP51" s="400"/>
      <c r="EQ51" s="400"/>
      <c r="ER51" s="400"/>
      <c r="ES51" s="400"/>
      <c r="ET51" s="400"/>
      <c r="EU51" s="400"/>
      <c r="EV51" s="400"/>
      <c r="EW51" s="400"/>
      <c r="EX51" s="400"/>
      <c r="EY51" s="400"/>
      <c r="EZ51" s="400"/>
      <c r="FA51" s="400"/>
      <c r="FB51" s="400"/>
      <c r="FC51" s="400"/>
      <c r="FD51" s="400"/>
      <c r="FE51" s="400"/>
      <c r="FF51" s="400"/>
      <c r="FG51" s="400"/>
      <c r="FH51" s="400"/>
      <c r="FI51" s="400"/>
      <c r="FJ51" s="400"/>
      <c r="FK51" s="400"/>
      <c r="FL51" s="400"/>
      <c r="FM51" s="400"/>
      <c r="FO51" s="400"/>
      <c r="FP51" s="400"/>
      <c r="FQ51" s="400"/>
      <c r="FR51" s="400"/>
      <c r="FS51" s="400"/>
      <c r="FT51" s="400"/>
      <c r="FU51" s="400"/>
      <c r="FV51" s="400"/>
      <c r="FW51" s="400"/>
      <c r="FX51" s="400"/>
      <c r="FY51" s="400"/>
      <c r="FZ51" s="400"/>
      <c r="GA51" s="400"/>
      <c r="GB51" s="400"/>
      <c r="GC51" s="400"/>
      <c r="GD51" s="400"/>
      <c r="GE51" s="400"/>
      <c r="GF51" s="400"/>
      <c r="GG51" s="400"/>
      <c r="GH51" s="400"/>
      <c r="GI51" s="400"/>
      <c r="GJ51" s="400"/>
      <c r="GK51" s="400"/>
      <c r="GL51" s="400"/>
      <c r="GM51" s="400"/>
      <c r="GN51" s="400"/>
      <c r="GO51" s="400"/>
      <c r="GP51" s="400"/>
      <c r="GQ51" s="400"/>
      <c r="GR51" s="400"/>
      <c r="GS51" s="400"/>
      <c r="GT51" s="400"/>
      <c r="GV51" s="400"/>
      <c r="GW51" s="400"/>
      <c r="GX51" s="400"/>
      <c r="GY51" s="400"/>
      <c r="GZ51" s="400"/>
      <c r="HA51" s="400"/>
      <c r="HB51" s="400"/>
      <c r="HC51" s="400"/>
      <c r="HD51" s="400"/>
      <c r="HE51" s="400"/>
      <c r="HF51" s="400"/>
      <c r="HG51" s="400"/>
      <c r="HH51" s="400"/>
      <c r="HI51" s="400"/>
      <c r="HJ51" s="400"/>
      <c r="HK51" s="400"/>
      <c r="HL51" s="400"/>
      <c r="HM51" s="400"/>
      <c r="HN51" s="400"/>
      <c r="HO51" s="400"/>
      <c r="HP51" s="400"/>
      <c r="HQ51" s="400"/>
      <c r="HR51" s="400"/>
      <c r="HS51" s="400"/>
      <c r="HT51" s="400"/>
      <c r="HU51" s="400"/>
      <c r="HV51" s="400"/>
      <c r="HW51" s="400"/>
      <c r="HX51" s="400"/>
      <c r="HY51" s="400"/>
      <c r="HZ51" s="400"/>
      <c r="IB51" s="394" t="s">
        <v>166</v>
      </c>
      <c r="IC51" s="394" t="s">
        <v>166</v>
      </c>
      <c r="ID51" s="394" t="s">
        <v>166</v>
      </c>
      <c r="IE51" s="394" t="s">
        <v>166</v>
      </c>
      <c r="IF51" s="394" t="s">
        <v>166</v>
      </c>
      <c r="IG51" s="394">
        <v>8.0</v>
      </c>
      <c r="IH51" s="394">
        <v>8.0</v>
      </c>
      <c r="II51" s="394">
        <v>8.0</v>
      </c>
      <c r="IJ51" s="394">
        <v>8.0</v>
      </c>
      <c r="IK51" s="394">
        <v>6.5</v>
      </c>
      <c r="IL51" s="403" t="s">
        <v>165</v>
      </c>
      <c r="IM51" s="403" t="s">
        <v>165</v>
      </c>
      <c r="IN51" s="394">
        <v>8.0</v>
      </c>
      <c r="IO51" s="394">
        <v>8.0</v>
      </c>
      <c r="IP51" s="394">
        <v>8.0</v>
      </c>
      <c r="IQ51" s="394">
        <v>8.0</v>
      </c>
      <c r="IR51" s="394">
        <v>8.0</v>
      </c>
      <c r="IS51" s="403" t="s">
        <v>165</v>
      </c>
      <c r="IT51" s="403" t="s">
        <v>165</v>
      </c>
      <c r="IU51" s="394">
        <v>8.0</v>
      </c>
      <c r="IV51" s="394">
        <v>8.0</v>
      </c>
      <c r="IW51" s="394">
        <v>8.0</v>
      </c>
      <c r="IX51" s="394">
        <v>8.0</v>
      </c>
      <c r="IY51" s="394">
        <v>8.0</v>
      </c>
      <c r="IZ51" s="403" t="s">
        <v>165</v>
      </c>
      <c r="JA51" s="403" t="s">
        <v>165</v>
      </c>
      <c r="JB51" s="394">
        <v>8.0</v>
      </c>
      <c r="JC51" s="394">
        <v>8.0</v>
      </c>
      <c r="JD51" s="394">
        <v>8.0</v>
      </c>
      <c r="JE51" s="394">
        <v>8.0</v>
      </c>
      <c r="JF51" s="394">
        <v>8.0</v>
      </c>
      <c r="JG51" s="400">
        <f t="shared" si="3"/>
        <v>158.5</v>
      </c>
      <c r="JI51" s="403" t="s">
        <v>165</v>
      </c>
      <c r="JJ51" s="403" t="s">
        <v>165</v>
      </c>
      <c r="JK51" s="394">
        <v>8.0</v>
      </c>
      <c r="JL51" s="394">
        <v>8.0</v>
      </c>
      <c r="JM51" s="394">
        <v>8.0</v>
      </c>
      <c r="JN51" s="394">
        <v>8.0</v>
      </c>
      <c r="JO51" s="394">
        <v>8.0</v>
      </c>
      <c r="JP51" s="403" t="s">
        <v>165</v>
      </c>
      <c r="JQ51" s="403" t="s">
        <v>165</v>
      </c>
      <c r="JR51" s="394">
        <v>8.0</v>
      </c>
      <c r="JS51" s="394">
        <v>8.0</v>
      </c>
      <c r="JT51" s="394">
        <v>8.0</v>
      </c>
      <c r="JU51" s="394">
        <v>8.0</v>
      </c>
      <c r="JV51" s="394">
        <v>8.0</v>
      </c>
      <c r="JW51" s="403" t="s">
        <v>165</v>
      </c>
      <c r="JX51" s="403" t="s">
        <v>165</v>
      </c>
      <c r="JY51" s="394">
        <v>8.0</v>
      </c>
      <c r="JZ51" s="394">
        <v>8.0</v>
      </c>
      <c r="KA51" s="394">
        <v>8.0</v>
      </c>
      <c r="KB51" s="394">
        <v>8.0</v>
      </c>
      <c r="KC51" s="394">
        <v>8.0</v>
      </c>
      <c r="KD51" s="403" t="s">
        <v>165</v>
      </c>
      <c r="KE51" s="403" t="s">
        <v>165</v>
      </c>
      <c r="KF51" s="394">
        <v>8.0</v>
      </c>
      <c r="KG51" s="394">
        <v>8.0</v>
      </c>
      <c r="KH51" s="394">
        <v>8.0</v>
      </c>
      <c r="KI51" s="394">
        <v>8.0</v>
      </c>
      <c r="KJ51" s="394">
        <v>8.0</v>
      </c>
      <c r="KK51" s="403" t="s">
        <v>165</v>
      </c>
      <c r="KL51" s="403" t="s">
        <v>165</v>
      </c>
      <c r="KM51" s="394">
        <v>8.0</v>
      </c>
      <c r="KN51" s="145">
        <f t="shared" si="4"/>
        <v>168</v>
      </c>
      <c r="KP51" s="400"/>
      <c r="KQ51" s="400"/>
      <c r="KR51" s="400"/>
      <c r="KS51" s="400"/>
      <c r="KT51" s="400"/>
      <c r="KU51" s="400"/>
      <c r="KV51" s="400"/>
      <c r="KW51" s="400"/>
      <c r="KX51" s="400"/>
      <c r="KY51" s="400"/>
      <c r="KZ51" s="400"/>
      <c r="LA51" s="400"/>
      <c r="LB51" s="400"/>
      <c r="LC51" s="400"/>
      <c r="LD51" s="400"/>
      <c r="LE51" s="400"/>
      <c r="LF51" s="400"/>
      <c r="LG51" s="400"/>
      <c r="LH51" s="400"/>
      <c r="LI51" s="400"/>
      <c r="LJ51" s="400"/>
      <c r="LK51" s="400"/>
      <c r="LL51" s="400"/>
      <c r="LM51" s="400"/>
      <c r="LN51" s="400"/>
      <c r="LO51" s="400"/>
      <c r="LP51" s="400"/>
      <c r="LQ51" s="400"/>
      <c r="LR51" s="400"/>
      <c r="LT51" s="400"/>
      <c r="LU51" s="400"/>
      <c r="LV51" s="400"/>
      <c r="LW51" s="400"/>
      <c r="LX51" s="400"/>
      <c r="LY51" s="400"/>
      <c r="LZ51" s="400"/>
      <c r="MA51" s="400"/>
      <c r="MB51" s="400"/>
      <c r="MC51" s="400"/>
      <c r="MD51" s="400"/>
      <c r="ME51" s="400"/>
      <c r="MF51" s="400"/>
      <c r="MG51" s="400"/>
      <c r="MH51" s="400"/>
      <c r="MI51" s="400"/>
      <c r="MJ51" s="400"/>
      <c r="MK51" s="400"/>
      <c r="ML51" s="400"/>
      <c r="MM51" s="400"/>
      <c r="MN51" s="400"/>
      <c r="MO51" s="400"/>
      <c r="MP51" s="400"/>
      <c r="MQ51" s="400"/>
      <c r="MR51" s="400"/>
      <c r="MS51" s="400"/>
    </row>
    <row r="52">
      <c r="A52" s="393" t="s">
        <v>1301</v>
      </c>
      <c r="B52" s="394" t="s">
        <v>88</v>
      </c>
      <c r="C52" s="394" t="s">
        <v>98</v>
      </c>
      <c r="D52" s="395">
        <f t="shared" si="1"/>
        <v>0</v>
      </c>
      <c r="E52" s="396" t="s">
        <v>1250</v>
      </c>
      <c r="F52" s="397">
        <f>IFERROR(__xludf.DUMMYFUNCTION("IF(A52="""","""", counta(filter(Filter(FILTER($H$4:$PI76,$H$1:$PI$1&lt;today()),$A$4:$A76=A52),not(istext(Filter(FILTER($H$4:$PI76,$H$1:$PI$1&lt;today()),$A$4:$A76=A52))),not(Filter(FILTER($H$4:$PI76,$H$1:$PI$1&lt;today()),$A$4:$A76=A52)=0),Filter(FILTER($H$4:$PI7"&amp;"6,$H$1:$PI$1&lt;today()),$A$4:$A76=A52)&lt;23)))"),20.0)</f>
        <v>20</v>
      </c>
      <c r="H52" s="394"/>
      <c r="I52" s="394"/>
      <c r="J52" s="394"/>
      <c r="K52" s="394"/>
      <c r="L52" s="394"/>
      <c r="M52" s="394"/>
      <c r="N52" s="394"/>
      <c r="O52" s="394"/>
      <c r="P52" s="394"/>
      <c r="Q52" s="394"/>
      <c r="R52" s="394"/>
      <c r="S52" s="394"/>
      <c r="T52" s="394"/>
      <c r="U52" s="394"/>
      <c r="V52" s="394"/>
      <c r="W52" s="394"/>
      <c r="X52" s="394"/>
      <c r="Y52" s="394"/>
      <c r="Z52" s="394"/>
      <c r="AA52" s="394"/>
      <c r="AB52" s="394"/>
      <c r="AC52" s="394"/>
      <c r="AD52" s="394"/>
      <c r="AE52" s="394"/>
      <c r="AF52" s="394"/>
      <c r="AG52" s="394"/>
      <c r="AH52" s="394"/>
      <c r="AI52" s="394"/>
      <c r="AJ52" s="394"/>
      <c r="AK52" s="394"/>
      <c r="AL52" s="394"/>
      <c r="AM52" s="397"/>
      <c r="AO52" s="400"/>
      <c r="AP52" s="400"/>
      <c r="AQ52" s="400"/>
      <c r="AR52" s="400"/>
      <c r="AS52" s="400"/>
      <c r="AT52" s="400"/>
      <c r="AU52" s="394"/>
      <c r="AV52" s="400"/>
      <c r="AW52" s="400"/>
      <c r="AX52" s="394"/>
      <c r="AY52" s="400"/>
      <c r="AZ52" s="400"/>
      <c r="BA52" s="394"/>
      <c r="BB52" s="400"/>
      <c r="BC52" s="400"/>
      <c r="BD52" s="400"/>
      <c r="BE52" s="400"/>
      <c r="BF52" s="400"/>
      <c r="BG52" s="400"/>
      <c r="BH52" s="400"/>
      <c r="BI52" s="400"/>
      <c r="BJ52" s="400"/>
      <c r="BK52" s="400"/>
      <c r="BL52" s="400"/>
      <c r="BM52" s="400"/>
      <c r="BN52" s="400"/>
      <c r="BO52" s="400"/>
      <c r="BP52" s="400"/>
      <c r="BQ52" s="400"/>
      <c r="BR52" s="400"/>
      <c r="BS52" s="400"/>
      <c r="BU52" s="400"/>
      <c r="BV52" s="400"/>
      <c r="BW52" s="400"/>
      <c r="BX52" s="400"/>
      <c r="BY52" s="400"/>
      <c r="BZ52" s="400"/>
      <c r="CA52" s="400"/>
      <c r="CB52" s="400"/>
      <c r="CC52" s="400"/>
      <c r="CD52" s="400"/>
      <c r="CE52" s="400"/>
      <c r="CF52" s="400"/>
      <c r="CG52" s="400"/>
      <c r="CH52" s="400"/>
      <c r="CI52" s="400"/>
      <c r="CJ52" s="400"/>
      <c r="CK52" s="400"/>
      <c r="CL52" s="400"/>
      <c r="CM52" s="400"/>
      <c r="CN52" s="400"/>
      <c r="CO52" s="400"/>
      <c r="CP52" s="400"/>
      <c r="CQ52" s="400"/>
      <c r="CR52" s="400"/>
      <c r="CS52" s="400"/>
      <c r="CT52" s="400"/>
      <c r="CU52" s="400"/>
      <c r="CV52" s="400"/>
      <c r="CW52" s="400"/>
      <c r="CX52" s="400"/>
      <c r="CY52" s="400"/>
      <c r="CZ52" s="400"/>
      <c r="DB52" s="400"/>
      <c r="DC52" s="400"/>
      <c r="DD52" s="400"/>
      <c r="DE52" s="400"/>
      <c r="DF52" s="400"/>
      <c r="DG52" s="400"/>
      <c r="DH52" s="400"/>
      <c r="DI52" s="400"/>
      <c r="DJ52" s="400"/>
      <c r="DK52" s="400"/>
      <c r="DL52" s="400"/>
      <c r="DM52" s="400"/>
      <c r="DN52" s="400"/>
      <c r="DO52" s="400"/>
      <c r="DP52" s="400"/>
      <c r="DQ52" s="400"/>
      <c r="DR52" s="400"/>
      <c r="DS52" s="400"/>
      <c r="DT52" s="400"/>
      <c r="DU52" s="400"/>
      <c r="DV52" s="400"/>
      <c r="DW52" s="400"/>
      <c r="DX52" s="400"/>
      <c r="DY52" s="400"/>
      <c r="DZ52" s="400"/>
      <c r="EA52" s="400"/>
      <c r="EB52" s="400"/>
      <c r="EC52" s="400"/>
      <c r="ED52" s="400"/>
      <c r="EE52" s="400"/>
      <c r="EF52" s="400"/>
      <c r="EG52" s="401"/>
      <c r="EI52" s="400"/>
      <c r="EJ52" s="400"/>
      <c r="EK52" s="400"/>
      <c r="EL52" s="400"/>
      <c r="EM52" s="400"/>
      <c r="EN52" s="400"/>
      <c r="EO52" s="400"/>
      <c r="EP52" s="400"/>
      <c r="EQ52" s="400"/>
      <c r="ER52" s="400"/>
      <c r="ES52" s="400"/>
      <c r="ET52" s="400"/>
      <c r="EU52" s="400"/>
      <c r="EV52" s="400"/>
      <c r="EW52" s="400"/>
      <c r="EX52" s="400"/>
      <c r="EY52" s="400"/>
      <c r="EZ52" s="400"/>
      <c r="FA52" s="400"/>
      <c r="FB52" s="400"/>
      <c r="FC52" s="400"/>
      <c r="FD52" s="400"/>
      <c r="FE52" s="400"/>
      <c r="FF52" s="400"/>
      <c r="FG52" s="400"/>
      <c r="FH52" s="400"/>
      <c r="FI52" s="400"/>
      <c r="FJ52" s="400"/>
      <c r="FK52" s="400"/>
      <c r="FL52" s="400"/>
      <c r="FM52" s="400"/>
      <c r="FO52" s="400"/>
      <c r="FP52" s="400"/>
      <c r="FQ52" s="400"/>
      <c r="FR52" s="400"/>
      <c r="FS52" s="400"/>
      <c r="FT52" s="400"/>
      <c r="FU52" s="400"/>
      <c r="FV52" s="400"/>
      <c r="FW52" s="400"/>
      <c r="FX52" s="400"/>
      <c r="FY52" s="400"/>
      <c r="FZ52" s="400"/>
      <c r="GA52" s="400"/>
      <c r="GB52" s="400"/>
      <c r="GC52" s="400"/>
      <c r="GD52" s="400"/>
      <c r="GE52" s="400"/>
      <c r="GF52" s="400"/>
      <c r="GG52" s="400"/>
      <c r="GH52" s="400"/>
      <c r="GI52" s="400"/>
      <c r="GJ52" s="400"/>
      <c r="GK52" s="400"/>
      <c r="GL52" s="400"/>
      <c r="GM52" s="400"/>
      <c r="GN52" s="400"/>
      <c r="GO52" s="400"/>
      <c r="GP52" s="400"/>
      <c r="GQ52" s="400"/>
      <c r="GR52" s="400"/>
      <c r="GS52" s="400"/>
      <c r="GT52" s="400"/>
      <c r="GV52" s="400"/>
      <c r="GW52" s="400"/>
      <c r="GX52" s="400"/>
      <c r="GY52" s="400"/>
      <c r="GZ52" s="400"/>
      <c r="HA52" s="400"/>
      <c r="HB52" s="400"/>
      <c r="HC52" s="400"/>
      <c r="HD52" s="400"/>
      <c r="HE52" s="400"/>
      <c r="HF52" s="400"/>
      <c r="HG52" s="400"/>
      <c r="HH52" s="400"/>
      <c r="HI52" s="400"/>
      <c r="HJ52" s="400"/>
      <c r="HK52" s="400"/>
      <c r="HL52" s="400"/>
      <c r="HM52" s="400"/>
      <c r="HN52" s="400"/>
      <c r="HO52" s="400"/>
      <c r="HP52" s="400"/>
      <c r="HQ52" s="400"/>
      <c r="HR52" s="400"/>
      <c r="HS52" s="400"/>
      <c r="HT52" s="400"/>
      <c r="HU52" s="400"/>
      <c r="HV52" s="400"/>
      <c r="HW52" s="400"/>
      <c r="HX52" s="400"/>
      <c r="HY52" s="400"/>
      <c r="HZ52" s="400"/>
      <c r="IB52" s="394" t="s">
        <v>166</v>
      </c>
      <c r="IC52" s="394" t="s">
        <v>166</v>
      </c>
      <c r="ID52" s="394" t="s">
        <v>166</v>
      </c>
      <c r="IE52" s="394" t="s">
        <v>166</v>
      </c>
      <c r="IF52" s="394" t="s">
        <v>166</v>
      </c>
      <c r="IG52" s="394">
        <v>8.0</v>
      </c>
      <c r="IH52" s="394">
        <v>8.0</v>
      </c>
      <c r="II52" s="394">
        <v>8.0</v>
      </c>
      <c r="IJ52" s="394">
        <v>8.0</v>
      </c>
      <c r="IK52" s="394">
        <v>8.0</v>
      </c>
      <c r="IL52" s="403" t="s">
        <v>165</v>
      </c>
      <c r="IM52" s="403" t="s">
        <v>165</v>
      </c>
      <c r="IN52" s="394">
        <v>8.0</v>
      </c>
      <c r="IO52" s="394">
        <v>8.0</v>
      </c>
      <c r="IP52" s="394">
        <v>8.0</v>
      </c>
      <c r="IQ52" s="394">
        <v>8.0</v>
      </c>
      <c r="IR52" s="394">
        <v>8.0</v>
      </c>
      <c r="IS52" s="403" t="s">
        <v>165</v>
      </c>
      <c r="IT52" s="403" t="s">
        <v>165</v>
      </c>
      <c r="IU52" s="394">
        <v>8.0</v>
      </c>
      <c r="IV52" s="394">
        <v>8.0</v>
      </c>
      <c r="IW52" s="394">
        <v>8.0</v>
      </c>
      <c r="IX52" s="394">
        <v>8.0</v>
      </c>
      <c r="IY52" s="394">
        <v>8.0</v>
      </c>
      <c r="IZ52" s="403" t="s">
        <v>165</v>
      </c>
      <c r="JA52" s="403" t="s">
        <v>165</v>
      </c>
      <c r="JB52" s="394">
        <v>8.0</v>
      </c>
      <c r="JC52" s="394">
        <v>8.0</v>
      </c>
      <c r="JD52" s="394">
        <v>12.0</v>
      </c>
      <c r="JE52" s="394">
        <v>12.0</v>
      </c>
      <c r="JF52" s="394" t="s">
        <v>245</v>
      </c>
      <c r="JG52" s="400">
        <f t="shared" si="3"/>
        <v>160</v>
      </c>
      <c r="JI52" s="403" t="s">
        <v>165</v>
      </c>
      <c r="JJ52" s="403" t="s">
        <v>165</v>
      </c>
      <c r="JK52" s="394">
        <v>8.0</v>
      </c>
      <c r="JL52" s="394">
        <v>8.0</v>
      </c>
      <c r="JM52" s="394">
        <v>8.0</v>
      </c>
      <c r="JN52" s="394">
        <v>8.0</v>
      </c>
      <c r="JO52" s="394">
        <v>8.0</v>
      </c>
      <c r="JP52" s="403" t="s">
        <v>165</v>
      </c>
      <c r="JQ52" s="403" t="s">
        <v>165</v>
      </c>
      <c r="JR52" s="394">
        <v>8.0</v>
      </c>
      <c r="JS52" s="394">
        <v>8.0</v>
      </c>
      <c r="JT52" s="394">
        <v>8.0</v>
      </c>
      <c r="JU52" s="394">
        <v>8.0</v>
      </c>
      <c r="JV52" s="394">
        <v>8.0</v>
      </c>
      <c r="JW52" s="403" t="s">
        <v>165</v>
      </c>
      <c r="JX52" s="403" t="s">
        <v>165</v>
      </c>
      <c r="JY52" s="394">
        <v>8.0</v>
      </c>
      <c r="JZ52" s="394">
        <v>8.0</v>
      </c>
      <c r="KA52" s="394">
        <v>8.0</v>
      </c>
      <c r="KB52" s="394">
        <v>8.0</v>
      </c>
      <c r="KC52" s="394">
        <v>8.0</v>
      </c>
      <c r="KD52" s="403" t="s">
        <v>165</v>
      </c>
      <c r="KE52" s="403" t="s">
        <v>165</v>
      </c>
      <c r="KF52" s="394">
        <v>8.0</v>
      </c>
      <c r="KG52" s="394">
        <v>8.0</v>
      </c>
      <c r="KH52" s="394">
        <v>8.0</v>
      </c>
      <c r="KI52" s="394">
        <v>8.0</v>
      </c>
      <c r="KJ52" s="394">
        <v>8.0</v>
      </c>
      <c r="KK52" s="403" t="s">
        <v>165</v>
      </c>
      <c r="KL52" s="403" t="s">
        <v>165</v>
      </c>
      <c r="KM52" s="394">
        <v>8.0</v>
      </c>
      <c r="KN52" s="145">
        <f t="shared" si="4"/>
        <v>168</v>
      </c>
      <c r="KP52" s="400"/>
      <c r="KQ52" s="400"/>
      <c r="KR52" s="400"/>
      <c r="KS52" s="400"/>
      <c r="KT52" s="400"/>
      <c r="KU52" s="400"/>
      <c r="KV52" s="400"/>
      <c r="KW52" s="400"/>
      <c r="KX52" s="400"/>
      <c r="KY52" s="400"/>
      <c r="KZ52" s="400"/>
      <c r="LA52" s="400"/>
      <c r="LB52" s="400"/>
      <c r="LC52" s="400"/>
      <c r="LD52" s="400"/>
      <c r="LE52" s="400"/>
      <c r="LF52" s="400"/>
      <c r="LG52" s="400"/>
      <c r="LH52" s="400"/>
      <c r="LI52" s="400"/>
      <c r="LJ52" s="400"/>
      <c r="LK52" s="400"/>
      <c r="LL52" s="400"/>
      <c r="LM52" s="400"/>
      <c r="LN52" s="400"/>
      <c r="LO52" s="400"/>
      <c r="LP52" s="400"/>
      <c r="LQ52" s="400"/>
      <c r="LR52" s="400"/>
      <c r="LT52" s="400"/>
      <c r="LU52" s="400"/>
      <c r="LV52" s="400"/>
      <c r="LW52" s="400"/>
      <c r="LX52" s="400"/>
      <c r="LY52" s="400"/>
      <c r="LZ52" s="400"/>
      <c r="MA52" s="400"/>
      <c r="MB52" s="400"/>
      <c r="MC52" s="400"/>
      <c r="MD52" s="400"/>
      <c r="ME52" s="400"/>
      <c r="MF52" s="400"/>
      <c r="MG52" s="400"/>
      <c r="MH52" s="400"/>
      <c r="MI52" s="400"/>
      <c r="MJ52" s="400"/>
      <c r="MK52" s="400"/>
      <c r="ML52" s="400"/>
      <c r="MM52" s="400"/>
      <c r="MN52" s="400"/>
      <c r="MO52" s="400"/>
      <c r="MP52" s="400"/>
      <c r="MQ52" s="400"/>
      <c r="MR52" s="400"/>
      <c r="MS52" s="400"/>
    </row>
    <row r="53">
      <c r="A53" s="393" t="s">
        <v>1302</v>
      </c>
      <c r="B53" s="394" t="s">
        <v>88</v>
      </c>
      <c r="C53" s="394" t="s">
        <v>98</v>
      </c>
      <c r="D53" s="395">
        <f t="shared" si="1"/>
        <v>0</v>
      </c>
      <c r="E53" s="431" t="s">
        <v>1259</v>
      </c>
      <c r="F53" s="397">
        <f>IFERROR(__xludf.DUMMYFUNCTION("IF(A53="""","""", counta(filter(Filter(FILTER($H$4:$PI76,$H$1:$PI$1&lt;today()),$A$4:$A76=A53),not(istext(Filter(FILTER($H$4:$PI76,$H$1:$PI$1&lt;today()),$A$4:$A76=A53))),not(Filter(FILTER($H$4:$PI76,$H$1:$PI$1&lt;today()),$A$4:$A76=A53)=0),Filter(FILTER($H$4:$PI7"&amp;"6,$H$1:$PI$1&lt;today()),$A$4:$A76=A53)&lt;23)))"),20.0)</f>
        <v>20</v>
      </c>
      <c r="H53" s="394"/>
      <c r="I53" s="394"/>
      <c r="J53" s="394"/>
      <c r="K53" s="394"/>
      <c r="L53" s="394"/>
      <c r="M53" s="394"/>
      <c r="N53" s="394"/>
      <c r="O53" s="394"/>
      <c r="P53" s="394"/>
      <c r="Q53" s="394"/>
      <c r="R53" s="394"/>
      <c r="S53" s="394"/>
      <c r="T53" s="394"/>
      <c r="U53" s="394"/>
      <c r="V53" s="394"/>
      <c r="W53" s="394"/>
      <c r="X53" s="394"/>
      <c r="Y53" s="394"/>
      <c r="Z53" s="394"/>
      <c r="AA53" s="394"/>
      <c r="AB53" s="394"/>
      <c r="AC53" s="394"/>
      <c r="AD53" s="394"/>
      <c r="AE53" s="394"/>
      <c r="AF53" s="394"/>
      <c r="AG53" s="394"/>
      <c r="AH53" s="394"/>
      <c r="AI53" s="394"/>
      <c r="AJ53" s="394"/>
      <c r="AK53" s="394"/>
      <c r="AL53" s="394"/>
      <c r="AM53" s="397"/>
      <c r="AO53" s="400"/>
      <c r="AP53" s="400"/>
      <c r="AQ53" s="400"/>
      <c r="AR53" s="400"/>
      <c r="AS53" s="400"/>
      <c r="AT53" s="400"/>
      <c r="AU53" s="394"/>
      <c r="AV53" s="400"/>
      <c r="AW53" s="400"/>
      <c r="AX53" s="394"/>
      <c r="AY53" s="400"/>
      <c r="AZ53" s="400"/>
      <c r="BA53" s="394"/>
      <c r="BB53" s="400"/>
      <c r="BC53" s="400"/>
      <c r="BD53" s="400"/>
      <c r="BE53" s="400"/>
      <c r="BF53" s="400"/>
      <c r="BG53" s="400"/>
      <c r="BH53" s="400"/>
      <c r="BI53" s="400"/>
      <c r="BJ53" s="400"/>
      <c r="BK53" s="400"/>
      <c r="BL53" s="400"/>
      <c r="BM53" s="400"/>
      <c r="BN53" s="400"/>
      <c r="BO53" s="400"/>
      <c r="BP53" s="400"/>
      <c r="BQ53" s="400"/>
      <c r="BR53" s="400"/>
      <c r="BS53" s="400"/>
      <c r="BU53" s="400"/>
      <c r="BV53" s="400"/>
      <c r="BW53" s="400"/>
      <c r="BX53" s="400"/>
      <c r="BY53" s="400"/>
      <c r="BZ53" s="400"/>
      <c r="CA53" s="400"/>
      <c r="CB53" s="400"/>
      <c r="CC53" s="400"/>
      <c r="CD53" s="400"/>
      <c r="CE53" s="400"/>
      <c r="CF53" s="400"/>
      <c r="CG53" s="400"/>
      <c r="CH53" s="400"/>
      <c r="CI53" s="400"/>
      <c r="CJ53" s="400"/>
      <c r="CK53" s="400"/>
      <c r="CL53" s="400"/>
      <c r="CM53" s="400"/>
      <c r="CN53" s="400"/>
      <c r="CO53" s="400"/>
      <c r="CP53" s="400"/>
      <c r="CQ53" s="400"/>
      <c r="CR53" s="400"/>
      <c r="CS53" s="400"/>
      <c r="CT53" s="400"/>
      <c r="CU53" s="400"/>
      <c r="CV53" s="400"/>
      <c r="CW53" s="400"/>
      <c r="CX53" s="400"/>
      <c r="CY53" s="400"/>
      <c r="CZ53" s="400"/>
      <c r="DB53" s="400"/>
      <c r="DC53" s="400"/>
      <c r="DD53" s="400"/>
      <c r="DE53" s="400"/>
      <c r="DF53" s="400"/>
      <c r="DG53" s="400"/>
      <c r="DH53" s="400"/>
      <c r="DI53" s="400"/>
      <c r="DJ53" s="400"/>
      <c r="DK53" s="400"/>
      <c r="DL53" s="400"/>
      <c r="DM53" s="400"/>
      <c r="DN53" s="400"/>
      <c r="DO53" s="400"/>
      <c r="DP53" s="400"/>
      <c r="DQ53" s="400"/>
      <c r="DR53" s="400"/>
      <c r="DS53" s="400"/>
      <c r="DT53" s="400"/>
      <c r="DU53" s="400"/>
      <c r="DV53" s="400"/>
      <c r="DW53" s="400"/>
      <c r="DX53" s="400"/>
      <c r="DY53" s="400"/>
      <c r="DZ53" s="400"/>
      <c r="EA53" s="400"/>
      <c r="EB53" s="400"/>
      <c r="EC53" s="400"/>
      <c r="ED53" s="400"/>
      <c r="EE53" s="400"/>
      <c r="EF53" s="400"/>
      <c r="EG53" s="401"/>
      <c r="EI53" s="400"/>
      <c r="EJ53" s="400"/>
      <c r="EK53" s="400"/>
      <c r="EL53" s="400"/>
      <c r="EM53" s="400"/>
      <c r="EN53" s="400"/>
      <c r="EO53" s="400"/>
      <c r="EP53" s="400"/>
      <c r="EQ53" s="400"/>
      <c r="ER53" s="400"/>
      <c r="ES53" s="400"/>
      <c r="ET53" s="400"/>
      <c r="EU53" s="400"/>
      <c r="EV53" s="400"/>
      <c r="EW53" s="400"/>
      <c r="EX53" s="400"/>
      <c r="EY53" s="400"/>
      <c r="EZ53" s="400"/>
      <c r="FA53" s="400"/>
      <c r="FB53" s="400"/>
      <c r="FC53" s="400"/>
      <c r="FD53" s="400"/>
      <c r="FE53" s="400"/>
      <c r="FF53" s="400"/>
      <c r="FG53" s="400"/>
      <c r="FH53" s="400"/>
      <c r="FI53" s="400"/>
      <c r="FJ53" s="400"/>
      <c r="FK53" s="400"/>
      <c r="FL53" s="400"/>
      <c r="FM53" s="400"/>
      <c r="FO53" s="400"/>
      <c r="FP53" s="400"/>
      <c r="FQ53" s="400"/>
      <c r="FR53" s="400"/>
      <c r="FS53" s="400"/>
      <c r="FT53" s="400"/>
      <c r="FU53" s="400"/>
      <c r="FV53" s="400"/>
      <c r="FW53" s="400"/>
      <c r="FX53" s="400"/>
      <c r="FY53" s="400"/>
      <c r="FZ53" s="400"/>
      <c r="GA53" s="400"/>
      <c r="GB53" s="400"/>
      <c r="GC53" s="400"/>
      <c r="GD53" s="400"/>
      <c r="GE53" s="400"/>
      <c r="GF53" s="400"/>
      <c r="GG53" s="400"/>
      <c r="GH53" s="400"/>
      <c r="GI53" s="400"/>
      <c r="GJ53" s="400"/>
      <c r="GK53" s="400"/>
      <c r="GL53" s="400"/>
      <c r="GM53" s="400"/>
      <c r="GN53" s="400"/>
      <c r="GO53" s="400"/>
      <c r="GP53" s="400"/>
      <c r="GQ53" s="400"/>
      <c r="GR53" s="400"/>
      <c r="GS53" s="400"/>
      <c r="GT53" s="400"/>
      <c r="GV53" s="400"/>
      <c r="GW53" s="400"/>
      <c r="GX53" s="400"/>
      <c r="GY53" s="400"/>
      <c r="GZ53" s="400"/>
      <c r="HA53" s="400"/>
      <c r="HB53" s="400"/>
      <c r="HC53" s="400"/>
      <c r="HD53" s="400"/>
      <c r="HE53" s="400"/>
      <c r="HF53" s="400"/>
      <c r="HG53" s="400"/>
      <c r="HH53" s="400"/>
      <c r="HI53" s="400"/>
      <c r="HJ53" s="400"/>
      <c r="HK53" s="400"/>
      <c r="HL53" s="400"/>
      <c r="HM53" s="400"/>
      <c r="HN53" s="400"/>
      <c r="HO53" s="400"/>
      <c r="HP53" s="400"/>
      <c r="HQ53" s="400"/>
      <c r="HR53" s="400"/>
      <c r="HS53" s="400"/>
      <c r="HT53" s="400"/>
      <c r="HU53" s="400"/>
      <c r="HV53" s="400"/>
      <c r="HW53" s="400"/>
      <c r="HX53" s="400"/>
      <c r="HY53" s="400"/>
      <c r="HZ53" s="400"/>
      <c r="IB53" s="394" t="s">
        <v>166</v>
      </c>
      <c r="IC53" s="394" t="s">
        <v>166</v>
      </c>
      <c r="ID53" s="394" t="s">
        <v>166</v>
      </c>
      <c r="IE53" s="394" t="s">
        <v>166</v>
      </c>
      <c r="IF53" s="394" t="s">
        <v>166</v>
      </c>
      <c r="IG53" s="394" t="s">
        <v>166</v>
      </c>
      <c r="IH53" s="394">
        <v>8.0</v>
      </c>
      <c r="II53" s="394">
        <v>8.0</v>
      </c>
      <c r="IJ53" s="394">
        <v>8.0</v>
      </c>
      <c r="IK53" s="394">
        <v>8.0</v>
      </c>
      <c r="IL53" s="403" t="s">
        <v>165</v>
      </c>
      <c r="IM53" s="403" t="s">
        <v>165</v>
      </c>
      <c r="IN53" s="394">
        <v>8.0</v>
      </c>
      <c r="IO53" s="394">
        <v>8.0</v>
      </c>
      <c r="IP53" s="394">
        <v>8.0</v>
      </c>
      <c r="IQ53" s="394">
        <v>8.0</v>
      </c>
      <c r="IR53" s="394">
        <v>8.0</v>
      </c>
      <c r="IS53" s="403" t="s">
        <v>165</v>
      </c>
      <c r="IT53" s="403" t="s">
        <v>165</v>
      </c>
      <c r="IU53" s="394">
        <v>8.0</v>
      </c>
      <c r="IV53" s="394">
        <v>8.0</v>
      </c>
      <c r="IW53" s="394">
        <v>8.0</v>
      </c>
      <c r="IX53" s="394">
        <v>8.0</v>
      </c>
      <c r="IY53" s="394">
        <v>8.0</v>
      </c>
      <c r="IZ53" s="403" t="s">
        <v>165</v>
      </c>
      <c r="JA53" s="403" t="s">
        <v>165</v>
      </c>
      <c r="JB53" s="394">
        <v>8.0</v>
      </c>
      <c r="JC53" s="394">
        <v>8.0</v>
      </c>
      <c r="JD53" s="394">
        <v>8.0</v>
      </c>
      <c r="JE53" s="394">
        <v>8.0</v>
      </c>
      <c r="JF53" s="394">
        <v>8.0</v>
      </c>
      <c r="JG53" s="400">
        <f t="shared" si="3"/>
        <v>152</v>
      </c>
      <c r="JI53" s="403" t="s">
        <v>165</v>
      </c>
      <c r="JJ53" s="403" t="s">
        <v>165</v>
      </c>
      <c r="JK53" s="394">
        <v>8.0</v>
      </c>
      <c r="JL53" s="394">
        <v>8.0</v>
      </c>
      <c r="JM53" s="394">
        <v>8.0</v>
      </c>
      <c r="JN53" s="394">
        <v>8.0</v>
      </c>
      <c r="JO53" s="394">
        <v>8.0</v>
      </c>
      <c r="JP53" s="403" t="s">
        <v>165</v>
      </c>
      <c r="JQ53" s="403" t="s">
        <v>165</v>
      </c>
      <c r="JR53" s="394">
        <v>8.0</v>
      </c>
      <c r="JS53" s="394">
        <v>8.0</v>
      </c>
      <c r="JT53" s="394">
        <v>8.0</v>
      </c>
      <c r="JU53" s="394">
        <v>8.0</v>
      </c>
      <c r="JV53" s="394">
        <v>8.0</v>
      </c>
      <c r="JW53" s="403" t="s">
        <v>165</v>
      </c>
      <c r="JX53" s="403" t="s">
        <v>165</v>
      </c>
      <c r="JY53" s="394">
        <v>8.0</v>
      </c>
      <c r="JZ53" s="394">
        <v>8.0</v>
      </c>
      <c r="KA53" s="394">
        <v>8.0</v>
      </c>
      <c r="KB53" s="394">
        <v>8.0</v>
      </c>
      <c r="KC53" s="394">
        <v>8.0</v>
      </c>
      <c r="KD53" s="403" t="s">
        <v>165</v>
      </c>
      <c r="KE53" s="403" t="s">
        <v>165</v>
      </c>
      <c r="KF53" s="394">
        <v>8.0</v>
      </c>
      <c r="KG53" s="394">
        <v>8.0</v>
      </c>
      <c r="KH53" s="394">
        <v>8.0</v>
      </c>
      <c r="KI53" s="394">
        <v>8.0</v>
      </c>
      <c r="KJ53" s="394">
        <v>8.0</v>
      </c>
      <c r="KK53" s="403" t="s">
        <v>165</v>
      </c>
      <c r="KL53" s="403" t="s">
        <v>165</v>
      </c>
      <c r="KM53" s="394">
        <v>8.0</v>
      </c>
      <c r="KN53" s="145">
        <f t="shared" si="4"/>
        <v>168</v>
      </c>
      <c r="KP53" s="400"/>
      <c r="KQ53" s="400"/>
      <c r="KR53" s="400"/>
      <c r="KS53" s="400"/>
      <c r="KT53" s="400"/>
      <c r="KU53" s="400"/>
      <c r="KV53" s="400"/>
      <c r="KW53" s="400"/>
      <c r="KX53" s="400"/>
      <c r="KY53" s="400"/>
      <c r="KZ53" s="400"/>
      <c r="LA53" s="400"/>
      <c r="LB53" s="400"/>
      <c r="LC53" s="400"/>
      <c r="LD53" s="400"/>
      <c r="LE53" s="400"/>
      <c r="LF53" s="400"/>
      <c r="LG53" s="400"/>
      <c r="LH53" s="400"/>
      <c r="LI53" s="400"/>
      <c r="LJ53" s="400"/>
      <c r="LK53" s="400"/>
      <c r="LL53" s="400"/>
      <c r="LM53" s="400"/>
      <c r="LN53" s="400"/>
      <c r="LO53" s="400"/>
      <c r="LP53" s="400"/>
      <c r="LQ53" s="400"/>
      <c r="LR53" s="400"/>
      <c r="LT53" s="400"/>
      <c r="LU53" s="400"/>
      <c r="LV53" s="400"/>
      <c r="LW53" s="400"/>
      <c r="LX53" s="400"/>
      <c r="LY53" s="400"/>
      <c r="LZ53" s="400"/>
      <c r="MA53" s="400"/>
      <c r="MB53" s="400"/>
      <c r="MC53" s="400"/>
      <c r="MD53" s="400"/>
      <c r="ME53" s="400"/>
      <c r="MF53" s="400"/>
      <c r="MG53" s="400"/>
      <c r="MH53" s="400"/>
      <c r="MI53" s="400"/>
      <c r="MJ53" s="400"/>
      <c r="MK53" s="400"/>
      <c r="ML53" s="400"/>
      <c r="MM53" s="400"/>
      <c r="MN53" s="400"/>
      <c r="MO53" s="400"/>
      <c r="MP53" s="400"/>
      <c r="MQ53" s="400"/>
      <c r="MR53" s="400"/>
      <c r="MS53" s="400"/>
    </row>
    <row r="54">
      <c r="A54" s="393" t="s">
        <v>272</v>
      </c>
      <c r="B54" s="394" t="s">
        <v>88</v>
      </c>
      <c r="C54" s="394" t="s">
        <v>98</v>
      </c>
      <c r="D54" s="395">
        <f t="shared" si="1"/>
        <v>0</v>
      </c>
      <c r="E54" s="396" t="s">
        <v>1250</v>
      </c>
      <c r="F54" s="397">
        <f>IFERROR(__xludf.DUMMYFUNCTION("IF(A54="""","""", counta(filter(Filter(FILTER($H$4:$PI76,$H$1:$PI$1&lt;today()),$A$4:$A76=A54),not(istext(Filter(FILTER($H$4:$PI76,$H$1:$PI$1&lt;today()),$A$4:$A76=A54))),not(Filter(FILTER($H$4:$PI76,$H$1:$PI$1&lt;today()),$A$4:$A76=A54)=0),Filter(FILTER($H$4:$PI7"&amp;"6,$H$1:$PI$1&lt;today()),$A$4:$A76=A54)&lt;23)))"),15.0)</f>
        <v>15</v>
      </c>
      <c r="H54" s="394"/>
      <c r="I54" s="394"/>
      <c r="J54" s="394"/>
      <c r="K54" s="394"/>
      <c r="L54" s="394"/>
      <c r="M54" s="394"/>
      <c r="N54" s="394"/>
      <c r="O54" s="394"/>
      <c r="P54" s="394"/>
      <c r="Q54" s="394"/>
      <c r="R54" s="394"/>
      <c r="S54" s="394"/>
      <c r="T54" s="394"/>
      <c r="U54" s="394"/>
      <c r="V54" s="394"/>
      <c r="W54" s="394"/>
      <c r="X54" s="394"/>
      <c r="Y54" s="394"/>
      <c r="Z54" s="394"/>
      <c r="AA54" s="394"/>
      <c r="AB54" s="394"/>
      <c r="AC54" s="394"/>
      <c r="AD54" s="394"/>
      <c r="AE54" s="394"/>
      <c r="AF54" s="394"/>
      <c r="AG54" s="394"/>
      <c r="AH54" s="394"/>
      <c r="AI54" s="394"/>
      <c r="AJ54" s="394"/>
      <c r="AK54" s="394"/>
      <c r="AL54" s="394"/>
      <c r="AM54" s="397"/>
      <c r="AO54" s="400"/>
      <c r="AP54" s="400"/>
      <c r="AQ54" s="400"/>
      <c r="AR54" s="400"/>
      <c r="AS54" s="400"/>
      <c r="AT54" s="400"/>
      <c r="AU54" s="394"/>
      <c r="AV54" s="400"/>
      <c r="AW54" s="400"/>
      <c r="AX54" s="394"/>
      <c r="AY54" s="400"/>
      <c r="AZ54" s="400"/>
      <c r="BA54" s="394"/>
      <c r="BB54" s="400"/>
      <c r="BC54" s="400"/>
      <c r="BD54" s="400"/>
      <c r="BE54" s="400"/>
      <c r="BF54" s="400"/>
      <c r="BG54" s="400"/>
      <c r="BH54" s="400"/>
      <c r="BI54" s="400"/>
      <c r="BJ54" s="400"/>
      <c r="BK54" s="400"/>
      <c r="BL54" s="400"/>
      <c r="BM54" s="400"/>
      <c r="BN54" s="400"/>
      <c r="BO54" s="400"/>
      <c r="BP54" s="400"/>
      <c r="BQ54" s="400"/>
      <c r="BR54" s="400"/>
      <c r="BS54" s="400"/>
      <c r="BU54" s="400"/>
      <c r="BV54" s="400"/>
      <c r="BW54" s="400"/>
      <c r="BX54" s="400"/>
      <c r="BY54" s="400"/>
      <c r="BZ54" s="400"/>
      <c r="CA54" s="400"/>
      <c r="CB54" s="400"/>
      <c r="CC54" s="400"/>
      <c r="CD54" s="400"/>
      <c r="CE54" s="400"/>
      <c r="CF54" s="400"/>
      <c r="CG54" s="400"/>
      <c r="CH54" s="400"/>
      <c r="CI54" s="400"/>
      <c r="CJ54" s="400"/>
      <c r="CK54" s="400"/>
      <c r="CL54" s="400"/>
      <c r="CM54" s="400"/>
      <c r="CN54" s="400"/>
      <c r="CO54" s="400"/>
      <c r="CP54" s="400"/>
      <c r="CQ54" s="400"/>
      <c r="CR54" s="400"/>
      <c r="CS54" s="400"/>
      <c r="CT54" s="400"/>
      <c r="CU54" s="400"/>
      <c r="CV54" s="400"/>
      <c r="CW54" s="400"/>
      <c r="CX54" s="400"/>
      <c r="CY54" s="400"/>
      <c r="CZ54" s="400"/>
      <c r="DB54" s="400"/>
      <c r="DC54" s="400"/>
      <c r="DD54" s="400"/>
      <c r="DE54" s="400"/>
      <c r="DF54" s="400"/>
      <c r="DG54" s="400"/>
      <c r="DH54" s="400"/>
      <c r="DI54" s="400"/>
      <c r="DJ54" s="400"/>
      <c r="DK54" s="400"/>
      <c r="DL54" s="400"/>
      <c r="DM54" s="400"/>
      <c r="DN54" s="400"/>
      <c r="DO54" s="400"/>
      <c r="DP54" s="400"/>
      <c r="DQ54" s="400"/>
      <c r="DR54" s="400"/>
      <c r="DS54" s="400"/>
      <c r="DT54" s="400"/>
      <c r="DU54" s="400"/>
      <c r="DV54" s="400"/>
      <c r="DW54" s="400"/>
      <c r="DX54" s="400"/>
      <c r="DY54" s="400"/>
      <c r="DZ54" s="400"/>
      <c r="EA54" s="400"/>
      <c r="EB54" s="400"/>
      <c r="EC54" s="400"/>
      <c r="ED54" s="400"/>
      <c r="EE54" s="400"/>
      <c r="EF54" s="400"/>
      <c r="EG54" s="401"/>
      <c r="EI54" s="400"/>
      <c r="EJ54" s="400"/>
      <c r="EK54" s="400"/>
      <c r="EL54" s="400"/>
      <c r="EM54" s="400"/>
      <c r="EN54" s="400"/>
      <c r="EO54" s="400"/>
      <c r="EP54" s="400"/>
      <c r="EQ54" s="400"/>
      <c r="ER54" s="400"/>
      <c r="ES54" s="400"/>
      <c r="ET54" s="400"/>
      <c r="EU54" s="400"/>
      <c r="EV54" s="400"/>
      <c r="EW54" s="400"/>
      <c r="EX54" s="400"/>
      <c r="EY54" s="400"/>
      <c r="EZ54" s="400"/>
      <c r="FA54" s="400"/>
      <c r="FB54" s="400"/>
      <c r="FC54" s="400"/>
      <c r="FD54" s="400"/>
      <c r="FE54" s="400"/>
      <c r="FF54" s="400"/>
      <c r="FG54" s="400"/>
      <c r="FH54" s="400"/>
      <c r="FI54" s="400"/>
      <c r="FJ54" s="400"/>
      <c r="FK54" s="400"/>
      <c r="FL54" s="400"/>
      <c r="FM54" s="400"/>
      <c r="FO54" s="400"/>
      <c r="FP54" s="400"/>
      <c r="FQ54" s="400"/>
      <c r="FR54" s="400"/>
      <c r="FS54" s="400"/>
      <c r="FT54" s="400"/>
      <c r="FU54" s="400"/>
      <c r="FV54" s="400"/>
      <c r="FW54" s="400"/>
      <c r="FX54" s="400"/>
      <c r="FY54" s="400"/>
      <c r="FZ54" s="400"/>
      <c r="GA54" s="400"/>
      <c r="GB54" s="400"/>
      <c r="GC54" s="400"/>
      <c r="GD54" s="400"/>
      <c r="GE54" s="400"/>
      <c r="GF54" s="400"/>
      <c r="GG54" s="400"/>
      <c r="GH54" s="400"/>
      <c r="GI54" s="400"/>
      <c r="GJ54" s="400"/>
      <c r="GK54" s="400"/>
      <c r="GL54" s="400"/>
      <c r="GM54" s="400"/>
      <c r="GN54" s="400"/>
      <c r="GO54" s="400"/>
      <c r="GP54" s="400"/>
      <c r="GQ54" s="400"/>
      <c r="GR54" s="400"/>
      <c r="GS54" s="400"/>
      <c r="GT54" s="400"/>
      <c r="GV54" s="400"/>
      <c r="GW54" s="400"/>
      <c r="GX54" s="400"/>
      <c r="GY54" s="400"/>
      <c r="GZ54" s="400"/>
      <c r="HA54" s="400"/>
      <c r="HB54" s="400"/>
      <c r="HC54" s="400"/>
      <c r="HD54" s="400"/>
      <c r="HE54" s="400"/>
      <c r="HF54" s="400"/>
      <c r="HG54" s="400"/>
      <c r="HH54" s="400"/>
      <c r="HI54" s="400"/>
      <c r="HJ54" s="400"/>
      <c r="HK54" s="400"/>
      <c r="HL54" s="400"/>
      <c r="HM54" s="400"/>
      <c r="HN54" s="400"/>
      <c r="HO54" s="400"/>
      <c r="HP54" s="400"/>
      <c r="HQ54" s="400"/>
      <c r="HR54" s="400"/>
      <c r="HS54" s="400"/>
      <c r="HT54" s="400"/>
      <c r="HU54" s="400"/>
      <c r="HV54" s="400"/>
      <c r="HW54" s="400"/>
      <c r="HX54" s="400"/>
      <c r="HY54" s="400"/>
      <c r="HZ54" s="400"/>
      <c r="IB54" s="394" t="s">
        <v>166</v>
      </c>
      <c r="IC54" s="394" t="s">
        <v>166</v>
      </c>
      <c r="ID54" s="394" t="s">
        <v>166</v>
      </c>
      <c r="IE54" s="394" t="s">
        <v>166</v>
      </c>
      <c r="IF54" s="394" t="s">
        <v>166</v>
      </c>
      <c r="IG54" s="394" t="s">
        <v>166</v>
      </c>
      <c r="IH54" s="394" t="s">
        <v>166</v>
      </c>
      <c r="II54" s="394" t="s">
        <v>166</v>
      </c>
      <c r="IJ54" s="394" t="s">
        <v>166</v>
      </c>
      <c r="IK54" s="394">
        <v>8.0</v>
      </c>
      <c r="IL54" s="403" t="s">
        <v>165</v>
      </c>
      <c r="IM54" s="403" t="s">
        <v>165</v>
      </c>
      <c r="IN54" s="394">
        <v>8.0</v>
      </c>
      <c r="IO54" s="394">
        <v>8.0</v>
      </c>
      <c r="IP54" s="394">
        <v>8.0</v>
      </c>
      <c r="IQ54" s="394">
        <v>8.0</v>
      </c>
      <c r="IR54" s="394">
        <v>8.0</v>
      </c>
      <c r="IS54" s="403" t="s">
        <v>165</v>
      </c>
      <c r="IT54" s="403" t="s">
        <v>165</v>
      </c>
      <c r="IU54" s="394">
        <v>8.0</v>
      </c>
      <c r="IV54" s="394">
        <v>8.0</v>
      </c>
      <c r="IW54" s="394">
        <v>8.0</v>
      </c>
      <c r="IX54" s="394">
        <v>8.0</v>
      </c>
      <c r="IY54" s="394">
        <v>8.0</v>
      </c>
      <c r="IZ54" s="403" t="s">
        <v>165</v>
      </c>
      <c r="JA54" s="403" t="s">
        <v>165</v>
      </c>
      <c r="JB54" s="394">
        <v>8.0</v>
      </c>
      <c r="JC54" s="394" t="s">
        <v>170</v>
      </c>
      <c r="JD54" s="394">
        <v>8.0</v>
      </c>
      <c r="JE54" s="394" t="s">
        <v>170</v>
      </c>
      <c r="JF54" s="394">
        <v>8.0</v>
      </c>
      <c r="JG54" s="400">
        <f t="shared" si="3"/>
        <v>112</v>
      </c>
      <c r="JI54" s="403" t="s">
        <v>165</v>
      </c>
      <c r="JJ54" s="403" t="s">
        <v>165</v>
      </c>
      <c r="JK54" s="394">
        <v>8.0</v>
      </c>
      <c r="JL54" s="394">
        <v>8.0</v>
      </c>
      <c r="JM54" s="394">
        <v>8.0</v>
      </c>
      <c r="JN54" s="394">
        <v>8.0</v>
      </c>
      <c r="JO54" s="394">
        <v>8.0</v>
      </c>
      <c r="JP54" s="403" t="s">
        <v>165</v>
      </c>
      <c r="JQ54" s="403" t="s">
        <v>165</v>
      </c>
      <c r="JR54" s="394">
        <v>8.0</v>
      </c>
      <c r="JS54" s="394">
        <v>8.0</v>
      </c>
      <c r="JT54" s="394">
        <v>8.0</v>
      </c>
      <c r="JU54" s="394">
        <v>8.0</v>
      </c>
      <c r="JV54" s="394">
        <v>8.0</v>
      </c>
      <c r="JW54" s="403" t="s">
        <v>165</v>
      </c>
      <c r="JX54" s="403" t="s">
        <v>165</v>
      </c>
      <c r="JY54" s="394">
        <v>8.0</v>
      </c>
      <c r="JZ54" s="394">
        <v>8.0</v>
      </c>
      <c r="KA54" s="394">
        <v>8.0</v>
      </c>
      <c r="KB54" s="394">
        <v>8.0</v>
      </c>
      <c r="KC54" s="394">
        <v>8.0</v>
      </c>
      <c r="KD54" s="403" t="s">
        <v>165</v>
      </c>
      <c r="KE54" s="403" t="s">
        <v>165</v>
      </c>
      <c r="KF54" s="394">
        <v>8.0</v>
      </c>
      <c r="KG54" s="394">
        <v>8.0</v>
      </c>
      <c r="KH54" s="394">
        <v>8.0</v>
      </c>
      <c r="KI54" s="394">
        <v>8.0</v>
      </c>
      <c r="KJ54" s="394">
        <v>8.0</v>
      </c>
      <c r="KK54" s="403" t="s">
        <v>165</v>
      </c>
      <c r="KL54" s="403" t="s">
        <v>165</v>
      </c>
      <c r="KM54" s="394">
        <v>8.0</v>
      </c>
      <c r="KN54" s="145">
        <f t="shared" si="4"/>
        <v>168</v>
      </c>
      <c r="KP54" s="400"/>
      <c r="KQ54" s="400"/>
      <c r="KR54" s="400"/>
      <c r="KS54" s="400"/>
      <c r="KT54" s="400"/>
      <c r="KU54" s="400"/>
      <c r="KV54" s="400"/>
      <c r="KW54" s="400"/>
      <c r="KX54" s="400"/>
      <c r="KY54" s="400"/>
      <c r="KZ54" s="400"/>
      <c r="LA54" s="400"/>
      <c r="LB54" s="400"/>
      <c r="LC54" s="400"/>
      <c r="LD54" s="400"/>
      <c r="LE54" s="400"/>
      <c r="LF54" s="400"/>
      <c r="LG54" s="400"/>
      <c r="LH54" s="400"/>
      <c r="LI54" s="400"/>
      <c r="LJ54" s="400"/>
      <c r="LK54" s="400"/>
      <c r="LL54" s="400"/>
      <c r="LM54" s="400"/>
      <c r="LN54" s="400"/>
      <c r="LO54" s="400"/>
      <c r="LP54" s="400"/>
      <c r="LQ54" s="400"/>
      <c r="LR54" s="400"/>
      <c r="LT54" s="400"/>
      <c r="LU54" s="400"/>
      <c r="LV54" s="400"/>
      <c r="LW54" s="400"/>
      <c r="LX54" s="400"/>
      <c r="LY54" s="400"/>
      <c r="LZ54" s="400"/>
      <c r="MA54" s="400"/>
      <c r="MB54" s="400"/>
      <c r="MC54" s="400"/>
      <c r="MD54" s="400"/>
      <c r="ME54" s="400"/>
      <c r="MF54" s="400"/>
      <c r="MG54" s="400"/>
      <c r="MH54" s="400"/>
      <c r="MI54" s="400"/>
      <c r="MJ54" s="400"/>
      <c r="MK54" s="400"/>
      <c r="ML54" s="400"/>
      <c r="MM54" s="400"/>
      <c r="MN54" s="400"/>
      <c r="MO54" s="400"/>
      <c r="MP54" s="400"/>
      <c r="MQ54" s="400"/>
      <c r="MR54" s="400"/>
      <c r="MS54" s="400"/>
    </row>
    <row r="55" hidden="1">
      <c r="A55" s="411" t="s">
        <v>1303</v>
      </c>
      <c r="B55" s="412" t="s">
        <v>91</v>
      </c>
      <c r="C55" s="412" t="s">
        <v>98</v>
      </c>
      <c r="D55" s="413">
        <f t="shared" si="1"/>
        <v>0</v>
      </c>
      <c r="E55" s="414" t="s">
        <v>1237</v>
      </c>
      <c r="F55" s="439">
        <f>IFERROR(__xludf.DUMMYFUNCTION("IF(A55="""","""", counta(filter(Filter(FILTER($H$4:$PI76,$H$1:$PI$1&lt;today()),$A$4:$A76=A55),not(istext(Filter(FILTER($H$4:$PI76,$H$1:$PI$1&lt;today()),$A$4:$A76=A55))),not(Filter(FILTER($H$4:$PI76,$H$1:$PI$1&lt;today()),$A$4:$A76=A55)=0),Filter(FILTER($H$4:$PI7"&amp;"6,$H$1:$PI$1&lt;today()),$A$4:$A76=A55)&lt;23)))"),11.0)</f>
        <v>11</v>
      </c>
      <c r="H55" s="412"/>
      <c r="I55" s="412"/>
      <c r="J55" s="412"/>
      <c r="K55" s="412"/>
      <c r="L55" s="412"/>
      <c r="M55" s="412"/>
      <c r="N55" s="412"/>
      <c r="O55" s="412"/>
      <c r="P55" s="412"/>
      <c r="Q55" s="412"/>
      <c r="R55" s="412"/>
      <c r="S55" s="412"/>
      <c r="T55" s="412"/>
      <c r="U55" s="412"/>
      <c r="V55" s="412"/>
      <c r="W55" s="412"/>
      <c r="X55" s="412"/>
      <c r="Y55" s="412"/>
      <c r="Z55" s="412"/>
      <c r="AA55" s="412"/>
      <c r="AB55" s="412"/>
      <c r="AC55" s="412"/>
      <c r="AD55" s="412"/>
      <c r="AE55" s="412"/>
      <c r="AF55" s="412"/>
      <c r="AG55" s="412"/>
      <c r="AH55" s="412"/>
      <c r="AI55" s="412"/>
      <c r="AJ55" s="412"/>
      <c r="AK55" s="412"/>
      <c r="AL55" s="412"/>
      <c r="AM55" s="439"/>
      <c r="AO55" s="415"/>
      <c r="AP55" s="415"/>
      <c r="AQ55" s="415"/>
      <c r="AR55" s="415"/>
      <c r="AS55" s="415"/>
      <c r="AT55" s="415"/>
      <c r="AU55" s="412"/>
      <c r="AV55" s="415"/>
      <c r="AW55" s="415"/>
      <c r="AX55" s="412"/>
      <c r="AY55" s="415"/>
      <c r="AZ55" s="415"/>
      <c r="BA55" s="412"/>
      <c r="BB55" s="415"/>
      <c r="BC55" s="415"/>
      <c r="BD55" s="415"/>
      <c r="BE55" s="415"/>
      <c r="BF55" s="415"/>
      <c r="BG55" s="415"/>
      <c r="BH55" s="415"/>
      <c r="BI55" s="415"/>
      <c r="BJ55" s="415"/>
      <c r="BK55" s="415"/>
      <c r="BL55" s="415"/>
      <c r="BM55" s="415"/>
      <c r="BN55" s="415"/>
      <c r="BO55" s="415"/>
      <c r="BP55" s="415"/>
      <c r="BQ55" s="415"/>
      <c r="BR55" s="415"/>
      <c r="BS55" s="415"/>
      <c r="BU55" s="415"/>
      <c r="BV55" s="415"/>
      <c r="BW55" s="415"/>
      <c r="BX55" s="415"/>
      <c r="BY55" s="415"/>
      <c r="BZ55" s="415"/>
      <c r="CA55" s="415"/>
      <c r="CB55" s="415"/>
      <c r="CC55" s="415"/>
      <c r="CD55" s="415"/>
      <c r="CE55" s="415"/>
      <c r="CF55" s="415"/>
      <c r="CG55" s="415"/>
      <c r="CH55" s="415"/>
      <c r="CI55" s="415"/>
      <c r="CJ55" s="415"/>
      <c r="CK55" s="415"/>
      <c r="CL55" s="415"/>
      <c r="CM55" s="415"/>
      <c r="CN55" s="415"/>
      <c r="CO55" s="415"/>
      <c r="CP55" s="415"/>
      <c r="CQ55" s="415"/>
      <c r="CR55" s="415"/>
      <c r="CS55" s="415"/>
      <c r="CT55" s="415"/>
      <c r="CU55" s="415"/>
      <c r="CV55" s="415"/>
      <c r="CW55" s="415"/>
      <c r="CX55" s="415"/>
      <c r="CY55" s="415"/>
      <c r="CZ55" s="415"/>
      <c r="DB55" s="415"/>
      <c r="DC55" s="415"/>
      <c r="DD55" s="415"/>
      <c r="DE55" s="415"/>
      <c r="DF55" s="415"/>
      <c r="DG55" s="415"/>
      <c r="DH55" s="415"/>
      <c r="DI55" s="415"/>
      <c r="DJ55" s="415"/>
      <c r="DK55" s="415"/>
      <c r="DL55" s="415"/>
      <c r="DM55" s="415"/>
      <c r="DN55" s="415"/>
      <c r="DO55" s="415"/>
      <c r="DP55" s="415"/>
      <c r="DQ55" s="415"/>
      <c r="DR55" s="415"/>
      <c r="DS55" s="415"/>
      <c r="DT55" s="415"/>
      <c r="DU55" s="415"/>
      <c r="DV55" s="415"/>
      <c r="DW55" s="415"/>
      <c r="DX55" s="415"/>
      <c r="DY55" s="415"/>
      <c r="DZ55" s="415"/>
      <c r="EA55" s="415"/>
      <c r="EB55" s="415"/>
      <c r="EC55" s="415"/>
      <c r="ED55" s="415"/>
      <c r="EE55" s="415"/>
      <c r="EF55" s="415"/>
      <c r="EG55" s="445"/>
      <c r="EI55" s="415"/>
      <c r="EJ55" s="415"/>
      <c r="EK55" s="415"/>
      <c r="EL55" s="415"/>
      <c r="EM55" s="415"/>
      <c r="EN55" s="415"/>
      <c r="EO55" s="415"/>
      <c r="EP55" s="415"/>
      <c r="EQ55" s="415"/>
      <c r="ER55" s="415"/>
      <c r="ES55" s="415"/>
      <c r="ET55" s="415"/>
      <c r="EU55" s="415"/>
      <c r="EV55" s="415"/>
      <c r="EW55" s="415"/>
      <c r="EX55" s="415"/>
      <c r="EY55" s="415"/>
      <c r="EZ55" s="415"/>
      <c r="FA55" s="415"/>
      <c r="FB55" s="415"/>
      <c r="FC55" s="415"/>
      <c r="FD55" s="415"/>
      <c r="FE55" s="415"/>
      <c r="FF55" s="415"/>
      <c r="FG55" s="415"/>
      <c r="FH55" s="415"/>
      <c r="FI55" s="415"/>
      <c r="FJ55" s="415"/>
      <c r="FK55" s="415"/>
      <c r="FL55" s="415"/>
      <c r="FM55" s="415"/>
      <c r="FO55" s="415"/>
      <c r="FP55" s="415"/>
      <c r="FQ55" s="415"/>
      <c r="FR55" s="415"/>
      <c r="FS55" s="415"/>
      <c r="FT55" s="415"/>
      <c r="FU55" s="415"/>
      <c r="FV55" s="415"/>
      <c r="FW55" s="415"/>
      <c r="FX55" s="415"/>
      <c r="FY55" s="415"/>
      <c r="FZ55" s="415"/>
      <c r="GA55" s="415"/>
      <c r="GB55" s="415"/>
      <c r="GC55" s="415"/>
      <c r="GD55" s="415"/>
      <c r="GE55" s="415"/>
      <c r="GF55" s="415"/>
      <c r="GG55" s="415"/>
      <c r="GH55" s="415"/>
      <c r="GI55" s="415"/>
      <c r="GJ55" s="415"/>
      <c r="GK55" s="415"/>
      <c r="GL55" s="415"/>
      <c r="GM55" s="415"/>
      <c r="GN55" s="415"/>
      <c r="GO55" s="415"/>
      <c r="GP55" s="415"/>
      <c r="GQ55" s="415"/>
      <c r="GR55" s="415"/>
      <c r="GS55" s="415"/>
      <c r="GT55" s="415"/>
      <c r="GV55" s="415"/>
      <c r="GW55" s="415"/>
      <c r="GX55" s="415"/>
      <c r="GY55" s="415"/>
      <c r="GZ55" s="415"/>
      <c r="HA55" s="415"/>
      <c r="HB55" s="415"/>
      <c r="HC55" s="415"/>
      <c r="HD55" s="415"/>
      <c r="HE55" s="415"/>
      <c r="HF55" s="415"/>
      <c r="HG55" s="415"/>
      <c r="HH55" s="415"/>
      <c r="HI55" s="415"/>
      <c r="HJ55" s="415"/>
      <c r="HK55" s="415"/>
      <c r="HL55" s="415"/>
      <c r="HM55" s="415"/>
      <c r="HN55" s="415"/>
      <c r="HO55" s="415"/>
      <c r="HP55" s="415"/>
      <c r="HQ55" s="415"/>
      <c r="HR55" s="415"/>
      <c r="HS55" s="415"/>
      <c r="HT55" s="415"/>
      <c r="HU55" s="415"/>
      <c r="HV55" s="415"/>
      <c r="HW55" s="415"/>
      <c r="HX55" s="415"/>
      <c r="HY55" s="415"/>
      <c r="HZ55" s="415"/>
      <c r="IB55" s="412" t="s">
        <v>166</v>
      </c>
      <c r="IC55" s="412" t="s">
        <v>166</v>
      </c>
      <c r="ID55" s="412" t="s">
        <v>166</v>
      </c>
      <c r="IE55" s="412" t="s">
        <v>166</v>
      </c>
      <c r="IF55" s="412" t="s">
        <v>166</v>
      </c>
      <c r="IG55" s="412" t="s">
        <v>166</v>
      </c>
      <c r="IH55" s="412" t="s">
        <v>166</v>
      </c>
      <c r="II55" s="412" t="s">
        <v>166</v>
      </c>
      <c r="IJ55" s="412" t="s">
        <v>166</v>
      </c>
      <c r="IK55" s="412" t="s">
        <v>166</v>
      </c>
      <c r="IL55" s="412" t="s">
        <v>166</v>
      </c>
      <c r="IM55" s="412" t="s">
        <v>166</v>
      </c>
      <c r="IN55" s="412" t="s">
        <v>166</v>
      </c>
      <c r="IO55" s="412" t="s">
        <v>166</v>
      </c>
      <c r="IP55" s="412">
        <v>8.0</v>
      </c>
      <c r="IQ55" s="412">
        <v>8.0</v>
      </c>
      <c r="IR55" s="412">
        <v>8.0</v>
      </c>
      <c r="IS55" s="436" t="s">
        <v>165</v>
      </c>
      <c r="IT55" s="436" t="s">
        <v>165</v>
      </c>
      <c r="IU55" s="412">
        <v>8.0</v>
      </c>
      <c r="IV55" s="412">
        <v>8.0</v>
      </c>
      <c r="IW55" s="412">
        <v>8.0</v>
      </c>
      <c r="IX55" s="412">
        <v>8.0</v>
      </c>
      <c r="IY55" s="412">
        <v>8.0</v>
      </c>
      <c r="IZ55" s="436" t="s">
        <v>165</v>
      </c>
      <c r="JA55" s="436" t="s">
        <v>165</v>
      </c>
      <c r="JB55" s="412">
        <v>8.0</v>
      </c>
      <c r="JC55" s="412">
        <v>8.0</v>
      </c>
      <c r="JD55" s="412">
        <v>8.0</v>
      </c>
      <c r="JE55" s="412"/>
      <c r="JF55" s="412"/>
      <c r="JG55" s="415">
        <f t="shared" si="3"/>
        <v>88</v>
      </c>
      <c r="JI55" s="436"/>
      <c r="JJ55" s="436"/>
      <c r="JK55" s="412"/>
      <c r="JL55" s="412"/>
      <c r="JM55" s="412"/>
      <c r="JN55" s="412"/>
      <c r="JO55" s="412"/>
      <c r="JP55" s="436"/>
      <c r="JQ55" s="436"/>
      <c r="JR55" s="412"/>
      <c r="JS55" s="412"/>
      <c r="JT55" s="412"/>
      <c r="JU55" s="412"/>
      <c r="JV55" s="412"/>
      <c r="JW55" s="436"/>
      <c r="JX55" s="436"/>
      <c r="JY55" s="412"/>
      <c r="JZ55" s="412"/>
      <c r="KA55" s="412"/>
      <c r="KB55" s="412"/>
      <c r="KC55" s="412"/>
      <c r="KD55" s="436"/>
      <c r="KE55" s="436"/>
      <c r="KF55" s="412"/>
      <c r="KG55" s="412"/>
      <c r="KH55" s="412"/>
      <c r="KI55" s="412"/>
      <c r="KJ55" s="412"/>
      <c r="KK55" s="436"/>
      <c r="KL55" s="436"/>
      <c r="KM55" s="412"/>
      <c r="KN55" s="155">
        <f t="shared" si="4"/>
        <v>0</v>
      </c>
      <c r="KP55" s="415"/>
      <c r="KQ55" s="415"/>
      <c r="KR55" s="415"/>
      <c r="KS55" s="415"/>
      <c r="KT55" s="415"/>
      <c r="KU55" s="415"/>
      <c r="KV55" s="415"/>
      <c r="KW55" s="415"/>
      <c r="KX55" s="415"/>
      <c r="KY55" s="415"/>
      <c r="KZ55" s="415"/>
      <c r="LA55" s="415"/>
      <c r="LB55" s="415"/>
      <c r="LC55" s="415"/>
      <c r="LD55" s="415"/>
      <c r="LE55" s="415"/>
      <c r="LF55" s="415"/>
      <c r="LG55" s="415"/>
      <c r="LH55" s="415"/>
      <c r="LI55" s="415"/>
      <c r="LJ55" s="415"/>
      <c r="LK55" s="415"/>
      <c r="LL55" s="415"/>
      <c r="LM55" s="415"/>
      <c r="LN55" s="415"/>
      <c r="LO55" s="415"/>
      <c r="LP55" s="415"/>
      <c r="LQ55" s="415"/>
      <c r="LR55" s="415"/>
      <c r="LT55" s="415"/>
      <c r="LU55" s="415"/>
      <c r="LV55" s="415"/>
      <c r="LW55" s="415"/>
      <c r="LX55" s="415"/>
      <c r="LY55" s="415"/>
      <c r="LZ55" s="415"/>
      <c r="MA55" s="415"/>
      <c r="MB55" s="415"/>
      <c r="MC55" s="415"/>
      <c r="MD55" s="415"/>
      <c r="ME55" s="415"/>
      <c r="MF55" s="415"/>
      <c r="MG55" s="415"/>
      <c r="MH55" s="415"/>
      <c r="MI55" s="415"/>
      <c r="MJ55" s="415"/>
      <c r="MK55" s="415"/>
      <c r="ML55" s="415"/>
      <c r="MM55" s="415"/>
      <c r="MN55" s="415"/>
      <c r="MO55" s="415"/>
      <c r="MP55" s="415"/>
      <c r="MQ55" s="415"/>
      <c r="MR55" s="415"/>
      <c r="MS55" s="415"/>
    </row>
    <row r="56">
      <c r="A56" s="393" t="s">
        <v>1304</v>
      </c>
      <c r="B56" s="394" t="s">
        <v>88</v>
      </c>
      <c r="C56" s="394" t="s">
        <v>98</v>
      </c>
      <c r="D56" s="395">
        <f t="shared" si="1"/>
        <v>0</v>
      </c>
      <c r="E56" s="396" t="s">
        <v>1250</v>
      </c>
      <c r="F56" s="397">
        <f>IFERROR(__xludf.DUMMYFUNCTION("IF(A56="""","""", counta(filter(Filter(FILTER($H$4:$PI76,$H$1:$PI$1&lt;today()),$A$4:$A76=A56),not(istext(Filter(FILTER($H$4:$PI76,$H$1:$PI$1&lt;today()),$A$4:$A76=A56))),not(Filter(FILTER($H$4:$PI76,$H$1:$PI$1&lt;today()),$A$4:$A76=A56)=0),Filter(FILTER($H$4:$PI7"&amp;"6,$H$1:$PI$1&lt;today()),$A$4:$A76=A56)&lt;23)))"),11.0)</f>
        <v>11</v>
      </c>
      <c r="H56" s="394"/>
      <c r="I56" s="394"/>
      <c r="J56" s="394"/>
      <c r="K56" s="394"/>
      <c r="L56" s="394"/>
      <c r="M56" s="394"/>
      <c r="N56" s="394"/>
      <c r="O56" s="394"/>
      <c r="P56" s="394"/>
      <c r="Q56" s="394"/>
      <c r="R56" s="394"/>
      <c r="S56" s="394"/>
      <c r="T56" s="394"/>
      <c r="U56" s="394"/>
      <c r="V56" s="394"/>
      <c r="W56" s="394"/>
      <c r="X56" s="394"/>
      <c r="Y56" s="394"/>
      <c r="Z56" s="394"/>
      <c r="AA56" s="394"/>
      <c r="AB56" s="394"/>
      <c r="AC56" s="394"/>
      <c r="AD56" s="394"/>
      <c r="AE56" s="394"/>
      <c r="AF56" s="394"/>
      <c r="AG56" s="394"/>
      <c r="AH56" s="394"/>
      <c r="AI56" s="394"/>
      <c r="AJ56" s="394"/>
      <c r="AK56" s="394"/>
      <c r="AL56" s="394"/>
      <c r="AM56" s="397"/>
      <c r="AO56" s="400"/>
      <c r="AP56" s="400"/>
      <c r="AQ56" s="400"/>
      <c r="AR56" s="400"/>
      <c r="AS56" s="400"/>
      <c r="AT56" s="400"/>
      <c r="AU56" s="394"/>
      <c r="AV56" s="400"/>
      <c r="AW56" s="400"/>
      <c r="AX56" s="394"/>
      <c r="AY56" s="400"/>
      <c r="AZ56" s="400"/>
      <c r="BA56" s="394"/>
      <c r="BB56" s="400"/>
      <c r="BC56" s="400"/>
      <c r="BD56" s="400"/>
      <c r="BE56" s="400"/>
      <c r="BF56" s="400"/>
      <c r="BG56" s="400"/>
      <c r="BH56" s="400"/>
      <c r="BI56" s="400"/>
      <c r="BJ56" s="400"/>
      <c r="BK56" s="400"/>
      <c r="BL56" s="400"/>
      <c r="BM56" s="400"/>
      <c r="BN56" s="400"/>
      <c r="BO56" s="400"/>
      <c r="BP56" s="400"/>
      <c r="BQ56" s="400"/>
      <c r="BR56" s="400"/>
      <c r="BS56" s="400"/>
      <c r="BU56" s="400"/>
      <c r="BV56" s="400"/>
      <c r="BW56" s="400"/>
      <c r="BX56" s="400"/>
      <c r="BY56" s="400"/>
      <c r="BZ56" s="400"/>
      <c r="CA56" s="400"/>
      <c r="CB56" s="400"/>
      <c r="CC56" s="400"/>
      <c r="CD56" s="400"/>
      <c r="CE56" s="400"/>
      <c r="CF56" s="400"/>
      <c r="CG56" s="400"/>
      <c r="CH56" s="400"/>
      <c r="CI56" s="400"/>
      <c r="CJ56" s="400"/>
      <c r="CK56" s="400"/>
      <c r="CL56" s="400"/>
      <c r="CM56" s="400"/>
      <c r="CN56" s="400"/>
      <c r="CO56" s="400"/>
      <c r="CP56" s="400"/>
      <c r="CQ56" s="400"/>
      <c r="CR56" s="400"/>
      <c r="CS56" s="400"/>
      <c r="CT56" s="400"/>
      <c r="CU56" s="400"/>
      <c r="CV56" s="400"/>
      <c r="CW56" s="400"/>
      <c r="CX56" s="400"/>
      <c r="CY56" s="400"/>
      <c r="CZ56" s="400"/>
      <c r="DB56" s="400"/>
      <c r="DC56" s="400"/>
      <c r="DD56" s="400"/>
      <c r="DE56" s="400"/>
      <c r="DF56" s="400"/>
      <c r="DG56" s="400"/>
      <c r="DH56" s="400"/>
      <c r="DI56" s="400"/>
      <c r="DJ56" s="400"/>
      <c r="DK56" s="400"/>
      <c r="DL56" s="400"/>
      <c r="DM56" s="400"/>
      <c r="DN56" s="400"/>
      <c r="DO56" s="400"/>
      <c r="DP56" s="400"/>
      <c r="DQ56" s="400"/>
      <c r="DR56" s="400"/>
      <c r="DS56" s="400"/>
      <c r="DT56" s="400"/>
      <c r="DU56" s="400"/>
      <c r="DV56" s="400"/>
      <c r="DW56" s="400"/>
      <c r="DX56" s="400"/>
      <c r="DY56" s="400"/>
      <c r="DZ56" s="400"/>
      <c r="EA56" s="400"/>
      <c r="EB56" s="400"/>
      <c r="EC56" s="400"/>
      <c r="ED56" s="400"/>
      <c r="EE56" s="400"/>
      <c r="EF56" s="400"/>
      <c r="EG56" s="401"/>
      <c r="EI56" s="400"/>
      <c r="EJ56" s="400"/>
      <c r="EK56" s="400"/>
      <c r="EL56" s="400"/>
      <c r="EM56" s="400"/>
      <c r="EN56" s="400"/>
      <c r="EO56" s="400"/>
      <c r="EP56" s="400"/>
      <c r="EQ56" s="400"/>
      <c r="ER56" s="400"/>
      <c r="ES56" s="400"/>
      <c r="ET56" s="400"/>
      <c r="EU56" s="400"/>
      <c r="EV56" s="400"/>
      <c r="EW56" s="400"/>
      <c r="EX56" s="400"/>
      <c r="EY56" s="400"/>
      <c r="EZ56" s="400"/>
      <c r="FA56" s="400"/>
      <c r="FB56" s="400"/>
      <c r="FC56" s="400"/>
      <c r="FD56" s="400"/>
      <c r="FE56" s="400"/>
      <c r="FF56" s="400"/>
      <c r="FG56" s="400"/>
      <c r="FH56" s="400"/>
      <c r="FI56" s="400"/>
      <c r="FJ56" s="400"/>
      <c r="FK56" s="400"/>
      <c r="FL56" s="400"/>
      <c r="FM56" s="400"/>
      <c r="FO56" s="400"/>
      <c r="FP56" s="400"/>
      <c r="FQ56" s="400"/>
      <c r="FR56" s="400"/>
      <c r="FS56" s="400"/>
      <c r="FT56" s="400"/>
      <c r="FU56" s="400"/>
      <c r="FV56" s="400"/>
      <c r="FW56" s="400"/>
      <c r="FX56" s="400"/>
      <c r="FY56" s="400"/>
      <c r="FZ56" s="400"/>
      <c r="GA56" s="400"/>
      <c r="GB56" s="400"/>
      <c r="GC56" s="400"/>
      <c r="GD56" s="400"/>
      <c r="GE56" s="400"/>
      <c r="GF56" s="400"/>
      <c r="GG56" s="400"/>
      <c r="GH56" s="400"/>
      <c r="GI56" s="400"/>
      <c r="GJ56" s="400"/>
      <c r="GK56" s="400"/>
      <c r="GL56" s="400"/>
      <c r="GM56" s="400"/>
      <c r="GN56" s="400"/>
      <c r="GO56" s="400"/>
      <c r="GP56" s="400"/>
      <c r="GQ56" s="400"/>
      <c r="GR56" s="400"/>
      <c r="GS56" s="400"/>
      <c r="GT56" s="400"/>
      <c r="GV56" s="400"/>
      <c r="GW56" s="400"/>
      <c r="GX56" s="400"/>
      <c r="GY56" s="400"/>
      <c r="GZ56" s="400"/>
      <c r="HA56" s="400"/>
      <c r="HB56" s="400"/>
      <c r="HC56" s="400"/>
      <c r="HD56" s="400"/>
      <c r="HE56" s="400"/>
      <c r="HF56" s="400"/>
      <c r="HG56" s="400"/>
      <c r="HH56" s="400"/>
      <c r="HI56" s="400"/>
      <c r="HJ56" s="400"/>
      <c r="HK56" s="400"/>
      <c r="HL56" s="400"/>
      <c r="HM56" s="400"/>
      <c r="HN56" s="400"/>
      <c r="HO56" s="400"/>
      <c r="HP56" s="400"/>
      <c r="HQ56" s="400"/>
      <c r="HR56" s="400"/>
      <c r="HS56" s="400"/>
      <c r="HT56" s="400"/>
      <c r="HU56" s="400"/>
      <c r="HV56" s="400"/>
      <c r="HW56" s="400"/>
      <c r="HX56" s="400"/>
      <c r="HY56" s="400"/>
      <c r="HZ56" s="400"/>
      <c r="IB56" s="394" t="s">
        <v>166</v>
      </c>
      <c r="IC56" s="394" t="s">
        <v>166</v>
      </c>
      <c r="ID56" s="394" t="s">
        <v>166</v>
      </c>
      <c r="IE56" s="394" t="s">
        <v>166</v>
      </c>
      <c r="IF56" s="394" t="s">
        <v>166</v>
      </c>
      <c r="IG56" s="394" t="s">
        <v>166</v>
      </c>
      <c r="IH56" s="394" t="s">
        <v>166</v>
      </c>
      <c r="II56" s="394" t="s">
        <v>166</v>
      </c>
      <c r="IJ56" s="394" t="s">
        <v>166</v>
      </c>
      <c r="IK56" s="394" t="s">
        <v>166</v>
      </c>
      <c r="IL56" s="394" t="s">
        <v>166</v>
      </c>
      <c r="IM56" s="394" t="s">
        <v>166</v>
      </c>
      <c r="IN56" s="394" t="s">
        <v>166</v>
      </c>
      <c r="IO56" s="394" t="s">
        <v>166</v>
      </c>
      <c r="IP56" s="394" t="s">
        <v>166</v>
      </c>
      <c r="IQ56" s="394" t="s">
        <v>166</v>
      </c>
      <c r="IR56" s="394" t="s">
        <v>166</v>
      </c>
      <c r="IS56" s="394" t="s">
        <v>166</v>
      </c>
      <c r="IT56" s="394" t="s">
        <v>166</v>
      </c>
      <c r="IU56" s="394">
        <v>8.0</v>
      </c>
      <c r="IV56" s="394">
        <v>8.0</v>
      </c>
      <c r="IW56" s="394">
        <v>8.0</v>
      </c>
      <c r="IX56" s="394">
        <v>8.0</v>
      </c>
      <c r="IY56" s="394">
        <v>8.0</v>
      </c>
      <c r="IZ56" s="403" t="s">
        <v>165</v>
      </c>
      <c r="JA56" s="403" t="s">
        <v>165</v>
      </c>
      <c r="JB56" s="394">
        <v>8.0</v>
      </c>
      <c r="JC56" s="394">
        <v>8.0</v>
      </c>
      <c r="JD56" s="394">
        <v>8.0</v>
      </c>
      <c r="JE56" s="394">
        <v>8.0</v>
      </c>
      <c r="JF56" s="394">
        <v>8.0</v>
      </c>
      <c r="JG56" s="400">
        <f t="shared" si="3"/>
        <v>80</v>
      </c>
      <c r="JI56" s="403" t="s">
        <v>165</v>
      </c>
      <c r="JJ56" s="403" t="s">
        <v>165</v>
      </c>
      <c r="JK56" s="394">
        <v>8.0</v>
      </c>
      <c r="JL56" s="394">
        <v>8.0</v>
      </c>
      <c r="JM56" s="394">
        <v>8.0</v>
      </c>
      <c r="JN56" s="394">
        <v>8.0</v>
      </c>
      <c r="JO56" s="394">
        <v>8.0</v>
      </c>
      <c r="JP56" s="403" t="s">
        <v>165</v>
      </c>
      <c r="JQ56" s="403" t="s">
        <v>165</v>
      </c>
      <c r="JR56" s="394">
        <v>8.0</v>
      </c>
      <c r="JS56" s="394">
        <v>8.0</v>
      </c>
      <c r="JT56" s="394">
        <v>8.0</v>
      </c>
      <c r="JU56" s="394">
        <v>8.0</v>
      </c>
      <c r="JV56" s="394">
        <v>8.0</v>
      </c>
      <c r="JW56" s="403" t="s">
        <v>165</v>
      </c>
      <c r="JX56" s="403" t="s">
        <v>165</v>
      </c>
      <c r="JY56" s="394">
        <v>8.0</v>
      </c>
      <c r="JZ56" s="394">
        <v>8.0</v>
      </c>
      <c r="KA56" s="394">
        <v>8.0</v>
      </c>
      <c r="KB56" s="394">
        <v>8.0</v>
      </c>
      <c r="KC56" s="394">
        <v>8.0</v>
      </c>
      <c r="KD56" s="403" t="s">
        <v>165</v>
      </c>
      <c r="KE56" s="403" t="s">
        <v>165</v>
      </c>
      <c r="KF56" s="394">
        <v>8.0</v>
      </c>
      <c r="KG56" s="394">
        <v>8.0</v>
      </c>
      <c r="KH56" s="394">
        <v>8.0</v>
      </c>
      <c r="KI56" s="394">
        <v>8.0</v>
      </c>
      <c r="KJ56" s="394">
        <v>8.0</v>
      </c>
      <c r="KK56" s="403" t="s">
        <v>165</v>
      </c>
      <c r="KL56" s="403" t="s">
        <v>165</v>
      </c>
      <c r="KM56" s="394">
        <v>8.0</v>
      </c>
      <c r="KN56" s="145">
        <f t="shared" si="4"/>
        <v>168</v>
      </c>
      <c r="KP56" s="400"/>
      <c r="KQ56" s="400"/>
      <c r="KR56" s="400"/>
      <c r="KS56" s="400"/>
      <c r="KT56" s="400"/>
      <c r="KU56" s="400"/>
      <c r="KV56" s="400"/>
      <c r="KW56" s="400"/>
      <c r="KX56" s="400"/>
      <c r="KY56" s="400"/>
      <c r="KZ56" s="400"/>
      <c r="LA56" s="400"/>
      <c r="LB56" s="400"/>
      <c r="LC56" s="400"/>
      <c r="LD56" s="400"/>
      <c r="LE56" s="400"/>
      <c r="LF56" s="400"/>
      <c r="LG56" s="400"/>
      <c r="LH56" s="400"/>
      <c r="LI56" s="400"/>
      <c r="LJ56" s="400"/>
      <c r="LK56" s="400"/>
      <c r="LL56" s="400"/>
      <c r="LM56" s="400"/>
      <c r="LN56" s="400"/>
      <c r="LO56" s="400"/>
      <c r="LP56" s="400"/>
      <c r="LQ56" s="400"/>
      <c r="LR56" s="400"/>
      <c r="LT56" s="400"/>
      <c r="LU56" s="400"/>
      <c r="LV56" s="400"/>
      <c r="LW56" s="400"/>
      <c r="LX56" s="400"/>
      <c r="LY56" s="400"/>
      <c r="LZ56" s="400"/>
      <c r="MA56" s="400"/>
      <c r="MB56" s="400"/>
      <c r="MC56" s="400"/>
      <c r="MD56" s="400"/>
      <c r="ME56" s="400"/>
      <c r="MF56" s="400"/>
      <c r="MG56" s="400"/>
      <c r="MH56" s="400"/>
      <c r="MI56" s="400"/>
      <c r="MJ56" s="400"/>
      <c r="MK56" s="400"/>
      <c r="ML56" s="400"/>
      <c r="MM56" s="400"/>
      <c r="MN56" s="400"/>
      <c r="MO56" s="400"/>
      <c r="MP56" s="400"/>
      <c r="MQ56" s="400"/>
      <c r="MR56" s="400"/>
      <c r="MS56" s="400"/>
    </row>
    <row r="57">
      <c r="A57" s="393" t="s">
        <v>1305</v>
      </c>
      <c r="B57" s="394" t="s">
        <v>692</v>
      </c>
      <c r="C57" s="394" t="s">
        <v>98</v>
      </c>
      <c r="D57" s="395">
        <f t="shared" si="1"/>
        <v>0</v>
      </c>
      <c r="E57" s="431" t="s">
        <v>1259</v>
      </c>
      <c r="F57" s="397">
        <f>IFERROR(__xludf.DUMMYFUNCTION("IF(A57="""","""", counta(filter(Filter(FILTER($H$4:$PI76,$H$1:$PI$1&lt;today()),$A$4:$A76=A57),not(istext(Filter(FILTER($H$4:$PI76,$H$1:$PI$1&lt;today()),$A$4:$A76=A57))),not(Filter(FILTER($H$4:$PI76,$H$1:$PI$1&lt;today()),$A$4:$A76=A57)=0),Filter(FILTER($H$4:$PI7"&amp;"6,$H$1:$PI$1&lt;today()),$A$4:$A76=A57)&lt;23)))"),10.0)</f>
        <v>10</v>
      </c>
      <c r="H57" s="394"/>
      <c r="I57" s="394"/>
      <c r="J57" s="394"/>
      <c r="K57" s="394"/>
      <c r="L57" s="394"/>
      <c r="M57" s="394"/>
      <c r="N57" s="394"/>
      <c r="O57" s="394"/>
      <c r="P57" s="394"/>
      <c r="Q57" s="394"/>
      <c r="R57" s="394"/>
      <c r="S57" s="394"/>
      <c r="T57" s="394"/>
      <c r="U57" s="394"/>
      <c r="V57" s="394"/>
      <c r="W57" s="394"/>
      <c r="X57" s="394"/>
      <c r="Y57" s="394"/>
      <c r="Z57" s="394"/>
      <c r="AA57" s="394"/>
      <c r="AB57" s="394"/>
      <c r="AC57" s="394"/>
      <c r="AD57" s="394"/>
      <c r="AE57" s="394"/>
      <c r="AF57" s="394"/>
      <c r="AG57" s="394"/>
      <c r="AH57" s="394"/>
      <c r="AI57" s="394"/>
      <c r="AJ57" s="394"/>
      <c r="AK57" s="394"/>
      <c r="AL57" s="394"/>
      <c r="AM57" s="397"/>
      <c r="AO57" s="400"/>
      <c r="AP57" s="400"/>
      <c r="AQ57" s="400"/>
      <c r="AR57" s="400"/>
      <c r="AS57" s="400"/>
      <c r="AT57" s="400"/>
      <c r="AU57" s="394"/>
      <c r="AV57" s="400"/>
      <c r="AW57" s="400"/>
      <c r="AX57" s="394"/>
      <c r="AY57" s="400"/>
      <c r="AZ57" s="400"/>
      <c r="BA57" s="394"/>
      <c r="BB57" s="400"/>
      <c r="BC57" s="400"/>
      <c r="BD57" s="400"/>
      <c r="BE57" s="400"/>
      <c r="BF57" s="400"/>
      <c r="BG57" s="400"/>
      <c r="BH57" s="400"/>
      <c r="BI57" s="400"/>
      <c r="BJ57" s="400"/>
      <c r="BK57" s="400"/>
      <c r="BL57" s="400"/>
      <c r="BM57" s="400"/>
      <c r="BN57" s="400"/>
      <c r="BO57" s="400"/>
      <c r="BP57" s="400"/>
      <c r="BQ57" s="400"/>
      <c r="BR57" s="400"/>
      <c r="BS57" s="400"/>
      <c r="BU57" s="400"/>
      <c r="BV57" s="400"/>
      <c r="BW57" s="400"/>
      <c r="BX57" s="400"/>
      <c r="BY57" s="400"/>
      <c r="BZ57" s="400"/>
      <c r="CA57" s="400"/>
      <c r="CB57" s="400"/>
      <c r="CC57" s="400"/>
      <c r="CD57" s="400"/>
      <c r="CE57" s="400"/>
      <c r="CF57" s="400"/>
      <c r="CG57" s="400"/>
      <c r="CH57" s="400"/>
      <c r="CI57" s="400"/>
      <c r="CJ57" s="400"/>
      <c r="CK57" s="400"/>
      <c r="CL57" s="400"/>
      <c r="CM57" s="400"/>
      <c r="CN57" s="400"/>
      <c r="CO57" s="400"/>
      <c r="CP57" s="400"/>
      <c r="CQ57" s="400"/>
      <c r="CR57" s="400"/>
      <c r="CS57" s="400"/>
      <c r="CT57" s="400"/>
      <c r="CU57" s="400"/>
      <c r="CV57" s="400"/>
      <c r="CW57" s="400"/>
      <c r="CX57" s="400"/>
      <c r="CY57" s="400"/>
      <c r="CZ57" s="400"/>
      <c r="DB57" s="400"/>
      <c r="DC57" s="400"/>
      <c r="DD57" s="400"/>
      <c r="DE57" s="400"/>
      <c r="DF57" s="400"/>
      <c r="DG57" s="400"/>
      <c r="DH57" s="400"/>
      <c r="DI57" s="400"/>
      <c r="DJ57" s="400"/>
      <c r="DK57" s="400"/>
      <c r="DL57" s="400"/>
      <c r="DM57" s="400"/>
      <c r="DN57" s="400"/>
      <c r="DO57" s="400"/>
      <c r="DP57" s="400"/>
      <c r="DQ57" s="400"/>
      <c r="DR57" s="400"/>
      <c r="DS57" s="400"/>
      <c r="DT57" s="400"/>
      <c r="DU57" s="400"/>
      <c r="DV57" s="400"/>
      <c r="DW57" s="400"/>
      <c r="DX57" s="400"/>
      <c r="DY57" s="400"/>
      <c r="DZ57" s="400"/>
      <c r="EA57" s="400"/>
      <c r="EB57" s="400"/>
      <c r="EC57" s="400"/>
      <c r="ED57" s="400"/>
      <c r="EE57" s="400"/>
      <c r="EF57" s="400"/>
      <c r="EG57" s="401"/>
      <c r="EI57" s="400"/>
      <c r="EJ57" s="400"/>
      <c r="EK57" s="400"/>
      <c r="EL57" s="400"/>
      <c r="EM57" s="400"/>
      <c r="EN57" s="400"/>
      <c r="EO57" s="400"/>
      <c r="EP57" s="400"/>
      <c r="EQ57" s="400"/>
      <c r="ER57" s="400"/>
      <c r="ES57" s="400"/>
      <c r="ET57" s="400"/>
      <c r="EU57" s="400"/>
      <c r="EV57" s="400"/>
      <c r="EW57" s="400"/>
      <c r="EX57" s="400"/>
      <c r="EY57" s="400"/>
      <c r="EZ57" s="400"/>
      <c r="FA57" s="400"/>
      <c r="FB57" s="400"/>
      <c r="FC57" s="400"/>
      <c r="FD57" s="400"/>
      <c r="FE57" s="400"/>
      <c r="FF57" s="400"/>
      <c r="FG57" s="400"/>
      <c r="FH57" s="400"/>
      <c r="FI57" s="400"/>
      <c r="FJ57" s="400"/>
      <c r="FK57" s="400"/>
      <c r="FL57" s="400"/>
      <c r="FM57" s="400"/>
      <c r="FO57" s="400"/>
      <c r="FP57" s="400"/>
      <c r="FQ57" s="400"/>
      <c r="FR57" s="400"/>
      <c r="FS57" s="400"/>
      <c r="FT57" s="400"/>
      <c r="FU57" s="400"/>
      <c r="FV57" s="400"/>
      <c r="FW57" s="400"/>
      <c r="FX57" s="400"/>
      <c r="FY57" s="400"/>
      <c r="FZ57" s="400"/>
      <c r="GA57" s="400"/>
      <c r="GB57" s="400"/>
      <c r="GC57" s="400"/>
      <c r="GD57" s="400"/>
      <c r="GE57" s="400"/>
      <c r="GF57" s="400"/>
      <c r="GG57" s="400"/>
      <c r="GH57" s="400"/>
      <c r="GI57" s="400"/>
      <c r="GJ57" s="400"/>
      <c r="GK57" s="400"/>
      <c r="GL57" s="400"/>
      <c r="GM57" s="400"/>
      <c r="GN57" s="400"/>
      <c r="GO57" s="400"/>
      <c r="GP57" s="400"/>
      <c r="GQ57" s="400"/>
      <c r="GR57" s="400"/>
      <c r="GS57" s="400"/>
      <c r="GT57" s="400"/>
      <c r="GV57" s="400"/>
      <c r="GW57" s="400"/>
      <c r="GX57" s="400"/>
      <c r="GY57" s="400"/>
      <c r="GZ57" s="400"/>
      <c r="HA57" s="400"/>
      <c r="HB57" s="400"/>
      <c r="HC57" s="400"/>
      <c r="HD57" s="400"/>
      <c r="HE57" s="400"/>
      <c r="HF57" s="400"/>
      <c r="HG57" s="400"/>
      <c r="HH57" s="400"/>
      <c r="HI57" s="400"/>
      <c r="HJ57" s="400"/>
      <c r="HK57" s="400"/>
      <c r="HL57" s="400"/>
      <c r="HM57" s="400"/>
      <c r="HN57" s="400"/>
      <c r="HO57" s="400"/>
      <c r="HP57" s="400"/>
      <c r="HQ57" s="400"/>
      <c r="HR57" s="400"/>
      <c r="HS57" s="400"/>
      <c r="HT57" s="400"/>
      <c r="HU57" s="400"/>
      <c r="HV57" s="400"/>
      <c r="HW57" s="400"/>
      <c r="HX57" s="400"/>
      <c r="HY57" s="400"/>
      <c r="HZ57" s="400"/>
      <c r="IB57" s="394" t="s">
        <v>166</v>
      </c>
      <c r="IC57" s="394" t="s">
        <v>166</v>
      </c>
      <c r="ID57" s="394" t="s">
        <v>166</v>
      </c>
      <c r="IE57" s="394" t="s">
        <v>166</v>
      </c>
      <c r="IF57" s="394" t="s">
        <v>166</v>
      </c>
      <c r="IG57" s="394" t="s">
        <v>166</v>
      </c>
      <c r="IH57" s="394" t="s">
        <v>166</v>
      </c>
      <c r="II57" s="394" t="s">
        <v>166</v>
      </c>
      <c r="IJ57" s="394" t="s">
        <v>166</v>
      </c>
      <c r="IK57" s="394" t="s">
        <v>166</v>
      </c>
      <c r="IL57" s="394" t="s">
        <v>166</v>
      </c>
      <c r="IM57" s="394" t="s">
        <v>166</v>
      </c>
      <c r="IN57" s="394" t="s">
        <v>166</v>
      </c>
      <c r="IO57" s="394" t="s">
        <v>166</v>
      </c>
      <c r="IP57" s="394" t="s">
        <v>166</v>
      </c>
      <c r="IQ57" s="394" t="s">
        <v>166</v>
      </c>
      <c r="IR57" s="394" t="s">
        <v>166</v>
      </c>
      <c r="IS57" s="394" t="s">
        <v>166</v>
      </c>
      <c r="IT57" s="394" t="s">
        <v>166</v>
      </c>
      <c r="IU57" s="394">
        <v>8.0</v>
      </c>
      <c r="IV57" s="394">
        <v>8.0</v>
      </c>
      <c r="IW57" s="394">
        <v>8.0</v>
      </c>
      <c r="IX57" s="394">
        <v>8.0</v>
      </c>
      <c r="IY57" s="394">
        <v>8.0</v>
      </c>
      <c r="IZ57" s="403" t="s">
        <v>165</v>
      </c>
      <c r="JA57" s="403" t="s">
        <v>165</v>
      </c>
      <c r="JB57" s="403">
        <v>8.0</v>
      </c>
      <c r="JC57" s="394">
        <v>8.0</v>
      </c>
      <c r="JD57" s="394">
        <v>8.0</v>
      </c>
      <c r="JE57" s="394">
        <v>8.0</v>
      </c>
      <c r="JF57" s="403" t="s">
        <v>165</v>
      </c>
      <c r="JG57" s="400">
        <f t="shared" si="3"/>
        <v>72</v>
      </c>
      <c r="JI57" s="394" t="s">
        <v>171</v>
      </c>
      <c r="JJ57" s="394">
        <v>8.0</v>
      </c>
      <c r="JK57" s="403" t="s">
        <v>165</v>
      </c>
      <c r="JL57" s="394">
        <v>8.0</v>
      </c>
      <c r="JM57" s="394">
        <v>8.0</v>
      </c>
      <c r="JN57" s="394">
        <v>8.0</v>
      </c>
      <c r="JO57" s="403" t="s">
        <v>165</v>
      </c>
      <c r="JP57" s="394">
        <v>8.0</v>
      </c>
      <c r="JQ57" s="394">
        <v>8.0</v>
      </c>
      <c r="JR57" s="403" t="s">
        <v>165</v>
      </c>
      <c r="JS57" s="394">
        <v>8.0</v>
      </c>
      <c r="JT57" s="394">
        <v>8.0</v>
      </c>
      <c r="JU57" s="394">
        <v>8.0</v>
      </c>
      <c r="JV57" s="403" t="s">
        <v>165</v>
      </c>
      <c r="JW57" s="394">
        <v>8.0</v>
      </c>
      <c r="JX57" s="394">
        <v>8.0</v>
      </c>
      <c r="JY57" s="403" t="s">
        <v>165</v>
      </c>
      <c r="JZ57" s="394">
        <v>8.0</v>
      </c>
      <c r="KA57" s="394">
        <v>8.0</v>
      </c>
      <c r="KB57" s="394">
        <v>8.0</v>
      </c>
      <c r="KC57" s="403" t="s">
        <v>165</v>
      </c>
      <c r="KD57" s="394">
        <v>8.0</v>
      </c>
      <c r="KE57" s="394">
        <v>8.0</v>
      </c>
      <c r="KF57" s="403" t="s">
        <v>165</v>
      </c>
      <c r="KG57" s="394">
        <v>8.0</v>
      </c>
      <c r="KH57" s="394">
        <v>8.0</v>
      </c>
      <c r="KI57" s="394">
        <v>8.0</v>
      </c>
      <c r="KJ57" s="403" t="s">
        <v>165</v>
      </c>
      <c r="KK57" s="394">
        <v>8.0</v>
      </c>
      <c r="KL57" s="394">
        <v>8.0</v>
      </c>
      <c r="KM57" s="403" t="s">
        <v>165</v>
      </c>
      <c r="KN57" s="145">
        <f t="shared" si="4"/>
        <v>168</v>
      </c>
      <c r="KP57" s="400"/>
      <c r="KQ57" s="400"/>
      <c r="KR57" s="400"/>
      <c r="KS57" s="400"/>
      <c r="KT57" s="400"/>
      <c r="KU57" s="400"/>
      <c r="KV57" s="400"/>
      <c r="KW57" s="400"/>
      <c r="KX57" s="400"/>
      <c r="KY57" s="400"/>
      <c r="KZ57" s="400"/>
      <c r="LA57" s="400"/>
      <c r="LB57" s="400"/>
      <c r="LC57" s="400"/>
      <c r="LD57" s="400"/>
      <c r="LE57" s="400"/>
      <c r="LF57" s="400"/>
      <c r="LG57" s="400"/>
      <c r="LH57" s="400"/>
      <c r="LI57" s="400"/>
      <c r="LJ57" s="400"/>
      <c r="LK57" s="400"/>
      <c r="LL57" s="400"/>
      <c r="LM57" s="400"/>
      <c r="LN57" s="400"/>
      <c r="LO57" s="400"/>
      <c r="LP57" s="400"/>
      <c r="LQ57" s="400"/>
      <c r="LR57" s="400"/>
      <c r="LT57" s="400"/>
      <c r="LU57" s="400"/>
      <c r="LV57" s="400"/>
      <c r="LW57" s="400"/>
      <c r="LX57" s="400"/>
      <c r="LY57" s="400"/>
      <c r="LZ57" s="400"/>
      <c r="MA57" s="400"/>
      <c r="MB57" s="400"/>
      <c r="MC57" s="400"/>
      <c r="MD57" s="400"/>
      <c r="ME57" s="400"/>
      <c r="MF57" s="400"/>
      <c r="MG57" s="400"/>
      <c r="MH57" s="400"/>
      <c r="MI57" s="400"/>
      <c r="MJ57" s="400"/>
      <c r="MK57" s="400"/>
      <c r="ML57" s="400"/>
      <c r="MM57" s="400"/>
      <c r="MN57" s="400"/>
      <c r="MO57" s="400"/>
      <c r="MP57" s="400"/>
      <c r="MQ57" s="400"/>
      <c r="MR57" s="400"/>
      <c r="MS57" s="400"/>
    </row>
    <row r="58">
      <c r="A58" s="393" t="s">
        <v>1306</v>
      </c>
      <c r="B58" s="394" t="s">
        <v>88</v>
      </c>
      <c r="C58" s="394" t="s">
        <v>98</v>
      </c>
      <c r="D58" s="395">
        <f t="shared" si="1"/>
        <v>0</v>
      </c>
      <c r="E58" s="431" t="s">
        <v>1259</v>
      </c>
      <c r="F58" s="397">
        <f>IFERROR(__xludf.DUMMYFUNCTION("IF(A58="""","""", counta(filter(Filter(FILTER($H$4:$PI76,$H$1:$PI$1&lt;today()),$A$4:$A76=A58),not(istext(Filter(FILTER($H$4:$PI76,$H$1:$PI$1&lt;today()),$A$4:$A76=A58))),not(Filter(FILTER($H$4:$PI76,$H$1:$PI$1&lt;today()),$A$4:$A76=A58)=0),Filter(FILTER($H$4:$PI7"&amp;"6,$H$1:$PI$1&lt;today()),$A$4:$A76=A58)&lt;23)))"),9.0)</f>
        <v>9</v>
      </c>
      <c r="H58" s="394"/>
      <c r="I58" s="394"/>
      <c r="J58" s="394"/>
      <c r="K58" s="394"/>
      <c r="L58" s="394"/>
      <c r="M58" s="394"/>
      <c r="N58" s="394"/>
      <c r="O58" s="394"/>
      <c r="P58" s="394"/>
      <c r="Q58" s="394"/>
      <c r="R58" s="394"/>
      <c r="S58" s="394"/>
      <c r="T58" s="394"/>
      <c r="U58" s="394"/>
      <c r="V58" s="394"/>
      <c r="W58" s="394"/>
      <c r="X58" s="394"/>
      <c r="Y58" s="394"/>
      <c r="Z58" s="394"/>
      <c r="AA58" s="394"/>
      <c r="AB58" s="394"/>
      <c r="AC58" s="394"/>
      <c r="AD58" s="394"/>
      <c r="AE58" s="394"/>
      <c r="AF58" s="394"/>
      <c r="AG58" s="394"/>
      <c r="AH58" s="394"/>
      <c r="AI58" s="394"/>
      <c r="AJ58" s="394"/>
      <c r="AK58" s="394"/>
      <c r="AL58" s="394"/>
      <c r="AM58" s="397"/>
      <c r="AO58" s="400"/>
      <c r="AP58" s="400"/>
      <c r="AQ58" s="400"/>
      <c r="AR58" s="400"/>
      <c r="AS58" s="400"/>
      <c r="AT58" s="400"/>
      <c r="AU58" s="394"/>
      <c r="AV58" s="400"/>
      <c r="AW58" s="400"/>
      <c r="AX58" s="394"/>
      <c r="AY58" s="400"/>
      <c r="AZ58" s="400"/>
      <c r="BA58" s="394"/>
      <c r="BB58" s="400"/>
      <c r="BC58" s="400"/>
      <c r="BD58" s="400"/>
      <c r="BE58" s="400"/>
      <c r="BF58" s="400"/>
      <c r="BG58" s="400"/>
      <c r="BH58" s="400"/>
      <c r="BI58" s="400"/>
      <c r="BJ58" s="400"/>
      <c r="BK58" s="400"/>
      <c r="BL58" s="400"/>
      <c r="BM58" s="400"/>
      <c r="BN58" s="400"/>
      <c r="BO58" s="400"/>
      <c r="BP58" s="400"/>
      <c r="BQ58" s="400"/>
      <c r="BR58" s="400"/>
      <c r="BS58" s="400"/>
      <c r="BU58" s="400"/>
      <c r="BV58" s="400"/>
      <c r="BW58" s="400"/>
      <c r="BX58" s="400"/>
      <c r="BY58" s="400"/>
      <c r="BZ58" s="400"/>
      <c r="CA58" s="400"/>
      <c r="CB58" s="400"/>
      <c r="CC58" s="400"/>
      <c r="CD58" s="400"/>
      <c r="CE58" s="400"/>
      <c r="CF58" s="400"/>
      <c r="CG58" s="400"/>
      <c r="CH58" s="400"/>
      <c r="CI58" s="400"/>
      <c r="CJ58" s="400"/>
      <c r="CK58" s="400"/>
      <c r="CL58" s="400"/>
      <c r="CM58" s="400"/>
      <c r="CN58" s="400"/>
      <c r="CO58" s="400"/>
      <c r="CP58" s="400"/>
      <c r="CQ58" s="400"/>
      <c r="CR58" s="400"/>
      <c r="CS58" s="400"/>
      <c r="CT58" s="400"/>
      <c r="CU58" s="400"/>
      <c r="CV58" s="400"/>
      <c r="CW58" s="400"/>
      <c r="CX58" s="400"/>
      <c r="CY58" s="400"/>
      <c r="CZ58" s="400"/>
      <c r="DB58" s="400"/>
      <c r="DC58" s="400"/>
      <c r="DD58" s="400"/>
      <c r="DE58" s="400"/>
      <c r="DF58" s="400"/>
      <c r="DG58" s="400"/>
      <c r="DH58" s="400"/>
      <c r="DI58" s="400"/>
      <c r="DJ58" s="400"/>
      <c r="DK58" s="400"/>
      <c r="DL58" s="400"/>
      <c r="DM58" s="400"/>
      <c r="DN58" s="400"/>
      <c r="DO58" s="400"/>
      <c r="DP58" s="400"/>
      <c r="DQ58" s="400"/>
      <c r="DR58" s="400"/>
      <c r="DS58" s="400"/>
      <c r="DT58" s="400"/>
      <c r="DU58" s="400"/>
      <c r="DV58" s="400"/>
      <c r="DW58" s="400"/>
      <c r="DX58" s="400"/>
      <c r="DY58" s="400"/>
      <c r="DZ58" s="400"/>
      <c r="EA58" s="400"/>
      <c r="EB58" s="400"/>
      <c r="EC58" s="400"/>
      <c r="ED58" s="400"/>
      <c r="EE58" s="400"/>
      <c r="EF58" s="400"/>
      <c r="EG58" s="401"/>
      <c r="EI58" s="400"/>
      <c r="EJ58" s="400"/>
      <c r="EK58" s="400"/>
      <c r="EL58" s="400"/>
      <c r="EM58" s="400"/>
      <c r="EN58" s="400"/>
      <c r="EO58" s="400"/>
      <c r="EP58" s="400"/>
      <c r="EQ58" s="400"/>
      <c r="ER58" s="400"/>
      <c r="ES58" s="400"/>
      <c r="ET58" s="400"/>
      <c r="EU58" s="400"/>
      <c r="EV58" s="400"/>
      <c r="EW58" s="400"/>
      <c r="EX58" s="400"/>
      <c r="EY58" s="400"/>
      <c r="EZ58" s="400"/>
      <c r="FA58" s="400"/>
      <c r="FB58" s="400"/>
      <c r="FC58" s="400"/>
      <c r="FD58" s="400"/>
      <c r="FE58" s="400"/>
      <c r="FF58" s="400"/>
      <c r="FG58" s="400"/>
      <c r="FH58" s="400"/>
      <c r="FI58" s="400"/>
      <c r="FJ58" s="400"/>
      <c r="FK58" s="400"/>
      <c r="FL58" s="400"/>
      <c r="FM58" s="400"/>
      <c r="FO58" s="400"/>
      <c r="FP58" s="400"/>
      <c r="FQ58" s="400"/>
      <c r="FR58" s="400"/>
      <c r="FS58" s="400"/>
      <c r="FT58" s="400"/>
      <c r="FU58" s="400"/>
      <c r="FV58" s="400"/>
      <c r="FW58" s="400"/>
      <c r="FX58" s="400"/>
      <c r="FY58" s="400"/>
      <c r="FZ58" s="400"/>
      <c r="GA58" s="400"/>
      <c r="GB58" s="400"/>
      <c r="GC58" s="400"/>
      <c r="GD58" s="400"/>
      <c r="GE58" s="400"/>
      <c r="GF58" s="400"/>
      <c r="GG58" s="400"/>
      <c r="GH58" s="400"/>
      <c r="GI58" s="400"/>
      <c r="GJ58" s="400"/>
      <c r="GK58" s="400"/>
      <c r="GL58" s="400"/>
      <c r="GM58" s="400"/>
      <c r="GN58" s="400"/>
      <c r="GO58" s="400"/>
      <c r="GP58" s="400"/>
      <c r="GQ58" s="400"/>
      <c r="GR58" s="400"/>
      <c r="GS58" s="400"/>
      <c r="GT58" s="400"/>
      <c r="GV58" s="400"/>
      <c r="GW58" s="400"/>
      <c r="GX58" s="400"/>
      <c r="GY58" s="400"/>
      <c r="GZ58" s="400"/>
      <c r="HA58" s="400"/>
      <c r="HB58" s="400"/>
      <c r="HC58" s="400"/>
      <c r="HD58" s="400"/>
      <c r="HE58" s="400"/>
      <c r="HF58" s="400"/>
      <c r="HG58" s="400"/>
      <c r="HH58" s="400"/>
      <c r="HI58" s="400"/>
      <c r="HJ58" s="400"/>
      <c r="HK58" s="400"/>
      <c r="HL58" s="400"/>
      <c r="HM58" s="400"/>
      <c r="HN58" s="400"/>
      <c r="HO58" s="400"/>
      <c r="HP58" s="400"/>
      <c r="HQ58" s="400"/>
      <c r="HR58" s="400"/>
      <c r="HS58" s="400"/>
      <c r="HT58" s="400"/>
      <c r="HU58" s="400"/>
      <c r="HV58" s="400"/>
      <c r="HW58" s="400"/>
      <c r="HX58" s="400"/>
      <c r="HY58" s="400"/>
      <c r="HZ58" s="400"/>
      <c r="IB58" s="394" t="s">
        <v>166</v>
      </c>
      <c r="IC58" s="394" t="s">
        <v>166</v>
      </c>
      <c r="ID58" s="394" t="s">
        <v>166</v>
      </c>
      <c r="IE58" s="394" t="s">
        <v>166</v>
      </c>
      <c r="IF58" s="394" t="s">
        <v>166</v>
      </c>
      <c r="IG58" s="394" t="s">
        <v>166</v>
      </c>
      <c r="IH58" s="394" t="s">
        <v>166</v>
      </c>
      <c r="II58" s="394" t="s">
        <v>166</v>
      </c>
      <c r="IJ58" s="394" t="s">
        <v>166</v>
      </c>
      <c r="IK58" s="394" t="s">
        <v>166</v>
      </c>
      <c r="IL58" s="394" t="s">
        <v>166</v>
      </c>
      <c r="IM58" s="394" t="s">
        <v>166</v>
      </c>
      <c r="IN58" s="394" t="s">
        <v>166</v>
      </c>
      <c r="IO58" s="394" t="s">
        <v>166</v>
      </c>
      <c r="IP58" s="394" t="s">
        <v>166</v>
      </c>
      <c r="IQ58" s="394" t="s">
        <v>166</v>
      </c>
      <c r="IR58" s="394" t="s">
        <v>166</v>
      </c>
      <c r="IS58" s="394" t="s">
        <v>166</v>
      </c>
      <c r="IT58" s="394" t="s">
        <v>166</v>
      </c>
      <c r="IU58" s="394" t="s">
        <v>166</v>
      </c>
      <c r="IV58" s="394" t="s">
        <v>166</v>
      </c>
      <c r="IW58" s="394">
        <v>5.0</v>
      </c>
      <c r="IX58" s="394">
        <v>8.0</v>
      </c>
      <c r="IY58" s="394">
        <v>8.0</v>
      </c>
      <c r="IZ58" s="403" t="s">
        <v>165</v>
      </c>
      <c r="JA58" s="403" t="s">
        <v>165</v>
      </c>
      <c r="JB58" s="394">
        <v>8.0</v>
      </c>
      <c r="JC58" s="394">
        <v>8.0</v>
      </c>
      <c r="JD58" s="394">
        <v>9.0</v>
      </c>
      <c r="JE58" s="394">
        <v>9.0</v>
      </c>
      <c r="JF58" s="394">
        <v>9.0</v>
      </c>
      <c r="JG58" s="400">
        <f t="shared" si="3"/>
        <v>64</v>
      </c>
      <c r="JI58" s="403" t="s">
        <v>165</v>
      </c>
      <c r="JJ58" s="403" t="s">
        <v>165</v>
      </c>
      <c r="JK58" s="394">
        <v>8.0</v>
      </c>
      <c r="JL58" s="394">
        <v>8.0</v>
      </c>
      <c r="JM58" s="394">
        <v>8.0</v>
      </c>
      <c r="JN58" s="394">
        <v>8.0</v>
      </c>
      <c r="JO58" s="394">
        <v>8.0</v>
      </c>
      <c r="JP58" s="403" t="s">
        <v>165</v>
      </c>
      <c r="JQ58" s="403" t="s">
        <v>165</v>
      </c>
      <c r="JR58" s="394">
        <v>8.0</v>
      </c>
      <c r="JS58" s="394">
        <v>8.0</v>
      </c>
      <c r="JT58" s="394">
        <v>8.0</v>
      </c>
      <c r="JU58" s="394">
        <v>8.0</v>
      </c>
      <c r="JV58" s="394">
        <v>8.0</v>
      </c>
      <c r="JW58" s="403" t="s">
        <v>165</v>
      </c>
      <c r="JX58" s="403" t="s">
        <v>165</v>
      </c>
      <c r="JY58" s="394">
        <v>8.0</v>
      </c>
      <c r="JZ58" s="394">
        <v>8.0</v>
      </c>
      <c r="KA58" s="394">
        <v>8.0</v>
      </c>
      <c r="KB58" s="394">
        <v>8.0</v>
      </c>
      <c r="KC58" s="394">
        <v>8.0</v>
      </c>
      <c r="KD58" s="403" t="s">
        <v>165</v>
      </c>
      <c r="KE58" s="403" t="s">
        <v>165</v>
      </c>
      <c r="KF58" s="394">
        <v>8.0</v>
      </c>
      <c r="KG58" s="394">
        <v>8.0</v>
      </c>
      <c r="KH58" s="394">
        <v>8.0</v>
      </c>
      <c r="KI58" s="394">
        <v>8.0</v>
      </c>
      <c r="KJ58" s="394">
        <v>8.0</v>
      </c>
      <c r="KK58" s="403" t="s">
        <v>165</v>
      </c>
      <c r="KL58" s="403" t="s">
        <v>165</v>
      </c>
      <c r="KM58" s="394">
        <v>8.0</v>
      </c>
      <c r="KN58" s="145">
        <f t="shared" si="4"/>
        <v>168</v>
      </c>
      <c r="KP58" s="400"/>
      <c r="KQ58" s="400"/>
      <c r="KR58" s="400"/>
      <c r="KS58" s="400"/>
      <c r="KT58" s="400"/>
      <c r="KU58" s="400"/>
      <c r="KV58" s="400"/>
      <c r="KW58" s="400"/>
      <c r="KX58" s="400"/>
      <c r="KY58" s="400"/>
      <c r="KZ58" s="400"/>
      <c r="LA58" s="400"/>
      <c r="LB58" s="400"/>
      <c r="LC58" s="400"/>
      <c r="LD58" s="400"/>
      <c r="LE58" s="400"/>
      <c r="LF58" s="400"/>
      <c r="LG58" s="400"/>
      <c r="LH58" s="400"/>
      <c r="LI58" s="400"/>
      <c r="LJ58" s="400"/>
      <c r="LK58" s="400"/>
      <c r="LL58" s="400"/>
      <c r="LM58" s="400"/>
      <c r="LN58" s="400"/>
      <c r="LO58" s="400"/>
      <c r="LP58" s="400"/>
      <c r="LQ58" s="400"/>
      <c r="LR58" s="400"/>
      <c r="LT58" s="400"/>
      <c r="LU58" s="400"/>
      <c r="LV58" s="400"/>
      <c r="LW58" s="400"/>
      <c r="LX58" s="400"/>
      <c r="LY58" s="400"/>
      <c r="LZ58" s="400"/>
      <c r="MA58" s="400"/>
      <c r="MB58" s="400"/>
      <c r="MC58" s="400"/>
      <c r="MD58" s="400"/>
      <c r="ME58" s="400"/>
      <c r="MF58" s="400"/>
      <c r="MG58" s="400"/>
      <c r="MH58" s="400"/>
      <c r="MI58" s="400"/>
      <c r="MJ58" s="400"/>
      <c r="MK58" s="400"/>
      <c r="ML58" s="400"/>
      <c r="MM58" s="400"/>
      <c r="MN58" s="400"/>
      <c r="MO58" s="400"/>
      <c r="MP58" s="400"/>
      <c r="MQ58" s="400"/>
      <c r="MR58" s="400"/>
      <c r="MS58" s="400"/>
    </row>
    <row r="59">
      <c r="A59" s="393" t="s">
        <v>1307</v>
      </c>
      <c r="B59" s="394" t="s">
        <v>89</v>
      </c>
      <c r="C59" s="394" t="s">
        <v>98</v>
      </c>
      <c r="D59" s="395">
        <f t="shared" si="1"/>
        <v>0</v>
      </c>
      <c r="E59" s="396" t="s">
        <v>1237</v>
      </c>
      <c r="F59" s="397">
        <f>IFERROR(__xludf.DUMMYFUNCTION("IF(A59="""","""", counta(filter(Filter(FILTER($H$4:$PI76,$H$1:$PI$1&lt;today()),$A$4:$A76=A59),not(istext(Filter(FILTER($H$4:$PI76,$H$1:$PI$1&lt;today()),$A$4:$A76=A59))),not(Filter(FILTER($H$4:$PI76,$H$1:$PI$1&lt;today()),$A$4:$A76=A59)=0),Filter(FILTER($H$4:$PI7"&amp;"6,$H$1:$PI$1&lt;today()),$A$4:$A76=A59)&lt;23)))"),1.0)</f>
        <v>1</v>
      </c>
      <c r="H59" s="394"/>
      <c r="I59" s="394"/>
      <c r="J59" s="394"/>
      <c r="K59" s="394"/>
      <c r="L59" s="394"/>
      <c r="M59" s="394"/>
      <c r="N59" s="394"/>
      <c r="O59" s="394"/>
      <c r="P59" s="394"/>
      <c r="Q59" s="394"/>
      <c r="R59" s="394"/>
      <c r="S59" s="394"/>
      <c r="T59" s="394"/>
      <c r="U59" s="394"/>
      <c r="V59" s="394"/>
      <c r="W59" s="394"/>
      <c r="X59" s="394"/>
      <c r="Y59" s="394"/>
      <c r="Z59" s="394"/>
      <c r="AA59" s="394"/>
      <c r="AB59" s="394"/>
      <c r="AC59" s="394"/>
      <c r="AD59" s="394"/>
      <c r="AE59" s="394"/>
      <c r="AF59" s="394"/>
      <c r="AG59" s="394"/>
      <c r="AH59" s="394"/>
      <c r="AI59" s="394"/>
      <c r="AJ59" s="394"/>
      <c r="AK59" s="394"/>
      <c r="AL59" s="394"/>
      <c r="AM59" s="397"/>
      <c r="AO59" s="400"/>
      <c r="AP59" s="400"/>
      <c r="AQ59" s="400"/>
      <c r="AR59" s="400"/>
      <c r="AS59" s="400"/>
      <c r="AT59" s="400"/>
      <c r="AU59" s="394"/>
      <c r="AV59" s="400"/>
      <c r="AW59" s="400"/>
      <c r="AX59" s="394"/>
      <c r="AY59" s="400"/>
      <c r="AZ59" s="400"/>
      <c r="BA59" s="394"/>
      <c r="BB59" s="400"/>
      <c r="BC59" s="400"/>
      <c r="BD59" s="400"/>
      <c r="BE59" s="400"/>
      <c r="BF59" s="400"/>
      <c r="BG59" s="400"/>
      <c r="BH59" s="400"/>
      <c r="BI59" s="400"/>
      <c r="BJ59" s="400"/>
      <c r="BK59" s="400"/>
      <c r="BL59" s="400"/>
      <c r="BM59" s="400"/>
      <c r="BN59" s="400"/>
      <c r="BO59" s="400"/>
      <c r="BP59" s="400"/>
      <c r="BQ59" s="400"/>
      <c r="BR59" s="400"/>
      <c r="BS59" s="400"/>
      <c r="BU59" s="400"/>
      <c r="BV59" s="400"/>
      <c r="BW59" s="400"/>
      <c r="BX59" s="400"/>
      <c r="BY59" s="400"/>
      <c r="BZ59" s="400"/>
      <c r="CA59" s="400"/>
      <c r="CB59" s="400"/>
      <c r="CC59" s="400"/>
      <c r="CD59" s="400"/>
      <c r="CE59" s="400"/>
      <c r="CF59" s="400"/>
      <c r="CG59" s="400"/>
      <c r="CH59" s="400"/>
      <c r="CI59" s="400"/>
      <c r="CJ59" s="400"/>
      <c r="CK59" s="400"/>
      <c r="CL59" s="400"/>
      <c r="CM59" s="400"/>
      <c r="CN59" s="400"/>
      <c r="CO59" s="400"/>
      <c r="CP59" s="400"/>
      <c r="CQ59" s="400"/>
      <c r="CR59" s="400"/>
      <c r="CS59" s="400"/>
      <c r="CT59" s="400"/>
      <c r="CU59" s="400"/>
      <c r="CV59" s="400"/>
      <c r="CW59" s="400"/>
      <c r="CX59" s="400"/>
      <c r="CY59" s="400"/>
      <c r="CZ59" s="400"/>
      <c r="DB59" s="400"/>
      <c r="DC59" s="400"/>
      <c r="DD59" s="400"/>
      <c r="DE59" s="400"/>
      <c r="DF59" s="400"/>
      <c r="DG59" s="400"/>
      <c r="DH59" s="400"/>
      <c r="DI59" s="400"/>
      <c r="DJ59" s="400"/>
      <c r="DK59" s="400"/>
      <c r="DL59" s="400"/>
      <c r="DM59" s="400"/>
      <c r="DN59" s="400"/>
      <c r="DO59" s="400"/>
      <c r="DP59" s="400"/>
      <c r="DQ59" s="400"/>
      <c r="DR59" s="400"/>
      <c r="DS59" s="400"/>
      <c r="DT59" s="400"/>
      <c r="DU59" s="400"/>
      <c r="DV59" s="400"/>
      <c r="DW59" s="400"/>
      <c r="DX59" s="400"/>
      <c r="DY59" s="400"/>
      <c r="DZ59" s="400"/>
      <c r="EA59" s="400"/>
      <c r="EB59" s="400"/>
      <c r="EC59" s="400"/>
      <c r="ED59" s="400"/>
      <c r="EE59" s="400"/>
      <c r="EF59" s="400"/>
      <c r="EG59" s="401"/>
      <c r="EI59" s="400"/>
      <c r="EJ59" s="400"/>
      <c r="EK59" s="400"/>
      <c r="EL59" s="400"/>
      <c r="EM59" s="400"/>
      <c r="EN59" s="400"/>
      <c r="EO59" s="400"/>
      <c r="EP59" s="400"/>
      <c r="EQ59" s="400"/>
      <c r="ER59" s="400"/>
      <c r="ES59" s="400"/>
      <c r="ET59" s="400"/>
      <c r="EU59" s="400"/>
      <c r="EV59" s="400"/>
      <c r="EW59" s="400"/>
      <c r="EX59" s="400"/>
      <c r="EY59" s="400"/>
      <c r="EZ59" s="400"/>
      <c r="FA59" s="400"/>
      <c r="FB59" s="400"/>
      <c r="FC59" s="400"/>
      <c r="FD59" s="400"/>
      <c r="FE59" s="400"/>
      <c r="FF59" s="400"/>
      <c r="FG59" s="400"/>
      <c r="FH59" s="400"/>
      <c r="FI59" s="400"/>
      <c r="FJ59" s="400"/>
      <c r="FK59" s="400"/>
      <c r="FL59" s="400"/>
      <c r="FM59" s="400"/>
      <c r="FO59" s="400"/>
      <c r="FP59" s="400"/>
      <c r="FQ59" s="400"/>
      <c r="FR59" s="400"/>
      <c r="FS59" s="400"/>
      <c r="FT59" s="400"/>
      <c r="FU59" s="400"/>
      <c r="FV59" s="400"/>
      <c r="FW59" s="400"/>
      <c r="FX59" s="400"/>
      <c r="FY59" s="400"/>
      <c r="FZ59" s="400"/>
      <c r="GA59" s="400"/>
      <c r="GB59" s="400"/>
      <c r="GC59" s="400"/>
      <c r="GD59" s="400"/>
      <c r="GE59" s="400"/>
      <c r="GF59" s="400"/>
      <c r="GG59" s="400"/>
      <c r="GH59" s="400"/>
      <c r="GI59" s="400"/>
      <c r="GJ59" s="400"/>
      <c r="GK59" s="400"/>
      <c r="GL59" s="400"/>
      <c r="GM59" s="400"/>
      <c r="GN59" s="400"/>
      <c r="GO59" s="400"/>
      <c r="GP59" s="400"/>
      <c r="GQ59" s="400"/>
      <c r="GR59" s="400"/>
      <c r="GS59" s="400"/>
      <c r="GT59" s="400"/>
      <c r="GV59" s="400"/>
      <c r="GW59" s="400"/>
      <c r="GX59" s="400"/>
      <c r="GY59" s="400"/>
      <c r="GZ59" s="400"/>
      <c r="HA59" s="400"/>
      <c r="HB59" s="400"/>
      <c r="HC59" s="400"/>
      <c r="HD59" s="400"/>
      <c r="HE59" s="400"/>
      <c r="HF59" s="400"/>
      <c r="HG59" s="400"/>
      <c r="HH59" s="400"/>
      <c r="HI59" s="400"/>
      <c r="HJ59" s="400"/>
      <c r="HK59" s="400"/>
      <c r="HL59" s="400"/>
      <c r="HM59" s="400"/>
      <c r="HN59" s="400"/>
      <c r="HO59" s="400"/>
      <c r="HP59" s="400"/>
      <c r="HQ59" s="400"/>
      <c r="HR59" s="400"/>
      <c r="HS59" s="400"/>
      <c r="HT59" s="400"/>
      <c r="HU59" s="400"/>
      <c r="HV59" s="400"/>
      <c r="HW59" s="400"/>
      <c r="HX59" s="400"/>
      <c r="HY59" s="400"/>
      <c r="HZ59" s="400"/>
      <c r="IB59" s="394" t="s">
        <v>166</v>
      </c>
      <c r="IC59" s="394" t="s">
        <v>166</v>
      </c>
      <c r="ID59" s="394" t="s">
        <v>166</v>
      </c>
      <c r="IE59" s="394" t="s">
        <v>166</v>
      </c>
      <c r="IF59" s="394" t="s">
        <v>166</v>
      </c>
      <c r="IG59" s="394" t="s">
        <v>166</v>
      </c>
      <c r="IH59" s="394" t="s">
        <v>166</v>
      </c>
      <c r="II59" s="394" t="s">
        <v>166</v>
      </c>
      <c r="IJ59" s="394" t="s">
        <v>166</v>
      </c>
      <c r="IK59" s="394" t="s">
        <v>166</v>
      </c>
      <c r="IL59" s="394" t="s">
        <v>166</v>
      </c>
      <c r="IM59" s="394" t="s">
        <v>166</v>
      </c>
      <c r="IN59" s="394" t="s">
        <v>166</v>
      </c>
      <c r="IO59" s="394" t="s">
        <v>166</v>
      </c>
      <c r="IP59" s="394" t="s">
        <v>166</v>
      </c>
      <c r="IQ59" s="394" t="s">
        <v>166</v>
      </c>
      <c r="IR59" s="394" t="s">
        <v>166</v>
      </c>
      <c r="IS59" s="394" t="s">
        <v>166</v>
      </c>
      <c r="IT59" s="394" t="s">
        <v>166</v>
      </c>
      <c r="IU59" s="394" t="s">
        <v>166</v>
      </c>
      <c r="IV59" s="394" t="s">
        <v>166</v>
      </c>
      <c r="IW59" s="394" t="s">
        <v>166</v>
      </c>
      <c r="IX59" s="394" t="s">
        <v>166</v>
      </c>
      <c r="IY59" s="394" t="s">
        <v>166</v>
      </c>
      <c r="IZ59" s="394" t="s">
        <v>166</v>
      </c>
      <c r="JA59" s="394" t="s">
        <v>166</v>
      </c>
      <c r="JB59" s="394" t="s">
        <v>166</v>
      </c>
      <c r="JC59" s="394" t="s">
        <v>166</v>
      </c>
      <c r="JD59" s="394" t="s">
        <v>166</v>
      </c>
      <c r="JE59" s="394" t="s">
        <v>166</v>
      </c>
      <c r="JF59" s="394" t="s">
        <v>166</v>
      </c>
      <c r="JG59" s="400">
        <f t="shared" si="3"/>
        <v>0</v>
      </c>
      <c r="JI59" s="394" t="s">
        <v>166</v>
      </c>
      <c r="JJ59" s="394" t="s">
        <v>166</v>
      </c>
      <c r="JK59" s="394">
        <v>8.0</v>
      </c>
      <c r="JL59" s="394">
        <v>8.0</v>
      </c>
      <c r="JM59" s="394">
        <v>8.0</v>
      </c>
      <c r="JN59" s="394">
        <v>8.0</v>
      </c>
      <c r="JO59" s="394">
        <v>8.0</v>
      </c>
      <c r="JP59" s="403" t="s">
        <v>165</v>
      </c>
      <c r="JQ59" s="403" t="s">
        <v>165</v>
      </c>
      <c r="JR59" s="394">
        <v>8.0</v>
      </c>
      <c r="JS59" s="394">
        <v>8.0</v>
      </c>
      <c r="JT59" s="394">
        <v>8.0</v>
      </c>
      <c r="JU59" s="394">
        <v>8.0</v>
      </c>
      <c r="JV59" s="394">
        <v>8.0</v>
      </c>
      <c r="JW59" s="403" t="s">
        <v>165</v>
      </c>
      <c r="JX59" s="403" t="s">
        <v>165</v>
      </c>
      <c r="JY59" s="394">
        <v>8.0</v>
      </c>
      <c r="JZ59" s="394">
        <v>8.0</v>
      </c>
      <c r="KA59" s="394">
        <v>8.0</v>
      </c>
      <c r="KB59" s="394">
        <v>8.0</v>
      </c>
      <c r="KC59" s="394">
        <v>8.0</v>
      </c>
      <c r="KD59" s="403" t="s">
        <v>165</v>
      </c>
      <c r="KE59" s="403" t="s">
        <v>165</v>
      </c>
      <c r="KF59" s="394">
        <v>8.0</v>
      </c>
      <c r="KG59" s="394">
        <v>8.0</v>
      </c>
      <c r="KH59" s="394">
        <v>8.0</v>
      </c>
      <c r="KI59" s="394">
        <v>8.0</v>
      </c>
      <c r="KJ59" s="394">
        <v>8.0</v>
      </c>
      <c r="KK59" s="403" t="s">
        <v>165</v>
      </c>
      <c r="KL59" s="403" t="s">
        <v>165</v>
      </c>
      <c r="KM59" s="394">
        <v>8.0</v>
      </c>
      <c r="KN59" s="145">
        <f t="shared" si="4"/>
        <v>168</v>
      </c>
      <c r="KP59" s="400"/>
      <c r="KQ59" s="400"/>
      <c r="KR59" s="400"/>
      <c r="KS59" s="400"/>
      <c r="KT59" s="400"/>
      <c r="KU59" s="400"/>
      <c r="KV59" s="400"/>
      <c r="KW59" s="400"/>
      <c r="KX59" s="400"/>
      <c r="KY59" s="400"/>
      <c r="KZ59" s="400"/>
      <c r="LA59" s="400"/>
      <c r="LB59" s="400"/>
      <c r="LC59" s="400"/>
      <c r="LD59" s="400"/>
      <c r="LE59" s="400"/>
      <c r="LF59" s="400"/>
      <c r="LG59" s="400"/>
      <c r="LH59" s="400"/>
      <c r="LI59" s="400"/>
      <c r="LJ59" s="400"/>
      <c r="LK59" s="400"/>
      <c r="LL59" s="400"/>
      <c r="LM59" s="400"/>
      <c r="LN59" s="400"/>
      <c r="LO59" s="400"/>
      <c r="LP59" s="400"/>
      <c r="LQ59" s="400"/>
      <c r="LR59" s="400"/>
      <c r="LT59" s="400"/>
      <c r="LU59" s="400"/>
      <c r="LV59" s="400"/>
      <c r="LW59" s="400"/>
      <c r="LX59" s="400"/>
      <c r="LY59" s="400"/>
      <c r="LZ59" s="400"/>
      <c r="MA59" s="400"/>
      <c r="MB59" s="400"/>
      <c r="MC59" s="400"/>
      <c r="MD59" s="400"/>
      <c r="ME59" s="400"/>
      <c r="MF59" s="400"/>
      <c r="MG59" s="400"/>
      <c r="MH59" s="400"/>
      <c r="MI59" s="400"/>
      <c r="MJ59" s="400"/>
      <c r="MK59" s="400"/>
      <c r="ML59" s="400"/>
      <c r="MM59" s="400"/>
      <c r="MN59" s="400"/>
      <c r="MO59" s="400"/>
      <c r="MP59" s="400"/>
      <c r="MQ59" s="400"/>
      <c r="MR59" s="400"/>
      <c r="MS59" s="400"/>
    </row>
    <row r="60">
      <c r="A60" s="394"/>
      <c r="B60" s="400"/>
      <c r="C60" s="394"/>
      <c r="D60" s="400"/>
      <c r="E60" s="447"/>
      <c r="F60" s="394"/>
      <c r="G60" s="394"/>
      <c r="H60" s="394"/>
      <c r="I60" s="394"/>
      <c r="J60" s="394"/>
      <c r="K60" s="394"/>
      <c r="L60" s="394"/>
      <c r="M60" s="394"/>
      <c r="N60" s="394"/>
      <c r="O60" s="394"/>
      <c r="P60" s="394"/>
      <c r="Q60" s="394"/>
      <c r="R60" s="394"/>
      <c r="S60" s="394"/>
      <c r="T60" s="394"/>
      <c r="U60" s="394"/>
      <c r="V60" s="394"/>
      <c r="W60" s="394"/>
      <c r="X60" s="394"/>
      <c r="Y60" s="394"/>
      <c r="Z60" s="394"/>
      <c r="AA60" s="394"/>
      <c r="AB60" s="394"/>
      <c r="AC60" s="394"/>
      <c r="AD60" s="394"/>
      <c r="AE60" s="394"/>
      <c r="AF60" s="394"/>
      <c r="AG60" s="394"/>
      <c r="AH60" s="394"/>
      <c r="AI60" s="394"/>
      <c r="AJ60" s="394"/>
      <c r="AK60" s="394"/>
      <c r="AL60" s="394"/>
      <c r="AM60" s="397"/>
      <c r="AN60" s="400"/>
      <c r="AO60" s="400"/>
      <c r="AP60" s="400"/>
      <c r="AQ60" s="400"/>
      <c r="AR60" s="400"/>
      <c r="AS60" s="400"/>
      <c r="AT60" s="400"/>
      <c r="AU60" s="394"/>
      <c r="AV60" s="400"/>
      <c r="AW60" s="400"/>
      <c r="AX60" s="394"/>
      <c r="AY60" s="400"/>
      <c r="AZ60" s="400"/>
      <c r="BA60" s="394"/>
      <c r="BB60" s="400"/>
      <c r="BC60" s="400"/>
      <c r="BD60" s="400"/>
      <c r="BE60" s="400"/>
      <c r="BF60" s="400"/>
      <c r="BG60" s="400"/>
      <c r="BH60" s="400"/>
      <c r="BI60" s="400"/>
      <c r="BJ60" s="400"/>
      <c r="BK60" s="400"/>
      <c r="BL60" s="400"/>
      <c r="BM60" s="400"/>
      <c r="BN60" s="400"/>
      <c r="BO60" s="400"/>
      <c r="BP60" s="400"/>
      <c r="BQ60" s="400"/>
      <c r="BR60" s="400"/>
      <c r="BS60" s="400"/>
      <c r="BT60" s="400"/>
      <c r="BU60" s="400"/>
      <c r="BV60" s="400"/>
      <c r="BW60" s="400"/>
      <c r="BX60" s="400"/>
      <c r="BY60" s="400"/>
      <c r="BZ60" s="400"/>
      <c r="CA60" s="400"/>
      <c r="CB60" s="400"/>
      <c r="CC60" s="400"/>
      <c r="CD60" s="400"/>
      <c r="CE60" s="400"/>
      <c r="CF60" s="400"/>
      <c r="CG60" s="400"/>
      <c r="CH60" s="400"/>
      <c r="CI60" s="400"/>
      <c r="CJ60" s="400"/>
      <c r="CK60" s="400"/>
      <c r="CL60" s="400"/>
      <c r="CM60" s="400"/>
      <c r="CN60" s="400"/>
      <c r="CO60" s="400"/>
      <c r="CP60" s="400"/>
      <c r="CQ60" s="400"/>
      <c r="CR60" s="400"/>
      <c r="CS60" s="400"/>
      <c r="CT60" s="400"/>
      <c r="CU60" s="400"/>
      <c r="CV60" s="400"/>
      <c r="CW60" s="400"/>
      <c r="CX60" s="400"/>
      <c r="CY60" s="400"/>
      <c r="CZ60" s="400"/>
      <c r="DA60" s="400"/>
      <c r="DB60" s="400"/>
      <c r="DC60" s="400"/>
      <c r="DD60" s="400"/>
      <c r="DE60" s="400"/>
      <c r="DF60" s="400"/>
      <c r="DG60" s="400"/>
      <c r="DH60" s="400"/>
      <c r="DI60" s="400"/>
      <c r="DJ60" s="400"/>
      <c r="DK60" s="400"/>
      <c r="DL60" s="400"/>
      <c r="DM60" s="400"/>
      <c r="DN60" s="400"/>
      <c r="DO60" s="400"/>
      <c r="DP60" s="400"/>
      <c r="DQ60" s="400"/>
      <c r="DR60" s="400"/>
      <c r="DS60" s="400"/>
      <c r="DT60" s="400"/>
      <c r="DU60" s="400"/>
      <c r="DV60" s="400"/>
      <c r="DW60" s="400"/>
      <c r="DX60" s="400"/>
      <c r="DY60" s="400"/>
      <c r="DZ60" s="400"/>
      <c r="EA60" s="400"/>
      <c r="EB60" s="400"/>
      <c r="EC60" s="400"/>
      <c r="ED60" s="400"/>
      <c r="EE60" s="400"/>
      <c r="EF60" s="400"/>
      <c r="EG60" s="401"/>
      <c r="EH60" s="400"/>
      <c r="EI60" s="400"/>
      <c r="EJ60" s="400"/>
      <c r="EK60" s="400"/>
      <c r="EL60" s="400"/>
      <c r="EM60" s="400"/>
      <c r="EN60" s="400"/>
      <c r="EO60" s="400"/>
      <c r="EP60" s="400"/>
      <c r="EQ60" s="400"/>
      <c r="ER60" s="400"/>
      <c r="ES60" s="400"/>
      <c r="ET60" s="400"/>
      <c r="EU60" s="400"/>
      <c r="EV60" s="400"/>
      <c r="EW60" s="400"/>
      <c r="EX60" s="400"/>
      <c r="EY60" s="400"/>
      <c r="EZ60" s="400"/>
      <c r="FA60" s="400"/>
      <c r="FB60" s="400"/>
      <c r="FC60" s="400"/>
      <c r="FD60" s="400"/>
      <c r="FE60" s="400"/>
      <c r="FF60" s="400"/>
      <c r="FG60" s="400"/>
      <c r="FH60" s="400"/>
      <c r="FI60" s="400"/>
      <c r="FJ60" s="400"/>
      <c r="FK60" s="400"/>
      <c r="FL60" s="400"/>
      <c r="FM60" s="400"/>
      <c r="FN60" s="400"/>
      <c r="FO60" s="400"/>
      <c r="FP60" s="400"/>
      <c r="FQ60" s="400"/>
      <c r="FR60" s="400"/>
      <c r="FS60" s="400"/>
      <c r="FT60" s="400"/>
      <c r="FU60" s="400"/>
      <c r="FV60" s="400"/>
      <c r="FW60" s="400"/>
      <c r="FX60" s="400"/>
      <c r="FY60" s="400"/>
      <c r="FZ60" s="400"/>
      <c r="GA60" s="400"/>
      <c r="GB60" s="400"/>
      <c r="GC60" s="400"/>
      <c r="GD60" s="400"/>
      <c r="GE60" s="400"/>
      <c r="GF60" s="400"/>
      <c r="GG60" s="400"/>
      <c r="GH60" s="400"/>
      <c r="GI60" s="400"/>
      <c r="GJ60" s="400"/>
      <c r="GK60" s="400"/>
      <c r="GL60" s="400"/>
      <c r="GM60" s="400"/>
      <c r="GN60" s="400"/>
      <c r="GO60" s="400"/>
      <c r="GP60" s="400"/>
      <c r="GQ60" s="400"/>
      <c r="GR60" s="400"/>
      <c r="GS60" s="400"/>
      <c r="GT60" s="400"/>
      <c r="GU60" s="400"/>
      <c r="GV60" s="400"/>
      <c r="GW60" s="400"/>
      <c r="GX60" s="400"/>
      <c r="GY60" s="400"/>
      <c r="GZ60" s="400"/>
      <c r="HA60" s="400"/>
      <c r="HB60" s="400"/>
      <c r="HC60" s="400"/>
      <c r="HD60" s="400"/>
      <c r="HE60" s="400"/>
      <c r="HF60" s="400"/>
      <c r="HG60" s="400"/>
      <c r="HH60" s="400"/>
      <c r="HI60" s="400"/>
      <c r="HJ60" s="400"/>
      <c r="HK60" s="400"/>
      <c r="HL60" s="400"/>
      <c r="HM60" s="400"/>
      <c r="HN60" s="400"/>
      <c r="HO60" s="400"/>
      <c r="HP60" s="400"/>
      <c r="HQ60" s="400"/>
      <c r="HR60" s="400"/>
      <c r="HS60" s="400"/>
      <c r="HT60" s="400"/>
      <c r="HU60" s="400"/>
      <c r="HV60" s="400"/>
      <c r="HW60" s="400"/>
      <c r="HX60" s="400"/>
      <c r="HY60" s="400"/>
      <c r="HZ60" s="400"/>
      <c r="IA60" s="400"/>
      <c r="IB60" s="400"/>
      <c r="IC60" s="400"/>
      <c r="ID60" s="400"/>
      <c r="IE60" s="400"/>
      <c r="IF60" s="400"/>
      <c r="IG60" s="400"/>
      <c r="IH60" s="400"/>
      <c r="II60" s="400"/>
      <c r="IJ60" s="400"/>
      <c r="IK60" s="400"/>
      <c r="IL60" s="400"/>
      <c r="IM60" s="400"/>
      <c r="IN60" s="400"/>
      <c r="IO60" s="400"/>
      <c r="IP60" s="400"/>
      <c r="IQ60" s="400"/>
      <c r="IR60" s="400"/>
      <c r="IS60" s="400"/>
      <c r="IT60" s="400"/>
      <c r="IU60" s="400"/>
      <c r="IV60" s="400"/>
      <c r="IW60" s="400"/>
      <c r="IX60" s="400"/>
      <c r="IY60" s="400"/>
      <c r="IZ60" s="400"/>
      <c r="JA60" s="394"/>
      <c r="JB60" s="400"/>
      <c r="JC60" s="400"/>
      <c r="JD60" s="400"/>
      <c r="JE60" s="400"/>
      <c r="JF60" s="400"/>
      <c r="JG60" s="400"/>
      <c r="JH60" s="400"/>
      <c r="JI60" s="400"/>
      <c r="JJ60" s="400"/>
      <c r="JK60" s="400"/>
      <c r="JL60" s="400"/>
      <c r="JM60" s="400"/>
      <c r="JN60" s="400"/>
      <c r="JO60" s="400"/>
      <c r="JP60" s="400"/>
      <c r="JQ60" s="400"/>
      <c r="JR60" s="400"/>
      <c r="JS60" s="400"/>
      <c r="JT60" s="400"/>
      <c r="JU60" s="400"/>
      <c r="JV60" s="400"/>
      <c r="JW60" s="400"/>
      <c r="JX60" s="400"/>
      <c r="JY60" s="400"/>
      <c r="JZ60" s="400"/>
      <c r="KA60" s="400"/>
      <c r="KB60" s="400"/>
      <c r="KC60" s="400"/>
      <c r="KD60" s="400"/>
      <c r="KE60" s="400"/>
      <c r="KF60" s="400"/>
      <c r="KG60" s="400"/>
      <c r="KH60" s="400"/>
      <c r="KI60" s="400"/>
      <c r="KJ60" s="400"/>
      <c r="KK60" s="400"/>
      <c r="KL60" s="400"/>
      <c r="KM60" s="400"/>
      <c r="KN60" s="400"/>
      <c r="KO60" s="400"/>
      <c r="KP60" s="400"/>
      <c r="KQ60" s="400"/>
      <c r="KR60" s="400"/>
      <c r="KS60" s="400"/>
      <c r="KT60" s="400"/>
      <c r="KU60" s="400"/>
      <c r="KV60" s="400"/>
      <c r="KW60" s="400"/>
      <c r="KX60" s="400"/>
      <c r="KY60" s="400"/>
      <c r="KZ60" s="400"/>
      <c r="LA60" s="400"/>
      <c r="LB60" s="400"/>
      <c r="LC60" s="400"/>
      <c r="LD60" s="400"/>
      <c r="LE60" s="400"/>
      <c r="LF60" s="400"/>
      <c r="LG60" s="400"/>
      <c r="LH60" s="400"/>
      <c r="LI60" s="400"/>
      <c r="LJ60" s="400"/>
      <c r="LK60" s="400"/>
      <c r="LL60" s="400"/>
      <c r="LM60" s="400"/>
      <c r="LN60" s="400"/>
      <c r="LO60" s="400"/>
      <c r="LP60" s="400"/>
      <c r="LQ60" s="400"/>
      <c r="LR60" s="400"/>
      <c r="LS60" s="400"/>
      <c r="LT60" s="400"/>
      <c r="LU60" s="400"/>
      <c r="LV60" s="400"/>
      <c r="LW60" s="400"/>
      <c r="LX60" s="400"/>
      <c r="LY60" s="400"/>
      <c r="LZ60" s="400"/>
      <c r="MA60" s="400"/>
      <c r="MB60" s="400"/>
      <c r="MC60" s="400"/>
      <c r="MD60" s="400"/>
      <c r="ME60" s="400"/>
      <c r="MF60" s="400"/>
      <c r="MG60" s="400"/>
      <c r="MH60" s="400"/>
      <c r="MI60" s="400"/>
      <c r="MJ60" s="400"/>
      <c r="MK60" s="400"/>
      <c r="ML60" s="400"/>
      <c r="MM60" s="400"/>
      <c r="MN60" s="400"/>
      <c r="MO60" s="400"/>
      <c r="MP60" s="400"/>
      <c r="MQ60" s="400"/>
      <c r="MR60" s="400"/>
      <c r="MS60" s="400"/>
    </row>
    <row r="61">
      <c r="A61" s="394"/>
      <c r="B61" s="400"/>
      <c r="C61" s="394"/>
      <c r="D61" s="400"/>
      <c r="E61" s="447"/>
      <c r="F61" s="394"/>
      <c r="G61" s="394"/>
      <c r="H61" s="394"/>
      <c r="I61" s="394"/>
      <c r="J61" s="394"/>
      <c r="K61" s="394"/>
      <c r="L61" s="394"/>
      <c r="M61" s="394"/>
      <c r="N61" s="394"/>
      <c r="O61" s="394"/>
      <c r="P61" s="394"/>
      <c r="Q61" s="394"/>
      <c r="R61" s="394"/>
      <c r="S61" s="394"/>
      <c r="T61" s="394"/>
      <c r="U61" s="394"/>
      <c r="V61" s="394"/>
      <c r="W61" s="394"/>
      <c r="X61" s="394"/>
      <c r="Y61" s="394"/>
      <c r="Z61" s="394"/>
      <c r="AA61" s="394"/>
      <c r="AB61" s="394"/>
      <c r="AC61" s="394"/>
      <c r="AD61" s="394"/>
      <c r="AE61" s="394"/>
      <c r="AF61" s="394"/>
      <c r="AG61" s="394"/>
      <c r="AH61" s="394"/>
      <c r="AI61" s="394"/>
      <c r="AJ61" s="394"/>
      <c r="AK61" s="394"/>
      <c r="AL61" s="394"/>
      <c r="AM61" s="397"/>
      <c r="AN61" s="400"/>
      <c r="AO61" s="400"/>
      <c r="AP61" s="400"/>
      <c r="AQ61" s="400"/>
      <c r="AR61" s="400"/>
      <c r="AS61" s="400"/>
      <c r="AT61" s="400"/>
      <c r="AU61" s="394"/>
      <c r="AV61" s="400"/>
      <c r="AW61" s="400"/>
      <c r="AX61" s="394"/>
      <c r="AY61" s="400"/>
      <c r="AZ61" s="400"/>
      <c r="BA61" s="394"/>
      <c r="BB61" s="400"/>
      <c r="BC61" s="400"/>
      <c r="BD61" s="400"/>
      <c r="BE61" s="400"/>
      <c r="BF61" s="400"/>
      <c r="BG61" s="400"/>
      <c r="BH61" s="400"/>
      <c r="BI61" s="400"/>
      <c r="BJ61" s="400"/>
      <c r="BK61" s="400"/>
      <c r="BL61" s="400"/>
      <c r="BM61" s="400"/>
      <c r="BN61" s="400"/>
      <c r="BO61" s="400"/>
      <c r="BP61" s="400"/>
      <c r="BQ61" s="400"/>
      <c r="BR61" s="400"/>
      <c r="BS61" s="400"/>
      <c r="BT61" s="400"/>
      <c r="BU61" s="400"/>
      <c r="BV61" s="400"/>
      <c r="BW61" s="400"/>
      <c r="BX61" s="400"/>
      <c r="BY61" s="400"/>
      <c r="BZ61" s="400"/>
      <c r="CA61" s="400"/>
      <c r="CB61" s="400"/>
      <c r="CC61" s="400"/>
      <c r="CD61" s="400"/>
      <c r="CE61" s="400"/>
      <c r="CF61" s="400"/>
      <c r="CG61" s="400"/>
      <c r="CH61" s="400"/>
      <c r="CI61" s="400"/>
      <c r="CJ61" s="400"/>
      <c r="CK61" s="400"/>
      <c r="CL61" s="400"/>
      <c r="CM61" s="400"/>
      <c r="CN61" s="400"/>
      <c r="CO61" s="400"/>
      <c r="CP61" s="400"/>
      <c r="CQ61" s="400"/>
      <c r="CR61" s="400"/>
      <c r="CS61" s="400"/>
      <c r="CT61" s="400"/>
      <c r="CU61" s="400"/>
      <c r="CV61" s="400"/>
      <c r="CW61" s="400"/>
      <c r="CX61" s="400"/>
      <c r="CY61" s="400"/>
      <c r="CZ61" s="400"/>
      <c r="DA61" s="400"/>
      <c r="DB61" s="400"/>
      <c r="DC61" s="400"/>
      <c r="DD61" s="400"/>
      <c r="DE61" s="400"/>
      <c r="DF61" s="400"/>
      <c r="DG61" s="400"/>
      <c r="DH61" s="400"/>
      <c r="DI61" s="400"/>
      <c r="DJ61" s="400"/>
      <c r="DK61" s="400"/>
      <c r="DL61" s="400"/>
      <c r="DM61" s="400"/>
      <c r="DN61" s="400"/>
      <c r="DO61" s="400"/>
      <c r="DP61" s="400"/>
      <c r="DQ61" s="400"/>
      <c r="DR61" s="400"/>
      <c r="DS61" s="400"/>
      <c r="DT61" s="400"/>
      <c r="DU61" s="400"/>
      <c r="DV61" s="400"/>
      <c r="DW61" s="400"/>
      <c r="DX61" s="400"/>
      <c r="DY61" s="400"/>
      <c r="DZ61" s="400"/>
      <c r="EA61" s="400"/>
      <c r="EB61" s="400"/>
      <c r="EC61" s="400"/>
      <c r="ED61" s="400"/>
      <c r="EE61" s="400"/>
      <c r="EF61" s="400"/>
      <c r="EG61" s="401"/>
      <c r="EH61" s="400"/>
      <c r="EI61" s="400"/>
      <c r="EJ61" s="400"/>
      <c r="EK61" s="400"/>
      <c r="EL61" s="400"/>
      <c r="EM61" s="400"/>
      <c r="EN61" s="400"/>
      <c r="EO61" s="400"/>
      <c r="EP61" s="400"/>
      <c r="EQ61" s="400"/>
      <c r="ER61" s="400"/>
      <c r="ES61" s="400"/>
      <c r="ET61" s="400"/>
      <c r="EU61" s="400"/>
      <c r="EV61" s="400"/>
      <c r="EW61" s="400"/>
      <c r="EX61" s="400"/>
      <c r="EY61" s="400"/>
      <c r="EZ61" s="400"/>
      <c r="FA61" s="400"/>
      <c r="FB61" s="400"/>
      <c r="FC61" s="400"/>
      <c r="FD61" s="400"/>
      <c r="FE61" s="400"/>
      <c r="FF61" s="400"/>
      <c r="FG61" s="400"/>
      <c r="FH61" s="400"/>
      <c r="FI61" s="400"/>
      <c r="FJ61" s="400"/>
      <c r="FK61" s="400"/>
      <c r="FL61" s="400"/>
      <c r="FM61" s="400"/>
      <c r="FN61" s="400"/>
      <c r="FO61" s="400"/>
      <c r="FP61" s="400"/>
      <c r="FQ61" s="400"/>
      <c r="FR61" s="400"/>
      <c r="FS61" s="400"/>
      <c r="FT61" s="400"/>
      <c r="FU61" s="400"/>
      <c r="FV61" s="400"/>
      <c r="FW61" s="400"/>
      <c r="FX61" s="400"/>
      <c r="FY61" s="400"/>
      <c r="FZ61" s="400"/>
      <c r="GA61" s="400"/>
      <c r="GB61" s="400"/>
      <c r="GC61" s="400"/>
      <c r="GD61" s="400"/>
      <c r="GE61" s="400"/>
      <c r="GF61" s="400"/>
      <c r="GG61" s="400"/>
      <c r="GH61" s="400"/>
      <c r="GI61" s="400"/>
      <c r="GJ61" s="400"/>
      <c r="GK61" s="400"/>
      <c r="GL61" s="400"/>
      <c r="GM61" s="400"/>
      <c r="GN61" s="400"/>
      <c r="GO61" s="400"/>
      <c r="GP61" s="400"/>
      <c r="GQ61" s="400"/>
      <c r="GR61" s="400"/>
      <c r="GS61" s="400"/>
      <c r="GT61" s="400"/>
      <c r="GU61" s="400"/>
      <c r="GV61" s="400"/>
      <c r="GW61" s="400"/>
      <c r="GX61" s="400"/>
      <c r="GY61" s="400"/>
      <c r="GZ61" s="400"/>
      <c r="HA61" s="400"/>
      <c r="HB61" s="400"/>
      <c r="HC61" s="400"/>
      <c r="HD61" s="400"/>
      <c r="HE61" s="400"/>
      <c r="HF61" s="400"/>
      <c r="HG61" s="400"/>
      <c r="HH61" s="400"/>
      <c r="HI61" s="400"/>
      <c r="HJ61" s="400"/>
      <c r="HK61" s="400"/>
      <c r="HL61" s="400"/>
      <c r="HM61" s="400"/>
      <c r="HN61" s="400"/>
      <c r="HO61" s="400"/>
      <c r="HP61" s="400"/>
      <c r="HQ61" s="400"/>
      <c r="HR61" s="400"/>
      <c r="HS61" s="400"/>
      <c r="HT61" s="400"/>
      <c r="HU61" s="400"/>
      <c r="HV61" s="400"/>
      <c r="HW61" s="400"/>
      <c r="HX61" s="400"/>
      <c r="HY61" s="400"/>
      <c r="HZ61" s="400"/>
      <c r="IA61" s="400"/>
      <c r="IB61" s="400"/>
      <c r="IC61" s="400"/>
      <c r="ID61" s="400"/>
      <c r="IE61" s="400"/>
      <c r="IF61" s="400"/>
      <c r="IG61" s="400"/>
      <c r="IH61" s="400"/>
      <c r="II61" s="400"/>
      <c r="IJ61" s="400"/>
      <c r="IK61" s="400"/>
      <c r="IL61" s="400"/>
      <c r="IM61" s="400"/>
      <c r="IN61" s="400"/>
      <c r="IO61" s="400"/>
      <c r="IP61" s="400"/>
      <c r="IQ61" s="400"/>
      <c r="IR61" s="400"/>
      <c r="IS61" s="400"/>
      <c r="IT61" s="400"/>
      <c r="IU61" s="400"/>
      <c r="IV61" s="400"/>
      <c r="IW61" s="400"/>
      <c r="IX61" s="400"/>
      <c r="IY61" s="400"/>
      <c r="IZ61" s="400"/>
      <c r="JA61" s="400"/>
      <c r="JB61" s="400"/>
      <c r="JC61" s="400"/>
      <c r="JD61" s="400"/>
      <c r="JE61" s="400"/>
      <c r="JF61" s="400"/>
      <c r="JG61" s="400"/>
      <c r="JH61" s="400"/>
      <c r="JI61" s="400"/>
      <c r="JJ61" s="400"/>
      <c r="JK61" s="400"/>
      <c r="JL61" s="400"/>
      <c r="JM61" s="400"/>
      <c r="JN61" s="400"/>
      <c r="JO61" s="400"/>
      <c r="JP61" s="400"/>
      <c r="JQ61" s="400"/>
      <c r="JR61" s="400"/>
      <c r="JS61" s="400"/>
      <c r="JT61" s="400"/>
      <c r="JU61" s="400"/>
      <c r="JV61" s="400"/>
      <c r="JW61" s="400"/>
      <c r="JX61" s="400"/>
      <c r="JY61" s="400"/>
      <c r="JZ61" s="400"/>
      <c r="KA61" s="400"/>
      <c r="KB61" s="400"/>
      <c r="KC61" s="400"/>
      <c r="KD61" s="400"/>
      <c r="KE61" s="400"/>
      <c r="KF61" s="400"/>
      <c r="KG61" s="400"/>
      <c r="KH61" s="400"/>
      <c r="KI61" s="400"/>
      <c r="KJ61" s="400"/>
      <c r="KK61" s="400"/>
      <c r="KL61" s="400"/>
      <c r="KM61" s="400"/>
      <c r="KN61" s="400"/>
      <c r="KO61" s="400"/>
      <c r="KP61" s="400"/>
      <c r="KQ61" s="400"/>
      <c r="KR61" s="400"/>
      <c r="KS61" s="400"/>
      <c r="KT61" s="400"/>
      <c r="KU61" s="400"/>
      <c r="KV61" s="400"/>
      <c r="KW61" s="400"/>
      <c r="KX61" s="400"/>
      <c r="KY61" s="400"/>
      <c r="KZ61" s="400"/>
      <c r="LA61" s="400"/>
      <c r="LB61" s="400"/>
      <c r="LC61" s="400"/>
      <c r="LD61" s="400"/>
      <c r="LE61" s="400"/>
      <c r="LF61" s="400"/>
      <c r="LG61" s="400"/>
      <c r="LH61" s="400"/>
      <c r="LI61" s="400"/>
      <c r="LJ61" s="400"/>
      <c r="LK61" s="400"/>
      <c r="LL61" s="400"/>
      <c r="LM61" s="400"/>
      <c r="LN61" s="400"/>
      <c r="LO61" s="400"/>
      <c r="LP61" s="400"/>
      <c r="LQ61" s="400"/>
      <c r="LR61" s="400"/>
      <c r="LS61" s="400"/>
      <c r="LT61" s="400"/>
      <c r="LU61" s="400"/>
      <c r="LV61" s="400"/>
      <c r="LW61" s="400"/>
      <c r="LX61" s="400"/>
      <c r="LY61" s="400"/>
      <c r="LZ61" s="400"/>
      <c r="MA61" s="400"/>
      <c r="MB61" s="400"/>
      <c r="MC61" s="400"/>
      <c r="MD61" s="400"/>
      <c r="ME61" s="400"/>
      <c r="MF61" s="400"/>
      <c r="MG61" s="400"/>
      <c r="MH61" s="400"/>
      <c r="MI61" s="400"/>
      <c r="MJ61" s="400"/>
      <c r="MK61" s="400"/>
      <c r="ML61" s="400"/>
      <c r="MM61" s="400"/>
      <c r="MN61" s="400"/>
      <c r="MO61" s="400"/>
      <c r="MP61" s="400"/>
      <c r="MQ61" s="400"/>
      <c r="MR61" s="400"/>
      <c r="MS61" s="400"/>
    </row>
    <row r="62">
      <c r="A62" s="394"/>
      <c r="B62" s="400"/>
      <c r="C62" s="394"/>
      <c r="D62" s="400"/>
      <c r="E62" s="447"/>
      <c r="F62" s="394"/>
      <c r="G62" s="394"/>
      <c r="H62" s="394"/>
      <c r="I62" s="394"/>
      <c r="J62" s="394"/>
      <c r="K62" s="394"/>
      <c r="L62" s="394"/>
      <c r="M62" s="394"/>
      <c r="N62" s="394"/>
      <c r="O62" s="394"/>
      <c r="P62" s="394"/>
      <c r="Q62" s="394"/>
      <c r="R62" s="394"/>
      <c r="S62" s="394"/>
      <c r="T62" s="394"/>
      <c r="U62" s="394"/>
      <c r="V62" s="394"/>
      <c r="W62" s="394"/>
      <c r="X62" s="394"/>
      <c r="Y62" s="394"/>
      <c r="Z62" s="394"/>
      <c r="AA62" s="394"/>
      <c r="AB62" s="394"/>
      <c r="AC62" s="394"/>
      <c r="AD62" s="394"/>
      <c r="AE62" s="394"/>
      <c r="AF62" s="394"/>
      <c r="AG62" s="394"/>
      <c r="AH62" s="394"/>
      <c r="AI62" s="394"/>
      <c r="AJ62" s="394"/>
      <c r="AK62" s="394"/>
      <c r="AL62" s="394"/>
      <c r="AM62" s="397"/>
      <c r="AN62" s="400"/>
      <c r="AO62" s="400"/>
      <c r="AP62" s="400"/>
      <c r="AQ62" s="400"/>
      <c r="AR62" s="400"/>
      <c r="AS62" s="400"/>
      <c r="AT62" s="400"/>
      <c r="AU62" s="394"/>
      <c r="AV62" s="400"/>
      <c r="AW62" s="400"/>
      <c r="AX62" s="394"/>
      <c r="AY62" s="400"/>
      <c r="AZ62" s="400"/>
      <c r="BA62" s="394"/>
      <c r="BB62" s="400"/>
      <c r="BC62" s="400"/>
      <c r="BD62" s="400"/>
      <c r="BE62" s="400"/>
      <c r="BF62" s="400"/>
      <c r="BG62" s="400"/>
      <c r="BH62" s="400"/>
      <c r="BI62" s="400"/>
      <c r="BJ62" s="400"/>
      <c r="BK62" s="400"/>
      <c r="BL62" s="400"/>
      <c r="BM62" s="400"/>
      <c r="BN62" s="400"/>
      <c r="BO62" s="400"/>
      <c r="BP62" s="400"/>
      <c r="BQ62" s="400"/>
      <c r="BR62" s="400"/>
      <c r="BS62" s="400"/>
      <c r="BT62" s="400"/>
      <c r="BU62" s="400"/>
      <c r="BV62" s="400"/>
      <c r="BW62" s="400"/>
      <c r="BX62" s="400"/>
      <c r="BY62" s="400"/>
      <c r="BZ62" s="400"/>
      <c r="CA62" s="400"/>
      <c r="CB62" s="400"/>
      <c r="CC62" s="400"/>
      <c r="CD62" s="400"/>
      <c r="CE62" s="400"/>
      <c r="CF62" s="400"/>
      <c r="CG62" s="400"/>
      <c r="CH62" s="400"/>
      <c r="CI62" s="400"/>
      <c r="CJ62" s="400"/>
      <c r="CK62" s="400"/>
      <c r="CL62" s="400"/>
      <c r="CM62" s="400"/>
      <c r="CN62" s="400"/>
      <c r="CO62" s="400"/>
      <c r="CP62" s="400"/>
      <c r="CQ62" s="400"/>
      <c r="CR62" s="400"/>
      <c r="CS62" s="400"/>
      <c r="CT62" s="400"/>
      <c r="CU62" s="400"/>
      <c r="CV62" s="400"/>
      <c r="CW62" s="400"/>
      <c r="CX62" s="400"/>
      <c r="CY62" s="400"/>
      <c r="CZ62" s="400"/>
      <c r="DA62" s="400"/>
      <c r="DB62" s="400"/>
      <c r="DC62" s="400"/>
      <c r="DD62" s="400"/>
      <c r="DE62" s="400"/>
      <c r="DF62" s="400"/>
      <c r="DG62" s="400"/>
      <c r="DH62" s="400"/>
      <c r="DI62" s="400"/>
      <c r="DJ62" s="400"/>
      <c r="DK62" s="400"/>
      <c r="DL62" s="400"/>
      <c r="DM62" s="400"/>
      <c r="DN62" s="400"/>
      <c r="DO62" s="400"/>
      <c r="DP62" s="400"/>
      <c r="DQ62" s="400"/>
      <c r="DR62" s="400"/>
      <c r="DS62" s="400"/>
      <c r="DT62" s="400"/>
      <c r="DU62" s="400"/>
      <c r="DV62" s="400"/>
      <c r="DW62" s="400"/>
      <c r="DX62" s="400"/>
      <c r="DY62" s="400"/>
      <c r="DZ62" s="400"/>
      <c r="EA62" s="400"/>
      <c r="EB62" s="400"/>
      <c r="EC62" s="400"/>
      <c r="ED62" s="400"/>
      <c r="EE62" s="400"/>
      <c r="EF62" s="400"/>
      <c r="EG62" s="401"/>
      <c r="EH62" s="400"/>
      <c r="EI62" s="400"/>
      <c r="EJ62" s="400"/>
      <c r="EK62" s="400"/>
      <c r="EL62" s="400"/>
      <c r="EM62" s="400"/>
      <c r="EN62" s="400"/>
      <c r="EO62" s="400"/>
      <c r="EP62" s="400"/>
      <c r="EQ62" s="400"/>
      <c r="ER62" s="400"/>
      <c r="ES62" s="400"/>
      <c r="ET62" s="400"/>
      <c r="EU62" s="400"/>
      <c r="EV62" s="400"/>
      <c r="EW62" s="400"/>
      <c r="EX62" s="400"/>
      <c r="EY62" s="400"/>
      <c r="EZ62" s="400"/>
      <c r="FA62" s="400"/>
      <c r="FB62" s="400"/>
      <c r="FC62" s="400"/>
      <c r="FD62" s="400"/>
      <c r="FE62" s="400"/>
      <c r="FF62" s="400"/>
      <c r="FG62" s="400"/>
      <c r="FH62" s="400"/>
      <c r="FI62" s="400"/>
      <c r="FJ62" s="400"/>
      <c r="FK62" s="400"/>
      <c r="FL62" s="400"/>
      <c r="FM62" s="400"/>
      <c r="FN62" s="400"/>
      <c r="FO62" s="400"/>
      <c r="FP62" s="400"/>
      <c r="FQ62" s="400"/>
      <c r="FR62" s="400"/>
      <c r="FS62" s="400"/>
      <c r="FT62" s="400"/>
      <c r="FU62" s="400"/>
      <c r="FV62" s="400"/>
      <c r="FW62" s="400"/>
      <c r="FX62" s="400"/>
      <c r="FY62" s="400"/>
      <c r="FZ62" s="400"/>
      <c r="GA62" s="400"/>
      <c r="GB62" s="400"/>
      <c r="GC62" s="400"/>
      <c r="GD62" s="400"/>
      <c r="GE62" s="400"/>
      <c r="GF62" s="400"/>
      <c r="GG62" s="400"/>
      <c r="GH62" s="400"/>
      <c r="GI62" s="400"/>
      <c r="GJ62" s="400"/>
      <c r="GK62" s="400"/>
      <c r="GL62" s="400"/>
      <c r="GM62" s="400"/>
      <c r="GN62" s="400"/>
      <c r="GO62" s="400"/>
      <c r="GP62" s="400"/>
      <c r="GQ62" s="400"/>
      <c r="GR62" s="400"/>
      <c r="GS62" s="400"/>
      <c r="GT62" s="400"/>
      <c r="GU62" s="400"/>
      <c r="GV62" s="400"/>
      <c r="GW62" s="400"/>
      <c r="GX62" s="400"/>
      <c r="GY62" s="400"/>
      <c r="GZ62" s="400"/>
      <c r="HA62" s="400"/>
      <c r="HB62" s="400"/>
      <c r="HC62" s="400"/>
      <c r="HD62" s="400"/>
      <c r="HE62" s="400"/>
      <c r="HF62" s="400"/>
      <c r="HG62" s="400"/>
      <c r="HH62" s="400"/>
      <c r="HI62" s="400"/>
      <c r="HJ62" s="400"/>
      <c r="HK62" s="400"/>
      <c r="HL62" s="400"/>
      <c r="HM62" s="400"/>
      <c r="HN62" s="400"/>
      <c r="HO62" s="400"/>
      <c r="HP62" s="400"/>
      <c r="HQ62" s="400"/>
      <c r="HR62" s="400"/>
      <c r="HS62" s="400"/>
      <c r="HT62" s="400"/>
      <c r="HU62" s="400"/>
      <c r="HV62" s="400"/>
      <c r="HW62" s="400"/>
      <c r="HX62" s="400"/>
      <c r="HY62" s="400"/>
      <c r="HZ62" s="400"/>
      <c r="IA62" s="400"/>
      <c r="IB62" s="400"/>
      <c r="IC62" s="400"/>
      <c r="ID62" s="400"/>
      <c r="IE62" s="400"/>
      <c r="IF62" s="400"/>
      <c r="IG62" s="400"/>
      <c r="IH62" s="400"/>
      <c r="II62" s="400"/>
      <c r="IJ62" s="400"/>
      <c r="IK62" s="400"/>
      <c r="IL62" s="400"/>
      <c r="IM62" s="400"/>
      <c r="IN62" s="400"/>
      <c r="IO62" s="400"/>
      <c r="IP62" s="400"/>
      <c r="IQ62" s="400"/>
      <c r="IR62" s="400"/>
      <c r="IS62" s="400"/>
      <c r="IT62" s="400"/>
      <c r="IU62" s="400"/>
      <c r="IV62" s="400"/>
      <c r="IW62" s="400"/>
      <c r="IX62" s="400"/>
      <c r="IY62" s="400"/>
      <c r="IZ62" s="400"/>
      <c r="JA62" s="400"/>
      <c r="JB62" s="400"/>
      <c r="JC62" s="400"/>
      <c r="JD62" s="400"/>
      <c r="JE62" s="400"/>
      <c r="JF62" s="400"/>
      <c r="JG62" s="400"/>
      <c r="JH62" s="400"/>
      <c r="JI62" s="400"/>
      <c r="JJ62" s="400"/>
      <c r="JK62" s="400"/>
      <c r="JL62" s="400"/>
      <c r="JM62" s="400"/>
      <c r="JN62" s="400"/>
      <c r="JO62" s="400"/>
      <c r="JP62" s="400"/>
      <c r="JQ62" s="400"/>
      <c r="JR62" s="400"/>
      <c r="JS62" s="400"/>
      <c r="JT62" s="400"/>
      <c r="JU62" s="400"/>
      <c r="JV62" s="400"/>
      <c r="JW62" s="400"/>
      <c r="JX62" s="400"/>
      <c r="JY62" s="400"/>
      <c r="JZ62" s="400"/>
      <c r="KA62" s="400"/>
      <c r="KB62" s="400"/>
      <c r="KC62" s="400"/>
      <c r="KD62" s="400"/>
      <c r="KE62" s="400"/>
      <c r="KF62" s="400"/>
      <c r="KG62" s="400"/>
      <c r="KH62" s="400"/>
      <c r="KI62" s="400"/>
      <c r="KJ62" s="400"/>
      <c r="KK62" s="400"/>
      <c r="KL62" s="400"/>
      <c r="KM62" s="400"/>
      <c r="KN62" s="400"/>
      <c r="KO62" s="400"/>
      <c r="KP62" s="400"/>
      <c r="KQ62" s="400"/>
      <c r="KR62" s="400"/>
      <c r="KS62" s="400"/>
      <c r="KT62" s="400"/>
      <c r="KU62" s="400"/>
      <c r="KV62" s="400"/>
      <c r="KW62" s="400"/>
      <c r="KX62" s="400"/>
      <c r="KY62" s="400"/>
      <c r="KZ62" s="400"/>
      <c r="LA62" s="400"/>
      <c r="LB62" s="400"/>
      <c r="LC62" s="400"/>
      <c r="LD62" s="400"/>
      <c r="LE62" s="400"/>
      <c r="LF62" s="400"/>
      <c r="LG62" s="400"/>
      <c r="LH62" s="400"/>
      <c r="LI62" s="400"/>
      <c r="LJ62" s="400"/>
      <c r="LK62" s="400"/>
      <c r="LL62" s="400"/>
      <c r="LM62" s="400"/>
      <c r="LN62" s="400"/>
      <c r="LO62" s="400"/>
      <c r="LP62" s="400"/>
      <c r="LQ62" s="400"/>
      <c r="LR62" s="400"/>
      <c r="LS62" s="400"/>
      <c r="LT62" s="400"/>
      <c r="LU62" s="400"/>
      <c r="LV62" s="400"/>
      <c r="LW62" s="400"/>
      <c r="LX62" s="400"/>
      <c r="LY62" s="400"/>
      <c r="LZ62" s="400"/>
      <c r="MA62" s="400"/>
      <c r="MB62" s="400"/>
      <c r="MC62" s="400"/>
      <c r="MD62" s="400"/>
      <c r="ME62" s="400"/>
      <c r="MF62" s="400"/>
      <c r="MG62" s="400"/>
      <c r="MH62" s="400"/>
      <c r="MI62" s="400"/>
      <c r="MJ62" s="400"/>
      <c r="MK62" s="400"/>
      <c r="ML62" s="400"/>
      <c r="MM62" s="400"/>
      <c r="MN62" s="400"/>
      <c r="MO62" s="400"/>
      <c r="MP62" s="400"/>
      <c r="MQ62" s="400"/>
      <c r="MR62" s="400"/>
      <c r="MS62" s="400"/>
    </row>
    <row r="63">
      <c r="A63" s="394"/>
      <c r="B63" s="400"/>
      <c r="C63" s="394"/>
      <c r="D63" s="400"/>
      <c r="E63" s="447"/>
      <c r="F63" s="394"/>
      <c r="G63" s="394"/>
      <c r="H63" s="394"/>
      <c r="I63" s="394"/>
      <c r="J63" s="394"/>
      <c r="K63" s="394"/>
      <c r="L63" s="394"/>
      <c r="M63" s="394"/>
      <c r="N63" s="394"/>
      <c r="O63" s="394"/>
      <c r="P63" s="394"/>
      <c r="Q63" s="394"/>
      <c r="R63" s="394"/>
      <c r="S63" s="394"/>
      <c r="T63" s="394"/>
      <c r="U63" s="394"/>
      <c r="V63" s="394"/>
      <c r="W63" s="394"/>
      <c r="X63" s="394"/>
      <c r="Y63" s="394"/>
      <c r="Z63" s="394"/>
      <c r="AA63" s="394"/>
      <c r="AB63" s="394"/>
      <c r="AC63" s="394"/>
      <c r="AD63" s="394"/>
      <c r="AE63" s="394"/>
      <c r="AF63" s="394"/>
      <c r="AG63" s="394"/>
      <c r="AH63" s="394"/>
      <c r="AI63" s="394"/>
      <c r="AJ63" s="394"/>
      <c r="AK63" s="394"/>
      <c r="AL63" s="394"/>
      <c r="AM63" s="397"/>
      <c r="AN63" s="400"/>
      <c r="AO63" s="400"/>
      <c r="AP63" s="400"/>
      <c r="AQ63" s="400"/>
      <c r="AR63" s="400"/>
      <c r="AS63" s="400"/>
      <c r="AT63" s="400"/>
      <c r="AU63" s="394"/>
      <c r="AV63" s="400"/>
      <c r="AW63" s="400"/>
      <c r="AX63" s="394"/>
      <c r="AY63" s="400"/>
      <c r="AZ63" s="400"/>
      <c r="BA63" s="394"/>
      <c r="BB63" s="400"/>
      <c r="BC63" s="400"/>
      <c r="BD63" s="400"/>
      <c r="BE63" s="400"/>
      <c r="BF63" s="400"/>
      <c r="BG63" s="400"/>
      <c r="BH63" s="400"/>
      <c r="BI63" s="400"/>
      <c r="BJ63" s="400"/>
      <c r="BK63" s="400"/>
      <c r="BL63" s="400"/>
      <c r="BM63" s="400"/>
      <c r="BN63" s="400"/>
      <c r="BO63" s="400"/>
      <c r="BP63" s="400"/>
      <c r="BQ63" s="400"/>
      <c r="BR63" s="400"/>
      <c r="BS63" s="400"/>
      <c r="BT63" s="400"/>
      <c r="BU63" s="400"/>
      <c r="BV63" s="400"/>
      <c r="BW63" s="400"/>
      <c r="BX63" s="400"/>
      <c r="BY63" s="400"/>
      <c r="BZ63" s="400"/>
      <c r="CA63" s="400"/>
      <c r="CB63" s="400"/>
      <c r="CC63" s="400"/>
      <c r="CD63" s="400"/>
      <c r="CE63" s="400"/>
      <c r="CF63" s="400"/>
      <c r="CG63" s="400"/>
      <c r="CH63" s="400"/>
      <c r="CI63" s="400"/>
      <c r="CJ63" s="400"/>
      <c r="CK63" s="400"/>
      <c r="CL63" s="400"/>
      <c r="CM63" s="400"/>
      <c r="CN63" s="400"/>
      <c r="CO63" s="400"/>
      <c r="CP63" s="400"/>
      <c r="CQ63" s="400"/>
      <c r="CR63" s="400"/>
      <c r="CS63" s="400"/>
      <c r="CT63" s="400"/>
      <c r="CU63" s="400"/>
      <c r="CV63" s="400"/>
      <c r="CW63" s="400"/>
      <c r="CX63" s="400"/>
      <c r="CY63" s="400"/>
      <c r="CZ63" s="400"/>
      <c r="DA63" s="400"/>
      <c r="DB63" s="400"/>
      <c r="DC63" s="400"/>
      <c r="DD63" s="400"/>
      <c r="DE63" s="400"/>
      <c r="DF63" s="400"/>
      <c r="DG63" s="400"/>
      <c r="DH63" s="400"/>
      <c r="DI63" s="400"/>
      <c r="DJ63" s="400"/>
      <c r="DK63" s="400"/>
      <c r="DL63" s="400"/>
      <c r="DM63" s="400"/>
      <c r="DN63" s="400"/>
      <c r="DO63" s="400"/>
      <c r="DP63" s="400"/>
      <c r="DQ63" s="400"/>
      <c r="DR63" s="400"/>
      <c r="DS63" s="400"/>
      <c r="DT63" s="400"/>
      <c r="DU63" s="400"/>
      <c r="DV63" s="400"/>
      <c r="DW63" s="400"/>
      <c r="DX63" s="400"/>
      <c r="DY63" s="400"/>
      <c r="DZ63" s="400"/>
      <c r="EA63" s="400"/>
      <c r="EB63" s="400"/>
      <c r="EC63" s="400"/>
      <c r="ED63" s="400"/>
      <c r="EE63" s="400"/>
      <c r="EF63" s="400"/>
      <c r="EG63" s="401"/>
      <c r="EH63" s="400"/>
      <c r="EI63" s="400"/>
      <c r="EJ63" s="400"/>
      <c r="EK63" s="400"/>
      <c r="EL63" s="400"/>
      <c r="EM63" s="400"/>
      <c r="EN63" s="400"/>
      <c r="EO63" s="400"/>
      <c r="EP63" s="400"/>
      <c r="EQ63" s="400"/>
      <c r="ER63" s="400"/>
      <c r="ES63" s="400"/>
      <c r="ET63" s="400"/>
      <c r="EU63" s="400"/>
      <c r="EV63" s="400"/>
      <c r="EW63" s="400"/>
      <c r="EX63" s="400"/>
      <c r="EY63" s="400"/>
      <c r="EZ63" s="400"/>
      <c r="FA63" s="400"/>
      <c r="FB63" s="400"/>
      <c r="FC63" s="400"/>
      <c r="FD63" s="400"/>
      <c r="FE63" s="400"/>
      <c r="FF63" s="400"/>
      <c r="FG63" s="400"/>
      <c r="FH63" s="400"/>
      <c r="FI63" s="400"/>
      <c r="FJ63" s="400"/>
      <c r="FK63" s="400"/>
      <c r="FL63" s="400"/>
      <c r="FM63" s="400"/>
      <c r="FN63" s="400"/>
      <c r="FO63" s="400"/>
      <c r="FP63" s="400"/>
      <c r="FQ63" s="400"/>
      <c r="FR63" s="400"/>
      <c r="FS63" s="400"/>
      <c r="FT63" s="400"/>
      <c r="FU63" s="400"/>
      <c r="FV63" s="400"/>
      <c r="FW63" s="400"/>
      <c r="FX63" s="400"/>
      <c r="FY63" s="400"/>
      <c r="FZ63" s="400"/>
      <c r="GA63" s="400"/>
      <c r="GB63" s="400"/>
      <c r="GC63" s="400"/>
      <c r="GD63" s="400"/>
      <c r="GE63" s="400"/>
      <c r="GF63" s="400"/>
      <c r="GG63" s="400"/>
      <c r="GH63" s="400"/>
      <c r="GI63" s="400"/>
      <c r="GJ63" s="400"/>
      <c r="GK63" s="400"/>
      <c r="GL63" s="400"/>
      <c r="GM63" s="400"/>
      <c r="GN63" s="400"/>
      <c r="GO63" s="400"/>
      <c r="GP63" s="400"/>
      <c r="GQ63" s="400"/>
      <c r="GR63" s="400"/>
      <c r="GS63" s="400"/>
      <c r="GT63" s="400"/>
      <c r="GU63" s="400"/>
      <c r="GV63" s="400"/>
      <c r="GW63" s="400"/>
      <c r="GX63" s="400"/>
      <c r="GY63" s="400"/>
      <c r="GZ63" s="400"/>
      <c r="HA63" s="400"/>
      <c r="HB63" s="400"/>
      <c r="HC63" s="400"/>
      <c r="HD63" s="400"/>
      <c r="HE63" s="400"/>
      <c r="HF63" s="400"/>
      <c r="HG63" s="400"/>
      <c r="HH63" s="400"/>
      <c r="HI63" s="400"/>
      <c r="HJ63" s="400"/>
      <c r="HK63" s="400"/>
      <c r="HL63" s="400"/>
      <c r="HM63" s="400"/>
      <c r="HN63" s="400"/>
      <c r="HO63" s="400"/>
      <c r="HP63" s="400"/>
      <c r="HQ63" s="400"/>
      <c r="HR63" s="400"/>
      <c r="HS63" s="400"/>
      <c r="HT63" s="400"/>
      <c r="HU63" s="400"/>
      <c r="HV63" s="400"/>
      <c r="HW63" s="400"/>
      <c r="HX63" s="400"/>
      <c r="HY63" s="400"/>
      <c r="HZ63" s="400"/>
      <c r="IA63" s="400"/>
      <c r="IB63" s="400"/>
      <c r="IC63" s="400"/>
      <c r="ID63" s="400"/>
      <c r="IE63" s="400"/>
      <c r="IF63" s="400"/>
      <c r="IG63" s="400"/>
      <c r="IH63" s="400"/>
      <c r="II63" s="400"/>
      <c r="IJ63" s="400"/>
      <c r="IK63" s="400"/>
      <c r="IL63" s="400"/>
      <c r="IM63" s="400"/>
      <c r="IN63" s="400"/>
      <c r="IO63" s="400"/>
      <c r="IP63" s="400"/>
      <c r="IQ63" s="400"/>
      <c r="IR63" s="400"/>
      <c r="IS63" s="400"/>
      <c r="IT63" s="400"/>
      <c r="IU63" s="400"/>
      <c r="IV63" s="400"/>
      <c r="IW63" s="400"/>
      <c r="IX63" s="400"/>
      <c r="IY63" s="400"/>
      <c r="IZ63" s="400"/>
      <c r="JA63" s="400"/>
      <c r="JB63" s="400"/>
      <c r="JC63" s="400"/>
      <c r="JD63" s="400"/>
      <c r="JE63" s="400"/>
      <c r="JF63" s="400"/>
      <c r="JG63" s="400"/>
      <c r="JH63" s="400"/>
      <c r="JI63" s="400"/>
      <c r="JJ63" s="400"/>
      <c r="JK63" s="400"/>
      <c r="JL63" s="400"/>
      <c r="JM63" s="400"/>
      <c r="JN63" s="400"/>
      <c r="JO63" s="400"/>
      <c r="JP63" s="400"/>
      <c r="JQ63" s="400"/>
      <c r="JR63" s="400"/>
      <c r="JS63" s="400"/>
      <c r="JT63" s="400"/>
      <c r="JU63" s="400"/>
      <c r="JV63" s="400"/>
      <c r="JW63" s="400"/>
      <c r="JX63" s="400"/>
      <c r="JY63" s="400"/>
      <c r="JZ63" s="400"/>
      <c r="KA63" s="400"/>
      <c r="KB63" s="400"/>
      <c r="KC63" s="400"/>
      <c r="KD63" s="400"/>
      <c r="KE63" s="400"/>
      <c r="KF63" s="400"/>
      <c r="KG63" s="400"/>
      <c r="KH63" s="400"/>
      <c r="KI63" s="400"/>
      <c r="KJ63" s="400"/>
      <c r="KK63" s="400"/>
      <c r="KL63" s="400"/>
      <c r="KM63" s="400"/>
      <c r="KN63" s="400"/>
      <c r="KO63" s="400"/>
      <c r="KP63" s="400"/>
      <c r="KQ63" s="400"/>
      <c r="KR63" s="400"/>
      <c r="KS63" s="400"/>
      <c r="KT63" s="400"/>
      <c r="KU63" s="400"/>
      <c r="KV63" s="400"/>
      <c r="KW63" s="400"/>
      <c r="KX63" s="400"/>
      <c r="KY63" s="400"/>
      <c r="KZ63" s="400"/>
      <c r="LA63" s="400"/>
      <c r="LB63" s="400"/>
      <c r="LC63" s="400"/>
      <c r="LD63" s="400"/>
      <c r="LE63" s="400"/>
      <c r="LF63" s="400"/>
      <c r="LG63" s="400"/>
      <c r="LH63" s="400"/>
      <c r="LI63" s="400"/>
      <c r="LJ63" s="400"/>
      <c r="LK63" s="400"/>
      <c r="LL63" s="400"/>
      <c r="LM63" s="400"/>
      <c r="LN63" s="400"/>
      <c r="LO63" s="400"/>
      <c r="LP63" s="400"/>
      <c r="LQ63" s="400"/>
      <c r="LR63" s="400"/>
      <c r="LS63" s="400"/>
      <c r="LT63" s="400"/>
      <c r="LU63" s="400"/>
      <c r="LV63" s="400"/>
      <c r="LW63" s="400"/>
      <c r="LX63" s="400"/>
      <c r="LY63" s="400"/>
      <c r="LZ63" s="400"/>
      <c r="MA63" s="400"/>
      <c r="MB63" s="400"/>
      <c r="MC63" s="400"/>
      <c r="MD63" s="400"/>
      <c r="ME63" s="400"/>
      <c r="MF63" s="400"/>
      <c r="MG63" s="400"/>
      <c r="MH63" s="400"/>
      <c r="MI63" s="400"/>
      <c r="MJ63" s="400"/>
      <c r="MK63" s="400"/>
      <c r="ML63" s="400"/>
      <c r="MM63" s="400"/>
      <c r="MN63" s="400"/>
      <c r="MO63" s="400"/>
      <c r="MP63" s="400"/>
      <c r="MQ63" s="400"/>
      <c r="MR63" s="400"/>
      <c r="MS63" s="400"/>
    </row>
    <row r="64">
      <c r="A64" s="394"/>
      <c r="B64" s="400"/>
      <c r="C64" s="394"/>
      <c r="D64" s="400"/>
      <c r="E64" s="447"/>
      <c r="F64" s="394"/>
      <c r="G64" s="394"/>
      <c r="H64" s="394"/>
      <c r="I64" s="394"/>
      <c r="J64" s="394"/>
      <c r="K64" s="394"/>
      <c r="L64" s="394"/>
      <c r="M64" s="394"/>
      <c r="N64" s="394"/>
      <c r="O64" s="394"/>
      <c r="P64" s="394"/>
      <c r="Q64" s="394"/>
      <c r="R64" s="394"/>
      <c r="S64" s="394"/>
      <c r="T64" s="394"/>
      <c r="U64" s="394"/>
      <c r="V64" s="394"/>
      <c r="W64" s="394"/>
      <c r="X64" s="394"/>
      <c r="Y64" s="394"/>
      <c r="Z64" s="394"/>
      <c r="AA64" s="394"/>
      <c r="AB64" s="394"/>
      <c r="AC64" s="394"/>
      <c r="AD64" s="394"/>
      <c r="AE64" s="394"/>
      <c r="AF64" s="394"/>
      <c r="AG64" s="394"/>
      <c r="AH64" s="394"/>
      <c r="AI64" s="394"/>
      <c r="AJ64" s="394"/>
      <c r="AK64" s="394"/>
      <c r="AL64" s="394"/>
      <c r="AM64" s="397"/>
      <c r="AN64" s="400"/>
      <c r="AO64" s="400"/>
      <c r="AP64" s="400"/>
      <c r="AQ64" s="400"/>
      <c r="AR64" s="400"/>
      <c r="AS64" s="400"/>
      <c r="AT64" s="400"/>
      <c r="AU64" s="394"/>
      <c r="AV64" s="400"/>
      <c r="AW64" s="400"/>
      <c r="AX64" s="394"/>
      <c r="AY64" s="400"/>
      <c r="AZ64" s="400"/>
      <c r="BA64" s="394"/>
      <c r="BB64" s="400"/>
      <c r="BC64" s="400"/>
      <c r="BD64" s="400"/>
      <c r="BE64" s="400"/>
      <c r="BF64" s="400"/>
      <c r="BG64" s="400"/>
      <c r="BH64" s="400"/>
      <c r="BI64" s="400"/>
      <c r="BJ64" s="400"/>
      <c r="BK64" s="400"/>
      <c r="BL64" s="400"/>
      <c r="BM64" s="400"/>
      <c r="BN64" s="400"/>
      <c r="BO64" s="400"/>
      <c r="BP64" s="400"/>
      <c r="BQ64" s="400"/>
      <c r="BR64" s="400"/>
      <c r="BS64" s="400"/>
      <c r="BT64" s="400"/>
      <c r="BU64" s="400"/>
      <c r="BV64" s="400"/>
      <c r="BW64" s="400"/>
      <c r="BX64" s="400"/>
      <c r="BY64" s="400"/>
      <c r="BZ64" s="400"/>
      <c r="CA64" s="400"/>
      <c r="CB64" s="400"/>
      <c r="CC64" s="400"/>
      <c r="CD64" s="400"/>
      <c r="CE64" s="400"/>
      <c r="CF64" s="400"/>
      <c r="CG64" s="400"/>
      <c r="CH64" s="400"/>
      <c r="CI64" s="400"/>
      <c r="CJ64" s="400"/>
      <c r="CK64" s="400"/>
      <c r="CL64" s="400"/>
      <c r="CM64" s="400"/>
      <c r="CN64" s="400"/>
      <c r="CO64" s="400"/>
      <c r="CP64" s="400"/>
      <c r="CQ64" s="400"/>
      <c r="CR64" s="400"/>
      <c r="CS64" s="400"/>
      <c r="CT64" s="400"/>
      <c r="CU64" s="400"/>
      <c r="CV64" s="400"/>
      <c r="CW64" s="400"/>
      <c r="CX64" s="400"/>
      <c r="CY64" s="400"/>
      <c r="CZ64" s="400"/>
      <c r="DA64" s="400"/>
      <c r="DB64" s="400"/>
      <c r="DC64" s="400"/>
      <c r="DD64" s="400"/>
      <c r="DE64" s="400"/>
      <c r="DF64" s="400"/>
      <c r="DG64" s="400"/>
      <c r="DH64" s="400"/>
      <c r="DI64" s="400"/>
      <c r="DJ64" s="400"/>
      <c r="DK64" s="400"/>
      <c r="DL64" s="400"/>
      <c r="DM64" s="400"/>
      <c r="DN64" s="400"/>
      <c r="DO64" s="400"/>
      <c r="DP64" s="400"/>
      <c r="DQ64" s="400"/>
      <c r="DR64" s="400"/>
      <c r="DS64" s="400"/>
      <c r="DT64" s="400"/>
      <c r="DU64" s="400"/>
      <c r="DV64" s="400"/>
      <c r="DW64" s="400"/>
      <c r="DX64" s="400"/>
      <c r="DY64" s="400"/>
      <c r="DZ64" s="400"/>
      <c r="EA64" s="400"/>
      <c r="EB64" s="400"/>
      <c r="EC64" s="400"/>
      <c r="ED64" s="400"/>
      <c r="EE64" s="400"/>
      <c r="EF64" s="400"/>
      <c r="EG64" s="401"/>
      <c r="EH64" s="400"/>
      <c r="EI64" s="400"/>
      <c r="EJ64" s="400"/>
      <c r="EK64" s="400"/>
      <c r="EL64" s="400"/>
      <c r="EM64" s="400"/>
      <c r="EN64" s="400"/>
      <c r="EO64" s="400"/>
      <c r="EP64" s="400"/>
      <c r="EQ64" s="400"/>
      <c r="ER64" s="400"/>
      <c r="ES64" s="400"/>
      <c r="ET64" s="400"/>
      <c r="EU64" s="400"/>
      <c r="EV64" s="400"/>
      <c r="EW64" s="400"/>
      <c r="EX64" s="400"/>
      <c r="EY64" s="400"/>
      <c r="EZ64" s="400"/>
      <c r="FA64" s="400"/>
      <c r="FB64" s="400"/>
      <c r="FC64" s="400"/>
      <c r="FD64" s="400"/>
      <c r="FE64" s="400"/>
      <c r="FF64" s="400"/>
      <c r="FG64" s="400"/>
      <c r="FH64" s="400"/>
      <c r="FI64" s="400"/>
      <c r="FJ64" s="400"/>
      <c r="FK64" s="400"/>
      <c r="FL64" s="400"/>
      <c r="FM64" s="400"/>
      <c r="FN64" s="400"/>
      <c r="FO64" s="400"/>
      <c r="FP64" s="400"/>
      <c r="FQ64" s="400"/>
      <c r="FR64" s="400"/>
      <c r="FS64" s="400"/>
      <c r="FT64" s="400"/>
      <c r="FU64" s="400"/>
      <c r="FV64" s="400"/>
      <c r="FW64" s="400"/>
      <c r="FX64" s="400"/>
      <c r="FY64" s="400"/>
      <c r="FZ64" s="400"/>
      <c r="GA64" s="400"/>
      <c r="GB64" s="400"/>
      <c r="GC64" s="400"/>
      <c r="GD64" s="400"/>
      <c r="GE64" s="400"/>
      <c r="GF64" s="400"/>
      <c r="GG64" s="400"/>
      <c r="GH64" s="400"/>
      <c r="GI64" s="400"/>
      <c r="GJ64" s="400"/>
      <c r="GK64" s="400"/>
      <c r="GL64" s="400"/>
      <c r="GM64" s="400"/>
      <c r="GN64" s="400"/>
      <c r="GO64" s="400"/>
      <c r="GP64" s="400"/>
      <c r="GQ64" s="400"/>
      <c r="GR64" s="400"/>
      <c r="GS64" s="400"/>
      <c r="GT64" s="400"/>
      <c r="GU64" s="400"/>
      <c r="GV64" s="400"/>
      <c r="GW64" s="400"/>
      <c r="GX64" s="400"/>
      <c r="GY64" s="400"/>
      <c r="GZ64" s="400"/>
      <c r="HA64" s="400"/>
      <c r="HB64" s="400"/>
      <c r="HC64" s="400"/>
      <c r="HD64" s="400"/>
      <c r="HE64" s="400"/>
      <c r="HF64" s="400"/>
      <c r="HG64" s="400"/>
      <c r="HH64" s="400"/>
      <c r="HI64" s="400"/>
      <c r="HJ64" s="400"/>
      <c r="HK64" s="400"/>
      <c r="HL64" s="400"/>
      <c r="HM64" s="400"/>
      <c r="HN64" s="400"/>
      <c r="HO64" s="400"/>
      <c r="HP64" s="400"/>
      <c r="HQ64" s="400"/>
      <c r="HR64" s="400"/>
      <c r="HS64" s="400"/>
      <c r="HT64" s="400"/>
      <c r="HU64" s="400"/>
      <c r="HV64" s="400"/>
      <c r="HW64" s="400"/>
      <c r="HX64" s="400"/>
      <c r="HY64" s="400"/>
      <c r="HZ64" s="400"/>
      <c r="IA64" s="400"/>
      <c r="IB64" s="400"/>
      <c r="IC64" s="400"/>
      <c r="ID64" s="400"/>
      <c r="IE64" s="400"/>
      <c r="IF64" s="400"/>
      <c r="IG64" s="400"/>
      <c r="IH64" s="400"/>
      <c r="II64" s="400"/>
      <c r="IJ64" s="400"/>
      <c r="IK64" s="400"/>
      <c r="IL64" s="400"/>
      <c r="IM64" s="400"/>
      <c r="IN64" s="400"/>
      <c r="IO64" s="400"/>
      <c r="IP64" s="400"/>
      <c r="IQ64" s="400"/>
      <c r="IR64" s="400"/>
      <c r="IS64" s="400"/>
      <c r="IT64" s="400"/>
      <c r="IU64" s="400"/>
      <c r="IV64" s="400"/>
      <c r="IW64" s="400"/>
      <c r="IX64" s="400"/>
      <c r="IY64" s="400"/>
      <c r="IZ64" s="400"/>
      <c r="JA64" s="400"/>
      <c r="JB64" s="400"/>
      <c r="JC64" s="400"/>
      <c r="JD64" s="400"/>
      <c r="JE64" s="400"/>
      <c r="JF64" s="400"/>
      <c r="JG64" s="400"/>
      <c r="JH64" s="400"/>
      <c r="JI64" s="400"/>
      <c r="JJ64" s="400"/>
      <c r="JK64" s="400"/>
      <c r="JL64" s="400"/>
      <c r="JM64" s="400"/>
      <c r="JN64" s="400"/>
      <c r="JO64" s="400"/>
      <c r="JP64" s="400"/>
      <c r="JQ64" s="400"/>
      <c r="JR64" s="400"/>
      <c r="JS64" s="400"/>
      <c r="JT64" s="400"/>
      <c r="JU64" s="400"/>
      <c r="JV64" s="400"/>
      <c r="JW64" s="400"/>
      <c r="JX64" s="400"/>
      <c r="JY64" s="400"/>
      <c r="JZ64" s="400"/>
      <c r="KA64" s="400"/>
      <c r="KB64" s="400"/>
      <c r="KC64" s="400"/>
      <c r="KD64" s="400"/>
      <c r="KE64" s="400"/>
      <c r="KF64" s="400"/>
      <c r="KG64" s="400"/>
      <c r="KH64" s="400"/>
      <c r="KI64" s="400"/>
      <c r="KJ64" s="400"/>
      <c r="KK64" s="400"/>
      <c r="KL64" s="400"/>
      <c r="KM64" s="400"/>
      <c r="KN64" s="400"/>
      <c r="KO64" s="400"/>
      <c r="KP64" s="400"/>
      <c r="KQ64" s="400"/>
      <c r="KR64" s="400"/>
      <c r="KS64" s="400"/>
      <c r="KT64" s="400"/>
      <c r="KU64" s="400"/>
      <c r="KV64" s="400"/>
      <c r="KW64" s="400"/>
      <c r="KX64" s="400"/>
      <c r="KY64" s="400"/>
      <c r="KZ64" s="400"/>
      <c r="LA64" s="400"/>
      <c r="LB64" s="400"/>
      <c r="LC64" s="400"/>
      <c r="LD64" s="400"/>
      <c r="LE64" s="400"/>
      <c r="LF64" s="400"/>
      <c r="LG64" s="400"/>
      <c r="LH64" s="400"/>
      <c r="LI64" s="400"/>
      <c r="LJ64" s="400"/>
      <c r="LK64" s="400"/>
      <c r="LL64" s="400"/>
      <c r="LM64" s="400"/>
      <c r="LN64" s="400"/>
      <c r="LO64" s="400"/>
      <c r="LP64" s="400"/>
      <c r="LQ64" s="400"/>
      <c r="LR64" s="400"/>
      <c r="LS64" s="400"/>
      <c r="LT64" s="400"/>
      <c r="LU64" s="400"/>
      <c r="LV64" s="400"/>
      <c r="LW64" s="400"/>
      <c r="LX64" s="400"/>
      <c r="LY64" s="400"/>
      <c r="LZ64" s="400"/>
      <c r="MA64" s="400"/>
      <c r="MB64" s="400"/>
      <c r="MC64" s="400"/>
      <c r="MD64" s="400"/>
      <c r="ME64" s="400"/>
      <c r="MF64" s="400"/>
      <c r="MG64" s="400"/>
      <c r="MH64" s="400"/>
      <c r="MI64" s="400"/>
      <c r="MJ64" s="400"/>
      <c r="MK64" s="400"/>
      <c r="ML64" s="400"/>
      <c r="MM64" s="400"/>
      <c r="MN64" s="400"/>
      <c r="MO64" s="400"/>
      <c r="MP64" s="400"/>
      <c r="MQ64" s="400"/>
      <c r="MR64" s="400"/>
      <c r="MS64" s="400"/>
    </row>
    <row r="65">
      <c r="A65" s="394"/>
      <c r="B65" s="400"/>
      <c r="C65" s="394"/>
      <c r="D65" s="400"/>
      <c r="E65" s="447"/>
      <c r="F65" s="394"/>
      <c r="G65" s="394"/>
      <c r="H65" s="394"/>
      <c r="I65" s="394"/>
      <c r="J65" s="394"/>
      <c r="K65" s="394"/>
      <c r="L65" s="394"/>
      <c r="M65" s="394"/>
      <c r="N65" s="394"/>
      <c r="O65" s="394"/>
      <c r="P65" s="394"/>
      <c r="Q65" s="394"/>
      <c r="R65" s="394"/>
      <c r="S65" s="394"/>
      <c r="T65" s="394"/>
      <c r="U65" s="394"/>
      <c r="V65" s="394"/>
      <c r="W65" s="394"/>
      <c r="X65" s="394"/>
      <c r="Y65" s="394"/>
      <c r="Z65" s="394"/>
      <c r="AA65" s="394"/>
      <c r="AB65" s="394"/>
      <c r="AC65" s="394"/>
      <c r="AD65" s="394"/>
      <c r="AE65" s="394"/>
      <c r="AF65" s="394"/>
      <c r="AG65" s="394"/>
      <c r="AH65" s="394"/>
      <c r="AI65" s="394"/>
      <c r="AJ65" s="394"/>
      <c r="AK65" s="394"/>
      <c r="AL65" s="394"/>
      <c r="AM65" s="397"/>
      <c r="AN65" s="400"/>
      <c r="AO65" s="400"/>
      <c r="AP65" s="400"/>
      <c r="AQ65" s="400"/>
      <c r="AR65" s="400"/>
      <c r="AS65" s="400"/>
      <c r="AT65" s="400"/>
      <c r="AU65" s="394"/>
      <c r="AV65" s="400"/>
      <c r="AW65" s="400"/>
      <c r="AX65" s="394"/>
      <c r="AY65" s="400"/>
      <c r="AZ65" s="400"/>
      <c r="BA65" s="394"/>
      <c r="BB65" s="400"/>
      <c r="BC65" s="400"/>
      <c r="BD65" s="400"/>
      <c r="BE65" s="400"/>
      <c r="BF65" s="400"/>
      <c r="BG65" s="400"/>
      <c r="BH65" s="400"/>
      <c r="BI65" s="400"/>
      <c r="BJ65" s="400"/>
      <c r="BK65" s="400"/>
      <c r="BL65" s="400"/>
      <c r="BM65" s="400"/>
      <c r="BN65" s="400"/>
      <c r="BO65" s="400"/>
      <c r="BP65" s="400"/>
      <c r="BQ65" s="400"/>
      <c r="BR65" s="400"/>
      <c r="BS65" s="400"/>
      <c r="BT65" s="400"/>
      <c r="BU65" s="400"/>
      <c r="BV65" s="400"/>
      <c r="BW65" s="400"/>
      <c r="BX65" s="400"/>
      <c r="BY65" s="400"/>
      <c r="BZ65" s="400"/>
      <c r="CA65" s="400"/>
      <c r="CB65" s="400"/>
      <c r="CC65" s="400"/>
      <c r="CD65" s="400"/>
      <c r="CE65" s="400"/>
      <c r="CF65" s="400"/>
      <c r="CG65" s="400"/>
      <c r="CH65" s="400"/>
      <c r="CI65" s="400"/>
      <c r="CJ65" s="400"/>
      <c r="CK65" s="400"/>
      <c r="CL65" s="400"/>
      <c r="CM65" s="400"/>
      <c r="CN65" s="400"/>
      <c r="CO65" s="400"/>
      <c r="CP65" s="400"/>
      <c r="CQ65" s="400"/>
      <c r="CR65" s="400"/>
      <c r="CS65" s="400"/>
      <c r="CT65" s="400"/>
      <c r="CU65" s="400"/>
      <c r="CV65" s="400"/>
      <c r="CW65" s="400"/>
      <c r="CX65" s="400"/>
      <c r="CY65" s="400"/>
      <c r="CZ65" s="400"/>
      <c r="DA65" s="400"/>
      <c r="DB65" s="400"/>
      <c r="DC65" s="400"/>
      <c r="DD65" s="400"/>
      <c r="DE65" s="400"/>
      <c r="DF65" s="400"/>
      <c r="DG65" s="400"/>
      <c r="DH65" s="400"/>
      <c r="DI65" s="400"/>
      <c r="DJ65" s="400"/>
      <c r="DK65" s="400"/>
      <c r="DL65" s="400"/>
      <c r="DM65" s="400"/>
      <c r="DN65" s="400"/>
      <c r="DO65" s="400"/>
      <c r="DP65" s="400"/>
      <c r="DQ65" s="400"/>
      <c r="DR65" s="400"/>
      <c r="DS65" s="400"/>
      <c r="DT65" s="400"/>
      <c r="DU65" s="400"/>
      <c r="DV65" s="400"/>
      <c r="DW65" s="400"/>
      <c r="DX65" s="400"/>
      <c r="DY65" s="400"/>
      <c r="DZ65" s="400"/>
      <c r="EA65" s="400"/>
      <c r="EB65" s="400"/>
      <c r="EC65" s="400"/>
      <c r="ED65" s="400"/>
      <c r="EE65" s="400"/>
      <c r="EF65" s="400"/>
      <c r="EG65" s="401"/>
      <c r="EH65" s="400"/>
      <c r="EI65" s="400"/>
      <c r="EJ65" s="400"/>
      <c r="EK65" s="400"/>
      <c r="EL65" s="400"/>
      <c r="EM65" s="400"/>
      <c r="EN65" s="400"/>
      <c r="EO65" s="400"/>
      <c r="EP65" s="400"/>
      <c r="EQ65" s="400"/>
      <c r="ER65" s="400"/>
      <c r="ES65" s="400"/>
      <c r="ET65" s="400"/>
      <c r="EU65" s="400"/>
      <c r="EV65" s="400"/>
      <c r="EW65" s="400"/>
      <c r="EX65" s="400"/>
      <c r="EY65" s="400"/>
      <c r="EZ65" s="400"/>
      <c r="FA65" s="400"/>
      <c r="FB65" s="400"/>
      <c r="FC65" s="400"/>
      <c r="FD65" s="400"/>
      <c r="FE65" s="400"/>
      <c r="FF65" s="400"/>
      <c r="FG65" s="400"/>
      <c r="FH65" s="400"/>
      <c r="FI65" s="400"/>
      <c r="FJ65" s="400"/>
      <c r="FK65" s="400"/>
      <c r="FL65" s="400"/>
      <c r="FM65" s="400"/>
      <c r="FN65" s="400"/>
      <c r="FO65" s="400"/>
      <c r="FP65" s="400"/>
      <c r="FQ65" s="400"/>
      <c r="FR65" s="400"/>
      <c r="FS65" s="400"/>
      <c r="FT65" s="400"/>
      <c r="FU65" s="400"/>
      <c r="FV65" s="400"/>
      <c r="FW65" s="400"/>
      <c r="FX65" s="400"/>
      <c r="FY65" s="400"/>
      <c r="FZ65" s="400"/>
      <c r="GA65" s="400"/>
      <c r="GB65" s="400"/>
      <c r="GC65" s="400"/>
      <c r="GD65" s="400"/>
      <c r="GE65" s="400"/>
      <c r="GF65" s="400"/>
      <c r="GG65" s="400"/>
      <c r="GH65" s="400"/>
      <c r="GI65" s="400"/>
      <c r="GJ65" s="400"/>
      <c r="GK65" s="400"/>
      <c r="GL65" s="400"/>
      <c r="GM65" s="400"/>
      <c r="GN65" s="400"/>
      <c r="GO65" s="400"/>
      <c r="GP65" s="400"/>
      <c r="GQ65" s="400"/>
      <c r="GR65" s="400"/>
      <c r="GS65" s="400"/>
      <c r="GT65" s="400"/>
      <c r="GU65" s="400"/>
      <c r="GV65" s="400"/>
      <c r="GW65" s="400"/>
      <c r="GX65" s="400"/>
      <c r="GY65" s="400"/>
      <c r="GZ65" s="400"/>
      <c r="HA65" s="400"/>
      <c r="HB65" s="400"/>
      <c r="HC65" s="400"/>
      <c r="HD65" s="400"/>
      <c r="HE65" s="400"/>
      <c r="HF65" s="400"/>
      <c r="HG65" s="400"/>
      <c r="HH65" s="400"/>
      <c r="HI65" s="400"/>
      <c r="HJ65" s="400"/>
      <c r="HK65" s="400"/>
      <c r="HL65" s="400"/>
      <c r="HM65" s="400"/>
      <c r="HN65" s="400"/>
      <c r="HO65" s="400"/>
      <c r="HP65" s="400"/>
      <c r="HQ65" s="400"/>
      <c r="HR65" s="400"/>
      <c r="HS65" s="400"/>
      <c r="HT65" s="400"/>
      <c r="HU65" s="400"/>
      <c r="HV65" s="400"/>
      <c r="HW65" s="400"/>
      <c r="HX65" s="400"/>
      <c r="HY65" s="400"/>
      <c r="HZ65" s="400"/>
      <c r="IA65" s="400"/>
      <c r="IB65" s="400"/>
      <c r="IC65" s="400"/>
      <c r="ID65" s="400"/>
      <c r="IE65" s="400"/>
      <c r="IF65" s="400"/>
      <c r="IG65" s="400"/>
      <c r="IH65" s="400"/>
      <c r="II65" s="400"/>
      <c r="IJ65" s="400"/>
      <c r="IK65" s="400"/>
      <c r="IL65" s="400"/>
      <c r="IM65" s="400"/>
      <c r="IN65" s="400"/>
      <c r="IO65" s="400"/>
      <c r="IP65" s="400"/>
      <c r="IQ65" s="400"/>
      <c r="IR65" s="400"/>
      <c r="IS65" s="400"/>
      <c r="IT65" s="400"/>
      <c r="IU65" s="400"/>
      <c r="IV65" s="400"/>
      <c r="IW65" s="400"/>
      <c r="IX65" s="400"/>
      <c r="IY65" s="400"/>
      <c r="IZ65" s="400"/>
      <c r="JA65" s="400"/>
      <c r="JB65" s="400"/>
      <c r="JC65" s="400"/>
      <c r="JD65" s="400"/>
      <c r="JE65" s="400"/>
      <c r="JF65" s="400"/>
      <c r="JG65" s="400"/>
      <c r="JH65" s="400"/>
      <c r="JI65" s="400"/>
      <c r="JJ65" s="400"/>
      <c r="JK65" s="400"/>
      <c r="JL65" s="400"/>
      <c r="JM65" s="400"/>
      <c r="JN65" s="400"/>
      <c r="JO65" s="400"/>
      <c r="JP65" s="400"/>
      <c r="JQ65" s="400"/>
      <c r="JR65" s="400"/>
      <c r="JS65" s="400"/>
      <c r="JT65" s="400"/>
      <c r="JU65" s="400"/>
      <c r="JV65" s="400"/>
      <c r="JW65" s="400"/>
      <c r="JX65" s="400"/>
      <c r="JY65" s="400"/>
      <c r="JZ65" s="400"/>
      <c r="KA65" s="400"/>
      <c r="KB65" s="400"/>
      <c r="KC65" s="400"/>
      <c r="KD65" s="400"/>
      <c r="KE65" s="400"/>
      <c r="KF65" s="400"/>
      <c r="KG65" s="400"/>
      <c r="KH65" s="400"/>
      <c r="KI65" s="400"/>
      <c r="KJ65" s="400"/>
      <c r="KK65" s="400"/>
      <c r="KL65" s="400"/>
      <c r="KM65" s="400"/>
      <c r="KN65" s="400"/>
      <c r="KO65" s="400"/>
      <c r="KP65" s="400"/>
      <c r="KQ65" s="400"/>
      <c r="KR65" s="400"/>
      <c r="KS65" s="400"/>
      <c r="KT65" s="400"/>
      <c r="KU65" s="400"/>
      <c r="KV65" s="400"/>
      <c r="KW65" s="400"/>
      <c r="KX65" s="400"/>
      <c r="KY65" s="400"/>
      <c r="KZ65" s="400"/>
      <c r="LA65" s="400"/>
      <c r="LB65" s="400"/>
      <c r="LC65" s="400"/>
      <c r="LD65" s="400"/>
      <c r="LE65" s="400"/>
      <c r="LF65" s="400"/>
      <c r="LG65" s="400"/>
      <c r="LH65" s="400"/>
      <c r="LI65" s="400"/>
      <c r="LJ65" s="400"/>
      <c r="LK65" s="400"/>
      <c r="LL65" s="400"/>
      <c r="LM65" s="400"/>
      <c r="LN65" s="400"/>
      <c r="LO65" s="400"/>
      <c r="LP65" s="400"/>
      <c r="LQ65" s="400"/>
      <c r="LR65" s="400"/>
      <c r="LS65" s="400"/>
      <c r="LT65" s="400"/>
      <c r="LU65" s="400"/>
      <c r="LV65" s="400"/>
      <c r="LW65" s="400"/>
      <c r="LX65" s="400"/>
      <c r="LY65" s="400"/>
      <c r="LZ65" s="400"/>
      <c r="MA65" s="400"/>
      <c r="MB65" s="400"/>
      <c r="MC65" s="400"/>
      <c r="MD65" s="400"/>
      <c r="ME65" s="400"/>
      <c r="MF65" s="400"/>
      <c r="MG65" s="400"/>
      <c r="MH65" s="400"/>
      <c r="MI65" s="400"/>
      <c r="MJ65" s="400"/>
      <c r="MK65" s="400"/>
      <c r="ML65" s="400"/>
      <c r="MM65" s="400"/>
      <c r="MN65" s="400"/>
      <c r="MO65" s="400"/>
      <c r="MP65" s="400"/>
      <c r="MQ65" s="400"/>
      <c r="MR65" s="400"/>
      <c r="MS65" s="400"/>
    </row>
    <row r="66">
      <c r="A66" s="394"/>
      <c r="B66" s="400"/>
      <c r="C66" s="394"/>
      <c r="D66" s="400"/>
      <c r="E66" s="447"/>
      <c r="F66" s="394"/>
      <c r="G66" s="394"/>
      <c r="H66" s="394"/>
      <c r="I66" s="394"/>
      <c r="J66" s="394"/>
      <c r="K66" s="394"/>
      <c r="L66" s="394"/>
      <c r="M66" s="394"/>
      <c r="N66" s="394"/>
      <c r="O66" s="394"/>
      <c r="P66" s="394"/>
      <c r="Q66" s="394"/>
      <c r="R66" s="394"/>
      <c r="S66" s="394"/>
      <c r="T66" s="394"/>
      <c r="U66" s="394"/>
      <c r="V66" s="394"/>
      <c r="W66" s="394"/>
      <c r="X66" s="394"/>
      <c r="Y66" s="394"/>
      <c r="Z66" s="394"/>
      <c r="AA66" s="394"/>
      <c r="AB66" s="394"/>
      <c r="AC66" s="394"/>
      <c r="AD66" s="394"/>
      <c r="AE66" s="394"/>
      <c r="AF66" s="394"/>
      <c r="AG66" s="394"/>
      <c r="AH66" s="394"/>
      <c r="AI66" s="394"/>
      <c r="AJ66" s="394"/>
      <c r="AK66" s="394"/>
      <c r="AL66" s="394"/>
      <c r="AM66" s="397"/>
      <c r="AN66" s="400"/>
      <c r="AO66" s="400"/>
      <c r="AP66" s="400"/>
      <c r="AQ66" s="400"/>
      <c r="AR66" s="400"/>
      <c r="AS66" s="400"/>
      <c r="AT66" s="400"/>
      <c r="AU66" s="394"/>
      <c r="AV66" s="400"/>
      <c r="AW66" s="400"/>
      <c r="AX66" s="394"/>
      <c r="AY66" s="400"/>
      <c r="AZ66" s="400"/>
      <c r="BA66" s="394"/>
      <c r="BB66" s="400"/>
      <c r="BC66" s="400"/>
      <c r="BD66" s="400"/>
      <c r="BE66" s="400"/>
      <c r="BF66" s="400"/>
      <c r="BG66" s="400"/>
      <c r="BH66" s="400"/>
      <c r="BI66" s="400"/>
      <c r="BJ66" s="400"/>
      <c r="BK66" s="400"/>
      <c r="BL66" s="400"/>
      <c r="BM66" s="400"/>
      <c r="BN66" s="400"/>
      <c r="BO66" s="400"/>
      <c r="BP66" s="400"/>
      <c r="BQ66" s="400"/>
      <c r="BR66" s="400"/>
      <c r="BS66" s="400"/>
      <c r="BT66" s="400"/>
      <c r="BU66" s="400"/>
      <c r="BV66" s="400"/>
      <c r="BW66" s="400"/>
      <c r="BX66" s="400"/>
      <c r="BY66" s="400"/>
      <c r="BZ66" s="400"/>
      <c r="CA66" s="400"/>
      <c r="CB66" s="400"/>
      <c r="CC66" s="400"/>
      <c r="CD66" s="400"/>
      <c r="CE66" s="400"/>
      <c r="CF66" s="400"/>
      <c r="CG66" s="400"/>
      <c r="CH66" s="400"/>
      <c r="CI66" s="400"/>
      <c r="CJ66" s="400"/>
      <c r="CK66" s="400"/>
      <c r="CL66" s="400"/>
      <c r="CM66" s="400"/>
      <c r="CN66" s="400"/>
      <c r="CO66" s="400"/>
      <c r="CP66" s="400"/>
      <c r="CQ66" s="400"/>
      <c r="CR66" s="400"/>
      <c r="CS66" s="400"/>
      <c r="CT66" s="400"/>
      <c r="CU66" s="400"/>
      <c r="CV66" s="400"/>
      <c r="CW66" s="400"/>
      <c r="CX66" s="400"/>
      <c r="CY66" s="400"/>
      <c r="CZ66" s="400"/>
      <c r="DA66" s="400"/>
      <c r="DB66" s="400"/>
      <c r="DC66" s="400"/>
      <c r="DD66" s="400"/>
      <c r="DE66" s="400"/>
      <c r="DF66" s="400"/>
      <c r="DG66" s="400"/>
      <c r="DH66" s="400"/>
      <c r="DI66" s="400"/>
      <c r="DJ66" s="400"/>
      <c r="DK66" s="400"/>
      <c r="DL66" s="400"/>
      <c r="DM66" s="400"/>
      <c r="DN66" s="400"/>
      <c r="DO66" s="400"/>
      <c r="DP66" s="400"/>
      <c r="DQ66" s="400"/>
      <c r="DR66" s="400"/>
      <c r="DS66" s="400"/>
      <c r="DT66" s="400"/>
      <c r="DU66" s="400"/>
      <c r="DV66" s="400"/>
      <c r="DW66" s="400"/>
      <c r="DX66" s="400"/>
      <c r="DY66" s="400"/>
      <c r="DZ66" s="400"/>
      <c r="EA66" s="400"/>
      <c r="EB66" s="400"/>
      <c r="EC66" s="400"/>
      <c r="ED66" s="400"/>
      <c r="EE66" s="400"/>
      <c r="EF66" s="400"/>
      <c r="EG66" s="401"/>
      <c r="EH66" s="400"/>
      <c r="EI66" s="400"/>
      <c r="EJ66" s="400"/>
      <c r="EK66" s="400"/>
      <c r="EL66" s="400"/>
      <c r="EM66" s="400"/>
      <c r="EN66" s="400"/>
      <c r="EO66" s="400"/>
      <c r="EP66" s="400"/>
      <c r="EQ66" s="400"/>
      <c r="ER66" s="400"/>
      <c r="ES66" s="400"/>
      <c r="ET66" s="400"/>
      <c r="EU66" s="400"/>
      <c r="EV66" s="400"/>
      <c r="EW66" s="400"/>
      <c r="EX66" s="400"/>
      <c r="EY66" s="400"/>
      <c r="EZ66" s="400"/>
      <c r="FA66" s="400"/>
      <c r="FB66" s="400"/>
      <c r="FC66" s="400"/>
      <c r="FD66" s="400"/>
      <c r="FE66" s="400"/>
      <c r="FF66" s="400"/>
      <c r="FG66" s="400"/>
      <c r="FH66" s="400"/>
      <c r="FI66" s="400"/>
      <c r="FJ66" s="400"/>
      <c r="FK66" s="400"/>
      <c r="FL66" s="400"/>
      <c r="FM66" s="400"/>
      <c r="FN66" s="400"/>
      <c r="FO66" s="400"/>
      <c r="FP66" s="400"/>
      <c r="FQ66" s="400"/>
      <c r="FR66" s="400"/>
      <c r="FS66" s="400"/>
      <c r="FT66" s="400"/>
      <c r="FU66" s="400"/>
      <c r="FV66" s="400"/>
      <c r="FW66" s="400"/>
      <c r="FX66" s="400"/>
      <c r="FY66" s="400"/>
      <c r="FZ66" s="400"/>
      <c r="GA66" s="400"/>
      <c r="GB66" s="400"/>
      <c r="GC66" s="400"/>
      <c r="GD66" s="400"/>
      <c r="GE66" s="400"/>
      <c r="GF66" s="400"/>
      <c r="GG66" s="400"/>
      <c r="GH66" s="400"/>
      <c r="GI66" s="400"/>
      <c r="GJ66" s="400"/>
      <c r="GK66" s="400"/>
      <c r="GL66" s="400"/>
      <c r="GM66" s="400"/>
      <c r="GN66" s="400"/>
      <c r="GO66" s="400"/>
      <c r="GP66" s="400"/>
      <c r="GQ66" s="400"/>
      <c r="GR66" s="400"/>
      <c r="GS66" s="400"/>
      <c r="GT66" s="400"/>
      <c r="GU66" s="400"/>
      <c r="GV66" s="400"/>
      <c r="GW66" s="400"/>
      <c r="GX66" s="400"/>
      <c r="GY66" s="400"/>
      <c r="GZ66" s="400"/>
      <c r="HA66" s="400"/>
      <c r="HB66" s="400"/>
      <c r="HC66" s="400"/>
      <c r="HD66" s="400"/>
      <c r="HE66" s="400"/>
      <c r="HF66" s="400"/>
      <c r="HG66" s="400"/>
      <c r="HH66" s="400"/>
      <c r="HI66" s="400"/>
      <c r="HJ66" s="400"/>
      <c r="HK66" s="400"/>
      <c r="HL66" s="400"/>
      <c r="HM66" s="400"/>
      <c r="HN66" s="400"/>
      <c r="HO66" s="400"/>
      <c r="HP66" s="400"/>
      <c r="HQ66" s="400"/>
      <c r="HR66" s="400"/>
      <c r="HS66" s="400"/>
      <c r="HT66" s="400"/>
      <c r="HU66" s="400"/>
      <c r="HV66" s="400"/>
      <c r="HW66" s="400"/>
      <c r="HX66" s="400"/>
      <c r="HY66" s="400"/>
      <c r="HZ66" s="400"/>
      <c r="IA66" s="400"/>
      <c r="IB66" s="400"/>
      <c r="IC66" s="400"/>
      <c r="ID66" s="400"/>
      <c r="IE66" s="400"/>
      <c r="IF66" s="400"/>
      <c r="IG66" s="400"/>
      <c r="IH66" s="400"/>
      <c r="II66" s="400"/>
      <c r="IJ66" s="400"/>
      <c r="IK66" s="400"/>
      <c r="IL66" s="400"/>
      <c r="IM66" s="400"/>
      <c r="IN66" s="400"/>
      <c r="IO66" s="400"/>
      <c r="IP66" s="400"/>
      <c r="IQ66" s="400"/>
      <c r="IR66" s="400"/>
      <c r="IS66" s="400"/>
      <c r="IT66" s="400"/>
      <c r="IU66" s="400"/>
      <c r="IV66" s="400"/>
      <c r="IW66" s="400"/>
      <c r="IX66" s="400"/>
      <c r="IY66" s="400"/>
      <c r="IZ66" s="400"/>
      <c r="JA66" s="400"/>
      <c r="JB66" s="400"/>
      <c r="JC66" s="400"/>
      <c r="JD66" s="400"/>
      <c r="JE66" s="400"/>
      <c r="JF66" s="400"/>
      <c r="JG66" s="400"/>
      <c r="JH66" s="400"/>
      <c r="JI66" s="400"/>
      <c r="JJ66" s="400"/>
      <c r="JK66" s="400"/>
      <c r="JL66" s="400"/>
      <c r="JM66" s="400"/>
      <c r="JN66" s="400"/>
      <c r="JO66" s="400"/>
      <c r="JP66" s="400"/>
      <c r="JQ66" s="400"/>
      <c r="JR66" s="400"/>
      <c r="JS66" s="400"/>
      <c r="JT66" s="400"/>
      <c r="JU66" s="400"/>
      <c r="JV66" s="400"/>
      <c r="JW66" s="400"/>
      <c r="JX66" s="400"/>
      <c r="JY66" s="400"/>
      <c r="JZ66" s="400"/>
      <c r="KA66" s="400"/>
      <c r="KB66" s="400"/>
      <c r="KC66" s="400"/>
      <c r="KD66" s="400"/>
      <c r="KE66" s="400"/>
      <c r="KF66" s="400"/>
      <c r="KG66" s="400"/>
      <c r="KH66" s="400"/>
      <c r="KI66" s="400"/>
      <c r="KJ66" s="400"/>
      <c r="KK66" s="400"/>
      <c r="KL66" s="400"/>
      <c r="KM66" s="400"/>
      <c r="KN66" s="400"/>
      <c r="KO66" s="400"/>
      <c r="KP66" s="400"/>
      <c r="KQ66" s="400"/>
      <c r="KR66" s="400"/>
      <c r="KS66" s="400"/>
      <c r="KT66" s="400"/>
      <c r="KU66" s="400"/>
      <c r="KV66" s="400"/>
      <c r="KW66" s="400"/>
      <c r="KX66" s="400"/>
      <c r="KY66" s="400"/>
      <c r="KZ66" s="400"/>
      <c r="LA66" s="400"/>
      <c r="LB66" s="400"/>
      <c r="LC66" s="400"/>
      <c r="LD66" s="400"/>
      <c r="LE66" s="400"/>
      <c r="LF66" s="400"/>
      <c r="LG66" s="400"/>
      <c r="LH66" s="400"/>
      <c r="LI66" s="400"/>
      <c r="LJ66" s="400"/>
      <c r="LK66" s="400"/>
      <c r="LL66" s="400"/>
      <c r="LM66" s="400"/>
      <c r="LN66" s="400"/>
      <c r="LO66" s="400"/>
      <c r="LP66" s="400"/>
      <c r="LQ66" s="400"/>
      <c r="LR66" s="400"/>
      <c r="LS66" s="400"/>
      <c r="LT66" s="400"/>
      <c r="LU66" s="400"/>
      <c r="LV66" s="400"/>
      <c r="LW66" s="400"/>
      <c r="LX66" s="400"/>
      <c r="LY66" s="400"/>
      <c r="LZ66" s="400"/>
      <c r="MA66" s="400"/>
      <c r="MB66" s="400"/>
      <c r="MC66" s="400"/>
      <c r="MD66" s="400"/>
      <c r="ME66" s="400"/>
      <c r="MF66" s="400"/>
      <c r="MG66" s="400"/>
      <c r="MH66" s="400"/>
      <c r="MI66" s="400"/>
      <c r="MJ66" s="400"/>
      <c r="MK66" s="400"/>
      <c r="ML66" s="400"/>
      <c r="MM66" s="400"/>
      <c r="MN66" s="400"/>
      <c r="MO66" s="400"/>
      <c r="MP66" s="400"/>
      <c r="MQ66" s="400"/>
      <c r="MR66" s="400"/>
      <c r="MS66" s="400"/>
    </row>
    <row r="67">
      <c r="A67" s="394"/>
      <c r="B67" s="400"/>
      <c r="C67" s="394"/>
      <c r="D67" s="400"/>
      <c r="E67" s="447"/>
      <c r="F67" s="394"/>
      <c r="G67" s="394"/>
      <c r="H67" s="394"/>
      <c r="I67" s="394"/>
      <c r="J67" s="394"/>
      <c r="K67" s="394"/>
      <c r="L67" s="394"/>
      <c r="M67" s="394"/>
      <c r="N67" s="394"/>
      <c r="O67" s="394"/>
      <c r="P67" s="394"/>
      <c r="Q67" s="394"/>
      <c r="R67" s="394"/>
      <c r="S67" s="394"/>
      <c r="T67" s="394"/>
      <c r="U67" s="394"/>
      <c r="V67" s="394"/>
      <c r="W67" s="394"/>
      <c r="X67" s="394"/>
      <c r="Y67" s="394"/>
      <c r="Z67" s="394"/>
      <c r="AA67" s="394"/>
      <c r="AB67" s="394"/>
      <c r="AC67" s="394"/>
      <c r="AD67" s="394"/>
      <c r="AE67" s="394"/>
      <c r="AF67" s="394"/>
      <c r="AG67" s="394"/>
      <c r="AH67" s="394"/>
      <c r="AI67" s="394"/>
      <c r="AJ67" s="394"/>
      <c r="AK67" s="394"/>
      <c r="AL67" s="394"/>
      <c r="AM67" s="397"/>
      <c r="AN67" s="400"/>
      <c r="AO67" s="400"/>
      <c r="AP67" s="400"/>
      <c r="AQ67" s="400"/>
      <c r="AR67" s="400"/>
      <c r="AS67" s="400"/>
      <c r="AT67" s="400"/>
      <c r="AU67" s="394"/>
      <c r="AV67" s="400"/>
      <c r="AW67" s="400"/>
      <c r="AX67" s="394"/>
      <c r="AY67" s="400"/>
      <c r="AZ67" s="400"/>
      <c r="BA67" s="394"/>
      <c r="BB67" s="400"/>
      <c r="BC67" s="400"/>
      <c r="BD67" s="400"/>
      <c r="BE67" s="400"/>
      <c r="BF67" s="400"/>
      <c r="BG67" s="400"/>
      <c r="BH67" s="400"/>
      <c r="BI67" s="400"/>
      <c r="BJ67" s="400"/>
      <c r="BK67" s="400"/>
      <c r="BL67" s="400"/>
      <c r="BM67" s="400"/>
      <c r="BN67" s="400"/>
      <c r="BO67" s="400"/>
      <c r="BP67" s="400"/>
      <c r="BQ67" s="400"/>
      <c r="BR67" s="400"/>
      <c r="BS67" s="400"/>
      <c r="BT67" s="400"/>
      <c r="BU67" s="400"/>
      <c r="BV67" s="400"/>
      <c r="BW67" s="400"/>
      <c r="BX67" s="400"/>
      <c r="BY67" s="400"/>
      <c r="BZ67" s="400"/>
      <c r="CA67" s="400"/>
      <c r="CB67" s="400"/>
      <c r="CC67" s="400"/>
      <c r="CD67" s="400"/>
      <c r="CE67" s="400"/>
      <c r="CF67" s="400"/>
      <c r="CG67" s="400"/>
      <c r="CH67" s="400"/>
      <c r="CI67" s="400"/>
      <c r="CJ67" s="400"/>
      <c r="CK67" s="400"/>
      <c r="CL67" s="400"/>
      <c r="CM67" s="400"/>
      <c r="CN67" s="400"/>
      <c r="CO67" s="400"/>
      <c r="CP67" s="400"/>
      <c r="CQ67" s="400"/>
      <c r="CR67" s="400"/>
      <c r="CS67" s="400"/>
      <c r="CT67" s="400"/>
      <c r="CU67" s="400"/>
      <c r="CV67" s="400"/>
      <c r="CW67" s="400"/>
      <c r="CX67" s="400"/>
      <c r="CY67" s="400"/>
      <c r="CZ67" s="400"/>
      <c r="DA67" s="400"/>
      <c r="DB67" s="400"/>
      <c r="DC67" s="400"/>
      <c r="DD67" s="400"/>
      <c r="DE67" s="400"/>
      <c r="DF67" s="400"/>
      <c r="DG67" s="400"/>
      <c r="DH67" s="400"/>
      <c r="DI67" s="400"/>
      <c r="DJ67" s="400"/>
      <c r="DK67" s="400"/>
      <c r="DL67" s="400"/>
      <c r="DM67" s="400"/>
      <c r="DN67" s="400"/>
      <c r="DO67" s="400"/>
      <c r="DP67" s="400"/>
      <c r="DQ67" s="400"/>
      <c r="DR67" s="400"/>
      <c r="DS67" s="400"/>
      <c r="DT67" s="400"/>
      <c r="DU67" s="400"/>
      <c r="DV67" s="400"/>
      <c r="DW67" s="400"/>
      <c r="DX67" s="400"/>
      <c r="DY67" s="400"/>
      <c r="DZ67" s="400"/>
      <c r="EA67" s="400"/>
      <c r="EB67" s="400"/>
      <c r="EC67" s="400"/>
      <c r="ED67" s="400"/>
      <c r="EE67" s="400"/>
      <c r="EF67" s="400"/>
      <c r="EG67" s="401"/>
      <c r="EH67" s="400"/>
      <c r="EI67" s="400"/>
      <c r="EJ67" s="400"/>
      <c r="EK67" s="400"/>
      <c r="EL67" s="400"/>
      <c r="EM67" s="400"/>
      <c r="EN67" s="400"/>
      <c r="EO67" s="400"/>
      <c r="EP67" s="400"/>
      <c r="EQ67" s="400"/>
      <c r="ER67" s="400"/>
      <c r="ES67" s="400"/>
      <c r="ET67" s="400"/>
      <c r="EU67" s="400"/>
      <c r="EV67" s="400"/>
      <c r="EW67" s="400"/>
      <c r="EX67" s="400"/>
      <c r="EY67" s="400"/>
      <c r="EZ67" s="400"/>
      <c r="FA67" s="400"/>
      <c r="FB67" s="400"/>
      <c r="FC67" s="400"/>
      <c r="FD67" s="400"/>
      <c r="FE67" s="400"/>
      <c r="FF67" s="400"/>
      <c r="FG67" s="400"/>
      <c r="FH67" s="400"/>
      <c r="FI67" s="400"/>
      <c r="FJ67" s="400"/>
      <c r="FK67" s="400"/>
      <c r="FL67" s="400"/>
      <c r="FM67" s="400"/>
      <c r="FN67" s="400"/>
      <c r="FO67" s="400"/>
      <c r="FP67" s="400"/>
      <c r="FQ67" s="400"/>
      <c r="FR67" s="400"/>
      <c r="FS67" s="400"/>
      <c r="FT67" s="400"/>
      <c r="FU67" s="400"/>
      <c r="FV67" s="400"/>
      <c r="FW67" s="400"/>
      <c r="FX67" s="400"/>
      <c r="FY67" s="400"/>
      <c r="FZ67" s="400"/>
      <c r="GA67" s="400"/>
      <c r="GB67" s="400"/>
      <c r="GC67" s="400"/>
      <c r="GD67" s="400"/>
      <c r="GE67" s="400"/>
      <c r="GF67" s="400"/>
      <c r="GG67" s="400"/>
      <c r="GH67" s="400"/>
      <c r="GI67" s="400"/>
      <c r="GJ67" s="400"/>
      <c r="GK67" s="400"/>
      <c r="GL67" s="400"/>
      <c r="GM67" s="400"/>
      <c r="GN67" s="400"/>
      <c r="GO67" s="400"/>
      <c r="GP67" s="400"/>
      <c r="GQ67" s="400"/>
      <c r="GR67" s="400"/>
      <c r="GS67" s="400"/>
      <c r="GT67" s="400"/>
      <c r="GU67" s="400"/>
      <c r="GV67" s="400"/>
      <c r="GW67" s="400"/>
      <c r="GX67" s="400"/>
      <c r="GY67" s="400"/>
      <c r="GZ67" s="400"/>
      <c r="HA67" s="400"/>
      <c r="HB67" s="400"/>
      <c r="HC67" s="400"/>
      <c r="HD67" s="400"/>
      <c r="HE67" s="400"/>
      <c r="HF67" s="400"/>
      <c r="HG67" s="400"/>
      <c r="HH67" s="400"/>
      <c r="HI67" s="400"/>
      <c r="HJ67" s="400"/>
      <c r="HK67" s="400"/>
      <c r="HL67" s="400"/>
      <c r="HM67" s="400"/>
      <c r="HN67" s="400"/>
      <c r="HO67" s="400"/>
      <c r="HP67" s="400"/>
      <c r="HQ67" s="400"/>
      <c r="HR67" s="400"/>
      <c r="HS67" s="400"/>
      <c r="HT67" s="400"/>
      <c r="HU67" s="400"/>
      <c r="HV67" s="400"/>
      <c r="HW67" s="400"/>
      <c r="HX67" s="400"/>
      <c r="HY67" s="400"/>
      <c r="HZ67" s="400"/>
      <c r="IA67" s="400"/>
      <c r="IB67" s="400"/>
      <c r="IC67" s="400"/>
      <c r="ID67" s="400"/>
      <c r="IE67" s="400"/>
      <c r="IF67" s="400"/>
      <c r="IG67" s="400"/>
      <c r="IH67" s="400"/>
      <c r="II67" s="400"/>
      <c r="IJ67" s="400"/>
      <c r="IK67" s="400"/>
      <c r="IL67" s="400"/>
      <c r="IM67" s="400"/>
      <c r="IN67" s="400"/>
      <c r="IO67" s="400"/>
      <c r="IP67" s="400"/>
      <c r="IQ67" s="400"/>
      <c r="IR67" s="400"/>
      <c r="IS67" s="400"/>
      <c r="IT67" s="400"/>
      <c r="IU67" s="400"/>
      <c r="IV67" s="400"/>
      <c r="IW67" s="400"/>
      <c r="IX67" s="400"/>
      <c r="IY67" s="400"/>
      <c r="IZ67" s="400"/>
      <c r="JA67" s="400"/>
      <c r="JB67" s="400"/>
      <c r="JC67" s="400"/>
      <c r="JD67" s="400"/>
      <c r="JE67" s="400"/>
      <c r="JF67" s="400"/>
      <c r="JG67" s="400"/>
      <c r="JH67" s="400"/>
      <c r="JI67" s="400"/>
      <c r="JJ67" s="400"/>
      <c r="JK67" s="400"/>
      <c r="JL67" s="400"/>
      <c r="JM67" s="400"/>
      <c r="JN67" s="400"/>
      <c r="JO67" s="400"/>
      <c r="JP67" s="400"/>
      <c r="JQ67" s="400"/>
      <c r="JR67" s="400"/>
      <c r="JS67" s="400"/>
      <c r="JT67" s="400"/>
      <c r="JU67" s="400"/>
      <c r="JV67" s="400"/>
      <c r="JW67" s="400"/>
      <c r="JX67" s="400"/>
      <c r="JY67" s="400"/>
      <c r="JZ67" s="400"/>
      <c r="KA67" s="400"/>
      <c r="KB67" s="400"/>
      <c r="KC67" s="400"/>
      <c r="KD67" s="400"/>
      <c r="KE67" s="400"/>
      <c r="KF67" s="400"/>
      <c r="KG67" s="400"/>
      <c r="KH67" s="400"/>
      <c r="KI67" s="400"/>
      <c r="KJ67" s="400"/>
      <c r="KK67" s="400"/>
      <c r="KL67" s="400"/>
      <c r="KM67" s="400"/>
      <c r="KN67" s="400"/>
      <c r="KO67" s="400"/>
      <c r="KP67" s="400"/>
      <c r="KQ67" s="400"/>
      <c r="KR67" s="400"/>
      <c r="KS67" s="400"/>
      <c r="KT67" s="400"/>
      <c r="KU67" s="400"/>
      <c r="KV67" s="400"/>
      <c r="KW67" s="400"/>
      <c r="KX67" s="400"/>
      <c r="KY67" s="400"/>
      <c r="KZ67" s="400"/>
      <c r="LA67" s="400"/>
      <c r="LB67" s="400"/>
      <c r="LC67" s="400"/>
      <c r="LD67" s="400"/>
      <c r="LE67" s="400"/>
      <c r="LF67" s="400"/>
      <c r="LG67" s="400"/>
      <c r="LH67" s="400"/>
      <c r="LI67" s="400"/>
      <c r="LJ67" s="400"/>
      <c r="LK67" s="400"/>
      <c r="LL67" s="400"/>
      <c r="LM67" s="400"/>
      <c r="LN67" s="400"/>
      <c r="LO67" s="400"/>
      <c r="LP67" s="400"/>
      <c r="LQ67" s="400"/>
      <c r="LR67" s="400"/>
      <c r="LS67" s="400"/>
      <c r="LT67" s="400"/>
      <c r="LU67" s="400"/>
      <c r="LV67" s="400"/>
      <c r="LW67" s="400"/>
      <c r="LX67" s="400"/>
      <c r="LY67" s="400"/>
      <c r="LZ67" s="400"/>
      <c r="MA67" s="400"/>
      <c r="MB67" s="400"/>
      <c r="MC67" s="400"/>
      <c r="MD67" s="400"/>
      <c r="ME67" s="400"/>
      <c r="MF67" s="400"/>
      <c r="MG67" s="400"/>
      <c r="MH67" s="400"/>
      <c r="MI67" s="400"/>
      <c r="MJ67" s="400"/>
      <c r="MK67" s="400"/>
      <c r="ML67" s="400"/>
      <c r="MM67" s="400"/>
      <c r="MN67" s="400"/>
      <c r="MO67" s="400"/>
      <c r="MP67" s="400"/>
      <c r="MQ67" s="400"/>
      <c r="MR67" s="400"/>
      <c r="MS67" s="400"/>
    </row>
    <row r="68">
      <c r="A68" s="394"/>
      <c r="B68" s="400"/>
      <c r="C68" s="394"/>
      <c r="D68" s="400"/>
      <c r="E68" s="447"/>
      <c r="F68" s="394"/>
      <c r="G68" s="394"/>
      <c r="H68" s="394"/>
      <c r="I68" s="394"/>
      <c r="J68" s="394"/>
      <c r="K68" s="394"/>
      <c r="L68" s="394"/>
      <c r="M68" s="394"/>
      <c r="N68" s="394"/>
      <c r="O68" s="394"/>
      <c r="P68" s="394"/>
      <c r="Q68" s="394"/>
      <c r="R68" s="394"/>
      <c r="S68" s="394"/>
      <c r="T68" s="394"/>
      <c r="U68" s="394"/>
      <c r="V68" s="394"/>
      <c r="W68" s="394"/>
      <c r="X68" s="394"/>
      <c r="Y68" s="394"/>
      <c r="Z68" s="394"/>
      <c r="AA68" s="394"/>
      <c r="AB68" s="394"/>
      <c r="AC68" s="394"/>
      <c r="AD68" s="394"/>
      <c r="AE68" s="394"/>
      <c r="AF68" s="394"/>
      <c r="AG68" s="394"/>
      <c r="AH68" s="394"/>
      <c r="AI68" s="394"/>
      <c r="AJ68" s="394"/>
      <c r="AK68" s="394"/>
      <c r="AL68" s="394"/>
      <c r="AM68" s="397"/>
      <c r="AN68" s="400"/>
      <c r="AO68" s="400"/>
      <c r="AP68" s="400"/>
      <c r="AQ68" s="400"/>
      <c r="AR68" s="400"/>
      <c r="AS68" s="400"/>
      <c r="AT68" s="400"/>
      <c r="AU68" s="394"/>
      <c r="AV68" s="400"/>
      <c r="AW68" s="400"/>
      <c r="AX68" s="394"/>
      <c r="AY68" s="400"/>
      <c r="AZ68" s="400"/>
      <c r="BA68" s="394"/>
      <c r="BB68" s="400"/>
      <c r="BC68" s="400"/>
      <c r="BD68" s="400"/>
      <c r="BE68" s="400"/>
      <c r="BF68" s="400"/>
      <c r="BG68" s="400"/>
      <c r="BH68" s="400"/>
      <c r="BI68" s="400"/>
      <c r="BJ68" s="400"/>
      <c r="BK68" s="400"/>
      <c r="BL68" s="400"/>
      <c r="BM68" s="400"/>
      <c r="BN68" s="400"/>
      <c r="BO68" s="400"/>
      <c r="BP68" s="400"/>
      <c r="BQ68" s="400"/>
      <c r="BR68" s="400"/>
      <c r="BS68" s="400"/>
      <c r="BT68" s="400"/>
      <c r="BU68" s="400"/>
      <c r="BV68" s="400"/>
      <c r="BW68" s="400"/>
      <c r="BX68" s="400"/>
      <c r="BY68" s="400"/>
      <c r="BZ68" s="400"/>
      <c r="CA68" s="400"/>
      <c r="CB68" s="400"/>
      <c r="CC68" s="400"/>
      <c r="CD68" s="400"/>
      <c r="CE68" s="400"/>
      <c r="CF68" s="400"/>
      <c r="CG68" s="400"/>
      <c r="CH68" s="400"/>
      <c r="CI68" s="400"/>
      <c r="CJ68" s="400"/>
      <c r="CK68" s="400"/>
      <c r="CL68" s="400"/>
      <c r="CM68" s="400"/>
      <c r="CN68" s="400"/>
      <c r="CO68" s="400"/>
      <c r="CP68" s="400"/>
      <c r="CQ68" s="400"/>
      <c r="CR68" s="400"/>
      <c r="CS68" s="400"/>
      <c r="CT68" s="400"/>
      <c r="CU68" s="400"/>
      <c r="CV68" s="400"/>
      <c r="CW68" s="400"/>
      <c r="CX68" s="400"/>
      <c r="CY68" s="400"/>
      <c r="CZ68" s="400"/>
      <c r="DA68" s="400"/>
      <c r="DB68" s="400"/>
      <c r="DC68" s="400"/>
      <c r="DD68" s="400"/>
      <c r="DE68" s="400"/>
      <c r="DF68" s="400"/>
      <c r="DG68" s="400"/>
      <c r="DH68" s="400"/>
      <c r="DI68" s="400"/>
      <c r="DJ68" s="400"/>
      <c r="DK68" s="400"/>
      <c r="DL68" s="400"/>
      <c r="DM68" s="400"/>
      <c r="DN68" s="400"/>
      <c r="DO68" s="400"/>
      <c r="DP68" s="400"/>
      <c r="DQ68" s="400"/>
      <c r="DR68" s="400"/>
      <c r="DS68" s="400"/>
      <c r="DT68" s="400"/>
      <c r="DU68" s="400"/>
      <c r="DV68" s="400"/>
      <c r="DW68" s="400"/>
      <c r="DX68" s="400"/>
      <c r="DY68" s="400"/>
      <c r="DZ68" s="400"/>
      <c r="EA68" s="400"/>
      <c r="EB68" s="400"/>
      <c r="EC68" s="400"/>
      <c r="ED68" s="400"/>
      <c r="EE68" s="400"/>
      <c r="EF68" s="400"/>
      <c r="EG68" s="401"/>
      <c r="EH68" s="400"/>
      <c r="EI68" s="400"/>
      <c r="EJ68" s="400"/>
      <c r="EK68" s="400"/>
      <c r="EL68" s="400"/>
      <c r="EM68" s="400"/>
      <c r="EN68" s="400"/>
      <c r="EO68" s="400"/>
      <c r="EP68" s="400"/>
      <c r="EQ68" s="400"/>
      <c r="ER68" s="400"/>
      <c r="ES68" s="400"/>
      <c r="ET68" s="400"/>
      <c r="EU68" s="400"/>
      <c r="EV68" s="400"/>
      <c r="EW68" s="400"/>
      <c r="EX68" s="400"/>
      <c r="EY68" s="400"/>
      <c r="EZ68" s="400"/>
      <c r="FA68" s="400"/>
      <c r="FB68" s="400"/>
      <c r="FC68" s="400"/>
      <c r="FD68" s="400"/>
      <c r="FE68" s="400"/>
      <c r="FF68" s="400"/>
      <c r="FG68" s="400"/>
      <c r="FH68" s="400"/>
      <c r="FI68" s="400"/>
      <c r="FJ68" s="400"/>
      <c r="FK68" s="400"/>
      <c r="FL68" s="400"/>
      <c r="FM68" s="400"/>
      <c r="FN68" s="400"/>
      <c r="FO68" s="400"/>
      <c r="FP68" s="400"/>
      <c r="FQ68" s="400"/>
      <c r="FR68" s="400"/>
      <c r="FS68" s="400"/>
      <c r="FT68" s="400"/>
      <c r="FU68" s="400"/>
      <c r="FV68" s="400"/>
      <c r="FW68" s="400"/>
      <c r="FX68" s="400"/>
      <c r="FY68" s="400"/>
      <c r="FZ68" s="400"/>
      <c r="GA68" s="400"/>
      <c r="GB68" s="400"/>
      <c r="GC68" s="400"/>
      <c r="GD68" s="400"/>
      <c r="GE68" s="400"/>
      <c r="GF68" s="400"/>
      <c r="GG68" s="400"/>
      <c r="GH68" s="400"/>
      <c r="GI68" s="400"/>
      <c r="GJ68" s="400"/>
      <c r="GK68" s="400"/>
      <c r="GL68" s="400"/>
      <c r="GM68" s="400"/>
      <c r="GN68" s="400"/>
      <c r="GO68" s="400"/>
      <c r="GP68" s="400"/>
      <c r="GQ68" s="400"/>
      <c r="GR68" s="400"/>
      <c r="GS68" s="400"/>
      <c r="GT68" s="400"/>
      <c r="GU68" s="400"/>
      <c r="GV68" s="400"/>
      <c r="GW68" s="400"/>
      <c r="GX68" s="400"/>
      <c r="GY68" s="400"/>
      <c r="GZ68" s="400"/>
      <c r="HA68" s="400"/>
      <c r="HB68" s="400"/>
      <c r="HC68" s="400"/>
      <c r="HD68" s="400"/>
      <c r="HE68" s="400"/>
      <c r="HF68" s="400"/>
      <c r="HG68" s="400"/>
      <c r="HH68" s="400"/>
      <c r="HI68" s="400"/>
      <c r="HJ68" s="400"/>
      <c r="HK68" s="400"/>
      <c r="HL68" s="400"/>
      <c r="HM68" s="400"/>
      <c r="HN68" s="400"/>
      <c r="HO68" s="400"/>
      <c r="HP68" s="400"/>
      <c r="HQ68" s="400"/>
      <c r="HR68" s="400"/>
      <c r="HS68" s="400"/>
      <c r="HT68" s="400"/>
      <c r="HU68" s="400"/>
      <c r="HV68" s="400"/>
      <c r="HW68" s="400"/>
      <c r="HX68" s="400"/>
      <c r="HY68" s="400"/>
      <c r="HZ68" s="400"/>
      <c r="IA68" s="400"/>
      <c r="IB68" s="400"/>
      <c r="IC68" s="400"/>
      <c r="ID68" s="400"/>
      <c r="IE68" s="400"/>
      <c r="IF68" s="400"/>
      <c r="IG68" s="400"/>
      <c r="IH68" s="400"/>
      <c r="II68" s="400"/>
      <c r="IJ68" s="400"/>
      <c r="IK68" s="400"/>
      <c r="IL68" s="400"/>
      <c r="IM68" s="400"/>
      <c r="IN68" s="400"/>
      <c r="IO68" s="400"/>
      <c r="IP68" s="400"/>
      <c r="IQ68" s="400"/>
      <c r="IR68" s="400"/>
      <c r="IS68" s="400"/>
      <c r="IT68" s="400"/>
      <c r="IU68" s="400"/>
      <c r="IV68" s="400"/>
      <c r="IW68" s="400"/>
      <c r="IX68" s="400"/>
      <c r="IY68" s="400"/>
      <c r="IZ68" s="400"/>
      <c r="JA68" s="400"/>
      <c r="JB68" s="400"/>
      <c r="JC68" s="400"/>
      <c r="JD68" s="400"/>
      <c r="JE68" s="400"/>
      <c r="JF68" s="400"/>
      <c r="JG68" s="400"/>
      <c r="JH68" s="400"/>
      <c r="JI68" s="400"/>
      <c r="JJ68" s="400"/>
      <c r="JK68" s="400"/>
      <c r="JL68" s="400"/>
      <c r="JM68" s="400"/>
      <c r="JN68" s="400"/>
      <c r="JO68" s="400"/>
      <c r="JP68" s="400"/>
      <c r="JQ68" s="400"/>
      <c r="JR68" s="400"/>
      <c r="JS68" s="400"/>
      <c r="JT68" s="400"/>
      <c r="JU68" s="400"/>
      <c r="JV68" s="400"/>
      <c r="JW68" s="400"/>
      <c r="JX68" s="400"/>
      <c r="JY68" s="400"/>
      <c r="JZ68" s="400"/>
      <c r="KA68" s="400"/>
      <c r="KB68" s="400"/>
      <c r="KC68" s="400"/>
      <c r="KD68" s="400"/>
      <c r="KE68" s="400"/>
      <c r="KF68" s="400"/>
      <c r="KG68" s="400"/>
      <c r="KH68" s="400"/>
      <c r="KI68" s="400"/>
      <c r="KJ68" s="400"/>
      <c r="KK68" s="400"/>
      <c r="KL68" s="400"/>
      <c r="KM68" s="400"/>
      <c r="KN68" s="400"/>
      <c r="KO68" s="400"/>
      <c r="KP68" s="400"/>
      <c r="KQ68" s="400"/>
      <c r="KR68" s="400"/>
      <c r="KS68" s="400"/>
      <c r="KT68" s="400"/>
      <c r="KU68" s="400"/>
      <c r="KV68" s="400"/>
      <c r="KW68" s="400"/>
      <c r="KX68" s="400"/>
      <c r="KY68" s="400"/>
      <c r="KZ68" s="400"/>
      <c r="LA68" s="400"/>
      <c r="LB68" s="400"/>
      <c r="LC68" s="400"/>
      <c r="LD68" s="400"/>
      <c r="LE68" s="400"/>
      <c r="LF68" s="400"/>
      <c r="LG68" s="400"/>
      <c r="LH68" s="400"/>
      <c r="LI68" s="400"/>
      <c r="LJ68" s="400"/>
      <c r="LK68" s="400"/>
      <c r="LL68" s="400"/>
      <c r="LM68" s="400"/>
      <c r="LN68" s="400"/>
      <c r="LO68" s="400"/>
      <c r="LP68" s="400"/>
      <c r="LQ68" s="400"/>
      <c r="LR68" s="400"/>
      <c r="LS68" s="400"/>
      <c r="LT68" s="400"/>
      <c r="LU68" s="400"/>
      <c r="LV68" s="400"/>
      <c r="LW68" s="400"/>
      <c r="LX68" s="400"/>
      <c r="LY68" s="400"/>
      <c r="LZ68" s="400"/>
      <c r="MA68" s="400"/>
      <c r="MB68" s="400"/>
      <c r="MC68" s="400"/>
      <c r="MD68" s="400"/>
      <c r="ME68" s="400"/>
      <c r="MF68" s="400"/>
      <c r="MG68" s="400"/>
      <c r="MH68" s="400"/>
      <c r="MI68" s="400"/>
      <c r="MJ68" s="400"/>
      <c r="MK68" s="400"/>
      <c r="ML68" s="400"/>
      <c r="MM68" s="400"/>
      <c r="MN68" s="400"/>
      <c r="MO68" s="400"/>
      <c r="MP68" s="400"/>
      <c r="MQ68" s="400"/>
      <c r="MR68" s="400"/>
      <c r="MS68" s="400"/>
    </row>
    <row r="69">
      <c r="A69" s="394"/>
      <c r="B69" s="400"/>
      <c r="C69" s="394"/>
      <c r="D69" s="400"/>
      <c r="E69" s="447"/>
      <c r="F69" s="394"/>
      <c r="G69" s="394"/>
      <c r="H69" s="394"/>
      <c r="I69" s="394"/>
      <c r="J69" s="394"/>
      <c r="K69" s="394"/>
      <c r="L69" s="394"/>
      <c r="M69" s="394"/>
      <c r="N69" s="394"/>
      <c r="O69" s="394"/>
      <c r="P69" s="394"/>
      <c r="Q69" s="394"/>
      <c r="R69" s="394"/>
      <c r="S69" s="394"/>
      <c r="T69" s="394"/>
      <c r="U69" s="394"/>
      <c r="V69" s="394"/>
      <c r="W69" s="394"/>
      <c r="X69" s="394"/>
      <c r="Y69" s="394"/>
      <c r="Z69" s="394"/>
      <c r="AA69" s="394"/>
      <c r="AB69" s="394"/>
      <c r="AC69" s="394"/>
      <c r="AD69" s="394"/>
      <c r="AE69" s="394"/>
      <c r="AF69" s="394"/>
      <c r="AG69" s="394"/>
      <c r="AH69" s="394"/>
      <c r="AI69" s="394"/>
      <c r="AJ69" s="394"/>
      <c r="AK69" s="394"/>
      <c r="AL69" s="394"/>
      <c r="AM69" s="397"/>
      <c r="AN69" s="400"/>
      <c r="AO69" s="400"/>
      <c r="AP69" s="400"/>
      <c r="AQ69" s="400"/>
      <c r="AR69" s="400"/>
      <c r="AS69" s="400"/>
      <c r="AT69" s="400"/>
      <c r="AU69" s="394"/>
      <c r="AV69" s="400"/>
      <c r="AW69" s="400"/>
      <c r="AX69" s="394"/>
      <c r="AY69" s="400"/>
      <c r="AZ69" s="400"/>
      <c r="BA69" s="394"/>
      <c r="BB69" s="400"/>
      <c r="BC69" s="400"/>
      <c r="BD69" s="400"/>
      <c r="BE69" s="400"/>
      <c r="BF69" s="400"/>
      <c r="BG69" s="400"/>
      <c r="BH69" s="400"/>
      <c r="BI69" s="400"/>
      <c r="BJ69" s="400"/>
      <c r="BK69" s="400"/>
      <c r="BL69" s="400"/>
      <c r="BM69" s="400"/>
      <c r="BN69" s="400"/>
      <c r="BO69" s="400"/>
      <c r="BP69" s="400"/>
      <c r="BQ69" s="400"/>
      <c r="BR69" s="400"/>
      <c r="BS69" s="400"/>
      <c r="BT69" s="400"/>
      <c r="BU69" s="400"/>
      <c r="BV69" s="400"/>
      <c r="BW69" s="400"/>
      <c r="BX69" s="400"/>
      <c r="BY69" s="400"/>
      <c r="BZ69" s="400"/>
      <c r="CA69" s="400"/>
      <c r="CB69" s="400"/>
      <c r="CC69" s="400"/>
      <c r="CD69" s="400"/>
      <c r="CE69" s="400"/>
      <c r="CF69" s="400"/>
      <c r="CG69" s="400"/>
      <c r="CH69" s="400"/>
      <c r="CI69" s="400"/>
      <c r="CJ69" s="400"/>
      <c r="CK69" s="400"/>
      <c r="CL69" s="400"/>
      <c r="CM69" s="400"/>
      <c r="CN69" s="400"/>
      <c r="CO69" s="400"/>
      <c r="CP69" s="400"/>
      <c r="CQ69" s="400"/>
      <c r="CR69" s="400"/>
      <c r="CS69" s="400"/>
      <c r="CT69" s="400"/>
      <c r="CU69" s="400"/>
      <c r="CV69" s="400"/>
      <c r="CW69" s="400"/>
      <c r="CX69" s="400"/>
      <c r="CY69" s="400"/>
      <c r="CZ69" s="400"/>
      <c r="DA69" s="400"/>
      <c r="DB69" s="400"/>
      <c r="DC69" s="400"/>
      <c r="DD69" s="400"/>
      <c r="DE69" s="400"/>
      <c r="DF69" s="400"/>
      <c r="DG69" s="400"/>
      <c r="DH69" s="400"/>
      <c r="DI69" s="400"/>
      <c r="DJ69" s="400"/>
      <c r="DK69" s="400"/>
      <c r="DL69" s="400"/>
      <c r="DM69" s="400"/>
      <c r="DN69" s="400"/>
      <c r="DO69" s="400"/>
      <c r="DP69" s="400"/>
      <c r="DQ69" s="400"/>
      <c r="DR69" s="400"/>
      <c r="DS69" s="400"/>
      <c r="DT69" s="400"/>
      <c r="DU69" s="400"/>
      <c r="DV69" s="400"/>
      <c r="DW69" s="400"/>
      <c r="DX69" s="400"/>
      <c r="DY69" s="400"/>
      <c r="DZ69" s="400"/>
      <c r="EA69" s="400"/>
      <c r="EB69" s="400"/>
      <c r="EC69" s="400"/>
      <c r="ED69" s="400"/>
      <c r="EE69" s="400"/>
      <c r="EF69" s="400"/>
      <c r="EG69" s="401"/>
      <c r="EH69" s="400"/>
      <c r="EI69" s="400"/>
      <c r="EJ69" s="400"/>
      <c r="EK69" s="400"/>
      <c r="EL69" s="400"/>
      <c r="EM69" s="400"/>
      <c r="EN69" s="400"/>
      <c r="EO69" s="400"/>
      <c r="EP69" s="400"/>
      <c r="EQ69" s="400"/>
      <c r="ER69" s="400"/>
      <c r="ES69" s="400"/>
      <c r="ET69" s="400"/>
      <c r="EU69" s="400"/>
      <c r="EV69" s="400"/>
      <c r="EW69" s="400"/>
      <c r="EX69" s="400"/>
      <c r="EY69" s="400"/>
      <c r="EZ69" s="400"/>
      <c r="FA69" s="400"/>
      <c r="FB69" s="400"/>
      <c r="FC69" s="400"/>
      <c r="FD69" s="400"/>
      <c r="FE69" s="400"/>
      <c r="FF69" s="400"/>
      <c r="FG69" s="400"/>
      <c r="FH69" s="400"/>
      <c r="FI69" s="400"/>
      <c r="FJ69" s="400"/>
      <c r="FK69" s="400"/>
      <c r="FL69" s="400"/>
      <c r="FM69" s="400"/>
      <c r="FN69" s="400"/>
      <c r="FO69" s="400"/>
      <c r="FP69" s="400"/>
      <c r="FQ69" s="400"/>
      <c r="FR69" s="400"/>
      <c r="FS69" s="400"/>
      <c r="FT69" s="400"/>
      <c r="FU69" s="400"/>
      <c r="FV69" s="400"/>
      <c r="FW69" s="400"/>
      <c r="FX69" s="400"/>
      <c r="FY69" s="400"/>
      <c r="FZ69" s="400"/>
      <c r="GA69" s="400"/>
      <c r="GB69" s="400"/>
      <c r="GC69" s="400"/>
      <c r="GD69" s="400"/>
      <c r="GE69" s="400"/>
      <c r="GF69" s="400"/>
      <c r="GG69" s="400"/>
      <c r="GH69" s="400"/>
      <c r="GI69" s="400"/>
      <c r="GJ69" s="400"/>
      <c r="GK69" s="400"/>
      <c r="GL69" s="400"/>
      <c r="GM69" s="400"/>
      <c r="GN69" s="400"/>
      <c r="GO69" s="400"/>
      <c r="GP69" s="400"/>
      <c r="GQ69" s="400"/>
      <c r="GR69" s="400"/>
      <c r="GS69" s="400"/>
      <c r="GT69" s="400"/>
      <c r="GU69" s="400"/>
      <c r="GV69" s="400"/>
      <c r="GW69" s="400"/>
      <c r="GX69" s="400"/>
      <c r="GY69" s="400"/>
      <c r="GZ69" s="400"/>
      <c r="HA69" s="400"/>
      <c r="HB69" s="400"/>
      <c r="HC69" s="400"/>
      <c r="HD69" s="400"/>
      <c r="HE69" s="400"/>
      <c r="HF69" s="400"/>
      <c r="HG69" s="400"/>
      <c r="HH69" s="400"/>
      <c r="HI69" s="400"/>
      <c r="HJ69" s="400"/>
      <c r="HK69" s="400"/>
      <c r="HL69" s="400"/>
      <c r="HM69" s="400"/>
      <c r="HN69" s="400"/>
      <c r="HO69" s="400"/>
      <c r="HP69" s="400"/>
      <c r="HQ69" s="400"/>
      <c r="HR69" s="400"/>
      <c r="HS69" s="400"/>
      <c r="HT69" s="400"/>
      <c r="HU69" s="400"/>
      <c r="HV69" s="400"/>
      <c r="HW69" s="400"/>
      <c r="HX69" s="400"/>
      <c r="HY69" s="400"/>
      <c r="HZ69" s="400"/>
      <c r="IA69" s="400"/>
      <c r="IB69" s="400"/>
      <c r="IC69" s="400"/>
      <c r="ID69" s="400"/>
      <c r="IE69" s="400"/>
      <c r="IF69" s="400"/>
      <c r="IG69" s="400"/>
      <c r="IH69" s="400"/>
      <c r="II69" s="400"/>
      <c r="IJ69" s="400"/>
      <c r="IK69" s="400"/>
      <c r="IL69" s="400"/>
      <c r="IM69" s="400"/>
      <c r="IN69" s="400"/>
      <c r="IO69" s="400"/>
      <c r="IP69" s="400"/>
      <c r="IQ69" s="400"/>
      <c r="IR69" s="400"/>
      <c r="IS69" s="400"/>
      <c r="IT69" s="400"/>
      <c r="IU69" s="400"/>
      <c r="IV69" s="400"/>
      <c r="IW69" s="400"/>
      <c r="IX69" s="400"/>
      <c r="IY69" s="400"/>
      <c r="IZ69" s="400"/>
      <c r="JA69" s="400"/>
      <c r="JB69" s="400"/>
      <c r="JC69" s="400"/>
      <c r="JD69" s="400"/>
      <c r="JE69" s="400"/>
      <c r="JF69" s="400"/>
      <c r="JG69" s="400"/>
      <c r="JH69" s="400"/>
      <c r="JI69" s="400"/>
      <c r="JJ69" s="400"/>
      <c r="JK69" s="400"/>
      <c r="JL69" s="400"/>
      <c r="JM69" s="400"/>
      <c r="JN69" s="400"/>
      <c r="JO69" s="400"/>
      <c r="JP69" s="400"/>
      <c r="JQ69" s="400"/>
      <c r="JR69" s="400"/>
      <c r="JS69" s="400"/>
      <c r="JT69" s="400"/>
      <c r="JU69" s="400"/>
      <c r="JV69" s="400"/>
      <c r="JW69" s="400"/>
      <c r="JX69" s="400"/>
      <c r="JY69" s="400"/>
      <c r="JZ69" s="400"/>
      <c r="KA69" s="400"/>
      <c r="KB69" s="400"/>
      <c r="KC69" s="400"/>
      <c r="KD69" s="400"/>
      <c r="KE69" s="400"/>
      <c r="KF69" s="400"/>
      <c r="KG69" s="400"/>
      <c r="KH69" s="400"/>
      <c r="KI69" s="400"/>
      <c r="KJ69" s="400"/>
      <c r="KK69" s="400"/>
      <c r="KL69" s="400"/>
      <c r="KM69" s="400"/>
      <c r="KN69" s="400"/>
      <c r="KO69" s="400"/>
      <c r="KP69" s="400"/>
      <c r="KQ69" s="400"/>
      <c r="KR69" s="400"/>
      <c r="KS69" s="400"/>
      <c r="KT69" s="400"/>
      <c r="KU69" s="400"/>
      <c r="KV69" s="400"/>
      <c r="KW69" s="400"/>
      <c r="KX69" s="400"/>
      <c r="KY69" s="400"/>
      <c r="KZ69" s="400"/>
      <c r="LA69" s="400"/>
      <c r="LB69" s="400"/>
      <c r="LC69" s="400"/>
      <c r="LD69" s="400"/>
      <c r="LE69" s="400"/>
      <c r="LF69" s="400"/>
      <c r="LG69" s="400"/>
      <c r="LH69" s="400"/>
      <c r="LI69" s="400"/>
      <c r="LJ69" s="400"/>
      <c r="LK69" s="400"/>
      <c r="LL69" s="400"/>
      <c r="LM69" s="400"/>
      <c r="LN69" s="400"/>
      <c r="LO69" s="400"/>
      <c r="LP69" s="400"/>
      <c r="LQ69" s="400"/>
      <c r="LR69" s="400"/>
      <c r="LS69" s="400"/>
      <c r="LT69" s="400"/>
      <c r="LU69" s="400"/>
      <c r="LV69" s="400"/>
      <c r="LW69" s="400"/>
      <c r="LX69" s="400"/>
      <c r="LY69" s="400"/>
      <c r="LZ69" s="400"/>
      <c r="MA69" s="400"/>
      <c r="MB69" s="400"/>
      <c r="MC69" s="400"/>
      <c r="MD69" s="400"/>
      <c r="ME69" s="400"/>
      <c r="MF69" s="400"/>
      <c r="MG69" s="400"/>
      <c r="MH69" s="400"/>
      <c r="MI69" s="400"/>
      <c r="MJ69" s="400"/>
      <c r="MK69" s="400"/>
      <c r="ML69" s="400"/>
      <c r="MM69" s="400"/>
      <c r="MN69" s="400"/>
      <c r="MO69" s="400"/>
      <c r="MP69" s="400"/>
      <c r="MQ69" s="400"/>
      <c r="MR69" s="400"/>
      <c r="MS69" s="400"/>
    </row>
    <row r="70">
      <c r="A70" s="394"/>
      <c r="B70" s="400"/>
      <c r="C70" s="394"/>
      <c r="D70" s="400"/>
      <c r="E70" s="447"/>
      <c r="F70" s="394"/>
      <c r="G70" s="394"/>
      <c r="H70" s="394"/>
      <c r="I70" s="394"/>
      <c r="J70" s="394"/>
      <c r="K70" s="394"/>
      <c r="L70" s="394"/>
      <c r="M70" s="394"/>
      <c r="N70" s="394"/>
      <c r="O70" s="394"/>
      <c r="P70" s="394"/>
      <c r="Q70" s="394"/>
      <c r="R70" s="394"/>
      <c r="S70" s="394"/>
      <c r="T70" s="394"/>
      <c r="U70" s="394"/>
      <c r="V70" s="394"/>
      <c r="W70" s="394"/>
      <c r="X70" s="394"/>
      <c r="Y70" s="394"/>
      <c r="Z70" s="394"/>
      <c r="AA70" s="394"/>
      <c r="AB70" s="394"/>
      <c r="AC70" s="394"/>
      <c r="AD70" s="394"/>
      <c r="AE70" s="394"/>
      <c r="AF70" s="394"/>
      <c r="AG70" s="394"/>
      <c r="AH70" s="394"/>
      <c r="AI70" s="394"/>
      <c r="AJ70" s="394"/>
      <c r="AK70" s="394"/>
      <c r="AL70" s="394"/>
      <c r="AM70" s="397"/>
      <c r="AN70" s="400"/>
      <c r="AO70" s="400"/>
      <c r="AP70" s="400"/>
      <c r="AQ70" s="400"/>
      <c r="AR70" s="400"/>
      <c r="AS70" s="400"/>
      <c r="AT70" s="400"/>
      <c r="AU70" s="394"/>
      <c r="AV70" s="400"/>
      <c r="AW70" s="400"/>
      <c r="AX70" s="394"/>
      <c r="AY70" s="400"/>
      <c r="AZ70" s="400"/>
      <c r="BA70" s="394"/>
      <c r="BB70" s="400"/>
      <c r="BC70" s="400"/>
      <c r="BD70" s="400"/>
      <c r="BE70" s="400"/>
      <c r="BF70" s="400"/>
      <c r="BG70" s="400"/>
      <c r="BH70" s="400"/>
      <c r="BI70" s="400"/>
      <c r="BJ70" s="400"/>
      <c r="BK70" s="400"/>
      <c r="BL70" s="400"/>
      <c r="BM70" s="400"/>
      <c r="BN70" s="400"/>
      <c r="BO70" s="400"/>
      <c r="BP70" s="400"/>
      <c r="BQ70" s="400"/>
      <c r="BR70" s="400"/>
      <c r="BS70" s="400"/>
      <c r="BT70" s="400"/>
      <c r="BU70" s="400"/>
      <c r="BV70" s="400"/>
      <c r="BW70" s="400"/>
      <c r="BX70" s="400"/>
      <c r="BY70" s="400"/>
      <c r="BZ70" s="400"/>
      <c r="CA70" s="400"/>
      <c r="CB70" s="400"/>
      <c r="CC70" s="400"/>
      <c r="CD70" s="400"/>
      <c r="CE70" s="400"/>
      <c r="CF70" s="400"/>
      <c r="CG70" s="400"/>
      <c r="CH70" s="400"/>
      <c r="CI70" s="400"/>
      <c r="CJ70" s="400"/>
      <c r="CK70" s="400"/>
      <c r="CL70" s="400"/>
      <c r="CM70" s="400"/>
      <c r="CN70" s="400"/>
      <c r="CO70" s="400"/>
      <c r="CP70" s="400"/>
      <c r="CQ70" s="400"/>
      <c r="CR70" s="400"/>
      <c r="CS70" s="400"/>
      <c r="CT70" s="400"/>
      <c r="CU70" s="400"/>
      <c r="CV70" s="400"/>
      <c r="CW70" s="400"/>
      <c r="CX70" s="400"/>
      <c r="CY70" s="400"/>
      <c r="CZ70" s="400"/>
      <c r="DA70" s="400"/>
      <c r="DB70" s="400"/>
      <c r="DC70" s="400"/>
      <c r="DD70" s="400"/>
      <c r="DE70" s="400"/>
      <c r="DF70" s="400"/>
      <c r="DG70" s="400"/>
      <c r="DH70" s="400"/>
      <c r="DI70" s="400"/>
      <c r="DJ70" s="400"/>
      <c r="DK70" s="400"/>
      <c r="DL70" s="400"/>
      <c r="DM70" s="400"/>
      <c r="DN70" s="400"/>
      <c r="DO70" s="400"/>
      <c r="DP70" s="400"/>
      <c r="DQ70" s="400"/>
      <c r="DR70" s="400"/>
      <c r="DS70" s="400"/>
      <c r="DT70" s="400"/>
      <c r="DU70" s="400"/>
      <c r="DV70" s="400"/>
      <c r="DW70" s="400"/>
      <c r="DX70" s="400"/>
      <c r="DY70" s="400"/>
      <c r="DZ70" s="400"/>
      <c r="EA70" s="400"/>
      <c r="EB70" s="400"/>
      <c r="EC70" s="400"/>
      <c r="ED70" s="400"/>
      <c r="EE70" s="400"/>
      <c r="EF70" s="400"/>
      <c r="EG70" s="401"/>
      <c r="EH70" s="400"/>
      <c r="EI70" s="400"/>
      <c r="EJ70" s="400"/>
      <c r="EK70" s="400"/>
      <c r="EL70" s="400"/>
      <c r="EM70" s="400"/>
      <c r="EN70" s="400"/>
      <c r="EO70" s="400"/>
      <c r="EP70" s="400"/>
      <c r="EQ70" s="400"/>
      <c r="ER70" s="400"/>
      <c r="ES70" s="400"/>
      <c r="ET70" s="400"/>
      <c r="EU70" s="400"/>
      <c r="EV70" s="400"/>
      <c r="EW70" s="400"/>
      <c r="EX70" s="400"/>
      <c r="EY70" s="400"/>
      <c r="EZ70" s="400"/>
      <c r="FA70" s="400"/>
      <c r="FB70" s="400"/>
      <c r="FC70" s="400"/>
      <c r="FD70" s="400"/>
      <c r="FE70" s="400"/>
      <c r="FF70" s="400"/>
      <c r="FG70" s="400"/>
      <c r="FH70" s="400"/>
      <c r="FI70" s="400"/>
      <c r="FJ70" s="400"/>
      <c r="FK70" s="400"/>
      <c r="FL70" s="400"/>
      <c r="FM70" s="400"/>
      <c r="FN70" s="400"/>
      <c r="FO70" s="400"/>
      <c r="FP70" s="400"/>
      <c r="FQ70" s="400"/>
      <c r="FR70" s="400"/>
      <c r="FS70" s="400"/>
      <c r="FT70" s="400"/>
      <c r="FU70" s="400"/>
      <c r="FV70" s="400"/>
      <c r="FW70" s="400"/>
      <c r="FX70" s="400"/>
      <c r="FY70" s="400"/>
      <c r="FZ70" s="400"/>
      <c r="GA70" s="400"/>
      <c r="GB70" s="400"/>
      <c r="GC70" s="400"/>
      <c r="GD70" s="400"/>
      <c r="GE70" s="400"/>
      <c r="GF70" s="400"/>
      <c r="GG70" s="400"/>
      <c r="GH70" s="400"/>
      <c r="GI70" s="400"/>
      <c r="GJ70" s="400"/>
      <c r="GK70" s="400"/>
      <c r="GL70" s="400"/>
      <c r="GM70" s="400"/>
      <c r="GN70" s="400"/>
      <c r="GO70" s="400"/>
      <c r="GP70" s="400"/>
      <c r="GQ70" s="400"/>
      <c r="GR70" s="400"/>
      <c r="GS70" s="400"/>
      <c r="GT70" s="400"/>
      <c r="GU70" s="400"/>
      <c r="GV70" s="400"/>
      <c r="GW70" s="400"/>
      <c r="GX70" s="400"/>
      <c r="GY70" s="400"/>
      <c r="GZ70" s="400"/>
      <c r="HA70" s="400"/>
      <c r="HB70" s="400"/>
      <c r="HC70" s="400"/>
      <c r="HD70" s="400"/>
      <c r="HE70" s="400"/>
      <c r="HF70" s="400"/>
      <c r="HG70" s="400"/>
      <c r="HH70" s="400"/>
      <c r="HI70" s="400"/>
      <c r="HJ70" s="400"/>
      <c r="HK70" s="400"/>
      <c r="HL70" s="400"/>
      <c r="HM70" s="400"/>
      <c r="HN70" s="400"/>
      <c r="HO70" s="400"/>
      <c r="HP70" s="400"/>
      <c r="HQ70" s="400"/>
      <c r="HR70" s="400"/>
      <c r="HS70" s="400"/>
      <c r="HT70" s="400"/>
      <c r="HU70" s="400"/>
      <c r="HV70" s="400"/>
      <c r="HW70" s="400"/>
      <c r="HX70" s="400"/>
      <c r="HY70" s="400"/>
      <c r="HZ70" s="400"/>
      <c r="IA70" s="400"/>
      <c r="IB70" s="400"/>
      <c r="IC70" s="400"/>
      <c r="ID70" s="400"/>
      <c r="IE70" s="400"/>
      <c r="IF70" s="400"/>
      <c r="IG70" s="400"/>
      <c r="IH70" s="400"/>
      <c r="II70" s="400"/>
      <c r="IJ70" s="400"/>
      <c r="IK70" s="400"/>
      <c r="IL70" s="400"/>
      <c r="IM70" s="400"/>
      <c r="IN70" s="400"/>
      <c r="IO70" s="400"/>
      <c r="IP70" s="400"/>
      <c r="IQ70" s="400"/>
      <c r="IR70" s="400"/>
      <c r="IS70" s="400"/>
      <c r="IT70" s="400"/>
      <c r="IU70" s="400"/>
      <c r="IV70" s="400"/>
      <c r="IW70" s="400"/>
      <c r="IX70" s="400"/>
      <c r="IY70" s="400"/>
      <c r="IZ70" s="400"/>
      <c r="JA70" s="400"/>
      <c r="JB70" s="400"/>
      <c r="JC70" s="400"/>
      <c r="JD70" s="400"/>
      <c r="JE70" s="400"/>
      <c r="JF70" s="400"/>
      <c r="JG70" s="400"/>
      <c r="JH70" s="400"/>
      <c r="JI70" s="400"/>
      <c r="JJ70" s="400"/>
      <c r="JK70" s="400"/>
      <c r="JL70" s="400"/>
      <c r="JM70" s="400"/>
      <c r="JN70" s="400"/>
      <c r="JO70" s="400"/>
      <c r="JP70" s="400"/>
      <c r="JQ70" s="400"/>
      <c r="JR70" s="400"/>
      <c r="JS70" s="400"/>
      <c r="JT70" s="400"/>
      <c r="JU70" s="400"/>
      <c r="JV70" s="400"/>
      <c r="JW70" s="400"/>
      <c r="JX70" s="400"/>
      <c r="JY70" s="400"/>
      <c r="JZ70" s="400"/>
      <c r="KA70" s="400"/>
      <c r="KB70" s="400"/>
      <c r="KC70" s="400"/>
      <c r="KD70" s="400"/>
      <c r="KE70" s="400"/>
      <c r="KF70" s="400"/>
      <c r="KG70" s="400"/>
      <c r="KH70" s="400"/>
      <c r="KI70" s="400"/>
      <c r="KJ70" s="400"/>
      <c r="KK70" s="400"/>
      <c r="KL70" s="400"/>
      <c r="KM70" s="400"/>
      <c r="KN70" s="400"/>
      <c r="KO70" s="400"/>
      <c r="KP70" s="400"/>
      <c r="KQ70" s="400"/>
      <c r="KR70" s="400"/>
      <c r="KS70" s="400"/>
      <c r="KT70" s="400"/>
      <c r="KU70" s="400"/>
      <c r="KV70" s="400"/>
      <c r="KW70" s="400"/>
      <c r="KX70" s="400"/>
      <c r="KY70" s="400"/>
      <c r="KZ70" s="400"/>
      <c r="LA70" s="400"/>
      <c r="LB70" s="400"/>
      <c r="LC70" s="400"/>
      <c r="LD70" s="400"/>
      <c r="LE70" s="400"/>
      <c r="LF70" s="400"/>
      <c r="LG70" s="400"/>
      <c r="LH70" s="400"/>
      <c r="LI70" s="400"/>
      <c r="LJ70" s="400"/>
      <c r="LK70" s="400"/>
      <c r="LL70" s="400"/>
      <c r="LM70" s="400"/>
      <c r="LN70" s="400"/>
      <c r="LO70" s="400"/>
      <c r="LP70" s="400"/>
      <c r="LQ70" s="400"/>
      <c r="LR70" s="400"/>
      <c r="LS70" s="400"/>
      <c r="LT70" s="400"/>
      <c r="LU70" s="400"/>
      <c r="LV70" s="400"/>
      <c r="LW70" s="400"/>
      <c r="LX70" s="400"/>
      <c r="LY70" s="400"/>
      <c r="LZ70" s="400"/>
      <c r="MA70" s="400"/>
      <c r="MB70" s="400"/>
      <c r="MC70" s="400"/>
      <c r="MD70" s="400"/>
      <c r="ME70" s="400"/>
      <c r="MF70" s="400"/>
      <c r="MG70" s="400"/>
      <c r="MH70" s="400"/>
      <c r="MI70" s="400"/>
      <c r="MJ70" s="400"/>
      <c r="MK70" s="400"/>
      <c r="ML70" s="400"/>
      <c r="MM70" s="400"/>
      <c r="MN70" s="400"/>
      <c r="MO70" s="400"/>
      <c r="MP70" s="400"/>
      <c r="MQ70" s="400"/>
      <c r="MR70" s="400"/>
      <c r="MS70" s="400"/>
    </row>
    <row r="71">
      <c r="A71" s="394"/>
      <c r="B71" s="400"/>
      <c r="C71" s="394"/>
      <c r="D71" s="400"/>
      <c r="E71" s="447"/>
      <c r="F71" s="394"/>
      <c r="G71" s="394"/>
      <c r="H71" s="394"/>
      <c r="I71" s="394"/>
      <c r="J71" s="394"/>
      <c r="K71" s="394"/>
      <c r="L71" s="394"/>
      <c r="M71" s="394"/>
      <c r="N71" s="394"/>
      <c r="O71" s="394"/>
      <c r="P71" s="394"/>
      <c r="Q71" s="394"/>
      <c r="R71" s="394"/>
      <c r="S71" s="394"/>
      <c r="T71" s="394"/>
      <c r="U71" s="394"/>
      <c r="V71" s="394"/>
      <c r="W71" s="394"/>
      <c r="X71" s="394"/>
      <c r="Y71" s="394"/>
      <c r="Z71" s="394"/>
      <c r="AA71" s="394"/>
      <c r="AB71" s="394"/>
      <c r="AC71" s="394"/>
      <c r="AD71" s="394"/>
      <c r="AE71" s="394"/>
      <c r="AF71" s="394"/>
      <c r="AG71" s="394"/>
      <c r="AH71" s="394"/>
      <c r="AI71" s="394"/>
      <c r="AJ71" s="394"/>
      <c r="AK71" s="394"/>
      <c r="AL71" s="394"/>
      <c r="AM71" s="397"/>
      <c r="AN71" s="400"/>
      <c r="AO71" s="400"/>
      <c r="AP71" s="400"/>
      <c r="AQ71" s="400"/>
      <c r="AR71" s="400"/>
      <c r="AS71" s="400"/>
      <c r="AT71" s="400"/>
      <c r="AU71" s="394"/>
      <c r="AV71" s="400"/>
      <c r="AW71" s="400"/>
      <c r="AX71" s="394"/>
      <c r="AY71" s="400"/>
      <c r="AZ71" s="400"/>
      <c r="BA71" s="394"/>
      <c r="BB71" s="400"/>
      <c r="BC71" s="400"/>
      <c r="BD71" s="400"/>
      <c r="BE71" s="400"/>
      <c r="BF71" s="400"/>
      <c r="BG71" s="400"/>
      <c r="BH71" s="400"/>
      <c r="BI71" s="400"/>
      <c r="BJ71" s="400"/>
      <c r="BK71" s="400"/>
      <c r="BL71" s="400"/>
      <c r="BM71" s="400"/>
      <c r="BN71" s="400"/>
      <c r="BO71" s="400"/>
      <c r="BP71" s="400"/>
      <c r="BQ71" s="400"/>
      <c r="BR71" s="400"/>
      <c r="BS71" s="400"/>
      <c r="BT71" s="400"/>
      <c r="BU71" s="400"/>
      <c r="BV71" s="400"/>
      <c r="BW71" s="400"/>
      <c r="BX71" s="400"/>
      <c r="BY71" s="400"/>
      <c r="BZ71" s="400"/>
      <c r="CA71" s="400"/>
      <c r="CB71" s="400"/>
      <c r="CC71" s="400"/>
      <c r="CD71" s="400"/>
      <c r="CE71" s="400"/>
      <c r="CF71" s="400"/>
      <c r="CG71" s="400"/>
      <c r="CH71" s="400"/>
      <c r="CI71" s="400"/>
      <c r="CJ71" s="400"/>
      <c r="CK71" s="400"/>
      <c r="CL71" s="400"/>
      <c r="CM71" s="400"/>
      <c r="CN71" s="400"/>
      <c r="CO71" s="400"/>
      <c r="CP71" s="400"/>
      <c r="CQ71" s="400"/>
      <c r="CR71" s="400"/>
      <c r="CS71" s="400"/>
      <c r="CT71" s="400"/>
      <c r="CU71" s="400"/>
      <c r="CV71" s="400"/>
      <c r="CW71" s="400"/>
      <c r="CX71" s="400"/>
      <c r="CY71" s="400"/>
      <c r="CZ71" s="400"/>
      <c r="DA71" s="400"/>
      <c r="DB71" s="400"/>
      <c r="DC71" s="400"/>
      <c r="DD71" s="400"/>
      <c r="DE71" s="400"/>
      <c r="DF71" s="400"/>
      <c r="DG71" s="400"/>
      <c r="DH71" s="400"/>
      <c r="DI71" s="400"/>
      <c r="DJ71" s="400"/>
      <c r="DK71" s="400"/>
      <c r="DL71" s="400"/>
      <c r="DM71" s="400"/>
      <c r="DN71" s="400"/>
      <c r="DO71" s="400"/>
      <c r="DP71" s="400"/>
      <c r="DQ71" s="400"/>
      <c r="DR71" s="400"/>
      <c r="DS71" s="400"/>
      <c r="DT71" s="400"/>
      <c r="DU71" s="400"/>
      <c r="DV71" s="400"/>
      <c r="DW71" s="400"/>
      <c r="DX71" s="400"/>
      <c r="DY71" s="400"/>
      <c r="DZ71" s="400"/>
      <c r="EA71" s="400"/>
      <c r="EB71" s="400"/>
      <c r="EC71" s="400"/>
      <c r="ED71" s="400"/>
      <c r="EE71" s="400"/>
      <c r="EF71" s="400"/>
      <c r="EG71" s="401"/>
      <c r="EH71" s="400"/>
      <c r="EI71" s="400"/>
      <c r="EJ71" s="400"/>
      <c r="EK71" s="400"/>
      <c r="EL71" s="400"/>
      <c r="EM71" s="400"/>
      <c r="EN71" s="400"/>
      <c r="EO71" s="400"/>
      <c r="EP71" s="400"/>
      <c r="EQ71" s="400"/>
      <c r="ER71" s="400"/>
      <c r="ES71" s="400"/>
      <c r="ET71" s="400"/>
      <c r="EU71" s="400"/>
      <c r="EV71" s="400"/>
      <c r="EW71" s="400"/>
      <c r="EX71" s="400"/>
      <c r="EY71" s="400"/>
      <c r="EZ71" s="400"/>
      <c r="FA71" s="400"/>
      <c r="FB71" s="400"/>
      <c r="FC71" s="400"/>
      <c r="FD71" s="400"/>
      <c r="FE71" s="400"/>
      <c r="FF71" s="400"/>
      <c r="FG71" s="400"/>
      <c r="FH71" s="400"/>
      <c r="FI71" s="400"/>
      <c r="FJ71" s="400"/>
      <c r="FK71" s="400"/>
      <c r="FL71" s="400"/>
      <c r="FM71" s="400"/>
      <c r="FN71" s="400"/>
      <c r="FO71" s="400"/>
      <c r="FP71" s="400"/>
      <c r="FQ71" s="400"/>
      <c r="FR71" s="400"/>
      <c r="FS71" s="400"/>
      <c r="FT71" s="400"/>
      <c r="FU71" s="400"/>
      <c r="FV71" s="400"/>
      <c r="FW71" s="400"/>
      <c r="FX71" s="400"/>
      <c r="FY71" s="400"/>
      <c r="FZ71" s="400"/>
      <c r="GA71" s="400"/>
      <c r="GB71" s="400"/>
      <c r="GC71" s="400"/>
      <c r="GD71" s="400"/>
      <c r="GE71" s="400"/>
      <c r="GF71" s="400"/>
      <c r="GG71" s="400"/>
      <c r="GH71" s="400"/>
      <c r="GI71" s="400"/>
      <c r="GJ71" s="400"/>
      <c r="GK71" s="400"/>
      <c r="GL71" s="400"/>
      <c r="GM71" s="400"/>
      <c r="GN71" s="400"/>
      <c r="GO71" s="400"/>
      <c r="GP71" s="400"/>
      <c r="GQ71" s="400"/>
      <c r="GR71" s="400"/>
      <c r="GS71" s="400"/>
      <c r="GT71" s="400"/>
      <c r="GU71" s="400"/>
      <c r="GV71" s="400"/>
      <c r="GW71" s="400"/>
      <c r="GX71" s="400"/>
      <c r="GY71" s="400"/>
      <c r="GZ71" s="400"/>
      <c r="HA71" s="400"/>
      <c r="HB71" s="400"/>
      <c r="HC71" s="400"/>
      <c r="HD71" s="400"/>
      <c r="HE71" s="400"/>
      <c r="HF71" s="400"/>
      <c r="HG71" s="400"/>
      <c r="HH71" s="400"/>
      <c r="HI71" s="400"/>
      <c r="HJ71" s="400"/>
      <c r="HK71" s="400"/>
      <c r="HL71" s="400"/>
      <c r="HM71" s="400"/>
      <c r="HN71" s="400"/>
      <c r="HO71" s="400"/>
      <c r="HP71" s="400"/>
      <c r="HQ71" s="400"/>
      <c r="HR71" s="400"/>
      <c r="HS71" s="400"/>
      <c r="HT71" s="400"/>
      <c r="HU71" s="400"/>
      <c r="HV71" s="400"/>
      <c r="HW71" s="400"/>
      <c r="HX71" s="400"/>
      <c r="HY71" s="400"/>
      <c r="HZ71" s="400"/>
      <c r="IA71" s="400"/>
      <c r="IB71" s="400"/>
      <c r="IC71" s="400"/>
      <c r="ID71" s="400"/>
      <c r="IE71" s="400"/>
      <c r="IF71" s="400"/>
      <c r="IG71" s="400"/>
      <c r="IH71" s="400"/>
      <c r="II71" s="400"/>
      <c r="IJ71" s="400"/>
      <c r="IK71" s="400"/>
      <c r="IL71" s="400"/>
      <c r="IM71" s="400"/>
      <c r="IN71" s="400"/>
      <c r="IO71" s="400"/>
      <c r="IP71" s="400"/>
      <c r="IQ71" s="400"/>
      <c r="IR71" s="400"/>
      <c r="IS71" s="400"/>
      <c r="IT71" s="400"/>
      <c r="IU71" s="400"/>
      <c r="IV71" s="400"/>
      <c r="IW71" s="400"/>
      <c r="IX71" s="400"/>
      <c r="IY71" s="400"/>
      <c r="IZ71" s="400"/>
      <c r="JA71" s="400"/>
      <c r="JB71" s="400"/>
      <c r="JC71" s="400"/>
      <c r="JD71" s="400"/>
      <c r="JE71" s="400"/>
      <c r="JF71" s="400"/>
      <c r="JG71" s="400"/>
      <c r="JH71" s="400"/>
      <c r="JI71" s="400"/>
      <c r="JJ71" s="400"/>
      <c r="JK71" s="400"/>
      <c r="JL71" s="400"/>
      <c r="JM71" s="400"/>
      <c r="JN71" s="400"/>
      <c r="JO71" s="400"/>
      <c r="JP71" s="400"/>
      <c r="JQ71" s="400"/>
      <c r="JR71" s="400"/>
      <c r="JS71" s="400"/>
      <c r="JT71" s="400"/>
      <c r="JU71" s="400"/>
      <c r="JV71" s="400"/>
      <c r="JW71" s="400"/>
      <c r="JX71" s="400"/>
      <c r="JY71" s="400"/>
      <c r="JZ71" s="400"/>
      <c r="KA71" s="400"/>
      <c r="KB71" s="400"/>
      <c r="KC71" s="400"/>
      <c r="KD71" s="400"/>
      <c r="KE71" s="400"/>
      <c r="KF71" s="400"/>
      <c r="KG71" s="400"/>
      <c r="KH71" s="400"/>
      <c r="KI71" s="400"/>
      <c r="KJ71" s="400"/>
      <c r="KK71" s="400"/>
      <c r="KL71" s="400"/>
      <c r="KM71" s="400"/>
      <c r="KN71" s="400"/>
      <c r="KO71" s="400"/>
      <c r="KP71" s="400"/>
      <c r="KQ71" s="400"/>
      <c r="KR71" s="400"/>
      <c r="KS71" s="400"/>
      <c r="KT71" s="400"/>
      <c r="KU71" s="400"/>
      <c r="KV71" s="400"/>
      <c r="KW71" s="400"/>
      <c r="KX71" s="400"/>
      <c r="KY71" s="400"/>
      <c r="KZ71" s="400"/>
      <c r="LA71" s="400"/>
      <c r="LB71" s="400"/>
      <c r="LC71" s="400"/>
      <c r="LD71" s="400"/>
      <c r="LE71" s="400"/>
      <c r="LF71" s="400"/>
      <c r="LG71" s="400"/>
      <c r="LH71" s="400"/>
      <c r="LI71" s="400"/>
      <c r="LJ71" s="400"/>
      <c r="LK71" s="400"/>
      <c r="LL71" s="400"/>
      <c r="LM71" s="400"/>
      <c r="LN71" s="400"/>
      <c r="LO71" s="400"/>
      <c r="LP71" s="400"/>
      <c r="LQ71" s="400"/>
      <c r="LR71" s="400"/>
      <c r="LS71" s="400"/>
      <c r="LT71" s="400"/>
      <c r="LU71" s="400"/>
      <c r="LV71" s="400"/>
      <c r="LW71" s="400"/>
      <c r="LX71" s="400"/>
      <c r="LY71" s="400"/>
      <c r="LZ71" s="400"/>
      <c r="MA71" s="400"/>
      <c r="MB71" s="400"/>
      <c r="MC71" s="400"/>
      <c r="MD71" s="400"/>
      <c r="ME71" s="400"/>
      <c r="MF71" s="400"/>
      <c r="MG71" s="400"/>
      <c r="MH71" s="400"/>
      <c r="MI71" s="400"/>
      <c r="MJ71" s="400"/>
      <c r="MK71" s="400"/>
      <c r="ML71" s="400"/>
      <c r="MM71" s="400"/>
      <c r="MN71" s="400"/>
      <c r="MO71" s="400"/>
      <c r="MP71" s="400"/>
      <c r="MQ71" s="400"/>
      <c r="MR71" s="400"/>
      <c r="MS71" s="400"/>
    </row>
    <row r="72">
      <c r="A72" s="394"/>
      <c r="B72" s="400"/>
      <c r="C72" s="394"/>
      <c r="D72" s="400"/>
      <c r="E72" s="447"/>
      <c r="F72" s="394"/>
      <c r="G72" s="394"/>
      <c r="H72" s="394"/>
      <c r="I72" s="394"/>
      <c r="J72" s="394"/>
      <c r="K72" s="394"/>
      <c r="L72" s="394"/>
      <c r="M72" s="394"/>
      <c r="N72" s="394"/>
      <c r="O72" s="394"/>
      <c r="P72" s="394"/>
      <c r="Q72" s="394"/>
      <c r="R72" s="394"/>
      <c r="S72" s="394"/>
      <c r="T72" s="394"/>
      <c r="U72" s="394"/>
      <c r="V72" s="394"/>
      <c r="W72" s="394"/>
      <c r="X72" s="394"/>
      <c r="Y72" s="394"/>
      <c r="Z72" s="394"/>
      <c r="AA72" s="394"/>
      <c r="AB72" s="394"/>
      <c r="AC72" s="394"/>
      <c r="AD72" s="394"/>
      <c r="AE72" s="394"/>
      <c r="AF72" s="394"/>
      <c r="AG72" s="394"/>
      <c r="AH72" s="394"/>
      <c r="AI72" s="394"/>
      <c r="AJ72" s="394"/>
      <c r="AK72" s="394"/>
      <c r="AL72" s="394"/>
      <c r="AM72" s="397"/>
      <c r="AN72" s="400"/>
      <c r="AO72" s="400"/>
      <c r="AP72" s="400"/>
      <c r="AQ72" s="400"/>
      <c r="AR72" s="400"/>
      <c r="AS72" s="400"/>
      <c r="AT72" s="400"/>
      <c r="AU72" s="394"/>
      <c r="AV72" s="400"/>
      <c r="AW72" s="400"/>
      <c r="AX72" s="394"/>
      <c r="AY72" s="400"/>
      <c r="AZ72" s="400"/>
      <c r="BA72" s="394"/>
      <c r="BB72" s="400"/>
      <c r="BC72" s="400"/>
      <c r="BD72" s="400"/>
      <c r="BE72" s="400"/>
      <c r="BF72" s="400"/>
      <c r="BG72" s="400"/>
      <c r="BH72" s="400"/>
      <c r="BI72" s="400"/>
      <c r="BJ72" s="400"/>
      <c r="BK72" s="400"/>
      <c r="BL72" s="400"/>
      <c r="BM72" s="400"/>
      <c r="BN72" s="400"/>
      <c r="BO72" s="400"/>
      <c r="BP72" s="400"/>
      <c r="BQ72" s="400"/>
      <c r="BR72" s="400"/>
      <c r="BS72" s="400"/>
      <c r="BT72" s="400"/>
      <c r="BU72" s="400"/>
      <c r="BV72" s="400"/>
      <c r="BW72" s="400"/>
      <c r="BX72" s="400"/>
      <c r="BY72" s="400"/>
      <c r="BZ72" s="400"/>
      <c r="CA72" s="400"/>
      <c r="CB72" s="400"/>
      <c r="CC72" s="400"/>
      <c r="CD72" s="400"/>
      <c r="CE72" s="400"/>
      <c r="CF72" s="400"/>
      <c r="CG72" s="400"/>
      <c r="CH72" s="400"/>
      <c r="CI72" s="400"/>
      <c r="CJ72" s="400"/>
      <c r="CK72" s="400"/>
      <c r="CL72" s="400"/>
      <c r="CM72" s="400"/>
      <c r="CN72" s="400"/>
      <c r="CO72" s="400"/>
      <c r="CP72" s="400"/>
      <c r="CQ72" s="400"/>
      <c r="CR72" s="400"/>
      <c r="CS72" s="400"/>
      <c r="CT72" s="400"/>
      <c r="CU72" s="400"/>
      <c r="CV72" s="400"/>
      <c r="CW72" s="400"/>
      <c r="CX72" s="400"/>
      <c r="CY72" s="400"/>
      <c r="CZ72" s="400"/>
      <c r="DA72" s="400"/>
      <c r="DB72" s="400"/>
      <c r="DC72" s="400"/>
      <c r="DD72" s="400"/>
      <c r="DE72" s="400"/>
      <c r="DF72" s="400"/>
      <c r="DG72" s="400"/>
      <c r="DH72" s="400"/>
      <c r="DI72" s="400"/>
      <c r="DJ72" s="400"/>
      <c r="DK72" s="400"/>
      <c r="DL72" s="400"/>
      <c r="DM72" s="400"/>
      <c r="DN72" s="400"/>
      <c r="DO72" s="400"/>
      <c r="DP72" s="400"/>
      <c r="DQ72" s="400"/>
      <c r="DR72" s="400"/>
      <c r="DS72" s="400"/>
      <c r="DT72" s="400"/>
      <c r="DU72" s="400"/>
      <c r="DV72" s="400"/>
      <c r="DW72" s="400"/>
      <c r="DX72" s="400"/>
      <c r="DY72" s="400"/>
      <c r="DZ72" s="400"/>
      <c r="EA72" s="400"/>
      <c r="EB72" s="400"/>
      <c r="EC72" s="400"/>
      <c r="ED72" s="400"/>
      <c r="EE72" s="400"/>
      <c r="EF72" s="400"/>
      <c r="EG72" s="401"/>
      <c r="EH72" s="400"/>
      <c r="EI72" s="400"/>
      <c r="EJ72" s="400"/>
      <c r="EK72" s="400"/>
      <c r="EL72" s="400"/>
      <c r="EM72" s="400"/>
      <c r="EN72" s="400"/>
      <c r="EO72" s="400"/>
      <c r="EP72" s="400"/>
      <c r="EQ72" s="400"/>
      <c r="ER72" s="400"/>
      <c r="ES72" s="400"/>
      <c r="ET72" s="400"/>
      <c r="EU72" s="400"/>
      <c r="EV72" s="400"/>
      <c r="EW72" s="400"/>
      <c r="EX72" s="400"/>
      <c r="EY72" s="400"/>
      <c r="EZ72" s="400"/>
      <c r="FA72" s="400"/>
      <c r="FB72" s="400"/>
      <c r="FC72" s="400"/>
      <c r="FD72" s="400"/>
      <c r="FE72" s="400"/>
      <c r="FF72" s="400"/>
      <c r="FG72" s="400"/>
      <c r="FH72" s="400"/>
      <c r="FI72" s="400"/>
      <c r="FJ72" s="400"/>
      <c r="FK72" s="400"/>
      <c r="FL72" s="400"/>
      <c r="FM72" s="400"/>
      <c r="FN72" s="400"/>
      <c r="FO72" s="400"/>
      <c r="FP72" s="400"/>
      <c r="FQ72" s="400"/>
      <c r="FR72" s="400"/>
      <c r="FS72" s="400"/>
      <c r="FT72" s="400"/>
      <c r="FU72" s="400"/>
      <c r="FV72" s="400"/>
      <c r="FW72" s="400"/>
      <c r="FX72" s="400"/>
      <c r="FY72" s="400"/>
      <c r="FZ72" s="400"/>
      <c r="GA72" s="400"/>
      <c r="GB72" s="400"/>
      <c r="GC72" s="400"/>
      <c r="GD72" s="400"/>
      <c r="GE72" s="400"/>
      <c r="GF72" s="400"/>
      <c r="GG72" s="400"/>
      <c r="GH72" s="400"/>
      <c r="GI72" s="400"/>
      <c r="GJ72" s="400"/>
      <c r="GK72" s="400"/>
      <c r="GL72" s="400"/>
      <c r="GM72" s="400"/>
      <c r="GN72" s="400"/>
      <c r="GO72" s="400"/>
      <c r="GP72" s="400"/>
      <c r="GQ72" s="400"/>
      <c r="GR72" s="400"/>
      <c r="GS72" s="400"/>
      <c r="GT72" s="400"/>
      <c r="GU72" s="400"/>
      <c r="GV72" s="400"/>
      <c r="GW72" s="400"/>
      <c r="GX72" s="400"/>
      <c r="GY72" s="400"/>
      <c r="GZ72" s="400"/>
      <c r="HA72" s="400"/>
      <c r="HB72" s="400"/>
      <c r="HC72" s="400"/>
      <c r="HD72" s="400"/>
      <c r="HE72" s="400"/>
      <c r="HF72" s="400"/>
      <c r="HG72" s="400"/>
      <c r="HH72" s="400"/>
      <c r="HI72" s="400"/>
      <c r="HJ72" s="400"/>
      <c r="HK72" s="400"/>
      <c r="HL72" s="400"/>
      <c r="HM72" s="400"/>
      <c r="HN72" s="400"/>
      <c r="HO72" s="400"/>
      <c r="HP72" s="400"/>
      <c r="HQ72" s="400"/>
      <c r="HR72" s="400"/>
      <c r="HS72" s="400"/>
      <c r="HT72" s="400"/>
      <c r="HU72" s="400"/>
      <c r="HV72" s="400"/>
      <c r="HW72" s="400"/>
      <c r="HX72" s="400"/>
      <c r="HY72" s="400"/>
      <c r="HZ72" s="400"/>
      <c r="IA72" s="400"/>
      <c r="IB72" s="400"/>
      <c r="IC72" s="400"/>
      <c r="ID72" s="400"/>
      <c r="IE72" s="400"/>
      <c r="IF72" s="400"/>
      <c r="IG72" s="400"/>
      <c r="IH72" s="400"/>
      <c r="II72" s="400"/>
      <c r="IJ72" s="400"/>
      <c r="IK72" s="400"/>
      <c r="IL72" s="400"/>
      <c r="IM72" s="400"/>
      <c r="IN72" s="400"/>
      <c r="IO72" s="400"/>
      <c r="IP72" s="400"/>
      <c r="IQ72" s="400"/>
      <c r="IR72" s="400"/>
      <c r="IS72" s="400"/>
      <c r="IT72" s="400"/>
      <c r="IU72" s="400"/>
      <c r="IV72" s="400"/>
      <c r="IW72" s="400"/>
      <c r="IX72" s="400"/>
      <c r="IY72" s="400"/>
      <c r="IZ72" s="400"/>
      <c r="JA72" s="400"/>
      <c r="JB72" s="400"/>
      <c r="JC72" s="400"/>
      <c r="JD72" s="400"/>
      <c r="JE72" s="400"/>
      <c r="JF72" s="400"/>
      <c r="JG72" s="400"/>
      <c r="JH72" s="400"/>
      <c r="JI72" s="400"/>
      <c r="JJ72" s="400"/>
      <c r="JK72" s="400"/>
      <c r="JL72" s="400"/>
      <c r="JM72" s="400"/>
      <c r="JN72" s="400"/>
      <c r="JO72" s="400"/>
      <c r="JP72" s="400"/>
      <c r="JQ72" s="400"/>
      <c r="JR72" s="400"/>
      <c r="JS72" s="400"/>
      <c r="JT72" s="400"/>
      <c r="JU72" s="400"/>
      <c r="JV72" s="400"/>
      <c r="JW72" s="400"/>
      <c r="JX72" s="400"/>
      <c r="JY72" s="400"/>
      <c r="JZ72" s="400"/>
      <c r="KA72" s="400"/>
      <c r="KB72" s="400"/>
      <c r="KC72" s="400"/>
      <c r="KD72" s="400"/>
      <c r="KE72" s="400"/>
      <c r="KF72" s="400"/>
      <c r="KG72" s="400"/>
      <c r="KH72" s="400"/>
      <c r="KI72" s="400"/>
      <c r="KJ72" s="400"/>
      <c r="KK72" s="400"/>
      <c r="KL72" s="400"/>
      <c r="KM72" s="400"/>
      <c r="KN72" s="400"/>
      <c r="KO72" s="400"/>
      <c r="KP72" s="400"/>
      <c r="KQ72" s="400"/>
      <c r="KR72" s="400"/>
      <c r="KS72" s="400"/>
      <c r="KT72" s="400"/>
      <c r="KU72" s="400"/>
      <c r="KV72" s="400"/>
      <c r="KW72" s="400"/>
      <c r="KX72" s="400"/>
      <c r="KY72" s="400"/>
      <c r="KZ72" s="400"/>
      <c r="LA72" s="400"/>
      <c r="LB72" s="400"/>
      <c r="LC72" s="400"/>
      <c r="LD72" s="400"/>
      <c r="LE72" s="400"/>
      <c r="LF72" s="400"/>
      <c r="LG72" s="400"/>
      <c r="LH72" s="400"/>
      <c r="LI72" s="400"/>
      <c r="LJ72" s="400"/>
      <c r="LK72" s="400"/>
      <c r="LL72" s="400"/>
      <c r="LM72" s="400"/>
      <c r="LN72" s="400"/>
      <c r="LO72" s="400"/>
      <c r="LP72" s="400"/>
      <c r="LQ72" s="400"/>
      <c r="LR72" s="400"/>
      <c r="LS72" s="400"/>
      <c r="LT72" s="400"/>
      <c r="LU72" s="400"/>
      <c r="LV72" s="400"/>
      <c r="LW72" s="400"/>
      <c r="LX72" s="400"/>
      <c r="LY72" s="400"/>
      <c r="LZ72" s="400"/>
      <c r="MA72" s="400"/>
      <c r="MB72" s="400"/>
      <c r="MC72" s="400"/>
      <c r="MD72" s="400"/>
      <c r="ME72" s="400"/>
      <c r="MF72" s="400"/>
      <c r="MG72" s="400"/>
      <c r="MH72" s="400"/>
      <c r="MI72" s="400"/>
      <c r="MJ72" s="400"/>
      <c r="MK72" s="400"/>
      <c r="ML72" s="400"/>
      <c r="MM72" s="400"/>
      <c r="MN72" s="400"/>
      <c r="MO72" s="400"/>
      <c r="MP72" s="400"/>
      <c r="MQ72" s="400"/>
      <c r="MR72" s="400"/>
      <c r="MS72" s="400"/>
    </row>
    <row r="73">
      <c r="A73" s="394"/>
      <c r="B73" s="400"/>
      <c r="C73" s="394"/>
      <c r="D73" s="400"/>
      <c r="E73" s="447"/>
      <c r="F73" s="394"/>
      <c r="G73" s="394"/>
      <c r="H73" s="394"/>
      <c r="I73" s="394"/>
      <c r="J73" s="394"/>
      <c r="K73" s="394"/>
      <c r="L73" s="394"/>
      <c r="M73" s="394"/>
      <c r="N73" s="394"/>
      <c r="O73" s="394"/>
      <c r="P73" s="394"/>
      <c r="Q73" s="394"/>
      <c r="R73" s="394"/>
      <c r="S73" s="394"/>
      <c r="T73" s="394"/>
      <c r="U73" s="394"/>
      <c r="V73" s="394"/>
      <c r="W73" s="394"/>
      <c r="X73" s="394"/>
      <c r="Y73" s="394"/>
      <c r="Z73" s="394"/>
      <c r="AA73" s="394"/>
      <c r="AB73" s="394"/>
      <c r="AC73" s="394"/>
      <c r="AD73" s="394"/>
      <c r="AE73" s="394"/>
      <c r="AF73" s="394"/>
      <c r="AG73" s="394"/>
      <c r="AH73" s="394"/>
      <c r="AI73" s="394"/>
      <c r="AJ73" s="394"/>
      <c r="AK73" s="394"/>
      <c r="AL73" s="394"/>
      <c r="AM73" s="397"/>
      <c r="AN73" s="400"/>
      <c r="AO73" s="400"/>
      <c r="AP73" s="400"/>
      <c r="AQ73" s="400"/>
      <c r="AR73" s="400"/>
      <c r="AS73" s="400"/>
      <c r="AT73" s="400"/>
      <c r="AU73" s="394"/>
      <c r="AV73" s="400"/>
      <c r="AW73" s="400"/>
      <c r="AX73" s="394"/>
      <c r="AY73" s="400"/>
      <c r="AZ73" s="400"/>
      <c r="BA73" s="394"/>
      <c r="BB73" s="400"/>
      <c r="BC73" s="400"/>
      <c r="BD73" s="400"/>
      <c r="BE73" s="400"/>
      <c r="BF73" s="400"/>
      <c r="BG73" s="400"/>
      <c r="BH73" s="400"/>
      <c r="BI73" s="400"/>
      <c r="BJ73" s="400"/>
      <c r="BK73" s="400"/>
      <c r="BL73" s="400"/>
      <c r="BM73" s="400"/>
      <c r="BN73" s="400"/>
      <c r="BO73" s="400"/>
      <c r="BP73" s="400"/>
      <c r="BQ73" s="400"/>
      <c r="BR73" s="400"/>
      <c r="BS73" s="400"/>
      <c r="BT73" s="400"/>
      <c r="BU73" s="400"/>
      <c r="BV73" s="400"/>
      <c r="BW73" s="400"/>
      <c r="BX73" s="400"/>
      <c r="BY73" s="400"/>
      <c r="BZ73" s="400"/>
      <c r="CA73" s="400"/>
      <c r="CB73" s="400"/>
      <c r="CC73" s="400"/>
      <c r="CD73" s="400"/>
      <c r="CE73" s="400"/>
      <c r="CF73" s="400"/>
      <c r="CG73" s="400"/>
      <c r="CH73" s="400"/>
      <c r="CI73" s="400"/>
      <c r="CJ73" s="400"/>
      <c r="CK73" s="400"/>
      <c r="CL73" s="400"/>
      <c r="CM73" s="400"/>
      <c r="CN73" s="400"/>
      <c r="CO73" s="400"/>
      <c r="CP73" s="400"/>
      <c r="CQ73" s="400"/>
      <c r="CR73" s="400"/>
      <c r="CS73" s="400"/>
      <c r="CT73" s="400"/>
      <c r="CU73" s="400"/>
      <c r="CV73" s="400"/>
      <c r="CW73" s="400"/>
      <c r="CX73" s="400"/>
      <c r="CY73" s="400"/>
      <c r="CZ73" s="400"/>
      <c r="DA73" s="400"/>
      <c r="DB73" s="400"/>
      <c r="DC73" s="400"/>
      <c r="DD73" s="400"/>
      <c r="DE73" s="400"/>
      <c r="DF73" s="400"/>
      <c r="DG73" s="400"/>
      <c r="DH73" s="400"/>
      <c r="DI73" s="400"/>
      <c r="DJ73" s="400"/>
      <c r="DK73" s="400"/>
      <c r="DL73" s="400"/>
      <c r="DM73" s="400"/>
      <c r="DN73" s="400"/>
      <c r="DO73" s="400"/>
      <c r="DP73" s="400"/>
      <c r="DQ73" s="400"/>
      <c r="DR73" s="400"/>
      <c r="DS73" s="400"/>
      <c r="DT73" s="400"/>
      <c r="DU73" s="400"/>
      <c r="DV73" s="400"/>
      <c r="DW73" s="400"/>
      <c r="DX73" s="400"/>
      <c r="DY73" s="400"/>
      <c r="DZ73" s="400"/>
      <c r="EA73" s="400"/>
      <c r="EB73" s="400"/>
      <c r="EC73" s="400"/>
      <c r="ED73" s="400"/>
      <c r="EE73" s="400"/>
      <c r="EF73" s="400"/>
      <c r="EG73" s="401"/>
      <c r="EH73" s="400"/>
      <c r="EI73" s="400"/>
      <c r="EJ73" s="400"/>
      <c r="EK73" s="400"/>
      <c r="EL73" s="400"/>
      <c r="EM73" s="400"/>
      <c r="EN73" s="400"/>
      <c r="EO73" s="400"/>
      <c r="EP73" s="400"/>
      <c r="EQ73" s="400"/>
      <c r="ER73" s="400"/>
      <c r="ES73" s="400"/>
      <c r="ET73" s="400"/>
      <c r="EU73" s="400"/>
      <c r="EV73" s="400"/>
      <c r="EW73" s="400"/>
      <c r="EX73" s="400"/>
      <c r="EY73" s="400"/>
      <c r="EZ73" s="400"/>
      <c r="FA73" s="400"/>
      <c r="FB73" s="400"/>
      <c r="FC73" s="400"/>
      <c r="FD73" s="400"/>
      <c r="FE73" s="400"/>
      <c r="FF73" s="400"/>
      <c r="FG73" s="400"/>
      <c r="FH73" s="400"/>
      <c r="FI73" s="400"/>
      <c r="FJ73" s="400"/>
      <c r="FK73" s="400"/>
      <c r="FL73" s="400"/>
      <c r="FM73" s="400"/>
      <c r="FN73" s="400"/>
      <c r="FO73" s="400"/>
      <c r="FP73" s="400"/>
      <c r="FQ73" s="400"/>
      <c r="FR73" s="400"/>
      <c r="FS73" s="400"/>
      <c r="FT73" s="400"/>
      <c r="FU73" s="400"/>
      <c r="FV73" s="400"/>
      <c r="FW73" s="400"/>
      <c r="FX73" s="400"/>
      <c r="FY73" s="400"/>
      <c r="FZ73" s="400"/>
      <c r="GA73" s="400"/>
      <c r="GB73" s="400"/>
      <c r="GC73" s="400"/>
      <c r="GD73" s="400"/>
      <c r="GE73" s="400"/>
      <c r="GF73" s="400"/>
      <c r="GG73" s="400"/>
      <c r="GH73" s="400"/>
      <c r="GI73" s="400"/>
      <c r="GJ73" s="400"/>
      <c r="GK73" s="400"/>
      <c r="GL73" s="400"/>
      <c r="GM73" s="400"/>
      <c r="GN73" s="400"/>
      <c r="GO73" s="400"/>
      <c r="GP73" s="400"/>
      <c r="GQ73" s="400"/>
      <c r="GR73" s="400"/>
      <c r="GS73" s="400"/>
      <c r="GT73" s="400"/>
      <c r="GU73" s="400"/>
      <c r="GV73" s="400"/>
      <c r="GW73" s="400"/>
      <c r="GX73" s="400"/>
      <c r="GY73" s="400"/>
      <c r="GZ73" s="400"/>
      <c r="HA73" s="400"/>
      <c r="HB73" s="400"/>
      <c r="HC73" s="400"/>
      <c r="HD73" s="400"/>
      <c r="HE73" s="400"/>
      <c r="HF73" s="400"/>
      <c r="HG73" s="400"/>
      <c r="HH73" s="400"/>
      <c r="HI73" s="400"/>
      <c r="HJ73" s="400"/>
      <c r="HK73" s="400"/>
      <c r="HL73" s="400"/>
      <c r="HM73" s="400"/>
      <c r="HN73" s="400"/>
      <c r="HO73" s="400"/>
      <c r="HP73" s="400"/>
      <c r="HQ73" s="400"/>
      <c r="HR73" s="400"/>
      <c r="HS73" s="400"/>
      <c r="HT73" s="400"/>
      <c r="HU73" s="400"/>
      <c r="HV73" s="400"/>
      <c r="HW73" s="400"/>
      <c r="HX73" s="400"/>
      <c r="HY73" s="400"/>
      <c r="HZ73" s="400"/>
      <c r="IA73" s="400"/>
      <c r="IB73" s="400"/>
      <c r="IC73" s="400"/>
      <c r="ID73" s="400"/>
      <c r="IE73" s="400"/>
      <c r="IF73" s="400"/>
      <c r="IG73" s="400"/>
      <c r="IH73" s="400"/>
      <c r="II73" s="400"/>
      <c r="IJ73" s="400"/>
      <c r="IK73" s="400"/>
      <c r="IL73" s="400"/>
      <c r="IM73" s="400"/>
      <c r="IN73" s="400"/>
      <c r="IO73" s="400"/>
      <c r="IP73" s="400"/>
      <c r="IQ73" s="400"/>
      <c r="IR73" s="400"/>
      <c r="IS73" s="400"/>
      <c r="IT73" s="400"/>
      <c r="IU73" s="400"/>
      <c r="IV73" s="400"/>
      <c r="IW73" s="400"/>
      <c r="IX73" s="400"/>
      <c r="IY73" s="400"/>
      <c r="IZ73" s="400"/>
      <c r="JA73" s="400"/>
      <c r="JB73" s="400"/>
      <c r="JC73" s="400"/>
      <c r="JD73" s="400"/>
      <c r="JE73" s="400"/>
      <c r="JF73" s="400"/>
      <c r="JG73" s="400"/>
      <c r="JH73" s="400"/>
      <c r="JI73" s="400"/>
      <c r="JJ73" s="400"/>
      <c r="JK73" s="400"/>
      <c r="JL73" s="400"/>
      <c r="JM73" s="400"/>
      <c r="JN73" s="400"/>
      <c r="JO73" s="400"/>
      <c r="JP73" s="400"/>
      <c r="JQ73" s="400"/>
      <c r="JR73" s="400"/>
      <c r="JS73" s="400"/>
      <c r="JT73" s="400"/>
      <c r="JU73" s="400"/>
      <c r="JV73" s="400"/>
      <c r="JW73" s="400"/>
      <c r="JX73" s="400"/>
      <c r="JY73" s="400"/>
      <c r="JZ73" s="400"/>
      <c r="KA73" s="400"/>
      <c r="KB73" s="400"/>
      <c r="KC73" s="400"/>
      <c r="KD73" s="400"/>
      <c r="KE73" s="400"/>
      <c r="KF73" s="400"/>
      <c r="KG73" s="400"/>
      <c r="KH73" s="400"/>
      <c r="KI73" s="400"/>
      <c r="KJ73" s="400"/>
      <c r="KK73" s="400"/>
      <c r="KL73" s="400"/>
      <c r="KM73" s="400"/>
      <c r="KN73" s="400"/>
      <c r="KO73" s="400"/>
      <c r="KP73" s="400"/>
      <c r="KQ73" s="400"/>
      <c r="KR73" s="400"/>
      <c r="KS73" s="400"/>
      <c r="KT73" s="400"/>
      <c r="KU73" s="400"/>
      <c r="KV73" s="400"/>
      <c r="KW73" s="400"/>
      <c r="KX73" s="400"/>
      <c r="KY73" s="400"/>
      <c r="KZ73" s="400"/>
      <c r="LA73" s="400"/>
      <c r="LB73" s="400"/>
      <c r="LC73" s="400"/>
      <c r="LD73" s="400"/>
      <c r="LE73" s="400"/>
      <c r="LF73" s="400"/>
      <c r="LG73" s="400"/>
      <c r="LH73" s="400"/>
      <c r="LI73" s="400"/>
      <c r="LJ73" s="400"/>
      <c r="LK73" s="400"/>
      <c r="LL73" s="400"/>
      <c r="LM73" s="400"/>
      <c r="LN73" s="400"/>
      <c r="LO73" s="400"/>
      <c r="LP73" s="400"/>
      <c r="LQ73" s="400"/>
      <c r="LR73" s="400"/>
      <c r="LS73" s="400"/>
      <c r="LT73" s="400"/>
      <c r="LU73" s="400"/>
      <c r="LV73" s="400"/>
      <c r="LW73" s="400"/>
      <c r="LX73" s="400"/>
      <c r="LY73" s="400"/>
      <c r="LZ73" s="400"/>
      <c r="MA73" s="400"/>
      <c r="MB73" s="400"/>
      <c r="MC73" s="400"/>
      <c r="MD73" s="400"/>
      <c r="ME73" s="400"/>
      <c r="MF73" s="400"/>
      <c r="MG73" s="400"/>
      <c r="MH73" s="400"/>
      <c r="MI73" s="400"/>
      <c r="MJ73" s="400"/>
      <c r="MK73" s="400"/>
      <c r="ML73" s="400"/>
      <c r="MM73" s="400"/>
      <c r="MN73" s="400"/>
      <c r="MO73" s="400"/>
      <c r="MP73" s="400"/>
      <c r="MQ73" s="400"/>
      <c r="MR73" s="400"/>
      <c r="MS73" s="400"/>
    </row>
    <row r="74">
      <c r="A74" s="394"/>
      <c r="B74" s="400"/>
      <c r="C74" s="394"/>
      <c r="D74" s="400"/>
      <c r="E74" s="447"/>
      <c r="F74" s="394"/>
      <c r="G74" s="394"/>
      <c r="H74" s="394"/>
      <c r="I74" s="394"/>
      <c r="J74" s="394"/>
      <c r="K74" s="394"/>
      <c r="L74" s="394"/>
      <c r="M74" s="394"/>
      <c r="N74" s="394"/>
      <c r="O74" s="394"/>
      <c r="P74" s="394"/>
      <c r="Q74" s="394"/>
      <c r="R74" s="394"/>
      <c r="S74" s="394"/>
      <c r="T74" s="394"/>
      <c r="U74" s="394"/>
      <c r="V74" s="394"/>
      <c r="W74" s="394"/>
      <c r="X74" s="394"/>
      <c r="Y74" s="394"/>
      <c r="Z74" s="394"/>
      <c r="AA74" s="394"/>
      <c r="AB74" s="394"/>
      <c r="AC74" s="394"/>
      <c r="AD74" s="394"/>
      <c r="AE74" s="394"/>
      <c r="AF74" s="394"/>
      <c r="AG74" s="394"/>
      <c r="AH74" s="394"/>
      <c r="AI74" s="394"/>
      <c r="AJ74" s="394"/>
      <c r="AK74" s="394"/>
      <c r="AL74" s="394"/>
      <c r="AM74" s="397"/>
      <c r="AN74" s="400"/>
      <c r="AO74" s="400"/>
      <c r="AP74" s="400"/>
      <c r="AQ74" s="400"/>
      <c r="AR74" s="400"/>
      <c r="AS74" s="400"/>
      <c r="AT74" s="400"/>
      <c r="AU74" s="394"/>
      <c r="AV74" s="400"/>
      <c r="AW74" s="400"/>
      <c r="AX74" s="394"/>
      <c r="AY74" s="400"/>
      <c r="AZ74" s="400"/>
      <c r="BA74" s="394"/>
      <c r="BB74" s="400"/>
      <c r="BC74" s="400"/>
      <c r="BD74" s="400"/>
      <c r="BE74" s="400"/>
      <c r="BF74" s="400"/>
      <c r="BG74" s="400"/>
      <c r="BH74" s="400"/>
      <c r="BI74" s="400"/>
      <c r="BJ74" s="400"/>
      <c r="BK74" s="400"/>
      <c r="BL74" s="400"/>
      <c r="BM74" s="400"/>
      <c r="BN74" s="400"/>
      <c r="BO74" s="400"/>
      <c r="BP74" s="400"/>
      <c r="BQ74" s="400"/>
      <c r="BR74" s="400"/>
      <c r="BS74" s="400"/>
      <c r="BT74" s="400"/>
      <c r="BU74" s="400"/>
      <c r="BV74" s="400"/>
      <c r="BW74" s="400"/>
      <c r="BX74" s="400"/>
      <c r="BY74" s="400"/>
      <c r="BZ74" s="400"/>
      <c r="CA74" s="400"/>
      <c r="CB74" s="400"/>
      <c r="CC74" s="400"/>
      <c r="CD74" s="400"/>
      <c r="CE74" s="400"/>
      <c r="CF74" s="400"/>
      <c r="CG74" s="400"/>
      <c r="CH74" s="400"/>
      <c r="CI74" s="400"/>
      <c r="CJ74" s="400"/>
      <c r="CK74" s="400"/>
      <c r="CL74" s="400"/>
      <c r="CM74" s="400"/>
      <c r="CN74" s="400"/>
      <c r="CO74" s="400"/>
      <c r="CP74" s="400"/>
      <c r="CQ74" s="400"/>
      <c r="CR74" s="400"/>
      <c r="CS74" s="400"/>
      <c r="CT74" s="400"/>
      <c r="CU74" s="400"/>
      <c r="CV74" s="400"/>
      <c r="CW74" s="400"/>
      <c r="CX74" s="400"/>
      <c r="CY74" s="400"/>
      <c r="CZ74" s="400"/>
      <c r="DA74" s="400"/>
      <c r="DB74" s="400"/>
      <c r="DC74" s="400"/>
      <c r="DD74" s="400"/>
      <c r="DE74" s="400"/>
      <c r="DF74" s="400"/>
      <c r="DG74" s="400"/>
      <c r="DH74" s="400"/>
      <c r="DI74" s="400"/>
      <c r="DJ74" s="400"/>
      <c r="DK74" s="400"/>
      <c r="DL74" s="400"/>
      <c r="DM74" s="400"/>
      <c r="DN74" s="400"/>
      <c r="DO74" s="400"/>
      <c r="DP74" s="400"/>
      <c r="DQ74" s="400"/>
      <c r="DR74" s="400"/>
      <c r="DS74" s="400"/>
      <c r="DT74" s="400"/>
      <c r="DU74" s="400"/>
      <c r="DV74" s="400"/>
      <c r="DW74" s="400"/>
      <c r="DX74" s="400"/>
      <c r="DY74" s="400"/>
      <c r="DZ74" s="400"/>
      <c r="EA74" s="400"/>
      <c r="EB74" s="400"/>
      <c r="EC74" s="400"/>
      <c r="ED74" s="400"/>
      <c r="EE74" s="400"/>
      <c r="EF74" s="400"/>
      <c r="EG74" s="401"/>
      <c r="EH74" s="400"/>
      <c r="EI74" s="400"/>
      <c r="EJ74" s="400"/>
      <c r="EK74" s="400"/>
      <c r="EL74" s="400"/>
      <c r="EM74" s="400"/>
      <c r="EN74" s="400"/>
      <c r="EO74" s="400"/>
      <c r="EP74" s="400"/>
      <c r="EQ74" s="400"/>
      <c r="ER74" s="400"/>
      <c r="ES74" s="400"/>
      <c r="ET74" s="400"/>
      <c r="EU74" s="400"/>
      <c r="EV74" s="400"/>
      <c r="EW74" s="400"/>
      <c r="EX74" s="400"/>
      <c r="EY74" s="400"/>
      <c r="EZ74" s="400"/>
      <c r="FA74" s="400"/>
      <c r="FB74" s="400"/>
      <c r="FC74" s="400"/>
      <c r="FD74" s="400"/>
      <c r="FE74" s="400"/>
      <c r="FF74" s="400"/>
      <c r="FG74" s="400"/>
      <c r="FH74" s="400"/>
      <c r="FI74" s="400"/>
      <c r="FJ74" s="400"/>
      <c r="FK74" s="400"/>
      <c r="FL74" s="400"/>
      <c r="FM74" s="400"/>
      <c r="FN74" s="400"/>
      <c r="FO74" s="400"/>
      <c r="FP74" s="400"/>
      <c r="FQ74" s="400"/>
      <c r="FR74" s="400"/>
      <c r="FS74" s="400"/>
      <c r="FT74" s="400"/>
      <c r="FU74" s="400"/>
      <c r="FV74" s="400"/>
      <c r="FW74" s="400"/>
      <c r="FX74" s="400"/>
      <c r="FY74" s="400"/>
      <c r="FZ74" s="400"/>
      <c r="GA74" s="400"/>
      <c r="GB74" s="400"/>
      <c r="GC74" s="400"/>
      <c r="GD74" s="400"/>
      <c r="GE74" s="400"/>
      <c r="GF74" s="400"/>
      <c r="GG74" s="400"/>
      <c r="GH74" s="400"/>
      <c r="GI74" s="400"/>
      <c r="GJ74" s="400"/>
      <c r="GK74" s="400"/>
      <c r="GL74" s="400"/>
      <c r="GM74" s="400"/>
      <c r="GN74" s="400"/>
      <c r="GO74" s="400"/>
      <c r="GP74" s="400"/>
      <c r="GQ74" s="400"/>
      <c r="GR74" s="400"/>
      <c r="GS74" s="400"/>
      <c r="GT74" s="400"/>
      <c r="GU74" s="400"/>
      <c r="GV74" s="400"/>
      <c r="GW74" s="400"/>
      <c r="GX74" s="400"/>
      <c r="GY74" s="400"/>
      <c r="GZ74" s="400"/>
      <c r="HA74" s="400"/>
      <c r="HB74" s="400"/>
      <c r="HC74" s="400"/>
      <c r="HD74" s="400"/>
      <c r="HE74" s="400"/>
      <c r="HF74" s="400"/>
      <c r="HG74" s="400"/>
      <c r="HH74" s="400"/>
      <c r="HI74" s="400"/>
      <c r="HJ74" s="400"/>
      <c r="HK74" s="400"/>
      <c r="HL74" s="400"/>
      <c r="HM74" s="400"/>
      <c r="HN74" s="400"/>
      <c r="HO74" s="400"/>
      <c r="HP74" s="400"/>
      <c r="HQ74" s="400"/>
      <c r="HR74" s="400"/>
      <c r="HS74" s="400"/>
      <c r="HT74" s="400"/>
      <c r="HU74" s="400"/>
      <c r="HV74" s="400"/>
      <c r="HW74" s="400"/>
      <c r="HX74" s="400"/>
      <c r="HY74" s="400"/>
      <c r="HZ74" s="400"/>
      <c r="IA74" s="400"/>
      <c r="IB74" s="400"/>
      <c r="IC74" s="400"/>
      <c r="ID74" s="400"/>
      <c r="IE74" s="400"/>
      <c r="IF74" s="400"/>
      <c r="IG74" s="400"/>
      <c r="IH74" s="400"/>
      <c r="II74" s="400"/>
      <c r="IJ74" s="400"/>
      <c r="IK74" s="400"/>
      <c r="IL74" s="400"/>
      <c r="IM74" s="400"/>
      <c r="IN74" s="400"/>
      <c r="IO74" s="400"/>
      <c r="IP74" s="400"/>
      <c r="IQ74" s="400"/>
      <c r="IR74" s="400"/>
      <c r="IS74" s="400"/>
      <c r="IT74" s="400"/>
      <c r="IU74" s="400"/>
      <c r="IV74" s="400"/>
      <c r="IW74" s="400"/>
      <c r="IX74" s="400"/>
      <c r="IY74" s="400"/>
      <c r="IZ74" s="400"/>
      <c r="JA74" s="400"/>
      <c r="JB74" s="400"/>
      <c r="JC74" s="400"/>
      <c r="JD74" s="400"/>
      <c r="JE74" s="400"/>
      <c r="JF74" s="400"/>
      <c r="JG74" s="400"/>
      <c r="JH74" s="400"/>
      <c r="JI74" s="400"/>
      <c r="JJ74" s="400"/>
      <c r="JK74" s="400"/>
      <c r="JL74" s="400"/>
      <c r="JM74" s="400"/>
      <c r="JN74" s="400"/>
      <c r="JO74" s="400"/>
      <c r="JP74" s="400"/>
      <c r="JQ74" s="400"/>
      <c r="JR74" s="400"/>
      <c r="JS74" s="400"/>
      <c r="JT74" s="400"/>
      <c r="JU74" s="400"/>
      <c r="JV74" s="400"/>
      <c r="JW74" s="400"/>
      <c r="JX74" s="400"/>
      <c r="JY74" s="400"/>
      <c r="JZ74" s="400"/>
      <c r="KA74" s="400"/>
      <c r="KB74" s="400"/>
      <c r="KC74" s="400"/>
      <c r="KD74" s="400"/>
      <c r="KE74" s="400"/>
      <c r="KF74" s="400"/>
      <c r="KG74" s="400"/>
      <c r="KH74" s="400"/>
      <c r="KI74" s="400"/>
      <c r="KJ74" s="400"/>
      <c r="KK74" s="400"/>
      <c r="KL74" s="400"/>
      <c r="KM74" s="400"/>
      <c r="KN74" s="400"/>
      <c r="KO74" s="400"/>
      <c r="KP74" s="400"/>
      <c r="KQ74" s="400"/>
      <c r="KR74" s="400"/>
      <c r="KS74" s="400"/>
      <c r="KT74" s="400"/>
      <c r="KU74" s="400"/>
      <c r="KV74" s="400"/>
      <c r="KW74" s="400"/>
      <c r="KX74" s="400"/>
      <c r="KY74" s="400"/>
      <c r="KZ74" s="400"/>
      <c r="LA74" s="400"/>
      <c r="LB74" s="400"/>
      <c r="LC74" s="400"/>
      <c r="LD74" s="400"/>
      <c r="LE74" s="400"/>
      <c r="LF74" s="400"/>
      <c r="LG74" s="400"/>
      <c r="LH74" s="400"/>
      <c r="LI74" s="400"/>
      <c r="LJ74" s="400"/>
      <c r="LK74" s="400"/>
      <c r="LL74" s="400"/>
      <c r="LM74" s="400"/>
      <c r="LN74" s="400"/>
      <c r="LO74" s="400"/>
      <c r="LP74" s="400"/>
      <c r="LQ74" s="400"/>
      <c r="LR74" s="400"/>
      <c r="LS74" s="400"/>
      <c r="LT74" s="400"/>
      <c r="LU74" s="400"/>
      <c r="LV74" s="400"/>
      <c r="LW74" s="400"/>
      <c r="LX74" s="400"/>
      <c r="LY74" s="400"/>
      <c r="LZ74" s="400"/>
      <c r="MA74" s="400"/>
      <c r="MB74" s="400"/>
      <c r="MC74" s="400"/>
      <c r="MD74" s="400"/>
      <c r="ME74" s="400"/>
      <c r="MF74" s="400"/>
      <c r="MG74" s="400"/>
      <c r="MH74" s="400"/>
      <c r="MI74" s="400"/>
      <c r="MJ74" s="400"/>
      <c r="MK74" s="400"/>
      <c r="ML74" s="400"/>
      <c r="MM74" s="400"/>
      <c r="MN74" s="400"/>
      <c r="MO74" s="400"/>
      <c r="MP74" s="400"/>
      <c r="MQ74" s="400"/>
      <c r="MR74" s="400"/>
      <c r="MS74" s="400"/>
    </row>
    <row r="75">
      <c r="A75" s="394"/>
      <c r="B75" s="400"/>
      <c r="C75" s="394"/>
      <c r="D75" s="400"/>
      <c r="E75" s="447"/>
      <c r="F75" s="394"/>
      <c r="G75" s="394"/>
      <c r="H75" s="394"/>
      <c r="I75" s="394"/>
      <c r="J75" s="394"/>
      <c r="K75" s="394"/>
      <c r="L75" s="394"/>
      <c r="M75" s="394"/>
      <c r="N75" s="394"/>
      <c r="O75" s="394"/>
      <c r="P75" s="394"/>
      <c r="Q75" s="394"/>
      <c r="R75" s="394"/>
      <c r="S75" s="394"/>
      <c r="T75" s="394"/>
      <c r="U75" s="394"/>
      <c r="V75" s="394"/>
      <c r="W75" s="394"/>
      <c r="X75" s="394"/>
      <c r="Y75" s="394"/>
      <c r="Z75" s="394"/>
      <c r="AA75" s="394"/>
      <c r="AB75" s="394"/>
      <c r="AC75" s="394"/>
      <c r="AD75" s="394"/>
      <c r="AE75" s="394"/>
      <c r="AF75" s="394"/>
      <c r="AG75" s="394"/>
      <c r="AH75" s="394"/>
      <c r="AI75" s="394"/>
      <c r="AJ75" s="394"/>
      <c r="AK75" s="394"/>
      <c r="AL75" s="394"/>
      <c r="AM75" s="397"/>
      <c r="AN75" s="400"/>
      <c r="AO75" s="400"/>
      <c r="AP75" s="400"/>
      <c r="AQ75" s="400"/>
      <c r="AR75" s="400"/>
      <c r="AS75" s="400"/>
      <c r="AT75" s="400"/>
      <c r="AU75" s="394"/>
      <c r="AV75" s="400"/>
      <c r="AW75" s="400"/>
      <c r="AX75" s="394"/>
      <c r="AY75" s="400"/>
      <c r="AZ75" s="400"/>
      <c r="BA75" s="394"/>
      <c r="BB75" s="400"/>
      <c r="BC75" s="400"/>
      <c r="BD75" s="400"/>
      <c r="BE75" s="400"/>
      <c r="BF75" s="400"/>
      <c r="BG75" s="400"/>
      <c r="BH75" s="400"/>
      <c r="BI75" s="400"/>
      <c r="BJ75" s="400"/>
      <c r="BK75" s="400"/>
      <c r="BL75" s="400"/>
      <c r="BM75" s="400"/>
      <c r="BN75" s="400"/>
      <c r="BO75" s="400"/>
      <c r="BP75" s="400"/>
      <c r="BQ75" s="400"/>
      <c r="BR75" s="400"/>
      <c r="BS75" s="400"/>
      <c r="BT75" s="400"/>
      <c r="BU75" s="400"/>
      <c r="BV75" s="400"/>
      <c r="BW75" s="400"/>
      <c r="BX75" s="400"/>
      <c r="BY75" s="400"/>
      <c r="BZ75" s="400"/>
      <c r="CA75" s="400"/>
      <c r="CB75" s="400"/>
      <c r="CC75" s="400"/>
      <c r="CD75" s="400"/>
      <c r="CE75" s="400"/>
      <c r="CF75" s="400"/>
      <c r="CG75" s="400"/>
      <c r="CH75" s="400"/>
      <c r="CI75" s="400"/>
      <c r="CJ75" s="400"/>
      <c r="CK75" s="400"/>
      <c r="CL75" s="400"/>
      <c r="CM75" s="400"/>
      <c r="CN75" s="400"/>
      <c r="CO75" s="400"/>
      <c r="CP75" s="400"/>
      <c r="CQ75" s="400"/>
      <c r="CR75" s="400"/>
      <c r="CS75" s="400"/>
      <c r="CT75" s="400"/>
      <c r="CU75" s="400"/>
      <c r="CV75" s="400"/>
      <c r="CW75" s="400"/>
      <c r="CX75" s="400"/>
      <c r="CY75" s="400"/>
      <c r="CZ75" s="400"/>
      <c r="DA75" s="400"/>
      <c r="DB75" s="400"/>
      <c r="DC75" s="400"/>
      <c r="DD75" s="400"/>
      <c r="DE75" s="400"/>
      <c r="DF75" s="400"/>
      <c r="DG75" s="400"/>
      <c r="DH75" s="400"/>
      <c r="DI75" s="400"/>
      <c r="DJ75" s="400"/>
      <c r="DK75" s="400"/>
      <c r="DL75" s="400"/>
      <c r="DM75" s="400"/>
      <c r="DN75" s="400"/>
      <c r="DO75" s="400"/>
      <c r="DP75" s="400"/>
      <c r="DQ75" s="400"/>
      <c r="DR75" s="400"/>
      <c r="DS75" s="400"/>
      <c r="DT75" s="400"/>
      <c r="DU75" s="400"/>
      <c r="DV75" s="400"/>
      <c r="DW75" s="400"/>
      <c r="DX75" s="400"/>
      <c r="DY75" s="400"/>
      <c r="DZ75" s="400"/>
      <c r="EA75" s="400"/>
      <c r="EB75" s="400"/>
      <c r="EC75" s="400"/>
      <c r="ED75" s="400"/>
      <c r="EE75" s="400"/>
      <c r="EF75" s="400"/>
      <c r="EG75" s="401"/>
      <c r="EH75" s="400"/>
      <c r="EI75" s="400"/>
      <c r="EJ75" s="400"/>
      <c r="EK75" s="400"/>
      <c r="EL75" s="400"/>
      <c r="EM75" s="400"/>
      <c r="EN75" s="400"/>
      <c r="EO75" s="400"/>
      <c r="EP75" s="400"/>
      <c r="EQ75" s="400"/>
      <c r="ER75" s="400"/>
      <c r="ES75" s="400"/>
      <c r="ET75" s="400"/>
      <c r="EU75" s="400"/>
      <c r="EV75" s="400"/>
      <c r="EW75" s="400"/>
      <c r="EX75" s="400"/>
      <c r="EY75" s="400"/>
      <c r="EZ75" s="400"/>
      <c r="FA75" s="400"/>
      <c r="FB75" s="400"/>
      <c r="FC75" s="400"/>
      <c r="FD75" s="400"/>
      <c r="FE75" s="400"/>
      <c r="FF75" s="400"/>
      <c r="FG75" s="400"/>
      <c r="FH75" s="400"/>
      <c r="FI75" s="400"/>
      <c r="FJ75" s="400"/>
      <c r="FK75" s="400"/>
      <c r="FL75" s="400"/>
      <c r="FM75" s="400"/>
      <c r="FN75" s="400"/>
      <c r="FO75" s="400"/>
      <c r="FP75" s="400"/>
      <c r="FQ75" s="400"/>
      <c r="FR75" s="400"/>
      <c r="FS75" s="400"/>
      <c r="FT75" s="400"/>
      <c r="FU75" s="400"/>
      <c r="FV75" s="400"/>
      <c r="FW75" s="400"/>
      <c r="FX75" s="400"/>
      <c r="FY75" s="400"/>
      <c r="FZ75" s="400"/>
      <c r="GA75" s="400"/>
      <c r="GB75" s="400"/>
      <c r="GC75" s="400"/>
      <c r="GD75" s="400"/>
      <c r="GE75" s="400"/>
      <c r="GF75" s="400"/>
      <c r="GG75" s="400"/>
      <c r="GH75" s="400"/>
      <c r="GI75" s="400"/>
      <c r="GJ75" s="400"/>
      <c r="GK75" s="400"/>
      <c r="GL75" s="400"/>
      <c r="GM75" s="400"/>
      <c r="GN75" s="400"/>
      <c r="GO75" s="400"/>
      <c r="GP75" s="400"/>
      <c r="GQ75" s="400"/>
      <c r="GR75" s="400"/>
      <c r="GS75" s="400"/>
      <c r="GT75" s="400"/>
      <c r="GU75" s="400"/>
      <c r="GV75" s="400"/>
      <c r="GW75" s="400"/>
      <c r="GX75" s="400"/>
      <c r="GY75" s="400"/>
      <c r="GZ75" s="400"/>
      <c r="HA75" s="400"/>
      <c r="HB75" s="400"/>
      <c r="HC75" s="400"/>
      <c r="HD75" s="400"/>
      <c r="HE75" s="400"/>
      <c r="HF75" s="400"/>
      <c r="HG75" s="400"/>
      <c r="HH75" s="400"/>
      <c r="HI75" s="400"/>
      <c r="HJ75" s="400"/>
      <c r="HK75" s="400"/>
      <c r="HL75" s="400"/>
      <c r="HM75" s="400"/>
      <c r="HN75" s="400"/>
      <c r="HO75" s="400"/>
      <c r="HP75" s="400"/>
      <c r="HQ75" s="400"/>
      <c r="HR75" s="400"/>
      <c r="HS75" s="400"/>
      <c r="HT75" s="400"/>
      <c r="HU75" s="400"/>
      <c r="HV75" s="400"/>
      <c r="HW75" s="400"/>
      <c r="HX75" s="400"/>
      <c r="HY75" s="400"/>
      <c r="HZ75" s="400"/>
      <c r="IA75" s="400"/>
      <c r="IB75" s="400"/>
      <c r="IC75" s="400"/>
      <c r="ID75" s="400"/>
      <c r="IE75" s="400"/>
      <c r="IF75" s="400"/>
      <c r="IG75" s="400"/>
      <c r="IH75" s="400"/>
      <c r="II75" s="400"/>
      <c r="IJ75" s="400"/>
      <c r="IK75" s="400"/>
      <c r="IL75" s="400"/>
      <c r="IM75" s="400"/>
      <c r="IN75" s="400"/>
      <c r="IO75" s="400"/>
      <c r="IP75" s="400"/>
      <c r="IQ75" s="400"/>
      <c r="IR75" s="400"/>
      <c r="IS75" s="400"/>
      <c r="IT75" s="400"/>
      <c r="IU75" s="400"/>
      <c r="IV75" s="400"/>
      <c r="IW75" s="400"/>
      <c r="IX75" s="400"/>
      <c r="IY75" s="400"/>
      <c r="IZ75" s="400"/>
      <c r="JA75" s="400"/>
      <c r="JB75" s="400"/>
      <c r="JC75" s="400"/>
      <c r="JD75" s="400"/>
      <c r="JE75" s="400"/>
      <c r="JF75" s="400"/>
      <c r="JG75" s="400"/>
      <c r="JH75" s="400"/>
      <c r="JI75" s="400"/>
      <c r="JJ75" s="400"/>
      <c r="JK75" s="400"/>
      <c r="JL75" s="400"/>
      <c r="JM75" s="400"/>
      <c r="JN75" s="400"/>
      <c r="JO75" s="400"/>
      <c r="JP75" s="400"/>
      <c r="JQ75" s="400"/>
      <c r="JR75" s="400"/>
      <c r="JS75" s="400"/>
      <c r="JT75" s="400"/>
      <c r="JU75" s="400"/>
      <c r="JV75" s="400"/>
      <c r="JW75" s="400"/>
      <c r="JX75" s="400"/>
      <c r="JY75" s="400"/>
      <c r="JZ75" s="400"/>
      <c r="KA75" s="400"/>
      <c r="KB75" s="400"/>
      <c r="KC75" s="400"/>
      <c r="KD75" s="400"/>
      <c r="KE75" s="400"/>
      <c r="KF75" s="400"/>
      <c r="KG75" s="400"/>
      <c r="KH75" s="400"/>
      <c r="KI75" s="400"/>
      <c r="KJ75" s="400"/>
      <c r="KK75" s="400"/>
      <c r="KL75" s="400"/>
      <c r="KM75" s="400"/>
      <c r="KN75" s="400"/>
      <c r="KO75" s="400"/>
      <c r="KP75" s="400"/>
      <c r="KQ75" s="400"/>
      <c r="KR75" s="400"/>
      <c r="KS75" s="400"/>
      <c r="KT75" s="400"/>
      <c r="KU75" s="400"/>
      <c r="KV75" s="400"/>
      <c r="KW75" s="400"/>
      <c r="KX75" s="400"/>
      <c r="KY75" s="400"/>
      <c r="KZ75" s="400"/>
      <c r="LA75" s="400"/>
      <c r="LB75" s="400"/>
      <c r="LC75" s="400"/>
      <c r="LD75" s="400"/>
      <c r="LE75" s="400"/>
      <c r="LF75" s="400"/>
      <c r="LG75" s="400"/>
      <c r="LH75" s="400"/>
      <c r="LI75" s="400"/>
      <c r="LJ75" s="400"/>
      <c r="LK75" s="400"/>
      <c r="LL75" s="400"/>
      <c r="LM75" s="400"/>
      <c r="LN75" s="400"/>
      <c r="LO75" s="400"/>
      <c r="LP75" s="400"/>
      <c r="LQ75" s="400"/>
      <c r="LR75" s="400"/>
      <c r="LS75" s="400"/>
      <c r="LT75" s="400"/>
      <c r="LU75" s="400"/>
      <c r="LV75" s="400"/>
      <c r="LW75" s="400"/>
      <c r="LX75" s="400"/>
      <c r="LY75" s="400"/>
      <c r="LZ75" s="400"/>
      <c r="MA75" s="400"/>
      <c r="MB75" s="400"/>
      <c r="MC75" s="400"/>
      <c r="MD75" s="400"/>
      <c r="ME75" s="400"/>
      <c r="MF75" s="400"/>
      <c r="MG75" s="400"/>
      <c r="MH75" s="400"/>
      <c r="MI75" s="400"/>
      <c r="MJ75" s="400"/>
      <c r="MK75" s="400"/>
      <c r="ML75" s="400"/>
      <c r="MM75" s="400"/>
      <c r="MN75" s="400"/>
      <c r="MO75" s="400"/>
      <c r="MP75" s="400"/>
      <c r="MQ75" s="400"/>
      <c r="MR75" s="400"/>
      <c r="MS75" s="400"/>
    </row>
    <row r="76">
      <c r="A76" s="394"/>
      <c r="B76" s="400"/>
      <c r="C76" s="394"/>
      <c r="D76" s="400"/>
      <c r="E76" s="447"/>
      <c r="F76" s="394"/>
      <c r="G76" s="394"/>
      <c r="H76" s="394"/>
      <c r="I76" s="394"/>
      <c r="J76" s="394"/>
      <c r="K76" s="394"/>
      <c r="L76" s="394"/>
      <c r="M76" s="394"/>
      <c r="N76" s="394"/>
      <c r="O76" s="394"/>
      <c r="P76" s="394"/>
      <c r="Q76" s="394"/>
      <c r="R76" s="394"/>
      <c r="S76" s="394"/>
      <c r="T76" s="394"/>
      <c r="U76" s="394"/>
      <c r="V76" s="394"/>
      <c r="W76" s="394"/>
      <c r="X76" s="394"/>
      <c r="Y76" s="394"/>
      <c r="Z76" s="394"/>
      <c r="AA76" s="394"/>
      <c r="AB76" s="394"/>
      <c r="AC76" s="394"/>
      <c r="AD76" s="394"/>
      <c r="AE76" s="394"/>
      <c r="AF76" s="394"/>
      <c r="AG76" s="394"/>
      <c r="AH76" s="394"/>
      <c r="AI76" s="394"/>
      <c r="AJ76" s="394"/>
      <c r="AK76" s="394"/>
      <c r="AL76" s="394"/>
      <c r="AM76" s="397"/>
      <c r="AN76" s="400"/>
      <c r="AO76" s="400"/>
      <c r="AP76" s="400"/>
      <c r="AQ76" s="400"/>
      <c r="AR76" s="400"/>
      <c r="AS76" s="400"/>
      <c r="AT76" s="400"/>
      <c r="AU76" s="394"/>
      <c r="AV76" s="400"/>
      <c r="AW76" s="400"/>
      <c r="AX76" s="394"/>
      <c r="AY76" s="400"/>
      <c r="AZ76" s="400"/>
      <c r="BA76" s="394"/>
      <c r="BB76" s="400"/>
      <c r="BC76" s="400"/>
      <c r="BD76" s="400"/>
      <c r="BE76" s="400"/>
      <c r="BF76" s="400"/>
      <c r="BG76" s="400"/>
      <c r="BH76" s="400"/>
      <c r="BI76" s="400"/>
      <c r="BJ76" s="400"/>
      <c r="BK76" s="400"/>
      <c r="BL76" s="400"/>
      <c r="BM76" s="400"/>
      <c r="BN76" s="400"/>
      <c r="BO76" s="400"/>
      <c r="BP76" s="400"/>
      <c r="BQ76" s="400"/>
      <c r="BR76" s="400"/>
      <c r="BS76" s="400"/>
      <c r="BT76" s="400"/>
      <c r="BU76" s="400"/>
      <c r="BV76" s="400"/>
      <c r="BW76" s="400"/>
      <c r="BX76" s="400"/>
      <c r="BY76" s="400"/>
      <c r="BZ76" s="400"/>
      <c r="CA76" s="400"/>
      <c r="CB76" s="400"/>
      <c r="CC76" s="400"/>
      <c r="CD76" s="400"/>
      <c r="CE76" s="400"/>
      <c r="CF76" s="400"/>
      <c r="CG76" s="400"/>
      <c r="CH76" s="400"/>
      <c r="CI76" s="400"/>
      <c r="CJ76" s="400"/>
      <c r="CK76" s="400"/>
      <c r="CL76" s="400"/>
      <c r="CM76" s="400"/>
      <c r="CN76" s="400"/>
      <c r="CO76" s="400"/>
      <c r="CP76" s="400"/>
      <c r="CQ76" s="400"/>
      <c r="CR76" s="400"/>
      <c r="CS76" s="400"/>
      <c r="CT76" s="400"/>
      <c r="CU76" s="400"/>
      <c r="CV76" s="400"/>
      <c r="CW76" s="400"/>
      <c r="CX76" s="400"/>
      <c r="CY76" s="400"/>
      <c r="CZ76" s="400"/>
      <c r="DA76" s="400"/>
      <c r="DB76" s="400"/>
      <c r="DC76" s="400"/>
      <c r="DD76" s="400"/>
      <c r="DE76" s="400"/>
      <c r="DF76" s="400"/>
      <c r="DG76" s="400"/>
      <c r="DH76" s="400"/>
      <c r="DI76" s="400"/>
      <c r="DJ76" s="400"/>
      <c r="DK76" s="400"/>
      <c r="DL76" s="400"/>
      <c r="DM76" s="400"/>
      <c r="DN76" s="400"/>
      <c r="DO76" s="400"/>
      <c r="DP76" s="400"/>
      <c r="DQ76" s="400"/>
      <c r="DR76" s="400"/>
      <c r="DS76" s="400"/>
      <c r="DT76" s="400"/>
      <c r="DU76" s="400"/>
      <c r="DV76" s="400"/>
      <c r="DW76" s="400"/>
      <c r="DX76" s="400"/>
      <c r="DY76" s="400"/>
      <c r="DZ76" s="400"/>
      <c r="EA76" s="400"/>
      <c r="EB76" s="400"/>
      <c r="EC76" s="400"/>
      <c r="ED76" s="400"/>
      <c r="EE76" s="400"/>
      <c r="EF76" s="400"/>
      <c r="EG76" s="401"/>
      <c r="EH76" s="400"/>
      <c r="EI76" s="400"/>
      <c r="EJ76" s="400"/>
      <c r="EK76" s="400"/>
      <c r="EL76" s="400"/>
      <c r="EM76" s="400"/>
      <c r="EN76" s="400"/>
      <c r="EO76" s="400"/>
      <c r="EP76" s="400"/>
      <c r="EQ76" s="400"/>
      <c r="ER76" s="400"/>
      <c r="ES76" s="400"/>
      <c r="ET76" s="400"/>
      <c r="EU76" s="400"/>
      <c r="EV76" s="400"/>
      <c r="EW76" s="400"/>
      <c r="EX76" s="400"/>
      <c r="EY76" s="400"/>
      <c r="EZ76" s="400"/>
      <c r="FA76" s="400"/>
      <c r="FB76" s="400"/>
      <c r="FC76" s="400"/>
      <c r="FD76" s="400"/>
      <c r="FE76" s="400"/>
      <c r="FF76" s="400"/>
      <c r="FG76" s="400"/>
      <c r="FH76" s="400"/>
      <c r="FI76" s="400"/>
      <c r="FJ76" s="400"/>
      <c r="FK76" s="400"/>
      <c r="FL76" s="400"/>
      <c r="FM76" s="400"/>
      <c r="FN76" s="400"/>
      <c r="FO76" s="400"/>
      <c r="FP76" s="400"/>
      <c r="FQ76" s="400"/>
      <c r="FR76" s="400"/>
      <c r="FS76" s="400"/>
      <c r="FT76" s="400"/>
      <c r="FU76" s="400"/>
      <c r="FV76" s="400"/>
      <c r="FW76" s="400"/>
      <c r="FX76" s="400"/>
      <c r="FY76" s="400"/>
      <c r="FZ76" s="400"/>
      <c r="GA76" s="400"/>
      <c r="GB76" s="400"/>
      <c r="GC76" s="400"/>
      <c r="GD76" s="400"/>
      <c r="GE76" s="400"/>
      <c r="GF76" s="400"/>
      <c r="GG76" s="400"/>
      <c r="GH76" s="400"/>
      <c r="GI76" s="400"/>
      <c r="GJ76" s="400"/>
      <c r="GK76" s="400"/>
      <c r="GL76" s="400"/>
      <c r="GM76" s="400"/>
      <c r="GN76" s="400"/>
      <c r="GO76" s="400"/>
      <c r="GP76" s="400"/>
      <c r="GQ76" s="400"/>
      <c r="GR76" s="400"/>
      <c r="GS76" s="400"/>
      <c r="GT76" s="400"/>
      <c r="GU76" s="400"/>
      <c r="GV76" s="400"/>
      <c r="GW76" s="400"/>
      <c r="GX76" s="400"/>
      <c r="GY76" s="400"/>
      <c r="GZ76" s="400"/>
      <c r="HA76" s="400"/>
      <c r="HB76" s="400"/>
      <c r="HC76" s="400"/>
      <c r="HD76" s="400"/>
      <c r="HE76" s="400"/>
      <c r="HF76" s="400"/>
      <c r="HG76" s="400"/>
      <c r="HH76" s="400"/>
      <c r="HI76" s="400"/>
      <c r="HJ76" s="400"/>
      <c r="HK76" s="400"/>
      <c r="HL76" s="400"/>
      <c r="HM76" s="400"/>
      <c r="HN76" s="400"/>
      <c r="HO76" s="400"/>
      <c r="HP76" s="400"/>
      <c r="HQ76" s="400"/>
      <c r="HR76" s="400"/>
      <c r="HS76" s="400"/>
      <c r="HT76" s="400"/>
      <c r="HU76" s="400"/>
      <c r="HV76" s="400"/>
      <c r="HW76" s="400"/>
      <c r="HX76" s="400"/>
      <c r="HY76" s="400"/>
      <c r="HZ76" s="400"/>
      <c r="IA76" s="400"/>
      <c r="IB76" s="400"/>
      <c r="IC76" s="400"/>
      <c r="ID76" s="400"/>
      <c r="IE76" s="400"/>
      <c r="IF76" s="400"/>
      <c r="IG76" s="400"/>
      <c r="IH76" s="400"/>
      <c r="II76" s="400"/>
      <c r="IJ76" s="400"/>
      <c r="IK76" s="400"/>
      <c r="IL76" s="400"/>
      <c r="IM76" s="400"/>
      <c r="IN76" s="400"/>
      <c r="IO76" s="400"/>
      <c r="IP76" s="400"/>
      <c r="IQ76" s="400"/>
      <c r="IR76" s="400"/>
      <c r="IS76" s="400"/>
      <c r="IT76" s="400"/>
      <c r="IU76" s="400"/>
      <c r="IV76" s="400"/>
      <c r="IW76" s="400"/>
      <c r="IX76" s="400"/>
      <c r="IY76" s="400"/>
      <c r="IZ76" s="400"/>
      <c r="JA76" s="400"/>
      <c r="JB76" s="400"/>
      <c r="JC76" s="400"/>
      <c r="JD76" s="400"/>
      <c r="JE76" s="400"/>
      <c r="JF76" s="400"/>
      <c r="JG76" s="400"/>
      <c r="JH76" s="400"/>
      <c r="JI76" s="400"/>
      <c r="JJ76" s="400"/>
      <c r="JK76" s="400"/>
      <c r="JL76" s="400"/>
      <c r="JM76" s="400"/>
      <c r="JN76" s="400"/>
      <c r="JO76" s="400"/>
      <c r="JP76" s="400"/>
      <c r="JQ76" s="400"/>
      <c r="JR76" s="400"/>
      <c r="JS76" s="400"/>
      <c r="JT76" s="400"/>
      <c r="JU76" s="400"/>
      <c r="JV76" s="400"/>
      <c r="JW76" s="400"/>
      <c r="JX76" s="400"/>
      <c r="JY76" s="400"/>
      <c r="JZ76" s="400"/>
      <c r="KA76" s="400"/>
      <c r="KB76" s="400"/>
      <c r="KC76" s="400"/>
      <c r="KD76" s="400"/>
      <c r="KE76" s="400"/>
      <c r="KF76" s="400"/>
      <c r="KG76" s="400"/>
      <c r="KH76" s="400"/>
      <c r="KI76" s="400"/>
      <c r="KJ76" s="400"/>
      <c r="KK76" s="400"/>
      <c r="KL76" s="400"/>
      <c r="KM76" s="400"/>
      <c r="KN76" s="400"/>
      <c r="KO76" s="400"/>
      <c r="KP76" s="400"/>
      <c r="KQ76" s="400"/>
      <c r="KR76" s="400"/>
      <c r="KS76" s="400"/>
      <c r="KT76" s="400"/>
      <c r="KU76" s="400"/>
      <c r="KV76" s="400"/>
      <c r="KW76" s="400"/>
      <c r="KX76" s="400"/>
      <c r="KY76" s="400"/>
      <c r="KZ76" s="400"/>
      <c r="LA76" s="400"/>
      <c r="LB76" s="400"/>
      <c r="LC76" s="400"/>
      <c r="LD76" s="400"/>
      <c r="LE76" s="400"/>
      <c r="LF76" s="400"/>
      <c r="LG76" s="400"/>
      <c r="LH76" s="400"/>
      <c r="LI76" s="400"/>
      <c r="LJ76" s="400"/>
      <c r="LK76" s="400"/>
      <c r="LL76" s="400"/>
      <c r="LM76" s="400"/>
      <c r="LN76" s="400"/>
      <c r="LO76" s="400"/>
      <c r="LP76" s="400"/>
      <c r="LQ76" s="400"/>
      <c r="LR76" s="400"/>
      <c r="LS76" s="400"/>
      <c r="LT76" s="400"/>
      <c r="LU76" s="400"/>
      <c r="LV76" s="400"/>
      <c r="LW76" s="400"/>
      <c r="LX76" s="400"/>
      <c r="LY76" s="400"/>
      <c r="LZ76" s="400"/>
      <c r="MA76" s="400"/>
      <c r="MB76" s="400"/>
      <c r="MC76" s="400"/>
      <c r="MD76" s="400"/>
      <c r="ME76" s="400"/>
      <c r="MF76" s="400"/>
      <c r="MG76" s="400"/>
      <c r="MH76" s="400"/>
      <c r="MI76" s="400"/>
      <c r="MJ76" s="400"/>
      <c r="MK76" s="400"/>
      <c r="ML76" s="400"/>
      <c r="MM76" s="400"/>
      <c r="MN76" s="400"/>
      <c r="MO76" s="400"/>
      <c r="MP76" s="400"/>
      <c r="MQ76" s="400"/>
      <c r="MR76" s="400"/>
      <c r="MS76" s="400"/>
    </row>
  </sheetData>
  <mergeCells count="11">
    <mergeCell ref="IA3:IA59"/>
    <mergeCell ref="JH3:JH59"/>
    <mergeCell ref="KO3:KO59"/>
    <mergeCell ref="LS3:LS59"/>
    <mergeCell ref="G3:G59"/>
    <mergeCell ref="AN3:AN59"/>
    <mergeCell ref="BT3:BT59"/>
    <mergeCell ref="DA3:DA59"/>
    <mergeCell ref="EH3:EH59"/>
    <mergeCell ref="FN3:FN59"/>
    <mergeCell ref="GU3:GU59"/>
  </mergeCells>
  <conditionalFormatting sqref="A1:A27 B1:KM76 KN1:KN2 KO1:MS76 A29:A34 A37:A76 KN45:KN76">
    <cfRule type="containsText" dxfId="8" priority="1" operator="containsText" text="OFF">
      <formula>NOT(ISERROR(SEARCH(("OFF"),(A1))))</formula>
    </cfRule>
  </conditionalFormatting>
  <conditionalFormatting sqref="A1:A27 B1:KM76 KN1:KN2 KO1:MS76 A29:A34 A37:A76 KN45:KN76">
    <cfRule type="containsText" dxfId="9" priority="2" operator="containsText" text="PERSONAL LEAVE">
      <formula>NOT(ISERROR(SEARCH(("PERSONAL LEAVE"),(A1))))</formula>
    </cfRule>
  </conditionalFormatting>
  <conditionalFormatting sqref="A1:A27 B1:KM76 KN1:KN2 KO1:MS76 A29:A34 A37:A76 KN45:KN76">
    <cfRule type="cellIs" dxfId="0" priority="3" operator="equal">
      <formula>"ABSENT"</formula>
    </cfRule>
  </conditionalFormatting>
  <conditionalFormatting sqref="A1:A27 B1:KM76 KN1:KN2 KO1:MS76 A29:A34 A37:A76 KN45:KN76">
    <cfRule type="cellIs" dxfId="10" priority="4" operator="equal">
      <formula>"BH"</formula>
    </cfRule>
  </conditionalFormatting>
  <conditionalFormatting sqref="GV1:HY76 H3:AL76 BU3:CZ76 DB3:EG76 EI3:FM76 FO3:GT76 HZ3:KM76 KO3:MS76 KN45:KN76">
    <cfRule type="containsBlanks" dxfId="2" priority="5">
      <formula>LEN(TRIM(GV1))=0</formula>
    </cfRule>
  </conditionalFormatting>
  <conditionalFormatting sqref="B1:B76">
    <cfRule type="cellIs" dxfId="11" priority="6" operator="equal">
      <formula>"EN"</formula>
    </cfRule>
  </conditionalFormatting>
  <conditionalFormatting sqref="B1:B76">
    <cfRule type="cellIs" dxfId="12" priority="7" operator="equal">
      <formula>"RU"</formula>
    </cfRule>
  </conditionalFormatting>
  <conditionalFormatting sqref="B1:B76">
    <cfRule type="cellIs" dxfId="13" priority="8" operator="equal">
      <formula>"DE"</formula>
    </cfRule>
  </conditionalFormatting>
  <conditionalFormatting sqref="B1:B76">
    <cfRule type="cellIs" dxfId="14" priority="9" operator="equal">
      <formula>"FR"</formula>
    </cfRule>
  </conditionalFormatting>
  <conditionalFormatting sqref="B1:B76">
    <cfRule type="cellIs" dxfId="15" priority="10" operator="equal">
      <formula>"ES"</formula>
    </cfRule>
  </conditionalFormatting>
  <conditionalFormatting sqref="B1:B76">
    <cfRule type="cellIs" dxfId="16" priority="11" operator="equal">
      <formula>"IT"</formula>
    </cfRule>
  </conditionalFormatting>
  <conditionalFormatting sqref="B1:B76">
    <cfRule type="cellIs" dxfId="17" priority="12" operator="equal">
      <formula>"PT"</formula>
    </cfRule>
  </conditionalFormatting>
  <conditionalFormatting sqref="B1:B76">
    <cfRule type="cellIs" dxfId="18" priority="13" operator="equal">
      <formula>"PL"</formula>
    </cfRule>
  </conditionalFormatting>
  <conditionalFormatting sqref="B1:B76">
    <cfRule type="cellIs" dxfId="19" priority="14" operator="equal">
      <formula>"TR"</formula>
    </cfRule>
  </conditionalFormatting>
  <conditionalFormatting sqref="B1:B76">
    <cfRule type="cellIs" dxfId="20" priority="15" operator="equal">
      <formula>"AR"</formula>
    </cfRule>
  </conditionalFormatting>
  <conditionalFormatting sqref="B1:B76">
    <cfRule type="cellIs" dxfId="21" priority="16" operator="equal">
      <formula>"TH"</formula>
    </cfRule>
  </conditionalFormatting>
  <conditionalFormatting sqref="B1:B76">
    <cfRule type="cellIs" dxfId="22" priority="17" operator="equal">
      <formula>"ID"</formula>
    </cfRule>
  </conditionalFormatting>
  <conditionalFormatting sqref="G1:LS76">
    <cfRule type="cellIs" dxfId="23" priority="18" operator="lessThan">
      <formula>8</formula>
    </cfRule>
  </conditionalFormatting>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D9D9"/>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9.43"/>
    <col customWidth="1" min="2" max="2" width="40.14"/>
    <col customWidth="1" hidden="1" min="3" max="3" width="42.71"/>
    <col customWidth="1" min="4" max="6" width="11.43"/>
    <col customWidth="1" min="7" max="7" width="12.43"/>
    <col customWidth="1" min="8" max="8" width="13.0"/>
    <col customWidth="1" min="9" max="9" width="12.29"/>
    <col customWidth="1" hidden="1" min="10" max="10" width="9.57"/>
    <col customWidth="1" hidden="1" min="11" max="11" width="11.0"/>
    <col customWidth="1" min="12" max="12" width="11.0"/>
    <col customWidth="1" min="13" max="13" width="9.71"/>
    <col customWidth="1" min="14" max="14" width="9.86"/>
    <col customWidth="1" min="15" max="15" width="9.71"/>
    <col customWidth="1" min="16" max="16" width="12.57"/>
    <col customWidth="1" min="17" max="17" width="10.71"/>
    <col customWidth="1" min="18" max="18" width="13.14"/>
    <col customWidth="1" min="19" max="20" width="15.57"/>
    <col customWidth="1" hidden="1" min="21" max="21" width="15.57"/>
    <col customWidth="1" hidden="1" min="22" max="22" width="22.57"/>
    <col customWidth="1" min="23" max="23" width="22.71"/>
    <col customWidth="1" hidden="1" min="24" max="24" width="17.0"/>
    <col customWidth="1" hidden="1" min="25" max="25" width="19.0"/>
    <col customWidth="1" hidden="1" min="26" max="26" width="17.0"/>
    <col customWidth="1" hidden="1" min="27" max="27" width="32.57"/>
    <col customWidth="1" hidden="1" min="28" max="28" width="20.57"/>
    <col customWidth="1" hidden="1" min="29" max="30" width="14.86"/>
  </cols>
  <sheetData>
    <row r="1" ht="39.75" customHeight="1">
      <c r="A1" s="448" t="s">
        <v>488</v>
      </c>
      <c r="B1" s="448" t="s">
        <v>373</v>
      </c>
      <c r="C1" s="448" t="s">
        <v>489</v>
      </c>
      <c r="D1" s="448" t="s">
        <v>490</v>
      </c>
      <c r="E1" s="448" t="s">
        <v>87</v>
      </c>
      <c r="F1" s="448" t="s">
        <v>99</v>
      </c>
      <c r="G1" s="448" t="s">
        <v>100</v>
      </c>
      <c r="H1" s="448" t="s">
        <v>491</v>
      </c>
      <c r="I1" s="448" t="s">
        <v>1308</v>
      </c>
      <c r="J1" s="448" t="s">
        <v>1309</v>
      </c>
      <c r="K1" s="449" t="s">
        <v>492</v>
      </c>
      <c r="L1" s="449" t="s">
        <v>493</v>
      </c>
      <c r="M1" s="448" t="s">
        <v>494</v>
      </c>
      <c r="N1" s="448" t="s">
        <v>495</v>
      </c>
      <c r="O1" s="450" t="s">
        <v>185</v>
      </c>
      <c r="P1" s="451" t="s">
        <v>496</v>
      </c>
      <c r="Q1" s="451" t="s">
        <v>1310</v>
      </c>
      <c r="R1" s="448" t="s">
        <v>497</v>
      </c>
      <c r="S1" s="448" t="s">
        <v>498</v>
      </c>
      <c r="T1" s="448" t="s">
        <v>499</v>
      </c>
      <c r="U1" s="448" t="s">
        <v>500</v>
      </c>
      <c r="V1" s="448" t="s">
        <v>501</v>
      </c>
      <c r="W1" s="448" t="s">
        <v>502</v>
      </c>
      <c r="X1" s="448" t="s">
        <v>504</v>
      </c>
      <c r="Y1" s="452" t="s">
        <v>1311</v>
      </c>
      <c r="Z1" s="448" t="s">
        <v>506</v>
      </c>
      <c r="AA1" s="448" t="s">
        <v>1312</v>
      </c>
      <c r="AB1" s="448" t="s">
        <v>508</v>
      </c>
      <c r="AC1" s="448" t="s">
        <v>1313</v>
      </c>
      <c r="AD1" s="448" t="s">
        <v>510</v>
      </c>
      <c r="AE1" s="448" t="s">
        <v>523</v>
      </c>
      <c r="AF1" s="448" t="s">
        <v>1314</v>
      </c>
      <c r="AG1" s="453"/>
      <c r="AH1" s="453"/>
      <c r="AI1" s="453"/>
      <c r="AJ1" s="453"/>
      <c r="AK1" s="453"/>
      <c r="AL1" s="453"/>
      <c r="AM1" s="453"/>
      <c r="AN1" s="453"/>
      <c r="AO1" s="453"/>
      <c r="AP1" s="453"/>
      <c r="AQ1" s="453"/>
      <c r="AR1" s="453"/>
      <c r="AS1" s="453"/>
      <c r="AT1" s="453"/>
      <c r="AU1" s="453"/>
      <c r="AV1" s="453"/>
      <c r="AW1" s="453"/>
    </row>
    <row r="2" hidden="1">
      <c r="A2" s="454" t="s">
        <v>1258</v>
      </c>
      <c r="B2" s="1" t="s">
        <v>1315</v>
      </c>
      <c r="C2" s="1" t="s">
        <v>1315</v>
      </c>
      <c r="D2" s="1" t="s">
        <v>1316</v>
      </c>
      <c r="E2" s="1"/>
      <c r="F2" s="422" t="s">
        <v>98</v>
      </c>
      <c r="G2" s="16" t="s">
        <v>1259</v>
      </c>
      <c r="H2" s="455">
        <v>44348.0</v>
      </c>
      <c r="I2" s="16" t="s">
        <v>1317</v>
      </c>
      <c r="J2" s="70"/>
      <c r="K2" s="456">
        <v>0.0</v>
      </c>
      <c r="L2" s="70">
        <f>VLOOKUP(A2,'Shiftplan KoA'!A:F,6,false)
</f>
        <v>123</v>
      </c>
      <c r="M2" s="456">
        <f t="shared" ref="M2:M58" si="1">sum(K2:L2)</f>
        <v>123</v>
      </c>
      <c r="N2" s="1" t="s">
        <v>592</v>
      </c>
      <c r="O2" s="59" t="str">
        <f t="shared" ref="O2:O58" si="2">ifs(M2&lt;3, "0",M2&lt;6, "1",M2&lt;10, "2",M2&lt;15, "3",M2&lt;20, "4",M2&lt;41, "5",M2&lt;62, "6",M2&lt;83, "7",M2&lt;=104, "8",M2&gt;=105, "9")</f>
        <v>9</v>
      </c>
      <c r="P2" s="457" t="str">
        <f t="shared" ref="P2:P58" si="3">ifs(O2="0", "0",O2="1", "12",O2="2", "22",O2="3", "27",O2="4", "32",O2="5", "29",O2="6", "36",O2&gt;6, "43")</f>
        <v>43</v>
      </c>
      <c r="Q2" s="457" t="str">
        <f t="shared" ref="Q2:Q58" si="4">ifs(O2="0", "0",O2="1", "12",O2="2", "22",O2="3", "27",O2="4", "32",O2="5", "42",O2="6", "52",O2&gt;6, "62")</f>
        <v>62</v>
      </c>
      <c r="R2" s="1" t="str">
        <f t="shared" ref="R2:R58" si="5">ifs(O2="0", "-",O2="1", "-",O2="2", "20",O2="3", "20",O2="4", "15",O2="5", "10",O2="6", "5",O2&gt;6, "0")</f>
        <v>0</v>
      </c>
      <c r="S2" s="1" t="str">
        <f t="shared" ref="S2:S58" si="6">ifs(O2="0", "-",O2="1", "-",O2="2", "10",O2="3", "10",O2="4", "10",O2="5", "5",O2&gt;5, "0")</f>
        <v>0</v>
      </c>
      <c r="T2" s="70" t="str">
        <f t="shared" ref="T2:T58" si="7">ifs(O2="0", "-",O2="1", "-",O2="2", "30",O2="3", "30",O2="4", "30",O2="5", "25",O2="6", "20",O2="7", "15",O2="8", "10",O2="9", "5")</f>
        <v>5</v>
      </c>
      <c r="U2" s="1" t="s">
        <v>527</v>
      </c>
      <c r="V2" s="458" t="s">
        <v>593</v>
      </c>
      <c r="W2" s="459" t="s">
        <v>1318</v>
      </c>
      <c r="X2" s="1" t="s">
        <v>527</v>
      </c>
      <c r="Y2" s="458" t="s">
        <v>527</v>
      </c>
      <c r="Z2" s="458" t="s">
        <v>527</v>
      </c>
      <c r="AA2" s="458" t="s">
        <v>1319</v>
      </c>
      <c r="AB2" s="70" t="s">
        <v>1320</v>
      </c>
      <c r="AC2" s="70">
        <v>10082.0</v>
      </c>
      <c r="AD2" s="70">
        <v>2.22678543E8</v>
      </c>
    </row>
    <row r="3" hidden="1">
      <c r="A3" s="460" t="s">
        <v>1267</v>
      </c>
      <c r="B3" s="1" t="s">
        <v>1321</v>
      </c>
      <c r="C3" s="1" t="s">
        <v>1321</v>
      </c>
      <c r="D3" s="1" t="s">
        <v>1316</v>
      </c>
      <c r="E3" s="1"/>
      <c r="F3" s="394" t="s">
        <v>98</v>
      </c>
      <c r="G3" s="27" t="s">
        <v>1259</v>
      </c>
      <c r="H3" s="461">
        <v>44361.0</v>
      </c>
      <c r="I3" s="462">
        <v>44511.0</v>
      </c>
      <c r="J3" s="70"/>
      <c r="K3" s="456">
        <v>0.0</v>
      </c>
      <c r="L3" s="70">
        <f>VLOOKUP(A3,'Shiftplan KoA'!A:F,6,false)
</f>
        <v>102</v>
      </c>
      <c r="M3" s="456">
        <f t="shared" si="1"/>
        <v>102</v>
      </c>
      <c r="N3" s="1" t="s">
        <v>592</v>
      </c>
      <c r="O3" s="59" t="str">
        <f t="shared" si="2"/>
        <v>8</v>
      </c>
      <c r="P3" s="457" t="str">
        <f t="shared" si="3"/>
        <v>43</v>
      </c>
      <c r="Q3" s="457" t="str">
        <f t="shared" si="4"/>
        <v>62</v>
      </c>
      <c r="R3" s="1" t="str">
        <f t="shared" si="5"/>
        <v>0</v>
      </c>
      <c r="S3" s="1" t="str">
        <f t="shared" si="6"/>
        <v>0</v>
      </c>
      <c r="T3" s="70" t="str">
        <f t="shared" si="7"/>
        <v>10</v>
      </c>
      <c r="U3" s="1" t="s">
        <v>527</v>
      </c>
      <c r="V3" s="458" t="s">
        <v>593</v>
      </c>
      <c r="W3" s="1" t="s">
        <v>1322</v>
      </c>
      <c r="X3" s="1" t="s">
        <v>527</v>
      </c>
      <c r="Y3" s="458" t="s">
        <v>527</v>
      </c>
      <c r="Z3" s="458" t="s">
        <v>527</v>
      </c>
      <c r="AA3" s="1" t="s">
        <v>1323</v>
      </c>
      <c r="AB3" s="70" t="s">
        <v>1324</v>
      </c>
      <c r="AC3" s="70">
        <v>911.0</v>
      </c>
      <c r="AD3" s="70">
        <v>2.24580543E8</v>
      </c>
    </row>
    <row r="4" hidden="1">
      <c r="A4" s="460" t="s">
        <v>335</v>
      </c>
      <c r="B4" s="1" t="s">
        <v>1140</v>
      </c>
      <c r="C4" s="1" t="s">
        <v>1140</v>
      </c>
      <c r="D4" s="1" t="s">
        <v>1316</v>
      </c>
      <c r="E4" s="1"/>
      <c r="F4" s="394" t="s">
        <v>99</v>
      </c>
      <c r="G4" s="27" t="s">
        <v>1250</v>
      </c>
      <c r="H4" s="461">
        <v>44363.0</v>
      </c>
      <c r="I4" s="463">
        <v>44503.0</v>
      </c>
      <c r="J4" s="70"/>
      <c r="K4" s="456">
        <v>0.0</v>
      </c>
      <c r="L4" s="70">
        <f>VLOOKUP(A4,'Shiftplan KoA'!A:F,6,false)
</f>
        <v>96</v>
      </c>
      <c r="M4" s="456">
        <f t="shared" si="1"/>
        <v>96</v>
      </c>
      <c r="N4" s="1" t="s">
        <v>592</v>
      </c>
      <c r="O4" s="59" t="str">
        <f t="shared" si="2"/>
        <v>8</v>
      </c>
      <c r="P4" s="457" t="str">
        <f t="shared" si="3"/>
        <v>43</v>
      </c>
      <c r="Q4" s="457" t="str">
        <f t="shared" si="4"/>
        <v>62</v>
      </c>
      <c r="R4" s="1" t="str">
        <f t="shared" si="5"/>
        <v>0</v>
      </c>
      <c r="S4" s="1" t="str">
        <f t="shared" si="6"/>
        <v>0</v>
      </c>
      <c r="T4" s="70" t="str">
        <f t="shared" si="7"/>
        <v>10</v>
      </c>
      <c r="U4" s="1" t="s">
        <v>527</v>
      </c>
      <c r="V4" s="458" t="s">
        <v>593</v>
      </c>
      <c r="W4" s="1" t="s">
        <v>1141</v>
      </c>
      <c r="X4" s="1" t="s">
        <v>527</v>
      </c>
      <c r="Y4" s="458" t="s">
        <v>527</v>
      </c>
      <c r="Z4" s="458" t="s">
        <v>1325</v>
      </c>
      <c r="AA4" s="1" t="s">
        <v>1326</v>
      </c>
      <c r="AB4" s="70" t="s">
        <v>1327</v>
      </c>
      <c r="AC4" s="70">
        <v>912.0</v>
      </c>
      <c r="AD4" s="70">
        <v>2.24457242E8</v>
      </c>
    </row>
    <row r="5" hidden="1">
      <c r="A5" s="1" t="s">
        <v>1276</v>
      </c>
      <c r="B5" s="1" t="s">
        <v>1328</v>
      </c>
      <c r="C5" s="63" t="s">
        <v>1329</v>
      </c>
      <c r="D5" s="1" t="s">
        <v>1316</v>
      </c>
      <c r="E5" s="1"/>
      <c r="F5" s="394" t="s">
        <v>97</v>
      </c>
      <c r="G5" s="16" t="s">
        <v>1250</v>
      </c>
      <c r="H5" s="461">
        <v>44377.0</v>
      </c>
      <c r="I5" s="463">
        <v>44503.0</v>
      </c>
      <c r="J5" s="66"/>
      <c r="K5" s="456">
        <v>0.0</v>
      </c>
      <c r="L5" s="70">
        <f>VLOOKUP(A5,'Shiftplan KoA'!A:F,6,false)
</f>
        <v>87</v>
      </c>
      <c r="M5" s="456">
        <f t="shared" si="1"/>
        <v>87</v>
      </c>
      <c r="N5" s="1" t="s">
        <v>592</v>
      </c>
      <c r="O5" s="59" t="str">
        <f t="shared" si="2"/>
        <v>8</v>
      </c>
      <c r="P5" s="457" t="str">
        <f t="shared" si="3"/>
        <v>43</v>
      </c>
      <c r="Q5" s="457" t="str">
        <f t="shared" si="4"/>
        <v>62</v>
      </c>
      <c r="R5" s="1" t="str">
        <f t="shared" si="5"/>
        <v>0</v>
      </c>
      <c r="S5" s="1" t="str">
        <f t="shared" si="6"/>
        <v>0</v>
      </c>
      <c r="T5" s="70" t="str">
        <f t="shared" si="7"/>
        <v>10</v>
      </c>
      <c r="U5" s="1" t="s">
        <v>527</v>
      </c>
      <c r="V5" s="458" t="s">
        <v>593</v>
      </c>
      <c r="W5" s="1" t="s">
        <v>1330</v>
      </c>
      <c r="X5" s="1" t="s">
        <v>527</v>
      </c>
      <c r="Y5" s="458" t="s">
        <v>527</v>
      </c>
      <c r="Z5" s="1" t="s">
        <v>527</v>
      </c>
      <c r="AA5" s="1" t="s">
        <v>1331</v>
      </c>
      <c r="AB5" s="70" t="s">
        <v>1332</v>
      </c>
      <c r="AC5" s="70">
        <v>10094.0</v>
      </c>
      <c r="AD5" s="70">
        <v>2.74068761E8</v>
      </c>
    </row>
    <row r="6" hidden="1">
      <c r="A6" s="464" t="s">
        <v>1286</v>
      </c>
      <c r="B6" s="1" t="s">
        <v>1333</v>
      </c>
      <c r="D6" s="1" t="s">
        <v>1316</v>
      </c>
      <c r="E6" s="1"/>
      <c r="F6" s="394" t="s">
        <v>99</v>
      </c>
      <c r="G6" s="16" t="s">
        <v>1250</v>
      </c>
      <c r="H6" s="461">
        <v>44468.0</v>
      </c>
      <c r="I6" s="462">
        <v>44531.0</v>
      </c>
      <c r="J6" s="66"/>
      <c r="K6" s="456">
        <v>0.0</v>
      </c>
      <c r="L6" s="70">
        <f>VLOOKUP(A6,'Shiftplan KoA'!A:F,6,false)
</f>
        <v>40</v>
      </c>
      <c r="M6" s="456">
        <f t="shared" si="1"/>
        <v>40</v>
      </c>
      <c r="N6" s="1" t="s">
        <v>592</v>
      </c>
      <c r="O6" s="59" t="str">
        <f t="shared" si="2"/>
        <v>5</v>
      </c>
      <c r="P6" s="457" t="str">
        <f t="shared" si="3"/>
        <v>29</v>
      </c>
      <c r="Q6" s="457" t="str">
        <f t="shared" si="4"/>
        <v>42</v>
      </c>
      <c r="R6" s="1" t="str">
        <f t="shared" si="5"/>
        <v>10</v>
      </c>
      <c r="S6" s="1" t="str">
        <f t="shared" si="6"/>
        <v>5</v>
      </c>
      <c r="T6" s="70" t="str">
        <f t="shared" si="7"/>
        <v>25</v>
      </c>
      <c r="V6" s="465"/>
      <c r="W6" s="1" t="s">
        <v>1334</v>
      </c>
      <c r="Y6" s="465"/>
      <c r="AB6" s="66"/>
      <c r="AC6" s="66"/>
      <c r="AD6" s="66"/>
    </row>
    <row r="7" hidden="1">
      <c r="A7" s="1" t="s">
        <v>1298</v>
      </c>
      <c r="B7" s="1" t="s">
        <v>1335</v>
      </c>
      <c r="D7" s="1" t="s">
        <v>1316</v>
      </c>
      <c r="F7" s="394" t="s">
        <v>98</v>
      </c>
      <c r="G7" s="16" t="s">
        <v>1259</v>
      </c>
      <c r="H7" s="461">
        <v>44529.0</v>
      </c>
      <c r="I7" s="462">
        <v>44540.0</v>
      </c>
      <c r="J7" s="66"/>
      <c r="K7" s="466"/>
      <c r="L7" s="70">
        <f>VLOOKUP(A7,'Shiftplan KoA'!A:F,6,false)
</f>
        <v>9</v>
      </c>
      <c r="M7" s="456">
        <f t="shared" si="1"/>
        <v>9</v>
      </c>
      <c r="N7" s="1" t="s">
        <v>592</v>
      </c>
      <c r="O7" s="59" t="str">
        <f t="shared" si="2"/>
        <v>2</v>
      </c>
      <c r="P7" s="457" t="str">
        <f t="shared" si="3"/>
        <v>22</v>
      </c>
      <c r="Q7" s="457" t="str">
        <f t="shared" si="4"/>
        <v>22</v>
      </c>
      <c r="R7" s="1" t="str">
        <f t="shared" si="5"/>
        <v>20</v>
      </c>
      <c r="S7" s="1" t="str">
        <f t="shared" si="6"/>
        <v>10</v>
      </c>
      <c r="T7" s="70" t="str">
        <f t="shared" si="7"/>
        <v>30</v>
      </c>
      <c r="V7" s="465"/>
      <c r="W7" s="460" t="s">
        <v>1336</v>
      </c>
      <c r="Y7" s="465"/>
      <c r="AB7" s="66"/>
      <c r="AC7" s="66"/>
      <c r="AD7" s="66"/>
    </row>
    <row r="8" hidden="1">
      <c r="A8" s="467" t="s">
        <v>1266</v>
      </c>
      <c r="B8" s="1" t="s">
        <v>1337</v>
      </c>
      <c r="C8" s="1" t="s">
        <v>1338</v>
      </c>
      <c r="D8" s="1" t="s">
        <v>1316</v>
      </c>
      <c r="E8" s="468"/>
      <c r="F8" s="394" t="s">
        <v>99</v>
      </c>
      <c r="G8" s="16" t="s">
        <v>1339</v>
      </c>
      <c r="H8" s="455">
        <v>44333.0</v>
      </c>
      <c r="I8" s="462">
        <v>44540.0</v>
      </c>
      <c r="J8" s="70"/>
      <c r="K8" s="456">
        <v>0.0</v>
      </c>
      <c r="L8" s="70">
        <f>VLOOKUP(A8,'Shiftplan KoA'!A:F,6,false)
</f>
        <v>86</v>
      </c>
      <c r="M8" s="456">
        <f t="shared" si="1"/>
        <v>86</v>
      </c>
      <c r="N8" s="1" t="s">
        <v>592</v>
      </c>
      <c r="O8" s="59" t="str">
        <f t="shared" si="2"/>
        <v>8</v>
      </c>
      <c r="P8" s="457" t="str">
        <f t="shared" si="3"/>
        <v>43</v>
      </c>
      <c r="Q8" s="457" t="str">
        <f t="shared" si="4"/>
        <v>62</v>
      </c>
      <c r="R8" s="1" t="str">
        <f t="shared" si="5"/>
        <v>0</v>
      </c>
      <c r="S8" s="1" t="str">
        <f t="shared" si="6"/>
        <v>0</v>
      </c>
      <c r="T8" s="70" t="str">
        <f t="shared" si="7"/>
        <v>10</v>
      </c>
      <c r="U8" s="1" t="s">
        <v>527</v>
      </c>
      <c r="V8" s="458" t="s">
        <v>593</v>
      </c>
      <c r="W8" s="1" t="s">
        <v>1340</v>
      </c>
      <c r="X8" s="1" t="s">
        <v>527</v>
      </c>
      <c r="Y8" s="458" t="s">
        <v>527</v>
      </c>
      <c r="Z8" s="1" t="s">
        <v>527</v>
      </c>
      <c r="AA8" s="1" t="s">
        <v>1341</v>
      </c>
      <c r="AB8" s="468" t="s">
        <v>1342</v>
      </c>
      <c r="AC8" s="70">
        <v>10078.0</v>
      </c>
      <c r="AD8" s="70">
        <v>2.68341761E8</v>
      </c>
    </row>
    <row r="9" hidden="1">
      <c r="A9" s="1" t="s">
        <v>1303</v>
      </c>
      <c r="B9" s="1" t="s">
        <v>1343</v>
      </c>
      <c r="D9" s="1" t="s">
        <v>1316</v>
      </c>
      <c r="E9" s="1"/>
      <c r="F9" s="16" t="s">
        <v>98</v>
      </c>
      <c r="G9" s="16" t="s">
        <v>1237</v>
      </c>
      <c r="H9" s="461">
        <v>44545.0</v>
      </c>
      <c r="I9" s="462">
        <v>44559.0</v>
      </c>
      <c r="J9" s="66"/>
      <c r="K9" s="466"/>
      <c r="L9" s="70">
        <f>VLOOKUP(A9,'Shiftplan KoA'!A:F,6,false)
</f>
        <v>11</v>
      </c>
      <c r="M9" s="456">
        <f t="shared" si="1"/>
        <v>11</v>
      </c>
      <c r="N9" s="1" t="s">
        <v>592</v>
      </c>
      <c r="O9" s="59" t="str">
        <f t="shared" si="2"/>
        <v>3</v>
      </c>
      <c r="P9" s="457" t="str">
        <f t="shared" si="3"/>
        <v>27</v>
      </c>
      <c r="Q9" s="457" t="str">
        <f t="shared" si="4"/>
        <v>27</v>
      </c>
      <c r="R9" s="1" t="str">
        <f t="shared" si="5"/>
        <v>20</v>
      </c>
      <c r="S9" s="1" t="str">
        <f t="shared" si="6"/>
        <v>10</v>
      </c>
      <c r="T9" s="70" t="str">
        <f t="shared" si="7"/>
        <v>30</v>
      </c>
      <c r="U9" s="1"/>
      <c r="V9" s="458"/>
      <c r="W9" s="1" t="s">
        <v>1344</v>
      </c>
      <c r="X9" s="1"/>
      <c r="Y9" s="458"/>
      <c r="Z9" s="458"/>
      <c r="AA9" s="458"/>
      <c r="AB9" s="70"/>
      <c r="AC9" s="70"/>
      <c r="AD9" s="70"/>
    </row>
    <row r="10" hidden="1">
      <c r="A10" s="63" t="s">
        <v>1279</v>
      </c>
      <c r="B10" s="63" t="s">
        <v>1345</v>
      </c>
      <c r="D10" s="1" t="s">
        <v>1316</v>
      </c>
      <c r="F10" s="394" t="s">
        <v>98</v>
      </c>
      <c r="G10" s="27" t="s">
        <v>1250</v>
      </c>
      <c r="H10" s="461">
        <v>44461.0</v>
      </c>
      <c r="I10" s="16" t="s">
        <v>1346</v>
      </c>
      <c r="J10" s="66"/>
      <c r="K10" s="456">
        <v>0.0</v>
      </c>
      <c r="L10" s="70">
        <f>VLOOKUP(A10,'Shiftplan KoA'!A:F,6,false)
</f>
        <v>70</v>
      </c>
      <c r="M10" s="456">
        <f t="shared" si="1"/>
        <v>70</v>
      </c>
      <c r="N10" s="1" t="s">
        <v>592</v>
      </c>
      <c r="O10" s="59" t="str">
        <f t="shared" si="2"/>
        <v>7</v>
      </c>
      <c r="P10" s="457" t="str">
        <f t="shared" si="3"/>
        <v>43</v>
      </c>
      <c r="Q10" s="457" t="str">
        <f t="shared" si="4"/>
        <v>62</v>
      </c>
      <c r="R10" s="1" t="str">
        <f t="shared" si="5"/>
        <v>0</v>
      </c>
      <c r="S10" s="1" t="str">
        <f t="shared" si="6"/>
        <v>0</v>
      </c>
      <c r="T10" s="70" t="str">
        <f t="shared" si="7"/>
        <v>15</v>
      </c>
      <c r="V10" s="465"/>
      <c r="W10" s="1" t="s">
        <v>1347</v>
      </c>
      <c r="Y10" s="465"/>
      <c r="AB10" s="66"/>
      <c r="AC10" s="66"/>
      <c r="AD10" s="66"/>
    </row>
    <row r="11" hidden="1">
      <c r="A11" s="1" t="s">
        <v>1290</v>
      </c>
      <c r="B11" s="1" t="s">
        <v>1348</v>
      </c>
      <c r="D11" s="1" t="s">
        <v>1316</v>
      </c>
      <c r="F11" s="16" t="s">
        <v>99</v>
      </c>
      <c r="G11" s="16" t="s">
        <v>1237</v>
      </c>
      <c r="H11" s="461">
        <v>44487.0</v>
      </c>
      <c r="I11" s="462">
        <v>44562.0</v>
      </c>
      <c r="J11" s="66"/>
      <c r="K11" s="466"/>
      <c r="L11" s="70">
        <f>VLOOKUP(A11,'Shiftplan KoA'!A:F,6,false)
</f>
        <v>48</v>
      </c>
      <c r="M11" s="456">
        <f t="shared" si="1"/>
        <v>48</v>
      </c>
      <c r="N11" s="1" t="s">
        <v>592</v>
      </c>
      <c r="O11" s="59" t="str">
        <f t="shared" si="2"/>
        <v>6</v>
      </c>
      <c r="P11" s="457" t="str">
        <f t="shared" si="3"/>
        <v>36</v>
      </c>
      <c r="Q11" s="457" t="str">
        <f t="shared" si="4"/>
        <v>52</v>
      </c>
      <c r="R11" s="1" t="str">
        <f t="shared" si="5"/>
        <v>5</v>
      </c>
      <c r="S11" s="1" t="str">
        <f t="shared" si="6"/>
        <v>0</v>
      </c>
      <c r="T11" s="70" t="str">
        <f t="shared" si="7"/>
        <v>20</v>
      </c>
      <c r="V11" s="465"/>
      <c r="W11" s="1" t="s">
        <v>1349</v>
      </c>
      <c r="Y11" s="465"/>
      <c r="AB11" s="66"/>
      <c r="AC11" s="66"/>
      <c r="AD11" s="66"/>
      <c r="AH11" s="63"/>
    </row>
    <row r="12" hidden="1">
      <c r="A12" s="1" t="s">
        <v>1289</v>
      </c>
      <c r="B12" s="1" t="s">
        <v>1350</v>
      </c>
      <c r="D12" s="1" t="s">
        <v>1316</v>
      </c>
      <c r="F12" s="16" t="s">
        <v>98</v>
      </c>
      <c r="G12" s="16" t="s">
        <v>1250</v>
      </c>
      <c r="H12" s="461">
        <v>44487.0</v>
      </c>
      <c r="I12" s="462">
        <v>44199.0</v>
      </c>
      <c r="J12" s="66"/>
      <c r="K12" s="466"/>
      <c r="L12" s="70">
        <f>VLOOKUP(A12,'Shiftplan KoA'!A:F,6,false)
</f>
        <v>54</v>
      </c>
      <c r="M12" s="456">
        <f t="shared" si="1"/>
        <v>54</v>
      </c>
      <c r="N12" s="1" t="s">
        <v>592</v>
      </c>
      <c r="O12" s="59" t="str">
        <f t="shared" si="2"/>
        <v>6</v>
      </c>
      <c r="P12" s="457" t="str">
        <f t="shared" si="3"/>
        <v>36</v>
      </c>
      <c r="Q12" s="457" t="str">
        <f t="shared" si="4"/>
        <v>52</v>
      </c>
      <c r="R12" s="1" t="str">
        <f t="shared" si="5"/>
        <v>5</v>
      </c>
      <c r="S12" s="1" t="str">
        <f t="shared" si="6"/>
        <v>0</v>
      </c>
      <c r="T12" s="70" t="str">
        <f t="shared" si="7"/>
        <v>20</v>
      </c>
      <c r="V12" s="465"/>
      <c r="W12" s="1" t="s">
        <v>1351</v>
      </c>
      <c r="Y12" s="465"/>
      <c r="AB12" s="66"/>
      <c r="AC12" s="66"/>
      <c r="AD12" s="66"/>
    </row>
    <row r="13">
      <c r="A13" s="1" t="s">
        <v>1235</v>
      </c>
      <c r="B13" s="1" t="s">
        <v>1352</v>
      </c>
      <c r="C13" s="1"/>
      <c r="D13" s="1" t="s">
        <v>1353</v>
      </c>
      <c r="E13" s="1" t="s">
        <v>1236</v>
      </c>
      <c r="F13" s="394" t="s">
        <v>98</v>
      </c>
      <c r="G13" s="16" t="s">
        <v>1237</v>
      </c>
      <c r="H13" s="455">
        <v>44501.0</v>
      </c>
      <c r="I13" s="16" t="s">
        <v>1317</v>
      </c>
      <c r="J13" s="70"/>
      <c r="K13" s="456"/>
      <c r="L13" s="70">
        <f>VLOOKUP(A13,'Shiftplan KoA'!A:F,6,false)
</f>
        <v>1</v>
      </c>
      <c r="M13" s="456">
        <f t="shared" si="1"/>
        <v>1</v>
      </c>
      <c r="N13" s="1" t="s">
        <v>526</v>
      </c>
      <c r="O13" s="59" t="str">
        <f t="shared" si="2"/>
        <v>0</v>
      </c>
      <c r="P13" s="457" t="str">
        <f t="shared" si="3"/>
        <v>0</v>
      </c>
      <c r="Q13" s="457" t="str">
        <f t="shared" si="4"/>
        <v>0</v>
      </c>
      <c r="R13" s="1" t="str">
        <f t="shared" si="5"/>
        <v>-</v>
      </c>
      <c r="S13" s="1" t="str">
        <f t="shared" si="6"/>
        <v>-</v>
      </c>
      <c r="T13" s="70" t="str">
        <f t="shared" si="7"/>
        <v>-</v>
      </c>
      <c r="U13" s="1" t="s">
        <v>527</v>
      </c>
      <c r="V13" s="458" t="s">
        <v>593</v>
      </c>
      <c r="W13" s="1" t="s">
        <v>1354</v>
      </c>
      <c r="X13" s="1" t="s">
        <v>527</v>
      </c>
      <c r="Y13" s="458" t="s">
        <v>527</v>
      </c>
      <c r="Z13" s="1" t="s">
        <v>527</v>
      </c>
      <c r="AA13" s="1" t="s">
        <v>1355</v>
      </c>
      <c r="AB13" s="70" t="s">
        <v>1356</v>
      </c>
      <c r="AC13" s="70">
        <v>10069.0</v>
      </c>
      <c r="AD13" s="70">
        <v>2.6572165E8</v>
      </c>
      <c r="AE13" s="1" t="s">
        <v>1357</v>
      </c>
      <c r="AF13" s="145" t="str">
        <f t="shared" ref="AF13:AF58" si="8">iferror(ifs(M13&lt;=5,"Trainee",AND(M13&lt;=20,M13&gt;5),"Nestee",AND(M13&lt;=41,M13&gt;20),"Agent",AND(M13&lt;=62,M13&gt;41),"L1 Experienced Agent",AND(M13&lt;=83,M13&gt;62),"L2 Experienced Agent",AND(M13&gt;83),"L2 Experienced Agent"),"")
</f>
        <v>Trainee</v>
      </c>
    </row>
    <row r="14">
      <c r="A14" s="1" t="s">
        <v>1249</v>
      </c>
      <c r="B14" s="1" t="s">
        <v>1358</v>
      </c>
      <c r="C14" s="1" t="s">
        <v>1359</v>
      </c>
      <c r="D14" s="1" t="s">
        <v>1316</v>
      </c>
      <c r="E14" s="1" t="s">
        <v>249</v>
      </c>
      <c r="F14" s="394" t="s">
        <v>98</v>
      </c>
      <c r="G14" s="16" t="s">
        <v>1250</v>
      </c>
      <c r="H14" s="455">
        <v>44312.0</v>
      </c>
      <c r="I14" s="16" t="s">
        <v>1317</v>
      </c>
      <c r="J14" s="70">
        <v>1.0</v>
      </c>
      <c r="K14" s="456">
        <v>0.0</v>
      </c>
      <c r="L14" s="70">
        <f>VLOOKUP(A14,'Shiftplan KoA'!A:F,6,false)
</f>
        <v>170</v>
      </c>
      <c r="M14" s="456">
        <f t="shared" si="1"/>
        <v>170</v>
      </c>
      <c r="N14" s="1" t="s">
        <v>526</v>
      </c>
      <c r="O14" s="59" t="str">
        <f t="shared" si="2"/>
        <v>9</v>
      </c>
      <c r="P14" s="457" t="str">
        <f t="shared" si="3"/>
        <v>43</v>
      </c>
      <c r="Q14" s="457" t="str">
        <f t="shared" si="4"/>
        <v>62</v>
      </c>
      <c r="R14" s="1" t="str">
        <f t="shared" si="5"/>
        <v>0</v>
      </c>
      <c r="S14" s="1" t="str">
        <f t="shared" si="6"/>
        <v>0</v>
      </c>
      <c r="T14" s="70" t="str">
        <f t="shared" si="7"/>
        <v>5</v>
      </c>
      <c r="U14" s="1" t="s">
        <v>527</v>
      </c>
      <c r="V14" s="458" t="s">
        <v>593</v>
      </c>
      <c r="W14" s="1" t="s">
        <v>1360</v>
      </c>
      <c r="X14" s="1" t="s">
        <v>527</v>
      </c>
      <c r="Y14" s="458" t="s">
        <v>527</v>
      </c>
      <c r="Z14" s="1" t="s">
        <v>527</v>
      </c>
      <c r="AA14" s="1" t="s">
        <v>1355</v>
      </c>
      <c r="AB14" s="70" t="s">
        <v>1361</v>
      </c>
      <c r="AC14" s="70">
        <v>10069.0</v>
      </c>
      <c r="AD14" s="70">
        <v>2.6572165E8</v>
      </c>
      <c r="AE14" s="1" t="s">
        <v>541</v>
      </c>
      <c r="AF14" s="145" t="str">
        <f t="shared" si="8"/>
        <v>L2 Experienced Agent</v>
      </c>
    </row>
    <row r="15">
      <c r="A15" s="1" t="s">
        <v>1251</v>
      </c>
      <c r="B15" s="1" t="s">
        <v>1362</v>
      </c>
      <c r="C15" s="1" t="s">
        <v>1362</v>
      </c>
      <c r="D15" s="1" t="s">
        <v>1316</v>
      </c>
      <c r="E15" s="1" t="s">
        <v>249</v>
      </c>
      <c r="F15" s="394" t="s">
        <v>98</v>
      </c>
      <c r="G15" s="16" t="s">
        <v>1363</v>
      </c>
      <c r="H15" s="455">
        <v>44326.0</v>
      </c>
      <c r="I15" s="16" t="s">
        <v>1317</v>
      </c>
      <c r="J15" s="70">
        <v>1.0</v>
      </c>
      <c r="K15" s="456">
        <v>0.0</v>
      </c>
      <c r="L15" s="70">
        <f>VLOOKUP(A15,'Shiftplan KoA'!A:F,6,false)
</f>
        <v>157</v>
      </c>
      <c r="M15" s="456">
        <f t="shared" si="1"/>
        <v>157</v>
      </c>
      <c r="N15" s="1" t="s">
        <v>526</v>
      </c>
      <c r="O15" s="59" t="str">
        <f t="shared" si="2"/>
        <v>9</v>
      </c>
      <c r="P15" s="457" t="str">
        <f t="shared" si="3"/>
        <v>43</v>
      </c>
      <c r="Q15" s="457" t="str">
        <f t="shared" si="4"/>
        <v>62</v>
      </c>
      <c r="R15" s="1" t="str">
        <f t="shared" si="5"/>
        <v>0</v>
      </c>
      <c r="S15" s="1" t="str">
        <f t="shared" si="6"/>
        <v>0</v>
      </c>
      <c r="T15" s="70" t="str">
        <f t="shared" si="7"/>
        <v>5</v>
      </c>
      <c r="U15" s="1" t="s">
        <v>527</v>
      </c>
      <c r="V15" s="458" t="s">
        <v>593</v>
      </c>
      <c r="W15" s="1" t="s">
        <v>1364</v>
      </c>
      <c r="X15" s="1" t="s">
        <v>527</v>
      </c>
      <c r="Y15" s="458" t="s">
        <v>527</v>
      </c>
      <c r="Z15" s="1" t="s">
        <v>527</v>
      </c>
      <c r="AA15" s="1" t="s">
        <v>1365</v>
      </c>
      <c r="AB15" s="70" t="s">
        <v>1366</v>
      </c>
      <c r="AC15" s="70">
        <v>10076.0</v>
      </c>
      <c r="AD15" s="70">
        <v>2.67884861E8</v>
      </c>
      <c r="AE15" s="1" t="s">
        <v>541</v>
      </c>
      <c r="AF15" s="145" t="str">
        <f t="shared" si="8"/>
        <v>L2 Experienced Agent</v>
      </c>
    </row>
    <row r="16">
      <c r="A16" s="70" t="s">
        <v>1253</v>
      </c>
      <c r="B16" s="1" t="s">
        <v>1367</v>
      </c>
      <c r="C16" s="1" t="s">
        <v>1367</v>
      </c>
      <c r="D16" s="1" t="s">
        <v>1316</v>
      </c>
      <c r="E16" s="1" t="s">
        <v>755</v>
      </c>
      <c r="F16" s="412" t="s">
        <v>98</v>
      </c>
      <c r="G16" s="16" t="s">
        <v>1250</v>
      </c>
      <c r="H16" s="455">
        <v>44326.0</v>
      </c>
      <c r="I16" s="16" t="s">
        <v>1317</v>
      </c>
      <c r="J16" s="70">
        <v>1.0</v>
      </c>
      <c r="K16" s="456">
        <v>0.0</v>
      </c>
      <c r="L16" s="70">
        <f>VLOOKUP(A16,'Shiftplan KoA'!A:F,6,false)
</f>
        <v>155</v>
      </c>
      <c r="M16" s="456">
        <f t="shared" si="1"/>
        <v>155</v>
      </c>
      <c r="N16" s="1" t="s">
        <v>526</v>
      </c>
      <c r="O16" s="59" t="str">
        <f t="shared" si="2"/>
        <v>9</v>
      </c>
      <c r="P16" s="457" t="str">
        <f t="shared" si="3"/>
        <v>43</v>
      </c>
      <c r="Q16" s="457" t="str">
        <f t="shared" si="4"/>
        <v>62</v>
      </c>
      <c r="R16" s="1" t="str">
        <f t="shared" si="5"/>
        <v>0</v>
      </c>
      <c r="S16" s="1" t="str">
        <f t="shared" si="6"/>
        <v>0</v>
      </c>
      <c r="T16" s="70" t="str">
        <f t="shared" si="7"/>
        <v>5</v>
      </c>
      <c r="U16" s="1" t="s">
        <v>527</v>
      </c>
      <c r="V16" s="458" t="s">
        <v>593</v>
      </c>
      <c r="W16" s="1" t="s">
        <v>1368</v>
      </c>
      <c r="X16" s="1" t="s">
        <v>527</v>
      </c>
      <c r="Y16" s="1" t="s">
        <v>527</v>
      </c>
      <c r="Z16" s="1" t="s">
        <v>527</v>
      </c>
      <c r="AA16" s="1" t="s">
        <v>1369</v>
      </c>
      <c r="AB16" s="70" t="s">
        <v>1370</v>
      </c>
      <c r="AC16" s="70">
        <v>10076.0</v>
      </c>
      <c r="AD16" s="70">
        <v>2.20255583E8</v>
      </c>
      <c r="AE16" s="1" t="s">
        <v>553</v>
      </c>
      <c r="AF16" s="145" t="str">
        <f t="shared" si="8"/>
        <v>L2 Experienced Agent</v>
      </c>
    </row>
    <row r="17">
      <c r="A17" s="1" t="s">
        <v>1254</v>
      </c>
      <c r="B17" s="1" t="s">
        <v>1371</v>
      </c>
      <c r="C17" s="1" t="s">
        <v>1371</v>
      </c>
      <c r="D17" s="1" t="s">
        <v>1316</v>
      </c>
      <c r="E17" s="1" t="s">
        <v>1372</v>
      </c>
      <c r="F17" s="394" t="s">
        <v>98</v>
      </c>
      <c r="G17" s="16" t="s">
        <v>1256</v>
      </c>
      <c r="H17" s="455">
        <v>44328.0</v>
      </c>
      <c r="I17" s="16" t="s">
        <v>1317</v>
      </c>
      <c r="J17" s="70">
        <v>1.0</v>
      </c>
      <c r="K17" s="456">
        <v>0.0</v>
      </c>
      <c r="L17" s="70">
        <f>VLOOKUP(A17,'Shiftplan KoA'!A:F,6,false)
</f>
        <v>159</v>
      </c>
      <c r="M17" s="456">
        <f t="shared" si="1"/>
        <v>159</v>
      </c>
      <c r="N17" s="1" t="s">
        <v>526</v>
      </c>
      <c r="O17" s="59" t="str">
        <f t="shared" si="2"/>
        <v>9</v>
      </c>
      <c r="P17" s="457" t="str">
        <f t="shared" si="3"/>
        <v>43</v>
      </c>
      <c r="Q17" s="457" t="str">
        <f t="shared" si="4"/>
        <v>62</v>
      </c>
      <c r="R17" s="1" t="str">
        <f t="shared" si="5"/>
        <v>0</v>
      </c>
      <c r="S17" s="1" t="str">
        <f t="shared" si="6"/>
        <v>0</v>
      </c>
      <c r="T17" s="70" t="str">
        <f t="shared" si="7"/>
        <v>5</v>
      </c>
      <c r="U17" s="1" t="s">
        <v>527</v>
      </c>
      <c r="V17" s="458" t="s">
        <v>593</v>
      </c>
      <c r="W17" s="1" t="s">
        <v>1373</v>
      </c>
      <c r="X17" s="1" t="s">
        <v>527</v>
      </c>
      <c r="Y17" s="458" t="s">
        <v>527</v>
      </c>
      <c r="Z17" s="1" t="s">
        <v>527</v>
      </c>
      <c r="AA17" s="1" t="s">
        <v>1374</v>
      </c>
      <c r="AB17" s="70" t="s">
        <v>1375</v>
      </c>
      <c r="AC17" s="70">
        <v>10076.0</v>
      </c>
      <c r="AD17" s="70">
        <v>2.6774673E8</v>
      </c>
      <c r="AE17" s="1" t="s">
        <v>533</v>
      </c>
      <c r="AF17" s="145" t="str">
        <f t="shared" si="8"/>
        <v>L2 Experienced Agent</v>
      </c>
    </row>
    <row r="18">
      <c r="A18" s="469" t="s">
        <v>356</v>
      </c>
      <c r="B18" s="470" t="s">
        <v>1376</v>
      </c>
      <c r="C18" s="470" t="s">
        <v>1376</v>
      </c>
      <c r="D18" s="1" t="s">
        <v>1316</v>
      </c>
      <c r="E18" s="1" t="s">
        <v>969</v>
      </c>
      <c r="F18" s="412" t="s">
        <v>98</v>
      </c>
      <c r="G18" s="16" t="s">
        <v>1339</v>
      </c>
      <c r="H18" s="455">
        <v>44333.0</v>
      </c>
      <c r="I18" s="16" t="s">
        <v>1317</v>
      </c>
      <c r="J18" s="70"/>
      <c r="K18" s="456">
        <v>0.0</v>
      </c>
      <c r="L18" s="70">
        <f>VLOOKUP(A18,'Shiftplan KoA'!A:F,6,false)
</f>
        <v>163</v>
      </c>
      <c r="M18" s="456">
        <f t="shared" si="1"/>
        <v>163</v>
      </c>
      <c r="N18" s="1" t="s">
        <v>526</v>
      </c>
      <c r="O18" s="59" t="str">
        <f t="shared" si="2"/>
        <v>9</v>
      </c>
      <c r="P18" s="457" t="str">
        <f t="shared" si="3"/>
        <v>43</v>
      </c>
      <c r="Q18" s="457" t="str">
        <f t="shared" si="4"/>
        <v>62</v>
      </c>
      <c r="R18" s="1" t="str">
        <f t="shared" si="5"/>
        <v>0</v>
      </c>
      <c r="S18" s="1" t="str">
        <f t="shared" si="6"/>
        <v>0</v>
      </c>
      <c r="T18" s="70" t="str">
        <f t="shared" si="7"/>
        <v>5</v>
      </c>
      <c r="U18" s="1" t="s">
        <v>527</v>
      </c>
      <c r="V18" s="458" t="s">
        <v>593</v>
      </c>
      <c r="W18" s="1" t="s">
        <v>1377</v>
      </c>
      <c r="X18" s="1" t="s">
        <v>527</v>
      </c>
      <c r="Y18" s="458" t="s">
        <v>527</v>
      </c>
      <c r="Z18" s="1" t="s">
        <v>1378</v>
      </c>
      <c r="AA18" s="1" t="s">
        <v>1379</v>
      </c>
      <c r="AB18" s="70" t="s">
        <v>1380</v>
      </c>
      <c r="AC18" s="70">
        <v>10079.0</v>
      </c>
      <c r="AD18" s="70">
        <v>2.21193643E8</v>
      </c>
      <c r="AE18" s="1" t="s">
        <v>553</v>
      </c>
      <c r="AF18" s="145" t="str">
        <f t="shared" si="8"/>
        <v>L2 Experienced Agent</v>
      </c>
    </row>
    <row r="19">
      <c r="A19" s="471" t="s">
        <v>1257</v>
      </c>
      <c r="B19" s="1" t="s">
        <v>1381</v>
      </c>
      <c r="C19" s="1" t="s">
        <v>1381</v>
      </c>
      <c r="D19" s="1" t="s">
        <v>1316</v>
      </c>
      <c r="E19" s="1" t="s">
        <v>88</v>
      </c>
      <c r="F19" s="394" t="s">
        <v>98</v>
      </c>
      <c r="G19" s="16" t="s">
        <v>1250</v>
      </c>
      <c r="H19" s="455">
        <v>44335.0</v>
      </c>
      <c r="I19" s="16" t="s">
        <v>1317</v>
      </c>
      <c r="J19" s="70"/>
      <c r="K19" s="456">
        <v>0.0</v>
      </c>
      <c r="L19" s="70">
        <f>VLOOKUP(A19,'Shiftplan KoA'!A:F,6,false)
</f>
        <v>156</v>
      </c>
      <c r="M19" s="456">
        <f t="shared" si="1"/>
        <v>156</v>
      </c>
      <c r="N19" s="1" t="s">
        <v>526</v>
      </c>
      <c r="O19" s="59" t="str">
        <f t="shared" si="2"/>
        <v>9</v>
      </c>
      <c r="P19" s="457" t="str">
        <f t="shared" si="3"/>
        <v>43</v>
      </c>
      <c r="Q19" s="457" t="str">
        <f t="shared" si="4"/>
        <v>62</v>
      </c>
      <c r="R19" s="1" t="str">
        <f t="shared" si="5"/>
        <v>0</v>
      </c>
      <c r="S19" s="1" t="str">
        <f t="shared" si="6"/>
        <v>0</v>
      </c>
      <c r="T19" s="70" t="str">
        <f t="shared" si="7"/>
        <v>5</v>
      </c>
      <c r="U19" s="1" t="s">
        <v>527</v>
      </c>
      <c r="V19" s="458" t="s">
        <v>593</v>
      </c>
      <c r="W19" s="1" t="s">
        <v>1382</v>
      </c>
      <c r="X19" s="1" t="s">
        <v>527</v>
      </c>
      <c r="Y19" s="458" t="s">
        <v>527</v>
      </c>
      <c r="Z19" s="458" t="s">
        <v>527</v>
      </c>
      <c r="AA19" s="458" t="s">
        <v>1383</v>
      </c>
      <c r="AB19" s="70" t="s">
        <v>1384</v>
      </c>
      <c r="AC19" s="70">
        <v>10078.0</v>
      </c>
      <c r="AD19" s="70">
        <v>2.68549071E8</v>
      </c>
      <c r="AE19" s="1" t="s">
        <v>553</v>
      </c>
      <c r="AF19" s="145" t="str">
        <f t="shared" si="8"/>
        <v>L2 Experienced Agent</v>
      </c>
    </row>
    <row r="20">
      <c r="A20" s="472" t="s">
        <v>1268</v>
      </c>
      <c r="B20" s="1" t="s">
        <v>1385</v>
      </c>
      <c r="C20" s="1" t="s">
        <v>1385</v>
      </c>
      <c r="D20" s="1" t="s">
        <v>1316</v>
      </c>
      <c r="E20" s="1" t="s">
        <v>969</v>
      </c>
      <c r="F20" s="412" t="s">
        <v>98</v>
      </c>
      <c r="G20" s="16" t="s">
        <v>1250</v>
      </c>
      <c r="H20" s="463">
        <v>44340.0</v>
      </c>
      <c r="I20" s="16" t="s">
        <v>1317</v>
      </c>
      <c r="J20" s="70"/>
      <c r="K20" s="456">
        <v>0.0</v>
      </c>
      <c r="L20" s="70">
        <f>VLOOKUP(A20,'Shiftplan KoA'!A:F,6,false)
</f>
        <v>107</v>
      </c>
      <c r="M20" s="456">
        <f t="shared" si="1"/>
        <v>107</v>
      </c>
      <c r="N20" s="1" t="s">
        <v>526</v>
      </c>
      <c r="O20" s="59" t="str">
        <f t="shared" si="2"/>
        <v>9</v>
      </c>
      <c r="P20" s="457" t="str">
        <f t="shared" si="3"/>
        <v>43</v>
      </c>
      <c r="Q20" s="457" t="str">
        <f t="shared" si="4"/>
        <v>62</v>
      </c>
      <c r="R20" s="1" t="str">
        <f t="shared" si="5"/>
        <v>0</v>
      </c>
      <c r="S20" s="1" t="str">
        <f t="shared" si="6"/>
        <v>0</v>
      </c>
      <c r="T20" s="70" t="str">
        <f t="shared" si="7"/>
        <v>5</v>
      </c>
      <c r="U20" s="1" t="s">
        <v>527</v>
      </c>
      <c r="V20" s="458" t="s">
        <v>593</v>
      </c>
      <c r="W20" s="473" t="s">
        <v>1386</v>
      </c>
      <c r="X20" s="1" t="s">
        <v>527</v>
      </c>
      <c r="Y20" s="458" t="s">
        <v>527</v>
      </c>
      <c r="Z20" s="458" t="s">
        <v>527</v>
      </c>
      <c r="AA20" s="458" t="s">
        <v>1387</v>
      </c>
      <c r="AB20" s="70" t="s">
        <v>1388</v>
      </c>
      <c r="AC20" s="70">
        <v>10080.0</v>
      </c>
      <c r="AD20" s="70">
        <v>2.21304502E8</v>
      </c>
      <c r="AE20" s="1" t="s">
        <v>553</v>
      </c>
      <c r="AF20" s="145" t="str">
        <f t="shared" si="8"/>
        <v>L2 Experienced Agent</v>
      </c>
    </row>
    <row r="21">
      <c r="A21" s="474" t="s">
        <v>1271</v>
      </c>
      <c r="B21" s="1" t="s">
        <v>1389</v>
      </c>
      <c r="C21" s="1" t="s">
        <v>1389</v>
      </c>
      <c r="D21" s="1" t="s">
        <v>1316</v>
      </c>
      <c r="E21" s="1" t="s">
        <v>692</v>
      </c>
      <c r="F21" s="394" t="s">
        <v>98</v>
      </c>
      <c r="G21" s="16" t="s">
        <v>1259</v>
      </c>
      <c r="H21" s="455">
        <v>44347.0</v>
      </c>
      <c r="I21" s="16" t="s">
        <v>1317</v>
      </c>
      <c r="J21" s="70"/>
      <c r="K21" s="456">
        <v>0.0</v>
      </c>
      <c r="L21" s="70">
        <f>VLOOKUP(A21,'Shiftplan KoA'!A:F,6,false)
</f>
        <v>96</v>
      </c>
      <c r="M21" s="456">
        <f t="shared" si="1"/>
        <v>96</v>
      </c>
      <c r="N21" s="1" t="s">
        <v>526</v>
      </c>
      <c r="O21" s="59" t="str">
        <f t="shared" si="2"/>
        <v>8</v>
      </c>
      <c r="P21" s="457" t="str">
        <f t="shared" si="3"/>
        <v>43</v>
      </c>
      <c r="Q21" s="457" t="str">
        <f t="shared" si="4"/>
        <v>62</v>
      </c>
      <c r="R21" s="1" t="str">
        <f t="shared" si="5"/>
        <v>0</v>
      </c>
      <c r="S21" s="1" t="str">
        <f t="shared" si="6"/>
        <v>0</v>
      </c>
      <c r="T21" s="70" t="str">
        <f t="shared" si="7"/>
        <v>10</v>
      </c>
      <c r="U21" s="1" t="s">
        <v>527</v>
      </c>
      <c r="V21" s="458" t="s">
        <v>593</v>
      </c>
      <c r="W21" s="1" t="s">
        <v>1390</v>
      </c>
      <c r="X21" s="1" t="s">
        <v>527</v>
      </c>
      <c r="Y21" s="458" t="s">
        <v>527</v>
      </c>
      <c r="Z21" s="458" t="s">
        <v>527</v>
      </c>
      <c r="AA21" s="458" t="s">
        <v>1391</v>
      </c>
      <c r="AB21" s="70" t="s">
        <v>1392</v>
      </c>
      <c r="AC21" s="70">
        <v>10082.0</v>
      </c>
      <c r="AD21" s="70">
        <v>2.22527394E8</v>
      </c>
      <c r="AE21" s="1" t="s">
        <v>546</v>
      </c>
      <c r="AF21" s="145" t="str">
        <f t="shared" si="8"/>
        <v>L2 Experienced Agent</v>
      </c>
    </row>
    <row r="22">
      <c r="A22" s="474" t="s">
        <v>1270</v>
      </c>
      <c r="B22" s="1" t="s">
        <v>1393</v>
      </c>
      <c r="C22" s="1" t="s">
        <v>1393</v>
      </c>
      <c r="D22" s="1" t="s">
        <v>1316</v>
      </c>
      <c r="E22" s="1" t="s">
        <v>88</v>
      </c>
      <c r="F22" s="394" t="s">
        <v>98</v>
      </c>
      <c r="G22" s="16" t="s">
        <v>1259</v>
      </c>
      <c r="H22" s="455">
        <v>44347.0</v>
      </c>
      <c r="I22" s="16" t="s">
        <v>1317</v>
      </c>
      <c r="J22" s="70"/>
      <c r="K22" s="456">
        <v>0.0</v>
      </c>
      <c r="L22" s="70">
        <f>VLOOKUP(A22,'Shiftplan KoA'!A:F,6,false)
</f>
        <v>102</v>
      </c>
      <c r="M22" s="456">
        <f t="shared" si="1"/>
        <v>102</v>
      </c>
      <c r="N22" s="1" t="s">
        <v>526</v>
      </c>
      <c r="O22" s="59" t="str">
        <f t="shared" si="2"/>
        <v>8</v>
      </c>
      <c r="P22" s="457" t="str">
        <f t="shared" si="3"/>
        <v>43</v>
      </c>
      <c r="Q22" s="457" t="str">
        <f t="shared" si="4"/>
        <v>62</v>
      </c>
      <c r="R22" s="1" t="str">
        <f t="shared" si="5"/>
        <v>0</v>
      </c>
      <c r="S22" s="1" t="str">
        <f t="shared" si="6"/>
        <v>0</v>
      </c>
      <c r="T22" s="70" t="str">
        <f t="shared" si="7"/>
        <v>10</v>
      </c>
      <c r="U22" s="1" t="s">
        <v>527</v>
      </c>
      <c r="V22" s="458" t="s">
        <v>593</v>
      </c>
      <c r="W22" s="1" t="s">
        <v>1394</v>
      </c>
      <c r="X22" s="1" t="s">
        <v>527</v>
      </c>
      <c r="Y22" s="458" t="s">
        <v>527</v>
      </c>
      <c r="Z22" s="458" t="s">
        <v>527</v>
      </c>
      <c r="AA22" s="458" t="s">
        <v>1395</v>
      </c>
      <c r="AB22" s="70" t="s">
        <v>1396</v>
      </c>
      <c r="AC22" s="70">
        <v>10082.0</v>
      </c>
      <c r="AD22" s="70">
        <v>2.22528534E8</v>
      </c>
      <c r="AE22" s="1" t="s">
        <v>546</v>
      </c>
      <c r="AF22" s="145" t="str">
        <f t="shared" si="8"/>
        <v>L2 Experienced Agent</v>
      </c>
    </row>
    <row r="23">
      <c r="A23" s="475" t="s">
        <v>1260</v>
      </c>
      <c r="B23" s="1" t="s">
        <v>1397</v>
      </c>
      <c r="C23" s="1" t="s">
        <v>1397</v>
      </c>
      <c r="D23" s="1" t="s">
        <v>1316</v>
      </c>
      <c r="E23" s="1" t="s">
        <v>1372</v>
      </c>
      <c r="F23" s="394" t="s">
        <v>98</v>
      </c>
      <c r="G23" s="16" t="s">
        <v>1250</v>
      </c>
      <c r="H23" s="455">
        <v>44348.0</v>
      </c>
      <c r="I23" s="16" t="s">
        <v>1317</v>
      </c>
      <c r="J23" s="70"/>
      <c r="K23" s="456">
        <v>0.0</v>
      </c>
      <c r="L23" s="70">
        <f>VLOOKUP(A23,'Shiftplan KoA'!A:F,6,false)
</f>
        <v>144</v>
      </c>
      <c r="M23" s="456">
        <f t="shared" si="1"/>
        <v>144</v>
      </c>
      <c r="N23" s="1" t="s">
        <v>526</v>
      </c>
      <c r="O23" s="59" t="str">
        <f t="shared" si="2"/>
        <v>9</v>
      </c>
      <c r="P23" s="457" t="str">
        <f t="shared" si="3"/>
        <v>43</v>
      </c>
      <c r="Q23" s="457" t="str">
        <f t="shared" si="4"/>
        <v>62</v>
      </c>
      <c r="R23" s="1" t="str">
        <f t="shared" si="5"/>
        <v>0</v>
      </c>
      <c r="S23" s="1" t="str">
        <f t="shared" si="6"/>
        <v>0</v>
      </c>
      <c r="T23" s="70" t="str">
        <f t="shared" si="7"/>
        <v>5</v>
      </c>
      <c r="U23" s="1" t="s">
        <v>527</v>
      </c>
      <c r="V23" s="458" t="s">
        <v>593</v>
      </c>
      <c r="W23" s="1" t="s">
        <v>1398</v>
      </c>
      <c r="X23" s="1" t="s">
        <v>527</v>
      </c>
      <c r="Y23" s="458" t="s">
        <v>527</v>
      </c>
      <c r="Z23" s="458" t="s">
        <v>527</v>
      </c>
      <c r="AA23" s="458" t="s">
        <v>1399</v>
      </c>
      <c r="AB23" s="70" t="s">
        <v>1400</v>
      </c>
      <c r="AC23" s="70">
        <v>10083.0</v>
      </c>
      <c r="AD23" s="70">
        <v>2.22646614E8</v>
      </c>
      <c r="AE23" s="1" t="s">
        <v>533</v>
      </c>
      <c r="AF23" s="145" t="str">
        <f t="shared" si="8"/>
        <v>L2 Experienced Agent</v>
      </c>
    </row>
    <row r="24">
      <c r="A24" s="460" t="s">
        <v>1261</v>
      </c>
      <c r="B24" s="1" t="s">
        <v>1401</v>
      </c>
      <c r="C24" s="1" t="s">
        <v>1401</v>
      </c>
      <c r="D24" s="1" t="s">
        <v>1316</v>
      </c>
      <c r="E24" s="1" t="s">
        <v>88</v>
      </c>
      <c r="F24" s="421" t="s">
        <v>98</v>
      </c>
      <c r="G24" s="16" t="s">
        <v>1259</v>
      </c>
      <c r="H24" s="455">
        <v>44354.0</v>
      </c>
      <c r="I24" s="16" t="s">
        <v>1317</v>
      </c>
      <c r="J24" s="70"/>
      <c r="K24" s="456">
        <v>0.0</v>
      </c>
      <c r="L24" s="70">
        <f>VLOOKUP(A24,'Shiftplan KoA'!A:F,6,false)
</f>
        <v>151</v>
      </c>
      <c r="M24" s="456">
        <f t="shared" si="1"/>
        <v>151</v>
      </c>
      <c r="N24" s="1" t="s">
        <v>526</v>
      </c>
      <c r="O24" s="59" t="str">
        <f t="shared" si="2"/>
        <v>9</v>
      </c>
      <c r="P24" s="457" t="str">
        <f t="shared" si="3"/>
        <v>43</v>
      </c>
      <c r="Q24" s="457" t="str">
        <f t="shared" si="4"/>
        <v>62</v>
      </c>
      <c r="R24" s="1" t="str">
        <f t="shared" si="5"/>
        <v>0</v>
      </c>
      <c r="S24" s="1" t="str">
        <f t="shared" si="6"/>
        <v>0</v>
      </c>
      <c r="T24" s="70" t="str">
        <f t="shared" si="7"/>
        <v>5</v>
      </c>
      <c r="U24" s="1" t="s">
        <v>527</v>
      </c>
      <c r="V24" s="458" t="s">
        <v>593</v>
      </c>
      <c r="W24" s="1" t="s">
        <v>1402</v>
      </c>
      <c r="X24" s="1" t="s">
        <v>527</v>
      </c>
      <c r="Y24" s="458" t="s">
        <v>527</v>
      </c>
      <c r="Z24" s="458" t="s">
        <v>527</v>
      </c>
      <c r="AA24" s="1" t="s">
        <v>1403</v>
      </c>
      <c r="AB24" s="70" t="s">
        <v>1404</v>
      </c>
      <c r="AC24" s="70">
        <v>10085.0</v>
      </c>
      <c r="AD24" s="70">
        <v>2.23510073E8</v>
      </c>
      <c r="AE24" s="1" t="s">
        <v>546</v>
      </c>
      <c r="AF24" s="145" t="str">
        <f t="shared" si="8"/>
        <v>L2 Experienced Agent</v>
      </c>
    </row>
    <row r="25">
      <c r="A25" s="1" t="s">
        <v>1272</v>
      </c>
      <c r="B25" s="1" t="s">
        <v>1405</v>
      </c>
      <c r="C25" s="1" t="s">
        <v>1405</v>
      </c>
      <c r="D25" s="1" t="s">
        <v>1316</v>
      </c>
      <c r="E25" s="1" t="s">
        <v>91</v>
      </c>
      <c r="F25" s="422" t="s">
        <v>98</v>
      </c>
      <c r="G25" s="16" t="s">
        <v>1259</v>
      </c>
      <c r="H25" s="455">
        <v>44354.0</v>
      </c>
      <c r="I25" s="16" t="s">
        <v>1317</v>
      </c>
      <c r="J25" s="70"/>
      <c r="K25" s="456">
        <v>0.0</v>
      </c>
      <c r="L25" s="70">
        <f>VLOOKUP(A25,'Shiftplan KoA'!A:F,6,false)
</f>
        <v>103</v>
      </c>
      <c r="M25" s="456">
        <f t="shared" si="1"/>
        <v>103</v>
      </c>
      <c r="N25" s="1" t="s">
        <v>526</v>
      </c>
      <c r="O25" s="59" t="str">
        <f t="shared" si="2"/>
        <v>8</v>
      </c>
      <c r="P25" s="457" t="str">
        <f t="shared" si="3"/>
        <v>43</v>
      </c>
      <c r="Q25" s="457" t="str">
        <f t="shared" si="4"/>
        <v>62</v>
      </c>
      <c r="R25" s="1" t="str">
        <f t="shared" si="5"/>
        <v>0</v>
      </c>
      <c r="S25" s="1" t="str">
        <f t="shared" si="6"/>
        <v>0</v>
      </c>
      <c r="T25" s="70" t="str">
        <f t="shared" si="7"/>
        <v>10</v>
      </c>
      <c r="U25" s="1" t="s">
        <v>527</v>
      </c>
      <c r="V25" s="458" t="s">
        <v>593</v>
      </c>
      <c r="W25" s="1" t="s">
        <v>1406</v>
      </c>
      <c r="X25" s="1" t="s">
        <v>527</v>
      </c>
      <c r="Y25" s="458" t="s">
        <v>527</v>
      </c>
      <c r="Z25" s="458" t="s">
        <v>527</v>
      </c>
      <c r="AA25" s="1" t="s">
        <v>1407</v>
      </c>
      <c r="AB25" s="70" t="s">
        <v>1408</v>
      </c>
      <c r="AC25" s="70">
        <v>10085.0</v>
      </c>
      <c r="AD25" s="70">
        <v>2.7101492E8</v>
      </c>
      <c r="AE25" s="1" t="s">
        <v>553</v>
      </c>
      <c r="AF25" s="145" t="str">
        <f t="shared" si="8"/>
        <v>L2 Experienced Agent</v>
      </c>
    </row>
    <row r="26">
      <c r="A26" s="460" t="s">
        <v>1265</v>
      </c>
      <c r="B26" s="1" t="s">
        <v>1409</v>
      </c>
      <c r="C26" s="1" t="s">
        <v>1409</v>
      </c>
      <c r="D26" s="1" t="s">
        <v>1316</v>
      </c>
      <c r="E26" s="1" t="s">
        <v>88</v>
      </c>
      <c r="F26" s="394" t="s">
        <v>99</v>
      </c>
      <c r="G26" s="16" t="s">
        <v>1237</v>
      </c>
      <c r="H26" s="455">
        <v>44354.0</v>
      </c>
      <c r="I26" s="16" t="s">
        <v>1317</v>
      </c>
      <c r="J26" s="70"/>
      <c r="K26" s="456">
        <v>0.0</v>
      </c>
      <c r="L26" s="70">
        <f>VLOOKUP(A26,'Shiftplan KoA'!A:F,6,false)
</f>
        <v>149</v>
      </c>
      <c r="M26" s="456">
        <f t="shared" si="1"/>
        <v>149</v>
      </c>
      <c r="N26" s="1" t="s">
        <v>526</v>
      </c>
      <c r="O26" s="59" t="str">
        <f t="shared" si="2"/>
        <v>9</v>
      </c>
      <c r="P26" s="457" t="str">
        <f t="shared" si="3"/>
        <v>43</v>
      </c>
      <c r="Q26" s="457" t="str">
        <f t="shared" si="4"/>
        <v>62</v>
      </c>
      <c r="R26" s="1" t="str">
        <f t="shared" si="5"/>
        <v>0</v>
      </c>
      <c r="S26" s="1" t="str">
        <f t="shared" si="6"/>
        <v>0</v>
      </c>
      <c r="T26" s="70" t="str">
        <f t="shared" si="7"/>
        <v>5</v>
      </c>
      <c r="U26" s="1" t="s">
        <v>527</v>
      </c>
      <c r="V26" s="458" t="s">
        <v>593</v>
      </c>
      <c r="W26" s="1" t="s">
        <v>1410</v>
      </c>
      <c r="X26" s="1" t="s">
        <v>527</v>
      </c>
      <c r="Y26" s="458" t="s">
        <v>527</v>
      </c>
      <c r="Z26" s="458" t="s">
        <v>527</v>
      </c>
      <c r="AA26" s="1" t="s">
        <v>1411</v>
      </c>
      <c r="AB26" s="70" t="s">
        <v>1412</v>
      </c>
      <c r="AC26" s="70">
        <v>10085.0</v>
      </c>
      <c r="AD26" s="70">
        <v>2.7100627E8</v>
      </c>
      <c r="AE26" s="1" t="s">
        <v>553</v>
      </c>
      <c r="AF26" s="145" t="str">
        <f t="shared" si="8"/>
        <v>L2 Experienced Agent</v>
      </c>
    </row>
    <row r="27">
      <c r="A27" s="1" t="s">
        <v>1262</v>
      </c>
      <c r="B27" s="1" t="s">
        <v>1413</v>
      </c>
      <c r="C27" s="1" t="s">
        <v>1413</v>
      </c>
      <c r="D27" s="1" t="s">
        <v>1316</v>
      </c>
      <c r="E27" s="1" t="s">
        <v>1372</v>
      </c>
      <c r="F27" s="421" t="s">
        <v>99</v>
      </c>
      <c r="G27" s="27" t="s">
        <v>1259</v>
      </c>
      <c r="H27" s="461">
        <v>44355.0</v>
      </c>
      <c r="I27" s="16" t="s">
        <v>1317</v>
      </c>
      <c r="J27" s="70"/>
      <c r="K27" s="456">
        <v>0.0</v>
      </c>
      <c r="L27" s="70">
        <f>VLOOKUP(A27,'Shiftplan KoA'!A:F,6,false)
</f>
        <v>136</v>
      </c>
      <c r="M27" s="456">
        <f t="shared" si="1"/>
        <v>136</v>
      </c>
      <c r="N27" s="1" t="s">
        <v>526</v>
      </c>
      <c r="O27" s="59" t="str">
        <f t="shared" si="2"/>
        <v>9</v>
      </c>
      <c r="P27" s="457" t="str">
        <f t="shared" si="3"/>
        <v>43</v>
      </c>
      <c r="Q27" s="457" t="str">
        <f t="shared" si="4"/>
        <v>62</v>
      </c>
      <c r="R27" s="1" t="str">
        <f t="shared" si="5"/>
        <v>0</v>
      </c>
      <c r="S27" s="1" t="str">
        <f t="shared" si="6"/>
        <v>0</v>
      </c>
      <c r="T27" s="70" t="str">
        <f t="shared" si="7"/>
        <v>5</v>
      </c>
      <c r="U27" s="1" t="s">
        <v>527</v>
      </c>
      <c r="V27" s="458" t="s">
        <v>593</v>
      </c>
      <c r="W27" s="1" t="s">
        <v>1414</v>
      </c>
      <c r="X27" s="1" t="s">
        <v>527</v>
      </c>
      <c r="Y27" s="458" t="s">
        <v>527</v>
      </c>
      <c r="Z27" s="458" t="s">
        <v>527</v>
      </c>
      <c r="AA27" s="1" t="s">
        <v>1415</v>
      </c>
      <c r="AB27" s="70" t="s">
        <v>1416</v>
      </c>
      <c r="AC27" s="70">
        <v>910.0</v>
      </c>
      <c r="AD27" s="70">
        <v>2.7113662E8</v>
      </c>
      <c r="AE27" s="1" t="s">
        <v>533</v>
      </c>
      <c r="AF27" s="145" t="str">
        <f t="shared" si="8"/>
        <v>L2 Experienced Agent</v>
      </c>
    </row>
    <row r="28">
      <c r="A28" s="1" t="s">
        <v>1264</v>
      </c>
      <c r="B28" s="476" t="s">
        <v>1417</v>
      </c>
      <c r="C28" s="476" t="s">
        <v>1417</v>
      </c>
      <c r="D28" s="1" t="s">
        <v>1316</v>
      </c>
      <c r="E28" s="1" t="s">
        <v>88</v>
      </c>
      <c r="F28" s="394" t="s">
        <v>99</v>
      </c>
      <c r="G28" s="27" t="s">
        <v>1259</v>
      </c>
      <c r="H28" s="461">
        <v>44355.0</v>
      </c>
      <c r="I28" s="16" t="s">
        <v>1317</v>
      </c>
      <c r="J28" s="70"/>
      <c r="K28" s="456">
        <v>0.0</v>
      </c>
      <c r="L28" s="70">
        <f>VLOOKUP(A28,'Shiftplan KoA'!A:F,6,false)
</f>
        <v>143</v>
      </c>
      <c r="M28" s="456">
        <f t="shared" si="1"/>
        <v>143</v>
      </c>
      <c r="N28" s="1" t="s">
        <v>526</v>
      </c>
      <c r="O28" s="59" t="str">
        <f t="shared" si="2"/>
        <v>9</v>
      </c>
      <c r="P28" s="457" t="str">
        <f t="shared" si="3"/>
        <v>43</v>
      </c>
      <c r="Q28" s="457" t="str">
        <f t="shared" si="4"/>
        <v>62</v>
      </c>
      <c r="R28" s="1" t="str">
        <f t="shared" si="5"/>
        <v>0</v>
      </c>
      <c r="S28" s="1" t="str">
        <f t="shared" si="6"/>
        <v>0</v>
      </c>
      <c r="T28" s="70" t="str">
        <f t="shared" si="7"/>
        <v>5</v>
      </c>
      <c r="U28" s="1" t="s">
        <v>527</v>
      </c>
      <c r="V28" s="458" t="s">
        <v>593</v>
      </c>
      <c r="W28" s="1" t="s">
        <v>1418</v>
      </c>
      <c r="X28" s="1" t="s">
        <v>527</v>
      </c>
      <c r="Y28" s="458" t="s">
        <v>527</v>
      </c>
      <c r="Z28" s="458" t="s">
        <v>527</v>
      </c>
      <c r="AA28" s="1" t="s">
        <v>1419</v>
      </c>
      <c r="AB28" s="70" t="s">
        <v>1420</v>
      </c>
      <c r="AC28" s="70">
        <v>910.0</v>
      </c>
      <c r="AD28" s="70">
        <v>2.7114951E8</v>
      </c>
      <c r="AE28" s="1" t="s">
        <v>546</v>
      </c>
      <c r="AF28" s="145" t="str">
        <f t="shared" si="8"/>
        <v>L2 Experienced Agent</v>
      </c>
    </row>
    <row r="29">
      <c r="A29" s="460" t="s">
        <v>1273</v>
      </c>
      <c r="B29" s="1" t="s">
        <v>1421</v>
      </c>
      <c r="C29" s="1" t="s">
        <v>1421</v>
      </c>
      <c r="D29" s="1" t="s">
        <v>1316</v>
      </c>
      <c r="E29" s="1" t="s">
        <v>88</v>
      </c>
      <c r="F29" s="422" t="s">
        <v>98</v>
      </c>
      <c r="G29" s="27" t="s">
        <v>1259</v>
      </c>
      <c r="H29" s="461">
        <v>44356.0</v>
      </c>
      <c r="I29" s="16" t="s">
        <v>1317</v>
      </c>
      <c r="J29" s="70"/>
      <c r="K29" s="456">
        <v>0.0</v>
      </c>
      <c r="L29" s="70">
        <f>VLOOKUP(A29,'Shiftplan KoA'!A:F,6,false)
</f>
        <v>97</v>
      </c>
      <c r="M29" s="456">
        <f t="shared" si="1"/>
        <v>97</v>
      </c>
      <c r="N29" s="1" t="s">
        <v>526</v>
      </c>
      <c r="O29" s="59" t="str">
        <f t="shared" si="2"/>
        <v>8</v>
      </c>
      <c r="P29" s="457" t="str">
        <f t="shared" si="3"/>
        <v>43</v>
      </c>
      <c r="Q29" s="457" t="str">
        <f t="shared" si="4"/>
        <v>62</v>
      </c>
      <c r="R29" s="1" t="str">
        <f t="shared" si="5"/>
        <v>0</v>
      </c>
      <c r="S29" s="1" t="str">
        <f t="shared" si="6"/>
        <v>0</v>
      </c>
      <c r="T29" s="70" t="str">
        <f t="shared" si="7"/>
        <v>10</v>
      </c>
      <c r="U29" s="1" t="s">
        <v>527</v>
      </c>
      <c r="V29" s="458" t="s">
        <v>593</v>
      </c>
      <c r="W29" s="1" t="s">
        <v>1422</v>
      </c>
      <c r="X29" s="1" t="s">
        <v>527</v>
      </c>
      <c r="Y29" s="458" t="s">
        <v>527</v>
      </c>
      <c r="Z29" s="458" t="s">
        <v>527</v>
      </c>
      <c r="AA29" s="1" t="s">
        <v>1423</v>
      </c>
      <c r="AB29" s="70" t="s">
        <v>1424</v>
      </c>
      <c r="AC29" s="477">
        <v>10086.0</v>
      </c>
      <c r="AD29" s="477">
        <v>2.7129247E8</v>
      </c>
      <c r="AE29" s="1" t="s">
        <v>546</v>
      </c>
      <c r="AF29" s="145" t="str">
        <f t="shared" si="8"/>
        <v>L2 Experienced Agent</v>
      </c>
    </row>
    <row r="30">
      <c r="A30" s="460" t="s">
        <v>1269</v>
      </c>
      <c r="B30" s="1" t="s">
        <v>1425</v>
      </c>
      <c r="C30" s="1" t="s">
        <v>1425</v>
      </c>
      <c r="D30" s="1" t="s">
        <v>1316</v>
      </c>
      <c r="E30" s="1" t="s">
        <v>89</v>
      </c>
      <c r="F30" s="394" t="s">
        <v>98</v>
      </c>
      <c r="G30" s="16" t="s">
        <v>1250</v>
      </c>
      <c r="H30" s="461">
        <v>44361.0</v>
      </c>
      <c r="I30" s="16" t="s">
        <v>1317</v>
      </c>
      <c r="J30" s="70"/>
      <c r="K30" s="456">
        <v>0.0</v>
      </c>
      <c r="L30" s="70">
        <f>VLOOKUP(A30,'Shiftplan KoA'!A:F,6,false)
</f>
        <v>121</v>
      </c>
      <c r="M30" s="456">
        <f t="shared" si="1"/>
        <v>121</v>
      </c>
      <c r="N30" s="1" t="s">
        <v>526</v>
      </c>
      <c r="O30" s="59" t="str">
        <f t="shared" si="2"/>
        <v>9</v>
      </c>
      <c r="P30" s="457" t="str">
        <f t="shared" si="3"/>
        <v>43</v>
      </c>
      <c r="Q30" s="457" t="str">
        <f t="shared" si="4"/>
        <v>62</v>
      </c>
      <c r="R30" s="1" t="str">
        <f t="shared" si="5"/>
        <v>0</v>
      </c>
      <c r="S30" s="1" t="str">
        <f t="shared" si="6"/>
        <v>0</v>
      </c>
      <c r="T30" s="70" t="str">
        <f t="shared" si="7"/>
        <v>5</v>
      </c>
      <c r="U30" s="1" t="s">
        <v>527</v>
      </c>
      <c r="V30" s="458" t="s">
        <v>593</v>
      </c>
      <c r="W30" s="1" t="s">
        <v>1426</v>
      </c>
      <c r="X30" s="1" t="s">
        <v>527</v>
      </c>
      <c r="Y30" s="458" t="s">
        <v>527</v>
      </c>
      <c r="Z30" s="458" t="s">
        <v>527</v>
      </c>
      <c r="AA30" s="458" t="s">
        <v>1427</v>
      </c>
      <c r="AB30" s="70" t="s">
        <v>1428</v>
      </c>
      <c r="AC30" s="70">
        <v>10087.0</v>
      </c>
      <c r="AD30" s="70">
        <v>2.72006721E8</v>
      </c>
      <c r="AE30" s="1" t="s">
        <v>553</v>
      </c>
      <c r="AF30" s="145" t="str">
        <f t="shared" si="8"/>
        <v>L2 Experienced Agent</v>
      </c>
    </row>
    <row r="31">
      <c r="A31" s="1" t="s">
        <v>1275</v>
      </c>
      <c r="B31" s="1" t="s">
        <v>1429</v>
      </c>
      <c r="C31" s="1" t="s">
        <v>1429</v>
      </c>
      <c r="D31" s="1" t="s">
        <v>1316</v>
      </c>
      <c r="E31" s="1" t="s">
        <v>91</v>
      </c>
      <c r="F31" s="422" t="s">
        <v>98</v>
      </c>
      <c r="G31" s="16" t="s">
        <v>1237</v>
      </c>
      <c r="H31" s="461">
        <v>44363.0</v>
      </c>
      <c r="I31" s="16" t="s">
        <v>1317</v>
      </c>
      <c r="J31" s="70"/>
      <c r="K31" s="456">
        <v>0.0</v>
      </c>
      <c r="L31" s="70">
        <f>VLOOKUP(A31,'Shiftplan KoA'!A:F,6,false)
</f>
        <v>99</v>
      </c>
      <c r="M31" s="456">
        <f t="shared" si="1"/>
        <v>99</v>
      </c>
      <c r="N31" s="1" t="s">
        <v>526</v>
      </c>
      <c r="O31" s="59" t="str">
        <f t="shared" si="2"/>
        <v>8</v>
      </c>
      <c r="P31" s="457" t="str">
        <f t="shared" si="3"/>
        <v>43</v>
      </c>
      <c r="Q31" s="457" t="str">
        <f t="shared" si="4"/>
        <v>62</v>
      </c>
      <c r="R31" s="1" t="str">
        <f t="shared" si="5"/>
        <v>0</v>
      </c>
      <c r="S31" s="1" t="str">
        <f t="shared" si="6"/>
        <v>0</v>
      </c>
      <c r="T31" s="70" t="str">
        <f t="shared" si="7"/>
        <v>10</v>
      </c>
      <c r="U31" s="1" t="s">
        <v>527</v>
      </c>
      <c r="V31" s="458" t="s">
        <v>593</v>
      </c>
      <c r="W31" s="1" t="s">
        <v>1430</v>
      </c>
      <c r="X31" s="1" t="s">
        <v>527</v>
      </c>
      <c r="Y31" s="458" t="s">
        <v>527</v>
      </c>
      <c r="Z31" s="458" t="s">
        <v>527</v>
      </c>
      <c r="AA31" s="1" t="s">
        <v>1431</v>
      </c>
      <c r="AB31" s="70" t="s">
        <v>1432</v>
      </c>
      <c r="AC31" s="70">
        <v>911.0</v>
      </c>
      <c r="AD31" s="70">
        <v>2.7211084E8</v>
      </c>
      <c r="AE31" s="1" t="s">
        <v>553</v>
      </c>
      <c r="AF31" s="145" t="str">
        <f t="shared" si="8"/>
        <v>L2 Experienced Agent</v>
      </c>
    </row>
    <row r="32">
      <c r="A32" s="1" t="s">
        <v>1274</v>
      </c>
      <c r="B32" s="1" t="s">
        <v>1433</v>
      </c>
      <c r="C32" s="1" t="s">
        <v>1433</v>
      </c>
      <c r="D32" s="1" t="s">
        <v>1316</v>
      </c>
      <c r="E32" s="1" t="s">
        <v>91</v>
      </c>
      <c r="F32" s="421" t="s">
        <v>99</v>
      </c>
      <c r="G32" s="16" t="s">
        <v>1250</v>
      </c>
      <c r="H32" s="461">
        <v>44369.0</v>
      </c>
      <c r="I32" s="16" t="s">
        <v>1317</v>
      </c>
      <c r="J32" s="66"/>
      <c r="K32" s="456">
        <v>0.0</v>
      </c>
      <c r="L32" s="70">
        <f>VLOOKUP(A32,'Shiftplan KoA'!A:F,6,false)
</f>
        <v>128</v>
      </c>
      <c r="M32" s="456">
        <f t="shared" si="1"/>
        <v>128</v>
      </c>
      <c r="N32" s="1" t="s">
        <v>526</v>
      </c>
      <c r="O32" s="59" t="str">
        <f t="shared" si="2"/>
        <v>9</v>
      </c>
      <c r="P32" s="457" t="str">
        <f t="shared" si="3"/>
        <v>43</v>
      </c>
      <c r="Q32" s="457" t="str">
        <f t="shared" si="4"/>
        <v>62</v>
      </c>
      <c r="R32" s="1" t="str">
        <f t="shared" si="5"/>
        <v>0</v>
      </c>
      <c r="S32" s="1" t="str">
        <f t="shared" si="6"/>
        <v>0</v>
      </c>
      <c r="T32" s="70" t="str">
        <f t="shared" si="7"/>
        <v>5</v>
      </c>
      <c r="U32" s="1" t="s">
        <v>527</v>
      </c>
      <c r="V32" s="458" t="s">
        <v>593</v>
      </c>
      <c r="W32" s="1" t="s">
        <v>1434</v>
      </c>
      <c r="X32" s="1" t="s">
        <v>527</v>
      </c>
      <c r="Y32" s="458" t="s">
        <v>527</v>
      </c>
      <c r="Z32" s="1" t="s">
        <v>527</v>
      </c>
      <c r="AA32" s="478" t="s">
        <v>1435</v>
      </c>
      <c r="AB32" s="70" t="s">
        <v>1436</v>
      </c>
      <c r="AC32" s="70">
        <v>10088.0</v>
      </c>
      <c r="AD32" s="70">
        <v>2.24674063E8</v>
      </c>
      <c r="AE32" s="1" t="s">
        <v>553</v>
      </c>
      <c r="AF32" s="145" t="str">
        <f t="shared" si="8"/>
        <v>L2 Experienced Agent</v>
      </c>
    </row>
    <row r="33">
      <c r="A33" s="1" t="s">
        <v>1277</v>
      </c>
      <c r="B33" s="1" t="s">
        <v>1437</v>
      </c>
      <c r="C33" s="1" t="s">
        <v>1437</v>
      </c>
      <c r="D33" s="1" t="s">
        <v>1316</v>
      </c>
      <c r="E33" s="1" t="s">
        <v>93</v>
      </c>
      <c r="F33" s="394" t="s">
        <v>99</v>
      </c>
      <c r="G33" s="16" t="s">
        <v>1250</v>
      </c>
      <c r="H33" s="461">
        <v>44396.0</v>
      </c>
      <c r="I33" s="16" t="s">
        <v>1317</v>
      </c>
      <c r="J33" s="66"/>
      <c r="K33" s="456">
        <v>0.0</v>
      </c>
      <c r="L33" s="70">
        <f>VLOOKUP(A33,'Shiftplan KoA'!A:F,6,false)
</f>
        <v>97</v>
      </c>
      <c r="M33" s="456">
        <f t="shared" si="1"/>
        <v>97</v>
      </c>
      <c r="N33" s="1" t="s">
        <v>526</v>
      </c>
      <c r="O33" s="59" t="str">
        <f t="shared" si="2"/>
        <v>8</v>
      </c>
      <c r="P33" s="457" t="str">
        <f t="shared" si="3"/>
        <v>43</v>
      </c>
      <c r="Q33" s="457" t="str">
        <f t="shared" si="4"/>
        <v>62</v>
      </c>
      <c r="R33" s="1" t="str">
        <f t="shared" si="5"/>
        <v>0</v>
      </c>
      <c r="S33" s="1" t="str">
        <f t="shared" si="6"/>
        <v>0</v>
      </c>
      <c r="T33" s="70" t="str">
        <f t="shared" si="7"/>
        <v>10</v>
      </c>
      <c r="U33" s="1" t="s">
        <v>527</v>
      </c>
      <c r="V33" s="458" t="s">
        <v>593</v>
      </c>
      <c r="W33" s="1" t="s">
        <v>1438</v>
      </c>
      <c r="X33" s="1" t="s">
        <v>527</v>
      </c>
      <c r="Y33" s="1" t="s">
        <v>527</v>
      </c>
      <c r="Z33" s="1" t="s">
        <v>527</v>
      </c>
      <c r="AA33" s="1" t="s">
        <v>1439</v>
      </c>
      <c r="AB33" s="70" t="s">
        <v>1440</v>
      </c>
      <c r="AC33" s="70">
        <v>10100.0</v>
      </c>
      <c r="AD33" s="66"/>
      <c r="AE33" s="1" t="s">
        <v>553</v>
      </c>
      <c r="AF33" s="145" t="str">
        <f t="shared" si="8"/>
        <v>L2 Experienced Agent</v>
      </c>
    </row>
    <row r="34">
      <c r="A34" s="1" t="s">
        <v>1278</v>
      </c>
      <c r="B34" s="1" t="s">
        <v>1441</v>
      </c>
      <c r="D34" s="1" t="s">
        <v>1316</v>
      </c>
      <c r="E34" s="1" t="s">
        <v>91</v>
      </c>
      <c r="F34" s="394" t="s">
        <v>99</v>
      </c>
      <c r="G34" s="16" t="s">
        <v>1250</v>
      </c>
      <c r="H34" s="461">
        <v>44460.0</v>
      </c>
      <c r="I34" s="16" t="s">
        <v>1317</v>
      </c>
      <c r="J34" s="66"/>
      <c r="K34" s="456">
        <v>0.0</v>
      </c>
      <c r="L34" s="70">
        <f>VLOOKUP(A34,'Shiftplan KoA'!A:F,6,false)
</f>
        <v>62</v>
      </c>
      <c r="M34" s="456">
        <f t="shared" si="1"/>
        <v>62</v>
      </c>
      <c r="N34" s="1" t="s">
        <v>526</v>
      </c>
      <c r="O34" s="59" t="str">
        <f t="shared" si="2"/>
        <v>7</v>
      </c>
      <c r="P34" s="457" t="str">
        <f t="shared" si="3"/>
        <v>43</v>
      </c>
      <c r="Q34" s="457" t="str">
        <f t="shared" si="4"/>
        <v>62</v>
      </c>
      <c r="R34" s="1" t="str">
        <f t="shared" si="5"/>
        <v>0</v>
      </c>
      <c r="S34" s="1" t="str">
        <f t="shared" si="6"/>
        <v>0</v>
      </c>
      <c r="T34" s="70" t="str">
        <f t="shared" si="7"/>
        <v>15</v>
      </c>
      <c r="V34" s="465"/>
      <c r="W34" s="1" t="s">
        <v>1442</v>
      </c>
      <c r="Y34" s="465"/>
      <c r="AD34" s="66"/>
      <c r="AE34" s="1" t="s">
        <v>553</v>
      </c>
      <c r="AF34" s="145" t="str">
        <f t="shared" si="8"/>
        <v>L1 Experienced Agent</v>
      </c>
    </row>
    <row r="35">
      <c r="A35" s="63" t="s">
        <v>1280</v>
      </c>
      <c r="B35" s="63" t="s">
        <v>1443</v>
      </c>
      <c r="D35" s="1" t="s">
        <v>1316</v>
      </c>
      <c r="E35" s="1" t="s">
        <v>90</v>
      </c>
      <c r="F35" s="394" t="s">
        <v>99</v>
      </c>
      <c r="G35" s="16" t="s">
        <v>1259</v>
      </c>
      <c r="H35" s="461">
        <v>44461.0</v>
      </c>
      <c r="I35" s="16" t="s">
        <v>1317</v>
      </c>
      <c r="J35" s="66"/>
      <c r="K35" s="456">
        <v>0.0</v>
      </c>
      <c r="L35" s="70">
        <f>VLOOKUP(A35,'Shiftplan KoA'!A:F,6,false)
</f>
        <v>73</v>
      </c>
      <c r="M35" s="456">
        <f t="shared" si="1"/>
        <v>73</v>
      </c>
      <c r="N35" s="1" t="s">
        <v>526</v>
      </c>
      <c r="O35" s="59" t="str">
        <f t="shared" si="2"/>
        <v>7</v>
      </c>
      <c r="P35" s="457" t="str">
        <f t="shared" si="3"/>
        <v>43</v>
      </c>
      <c r="Q35" s="457" t="str">
        <f t="shared" si="4"/>
        <v>62</v>
      </c>
      <c r="R35" s="1" t="str">
        <f t="shared" si="5"/>
        <v>0</v>
      </c>
      <c r="S35" s="1" t="str">
        <f t="shared" si="6"/>
        <v>0</v>
      </c>
      <c r="T35" s="70" t="str">
        <f t="shared" si="7"/>
        <v>15</v>
      </c>
      <c r="V35" s="465"/>
      <c r="W35" s="1" t="s">
        <v>1444</v>
      </c>
      <c r="Y35" s="465"/>
      <c r="AB35" s="66"/>
      <c r="AC35" s="66"/>
      <c r="AD35" s="66"/>
      <c r="AE35" s="1" t="s">
        <v>546</v>
      </c>
      <c r="AF35" s="145" t="str">
        <f t="shared" si="8"/>
        <v>L2 Experienced Agent</v>
      </c>
    </row>
    <row r="36">
      <c r="A36" s="1" t="s">
        <v>1281</v>
      </c>
      <c r="B36" s="1" t="s">
        <v>1445</v>
      </c>
      <c r="D36" s="1" t="s">
        <v>1316</v>
      </c>
      <c r="E36" s="1" t="s">
        <v>92</v>
      </c>
      <c r="F36" s="394" t="s">
        <v>99</v>
      </c>
      <c r="G36" s="16" t="s">
        <v>1237</v>
      </c>
      <c r="H36" s="461">
        <v>44466.0</v>
      </c>
      <c r="I36" s="16" t="s">
        <v>1317</v>
      </c>
      <c r="J36" s="66"/>
      <c r="K36" s="456">
        <v>0.0</v>
      </c>
      <c r="L36" s="70">
        <f>VLOOKUP(A36,'Shiftplan KoA'!A:F,6,false)
</f>
        <v>68</v>
      </c>
      <c r="M36" s="456">
        <f t="shared" si="1"/>
        <v>68</v>
      </c>
      <c r="N36" s="1" t="s">
        <v>526</v>
      </c>
      <c r="O36" s="59" t="str">
        <f t="shared" si="2"/>
        <v>7</v>
      </c>
      <c r="P36" s="457" t="str">
        <f t="shared" si="3"/>
        <v>43</v>
      </c>
      <c r="Q36" s="457" t="str">
        <f t="shared" si="4"/>
        <v>62</v>
      </c>
      <c r="R36" s="1" t="str">
        <f t="shared" si="5"/>
        <v>0</v>
      </c>
      <c r="S36" s="1" t="str">
        <f t="shared" si="6"/>
        <v>0</v>
      </c>
      <c r="T36" s="70" t="str">
        <f t="shared" si="7"/>
        <v>15</v>
      </c>
      <c r="V36" s="465"/>
      <c r="W36" s="1" t="s">
        <v>1446</v>
      </c>
      <c r="Y36" s="465"/>
      <c r="AB36" s="66"/>
      <c r="AC36" s="66"/>
      <c r="AD36" s="66"/>
      <c r="AE36" s="1" t="s">
        <v>546</v>
      </c>
      <c r="AF36" s="145" t="str">
        <f t="shared" si="8"/>
        <v>L2 Experienced Agent</v>
      </c>
    </row>
    <row r="37">
      <c r="A37" s="1" t="s">
        <v>1282</v>
      </c>
      <c r="B37" s="1" t="s">
        <v>1447</v>
      </c>
      <c r="D37" s="1" t="s">
        <v>1316</v>
      </c>
      <c r="E37" s="1" t="s">
        <v>93</v>
      </c>
      <c r="F37" s="394" t="s">
        <v>99</v>
      </c>
      <c r="G37" s="16" t="s">
        <v>1237</v>
      </c>
      <c r="H37" s="461">
        <v>44466.0</v>
      </c>
      <c r="I37" s="16" t="s">
        <v>1317</v>
      </c>
      <c r="J37" s="66"/>
      <c r="K37" s="456">
        <v>0.0</v>
      </c>
      <c r="L37" s="70">
        <f>VLOOKUP(A37,'Shiftplan KoA'!A:F,6,false)
</f>
        <v>54</v>
      </c>
      <c r="M37" s="456">
        <f t="shared" si="1"/>
        <v>54</v>
      </c>
      <c r="N37" s="1" t="s">
        <v>526</v>
      </c>
      <c r="O37" s="59" t="str">
        <f t="shared" si="2"/>
        <v>6</v>
      </c>
      <c r="P37" s="457" t="str">
        <f t="shared" si="3"/>
        <v>36</v>
      </c>
      <c r="Q37" s="457" t="str">
        <f t="shared" si="4"/>
        <v>52</v>
      </c>
      <c r="R37" s="1" t="str">
        <f t="shared" si="5"/>
        <v>5</v>
      </c>
      <c r="S37" s="1" t="str">
        <f t="shared" si="6"/>
        <v>0</v>
      </c>
      <c r="T37" s="70" t="str">
        <f t="shared" si="7"/>
        <v>20</v>
      </c>
      <c r="V37" s="465"/>
      <c r="W37" s="1" t="s">
        <v>1448</v>
      </c>
      <c r="Y37" s="465"/>
      <c r="AB37" s="66"/>
      <c r="AC37" s="66"/>
      <c r="AD37" s="66"/>
      <c r="AE37" s="1" t="s">
        <v>546</v>
      </c>
      <c r="AF37" s="145" t="str">
        <f t="shared" si="8"/>
        <v>L1 Experienced Agent</v>
      </c>
    </row>
    <row r="38">
      <c r="A38" s="1" t="s">
        <v>1283</v>
      </c>
      <c r="B38" s="1" t="s">
        <v>1449</v>
      </c>
      <c r="D38" s="1" t="s">
        <v>1316</v>
      </c>
      <c r="E38" s="1" t="s">
        <v>88</v>
      </c>
      <c r="F38" s="394" t="s">
        <v>99</v>
      </c>
      <c r="G38" s="16" t="s">
        <v>1250</v>
      </c>
      <c r="H38" s="461">
        <v>44466.0</v>
      </c>
      <c r="I38" s="16" t="s">
        <v>1317</v>
      </c>
      <c r="J38" s="66"/>
      <c r="K38" s="456">
        <v>0.0</v>
      </c>
      <c r="L38" s="70">
        <f>VLOOKUP(A38,'Shiftplan KoA'!A:F,6,false)
</f>
        <v>62</v>
      </c>
      <c r="M38" s="456">
        <f t="shared" si="1"/>
        <v>62</v>
      </c>
      <c r="N38" s="1" t="s">
        <v>526</v>
      </c>
      <c r="O38" s="59" t="str">
        <f t="shared" si="2"/>
        <v>7</v>
      </c>
      <c r="P38" s="457" t="str">
        <f t="shared" si="3"/>
        <v>43</v>
      </c>
      <c r="Q38" s="457" t="str">
        <f t="shared" si="4"/>
        <v>62</v>
      </c>
      <c r="R38" s="1" t="str">
        <f t="shared" si="5"/>
        <v>0</v>
      </c>
      <c r="S38" s="1" t="str">
        <f t="shared" si="6"/>
        <v>0</v>
      </c>
      <c r="T38" s="70" t="str">
        <f t="shared" si="7"/>
        <v>15</v>
      </c>
      <c r="V38" s="465"/>
      <c r="W38" s="1" t="s">
        <v>1450</v>
      </c>
      <c r="Y38" s="465"/>
      <c r="AB38" s="66"/>
      <c r="AC38" s="66"/>
      <c r="AD38" s="66"/>
      <c r="AE38" s="1" t="s">
        <v>546</v>
      </c>
      <c r="AF38" s="145" t="str">
        <f t="shared" si="8"/>
        <v>L1 Experienced Agent</v>
      </c>
    </row>
    <row r="39">
      <c r="A39" s="1" t="s">
        <v>1284</v>
      </c>
      <c r="B39" s="1" t="s">
        <v>1451</v>
      </c>
      <c r="D39" s="1" t="s">
        <v>1316</v>
      </c>
      <c r="E39" s="1" t="s">
        <v>88</v>
      </c>
      <c r="F39" s="394" t="s">
        <v>99</v>
      </c>
      <c r="G39" s="16" t="s">
        <v>1250</v>
      </c>
      <c r="H39" s="461">
        <v>44468.0</v>
      </c>
      <c r="I39" s="16" t="s">
        <v>1317</v>
      </c>
      <c r="J39" s="66"/>
      <c r="K39" s="456">
        <v>0.0</v>
      </c>
      <c r="L39" s="70">
        <f>VLOOKUP(A39,'Shiftplan KoA'!A:F,6,false)
</f>
        <v>68</v>
      </c>
      <c r="M39" s="456">
        <f t="shared" si="1"/>
        <v>68</v>
      </c>
      <c r="N39" s="1" t="s">
        <v>526</v>
      </c>
      <c r="O39" s="59" t="str">
        <f t="shared" si="2"/>
        <v>7</v>
      </c>
      <c r="P39" s="457" t="str">
        <f t="shared" si="3"/>
        <v>43</v>
      </c>
      <c r="Q39" s="457" t="str">
        <f t="shared" si="4"/>
        <v>62</v>
      </c>
      <c r="R39" s="1" t="str">
        <f t="shared" si="5"/>
        <v>0</v>
      </c>
      <c r="S39" s="1" t="str">
        <f t="shared" si="6"/>
        <v>0</v>
      </c>
      <c r="T39" s="70" t="str">
        <f t="shared" si="7"/>
        <v>15</v>
      </c>
      <c r="V39" s="465"/>
      <c r="W39" s="1" t="s">
        <v>1452</v>
      </c>
      <c r="Y39" s="465"/>
      <c r="AB39" s="66"/>
      <c r="AC39" s="66"/>
      <c r="AD39" s="66"/>
      <c r="AE39" s="1" t="s">
        <v>546</v>
      </c>
      <c r="AF39" s="145" t="str">
        <f t="shared" si="8"/>
        <v>L2 Experienced Agent</v>
      </c>
    </row>
    <row r="40">
      <c r="A40" s="1" t="s">
        <v>1285</v>
      </c>
      <c r="B40" s="1" t="s">
        <v>1453</v>
      </c>
      <c r="D40" s="1" t="s">
        <v>1316</v>
      </c>
      <c r="E40" s="1" t="s">
        <v>88</v>
      </c>
      <c r="F40" s="394" t="s">
        <v>99</v>
      </c>
      <c r="G40" s="16" t="s">
        <v>1250</v>
      </c>
      <c r="H40" s="461">
        <v>44468.0</v>
      </c>
      <c r="I40" s="16" t="s">
        <v>1317</v>
      </c>
      <c r="J40" s="66"/>
      <c r="K40" s="456">
        <v>0.0</v>
      </c>
      <c r="L40" s="70">
        <f>VLOOKUP(A40,'Shiftplan KoA'!A:F,6,false)
</f>
        <v>61</v>
      </c>
      <c r="M40" s="456">
        <f t="shared" si="1"/>
        <v>61</v>
      </c>
      <c r="N40" s="1" t="s">
        <v>526</v>
      </c>
      <c r="O40" s="59" t="str">
        <f t="shared" si="2"/>
        <v>6</v>
      </c>
      <c r="P40" s="457" t="str">
        <f t="shared" si="3"/>
        <v>36</v>
      </c>
      <c r="Q40" s="457" t="str">
        <f t="shared" si="4"/>
        <v>52</v>
      </c>
      <c r="R40" s="1" t="str">
        <f t="shared" si="5"/>
        <v>5</v>
      </c>
      <c r="S40" s="1" t="str">
        <f t="shared" si="6"/>
        <v>0</v>
      </c>
      <c r="T40" s="70" t="str">
        <f t="shared" si="7"/>
        <v>20</v>
      </c>
      <c r="V40" s="465"/>
      <c r="W40" s="1" t="s">
        <v>1454</v>
      </c>
      <c r="Y40" s="465"/>
      <c r="AB40" s="66"/>
      <c r="AC40" s="66"/>
      <c r="AD40" s="66"/>
      <c r="AE40" s="1" t="s">
        <v>546</v>
      </c>
      <c r="AF40" s="145" t="str">
        <f t="shared" si="8"/>
        <v>L1 Experienced Agent</v>
      </c>
    </row>
    <row r="41">
      <c r="A41" s="1" t="s">
        <v>1287</v>
      </c>
      <c r="B41" s="1" t="s">
        <v>1455</v>
      </c>
      <c r="D41" s="1" t="s">
        <v>1316</v>
      </c>
      <c r="E41" s="1" t="s">
        <v>88</v>
      </c>
      <c r="F41" s="394" t="s">
        <v>99</v>
      </c>
      <c r="G41" s="16" t="s">
        <v>1237</v>
      </c>
      <c r="H41" s="461">
        <v>44480.0</v>
      </c>
      <c r="I41" s="16" t="s">
        <v>1317</v>
      </c>
      <c r="J41" s="66"/>
      <c r="K41" s="466"/>
      <c r="L41" s="70">
        <f>VLOOKUP(A41,'Shiftplan KoA'!A:F,6,false)
</f>
        <v>57</v>
      </c>
      <c r="M41" s="456">
        <f t="shared" si="1"/>
        <v>57</v>
      </c>
      <c r="N41" s="1" t="s">
        <v>526</v>
      </c>
      <c r="O41" s="59" t="str">
        <f t="shared" si="2"/>
        <v>6</v>
      </c>
      <c r="P41" s="457" t="str">
        <f t="shared" si="3"/>
        <v>36</v>
      </c>
      <c r="Q41" s="457" t="str">
        <f t="shared" si="4"/>
        <v>52</v>
      </c>
      <c r="R41" s="1" t="str">
        <f t="shared" si="5"/>
        <v>5</v>
      </c>
      <c r="S41" s="1" t="str">
        <f t="shared" si="6"/>
        <v>0</v>
      </c>
      <c r="T41" s="70" t="str">
        <f t="shared" si="7"/>
        <v>20</v>
      </c>
      <c r="V41" s="465"/>
      <c r="W41" s="1" t="s">
        <v>1456</v>
      </c>
      <c r="Y41" s="465"/>
      <c r="AB41" s="66"/>
      <c r="AC41" s="66"/>
      <c r="AD41" s="66"/>
      <c r="AE41" s="1" t="s">
        <v>546</v>
      </c>
      <c r="AF41" s="145" t="str">
        <f t="shared" si="8"/>
        <v>L1 Experienced Agent</v>
      </c>
    </row>
    <row r="42">
      <c r="A42" s="1" t="s">
        <v>1288</v>
      </c>
      <c r="B42" s="1" t="s">
        <v>1457</v>
      </c>
      <c r="D42" s="1" t="s">
        <v>1316</v>
      </c>
      <c r="E42" s="1" t="s">
        <v>88</v>
      </c>
      <c r="F42" s="394" t="s">
        <v>99</v>
      </c>
      <c r="G42" s="16" t="s">
        <v>1237</v>
      </c>
      <c r="H42" s="461">
        <v>44481.0</v>
      </c>
      <c r="I42" s="16" t="s">
        <v>1317</v>
      </c>
      <c r="J42" s="66"/>
      <c r="K42" s="466"/>
      <c r="L42" s="70">
        <f>VLOOKUP(A42,'Shiftplan KoA'!A:F,6,false)
</f>
        <v>58</v>
      </c>
      <c r="M42" s="456">
        <f t="shared" si="1"/>
        <v>58</v>
      </c>
      <c r="N42" s="1" t="s">
        <v>526</v>
      </c>
      <c r="O42" s="59" t="str">
        <f t="shared" si="2"/>
        <v>6</v>
      </c>
      <c r="P42" s="457" t="str">
        <f t="shared" si="3"/>
        <v>36</v>
      </c>
      <c r="Q42" s="457" t="str">
        <f t="shared" si="4"/>
        <v>52</v>
      </c>
      <c r="R42" s="1" t="str">
        <f t="shared" si="5"/>
        <v>5</v>
      </c>
      <c r="S42" s="1" t="str">
        <f t="shared" si="6"/>
        <v>0</v>
      </c>
      <c r="T42" s="70" t="str">
        <f t="shared" si="7"/>
        <v>20</v>
      </c>
      <c r="V42" s="465"/>
      <c r="W42" s="1" t="s">
        <v>1458</v>
      </c>
      <c r="Y42" s="465"/>
      <c r="AB42" s="66"/>
      <c r="AC42" s="66"/>
      <c r="AD42" s="66"/>
      <c r="AE42" s="1" t="s">
        <v>546</v>
      </c>
      <c r="AF42" s="145" t="str">
        <f t="shared" si="8"/>
        <v>L1 Experienced Agent</v>
      </c>
    </row>
    <row r="43">
      <c r="A43" s="1" t="s">
        <v>1291</v>
      </c>
      <c r="B43" s="1" t="s">
        <v>1459</v>
      </c>
      <c r="D43" s="1" t="s">
        <v>1316</v>
      </c>
      <c r="E43" s="1" t="s">
        <v>88</v>
      </c>
      <c r="F43" s="16" t="s">
        <v>99</v>
      </c>
      <c r="G43" s="16" t="s">
        <v>1237</v>
      </c>
      <c r="H43" s="461">
        <v>44489.0</v>
      </c>
      <c r="I43" s="16" t="s">
        <v>1317</v>
      </c>
      <c r="J43" s="66"/>
      <c r="K43" s="466"/>
      <c r="L43" s="70">
        <f>VLOOKUP(A43,'Shiftplan KoA'!A:F,6,false)
</f>
        <v>44</v>
      </c>
      <c r="M43" s="456">
        <f t="shared" si="1"/>
        <v>44</v>
      </c>
      <c r="N43" s="1" t="s">
        <v>526</v>
      </c>
      <c r="O43" s="59" t="str">
        <f t="shared" si="2"/>
        <v>6</v>
      </c>
      <c r="P43" s="457" t="str">
        <f t="shared" si="3"/>
        <v>36</v>
      </c>
      <c r="Q43" s="457" t="str">
        <f t="shared" si="4"/>
        <v>52</v>
      </c>
      <c r="R43" s="1" t="str">
        <f t="shared" si="5"/>
        <v>5</v>
      </c>
      <c r="S43" s="1" t="str">
        <f t="shared" si="6"/>
        <v>0</v>
      </c>
      <c r="T43" s="70" t="str">
        <f t="shared" si="7"/>
        <v>20</v>
      </c>
      <c r="V43" s="465"/>
      <c r="W43" s="1" t="s">
        <v>1460</v>
      </c>
      <c r="Y43" s="465"/>
      <c r="AB43" s="66"/>
      <c r="AC43" s="66"/>
      <c r="AD43" s="66"/>
      <c r="AE43" s="1" t="s">
        <v>546</v>
      </c>
      <c r="AF43" s="145" t="str">
        <f t="shared" si="8"/>
        <v>L1 Experienced Agent</v>
      </c>
      <c r="AH43" s="63"/>
    </row>
    <row r="44">
      <c r="A44" s="1" t="s">
        <v>1292</v>
      </c>
      <c r="B44" s="1" t="s">
        <v>1461</v>
      </c>
      <c r="D44" s="1" t="s">
        <v>1316</v>
      </c>
      <c r="E44" s="1" t="s">
        <v>94</v>
      </c>
      <c r="F44" s="16" t="s">
        <v>98</v>
      </c>
      <c r="G44" s="16" t="s">
        <v>1250</v>
      </c>
      <c r="H44" s="461">
        <v>44489.0</v>
      </c>
      <c r="I44" s="16" t="s">
        <v>1317</v>
      </c>
      <c r="J44" s="66"/>
      <c r="K44" s="466"/>
      <c r="L44" s="70">
        <f>VLOOKUP(A44,'Shiftplan KoA'!A:F,6,false)
</f>
        <v>44</v>
      </c>
      <c r="M44" s="456">
        <f t="shared" si="1"/>
        <v>44</v>
      </c>
      <c r="N44" s="1" t="s">
        <v>526</v>
      </c>
      <c r="O44" s="59" t="str">
        <f t="shared" si="2"/>
        <v>6</v>
      </c>
      <c r="P44" s="457" t="str">
        <f t="shared" si="3"/>
        <v>36</v>
      </c>
      <c r="Q44" s="457" t="str">
        <f t="shared" si="4"/>
        <v>52</v>
      </c>
      <c r="R44" s="1" t="str">
        <f t="shared" si="5"/>
        <v>5</v>
      </c>
      <c r="S44" s="1" t="str">
        <f t="shared" si="6"/>
        <v>0</v>
      </c>
      <c r="T44" s="70" t="str">
        <f t="shared" si="7"/>
        <v>20</v>
      </c>
      <c r="V44" s="465"/>
      <c r="W44" s="1" t="s">
        <v>1462</v>
      </c>
      <c r="Y44" s="465"/>
      <c r="AB44" s="66"/>
      <c r="AC44" s="66"/>
      <c r="AD44" s="66"/>
      <c r="AE44" s="1" t="s">
        <v>546</v>
      </c>
      <c r="AF44" s="145" t="str">
        <f t="shared" si="8"/>
        <v>L1 Experienced Agent</v>
      </c>
    </row>
    <row r="45">
      <c r="A45" s="1" t="s">
        <v>1293</v>
      </c>
      <c r="B45" s="1" t="s">
        <v>1463</v>
      </c>
      <c r="D45" s="1" t="s">
        <v>1316</v>
      </c>
      <c r="E45" s="1" t="s">
        <v>856</v>
      </c>
      <c r="F45" s="16" t="s">
        <v>98</v>
      </c>
      <c r="G45" s="16" t="s">
        <v>1250</v>
      </c>
      <c r="H45" s="461">
        <v>44501.0</v>
      </c>
      <c r="I45" s="16" t="s">
        <v>1317</v>
      </c>
      <c r="J45" s="66"/>
      <c r="K45" s="466"/>
      <c r="L45" s="70">
        <f>VLOOKUP(A45,'Shiftplan KoA'!A:F,6,false)
</f>
        <v>46</v>
      </c>
      <c r="M45" s="456">
        <f t="shared" si="1"/>
        <v>46</v>
      </c>
      <c r="N45" s="1" t="s">
        <v>526</v>
      </c>
      <c r="O45" s="59" t="str">
        <f t="shared" si="2"/>
        <v>6</v>
      </c>
      <c r="P45" s="457" t="str">
        <f t="shared" si="3"/>
        <v>36</v>
      </c>
      <c r="Q45" s="457" t="str">
        <f t="shared" si="4"/>
        <v>52</v>
      </c>
      <c r="R45" s="1" t="str">
        <f t="shared" si="5"/>
        <v>5</v>
      </c>
      <c r="S45" s="1" t="str">
        <f t="shared" si="6"/>
        <v>0</v>
      </c>
      <c r="T45" s="70" t="str">
        <f t="shared" si="7"/>
        <v>20</v>
      </c>
      <c r="V45" s="465"/>
      <c r="W45" s="1" t="s">
        <v>1464</v>
      </c>
      <c r="Y45" s="465"/>
      <c r="AB45" s="66"/>
      <c r="AC45" s="66"/>
      <c r="AD45" s="66"/>
      <c r="AE45" s="1" t="s">
        <v>546</v>
      </c>
      <c r="AF45" s="145" t="str">
        <f t="shared" si="8"/>
        <v>L1 Experienced Agent</v>
      </c>
    </row>
    <row r="46">
      <c r="A46" s="1" t="s">
        <v>1294</v>
      </c>
      <c r="B46" s="1" t="s">
        <v>1465</v>
      </c>
      <c r="D46" s="1" t="s">
        <v>1316</v>
      </c>
      <c r="E46" s="1" t="s">
        <v>88</v>
      </c>
      <c r="F46" s="394" t="s">
        <v>98</v>
      </c>
      <c r="G46" s="16" t="s">
        <v>1250</v>
      </c>
      <c r="H46" s="461">
        <v>44522.0</v>
      </c>
      <c r="I46" s="16" t="s">
        <v>1317</v>
      </c>
      <c r="J46" s="66"/>
      <c r="K46" s="466"/>
      <c r="L46" s="70">
        <f>VLOOKUP(A46,'Shiftplan KoA'!A:F,6,false)
</f>
        <v>31</v>
      </c>
      <c r="M46" s="456">
        <f t="shared" si="1"/>
        <v>31</v>
      </c>
      <c r="N46" s="1" t="s">
        <v>526</v>
      </c>
      <c r="O46" s="59" t="str">
        <f t="shared" si="2"/>
        <v>5</v>
      </c>
      <c r="P46" s="457" t="str">
        <f t="shared" si="3"/>
        <v>29</v>
      </c>
      <c r="Q46" s="457" t="str">
        <f t="shared" si="4"/>
        <v>42</v>
      </c>
      <c r="R46" s="1" t="str">
        <f t="shared" si="5"/>
        <v>10</v>
      </c>
      <c r="S46" s="1" t="str">
        <f t="shared" si="6"/>
        <v>5</v>
      </c>
      <c r="T46" s="70" t="str">
        <f t="shared" si="7"/>
        <v>25</v>
      </c>
      <c r="V46" s="465"/>
      <c r="W46" s="63" t="s">
        <v>1466</v>
      </c>
      <c r="Y46" s="465"/>
      <c r="AB46" s="66"/>
      <c r="AC46" s="66"/>
      <c r="AD46" s="66"/>
      <c r="AE46" s="1" t="s">
        <v>546</v>
      </c>
      <c r="AF46" s="145" t="str">
        <f t="shared" si="8"/>
        <v>Agent</v>
      </c>
    </row>
    <row r="47">
      <c r="A47" s="1" t="s">
        <v>1295</v>
      </c>
      <c r="B47" s="1" t="s">
        <v>1467</v>
      </c>
      <c r="D47" s="1" t="s">
        <v>1316</v>
      </c>
      <c r="E47" s="1" t="s">
        <v>88</v>
      </c>
      <c r="F47" s="394" t="s">
        <v>99</v>
      </c>
      <c r="G47" s="16" t="s">
        <v>1259</v>
      </c>
      <c r="H47" s="461">
        <v>44522.0</v>
      </c>
      <c r="I47" s="16" t="s">
        <v>1317</v>
      </c>
      <c r="J47" s="66"/>
      <c r="K47" s="466"/>
      <c r="L47" s="70">
        <f>VLOOKUP(A47,'Shiftplan KoA'!A:F,6,false)
</f>
        <v>29</v>
      </c>
      <c r="M47" s="456">
        <f t="shared" si="1"/>
        <v>29</v>
      </c>
      <c r="N47" s="1" t="s">
        <v>526</v>
      </c>
      <c r="O47" s="59" t="str">
        <f t="shared" si="2"/>
        <v>5</v>
      </c>
      <c r="P47" s="457" t="str">
        <f t="shared" si="3"/>
        <v>29</v>
      </c>
      <c r="Q47" s="457" t="str">
        <f t="shared" si="4"/>
        <v>42</v>
      </c>
      <c r="R47" s="1" t="str">
        <f t="shared" si="5"/>
        <v>10</v>
      </c>
      <c r="S47" s="1" t="str">
        <f t="shared" si="6"/>
        <v>5</v>
      </c>
      <c r="T47" s="70" t="str">
        <f t="shared" si="7"/>
        <v>25</v>
      </c>
      <c r="V47" s="465"/>
      <c r="W47" s="63" t="s">
        <v>1468</v>
      </c>
      <c r="Y47" s="465"/>
      <c r="AB47" s="66"/>
      <c r="AC47" s="66"/>
      <c r="AD47" s="66"/>
      <c r="AE47" s="1" t="s">
        <v>546</v>
      </c>
      <c r="AF47" s="145" t="str">
        <f t="shared" si="8"/>
        <v>Agent</v>
      </c>
    </row>
    <row r="48">
      <c r="A48" s="1" t="s">
        <v>1296</v>
      </c>
      <c r="B48" s="1" t="s">
        <v>1469</v>
      </c>
      <c r="D48" s="1" t="s">
        <v>1316</v>
      </c>
      <c r="E48" s="1" t="s">
        <v>94</v>
      </c>
      <c r="F48" s="394" t="s">
        <v>99</v>
      </c>
      <c r="G48" s="16" t="s">
        <v>1250</v>
      </c>
      <c r="H48" s="461">
        <v>44523.0</v>
      </c>
      <c r="I48" s="16" t="s">
        <v>1317</v>
      </c>
      <c r="J48" s="66"/>
      <c r="K48" s="466"/>
      <c r="L48" s="70">
        <f>VLOOKUP(A48,'Shiftplan KoA'!A:F,6,false)
</f>
        <v>27</v>
      </c>
      <c r="M48" s="456">
        <f t="shared" si="1"/>
        <v>27</v>
      </c>
      <c r="N48" s="1" t="s">
        <v>526</v>
      </c>
      <c r="O48" s="59" t="str">
        <f t="shared" si="2"/>
        <v>5</v>
      </c>
      <c r="P48" s="457" t="str">
        <f t="shared" si="3"/>
        <v>29</v>
      </c>
      <c r="Q48" s="457" t="str">
        <f t="shared" si="4"/>
        <v>42</v>
      </c>
      <c r="R48" s="1" t="str">
        <f t="shared" si="5"/>
        <v>10</v>
      </c>
      <c r="S48" s="1" t="str">
        <f t="shared" si="6"/>
        <v>5</v>
      </c>
      <c r="T48" s="70" t="str">
        <f t="shared" si="7"/>
        <v>25</v>
      </c>
      <c r="V48" s="465"/>
      <c r="W48" s="1" t="s">
        <v>1470</v>
      </c>
      <c r="Y48" s="465"/>
      <c r="AB48" s="66"/>
      <c r="AC48" s="66"/>
      <c r="AD48" s="66"/>
      <c r="AE48" s="1" t="s">
        <v>546</v>
      </c>
      <c r="AF48" s="145" t="str">
        <f t="shared" si="8"/>
        <v>Agent</v>
      </c>
    </row>
    <row r="49">
      <c r="A49" s="464" t="s">
        <v>1297</v>
      </c>
      <c r="B49" s="1" t="s">
        <v>1471</v>
      </c>
      <c r="D49" s="1" t="s">
        <v>1316</v>
      </c>
      <c r="E49" s="1" t="s">
        <v>755</v>
      </c>
      <c r="F49" s="394" t="s">
        <v>99</v>
      </c>
      <c r="G49" s="16" t="s">
        <v>1259</v>
      </c>
      <c r="H49" s="461">
        <v>44529.0</v>
      </c>
      <c r="I49" s="16" t="s">
        <v>1317</v>
      </c>
      <c r="J49" s="66"/>
      <c r="K49" s="466"/>
      <c r="L49" s="70">
        <f>VLOOKUP(A49,'Shiftplan KoA'!A:F,6,false)
</f>
        <v>27</v>
      </c>
      <c r="M49" s="456">
        <f t="shared" si="1"/>
        <v>27</v>
      </c>
      <c r="N49" s="1" t="s">
        <v>526</v>
      </c>
      <c r="O49" s="59" t="str">
        <f t="shared" si="2"/>
        <v>5</v>
      </c>
      <c r="P49" s="457" t="str">
        <f t="shared" si="3"/>
        <v>29</v>
      </c>
      <c r="Q49" s="457" t="str">
        <f t="shared" si="4"/>
        <v>42</v>
      </c>
      <c r="R49" s="1" t="str">
        <f t="shared" si="5"/>
        <v>10</v>
      </c>
      <c r="S49" s="1" t="str">
        <f t="shared" si="6"/>
        <v>5</v>
      </c>
      <c r="T49" s="70" t="str">
        <f t="shared" si="7"/>
        <v>25</v>
      </c>
      <c r="V49" s="465"/>
      <c r="W49" s="63" t="s">
        <v>1472</v>
      </c>
      <c r="Y49" s="465"/>
      <c r="AB49" s="66"/>
      <c r="AC49" s="66"/>
      <c r="AD49" s="66"/>
      <c r="AE49" s="1" t="s">
        <v>546</v>
      </c>
      <c r="AF49" s="145" t="str">
        <f t="shared" si="8"/>
        <v>Agent</v>
      </c>
    </row>
    <row r="50">
      <c r="A50" s="479" t="s">
        <v>1299</v>
      </c>
      <c r="B50" s="1" t="s">
        <v>1473</v>
      </c>
      <c r="C50" s="1"/>
      <c r="D50" s="1" t="s">
        <v>1316</v>
      </c>
      <c r="E50" s="1" t="s">
        <v>88</v>
      </c>
      <c r="F50" s="394" t="s">
        <v>99</v>
      </c>
      <c r="G50" s="16" t="s">
        <v>1250</v>
      </c>
      <c r="H50" s="461">
        <v>44533.0</v>
      </c>
      <c r="I50" s="16" t="s">
        <v>1317</v>
      </c>
      <c r="J50" s="66"/>
      <c r="K50" s="466"/>
      <c r="L50" s="70">
        <f>VLOOKUP(A50,'Shiftplan KoA'!A:F,6,false)
</f>
        <v>20</v>
      </c>
      <c r="M50" s="456">
        <f t="shared" si="1"/>
        <v>20</v>
      </c>
      <c r="N50" s="1" t="s">
        <v>526</v>
      </c>
      <c r="O50" s="59" t="str">
        <f t="shared" si="2"/>
        <v>5</v>
      </c>
      <c r="P50" s="457" t="str">
        <f t="shared" si="3"/>
        <v>29</v>
      </c>
      <c r="Q50" s="457" t="str">
        <f t="shared" si="4"/>
        <v>42</v>
      </c>
      <c r="R50" s="1" t="str">
        <f t="shared" si="5"/>
        <v>10</v>
      </c>
      <c r="S50" s="1" t="str">
        <f t="shared" si="6"/>
        <v>5</v>
      </c>
      <c r="T50" s="70" t="str">
        <f t="shared" si="7"/>
        <v>25</v>
      </c>
      <c r="U50" s="1"/>
      <c r="V50" s="458"/>
      <c r="W50" s="1" t="s">
        <v>1474</v>
      </c>
      <c r="X50" s="1"/>
      <c r="Y50" s="458"/>
      <c r="Z50" s="458"/>
      <c r="AA50" s="458"/>
      <c r="AB50" s="70"/>
      <c r="AC50" s="70"/>
      <c r="AD50" s="70"/>
      <c r="AE50" s="1" t="s">
        <v>546</v>
      </c>
      <c r="AF50" s="145" t="str">
        <f t="shared" si="8"/>
        <v>Nestee</v>
      </c>
    </row>
    <row r="51">
      <c r="A51" s="1" t="s">
        <v>1300</v>
      </c>
      <c r="B51" s="1" t="s">
        <v>1475</v>
      </c>
      <c r="D51" s="1" t="s">
        <v>1316</v>
      </c>
      <c r="E51" s="1" t="s">
        <v>91</v>
      </c>
      <c r="F51" s="16" t="s">
        <v>98</v>
      </c>
      <c r="G51" s="16" t="s">
        <v>1259</v>
      </c>
      <c r="H51" s="461">
        <v>44536.0</v>
      </c>
      <c r="I51" s="16" t="s">
        <v>1317</v>
      </c>
      <c r="J51" s="66"/>
      <c r="K51" s="466"/>
      <c r="L51" s="70">
        <f>VLOOKUP(A51,'Shiftplan KoA'!A:F,6,false)
</f>
        <v>21</v>
      </c>
      <c r="M51" s="456">
        <f t="shared" si="1"/>
        <v>21</v>
      </c>
      <c r="N51" s="1" t="s">
        <v>526</v>
      </c>
      <c r="O51" s="59" t="str">
        <f t="shared" si="2"/>
        <v>5</v>
      </c>
      <c r="P51" s="457" t="str">
        <f t="shared" si="3"/>
        <v>29</v>
      </c>
      <c r="Q51" s="457" t="str">
        <f t="shared" si="4"/>
        <v>42</v>
      </c>
      <c r="R51" s="1" t="str">
        <f t="shared" si="5"/>
        <v>10</v>
      </c>
      <c r="S51" s="1" t="str">
        <f t="shared" si="6"/>
        <v>5</v>
      </c>
      <c r="T51" s="70" t="str">
        <f t="shared" si="7"/>
        <v>25</v>
      </c>
      <c r="U51" s="1"/>
      <c r="V51" s="458"/>
      <c r="W51" s="1" t="s">
        <v>1476</v>
      </c>
      <c r="X51" s="1"/>
      <c r="Y51" s="458"/>
      <c r="Z51" s="458"/>
      <c r="AA51" s="458"/>
      <c r="AB51" s="70"/>
      <c r="AC51" s="70"/>
      <c r="AD51" s="70"/>
      <c r="AE51" s="1" t="s">
        <v>546</v>
      </c>
      <c r="AF51" s="145" t="str">
        <f t="shared" si="8"/>
        <v>Agent</v>
      </c>
    </row>
    <row r="52">
      <c r="A52" s="1" t="s">
        <v>1301</v>
      </c>
      <c r="B52" s="1" t="s">
        <v>1477</v>
      </c>
      <c r="D52" s="1" t="s">
        <v>1316</v>
      </c>
      <c r="E52" s="1" t="s">
        <v>88</v>
      </c>
      <c r="F52" s="16" t="s">
        <v>98</v>
      </c>
      <c r="G52" s="16" t="s">
        <v>1250</v>
      </c>
      <c r="H52" s="461">
        <v>44536.0</v>
      </c>
      <c r="I52" s="16" t="s">
        <v>1317</v>
      </c>
      <c r="J52" s="66"/>
      <c r="K52" s="466"/>
      <c r="L52" s="70">
        <f>VLOOKUP(A52,'Shiftplan KoA'!A:F,6,false)
</f>
        <v>20</v>
      </c>
      <c r="M52" s="456">
        <f t="shared" si="1"/>
        <v>20</v>
      </c>
      <c r="N52" s="1" t="s">
        <v>526</v>
      </c>
      <c r="O52" s="59" t="str">
        <f t="shared" si="2"/>
        <v>5</v>
      </c>
      <c r="P52" s="457" t="str">
        <f t="shared" si="3"/>
        <v>29</v>
      </c>
      <c r="Q52" s="457" t="str">
        <f t="shared" si="4"/>
        <v>42</v>
      </c>
      <c r="R52" s="1" t="str">
        <f t="shared" si="5"/>
        <v>10</v>
      </c>
      <c r="S52" s="1" t="str">
        <f t="shared" si="6"/>
        <v>5</v>
      </c>
      <c r="T52" s="70" t="str">
        <f t="shared" si="7"/>
        <v>25</v>
      </c>
      <c r="U52" s="1"/>
      <c r="V52" s="458"/>
      <c r="W52" s="1" t="s">
        <v>1478</v>
      </c>
      <c r="X52" s="1"/>
      <c r="Y52" s="458"/>
      <c r="Z52" s="458"/>
      <c r="AA52" s="458"/>
      <c r="AB52" s="70"/>
      <c r="AC52" s="70"/>
      <c r="AD52" s="70"/>
      <c r="AE52" s="1" t="s">
        <v>546</v>
      </c>
      <c r="AF52" s="145" t="str">
        <f t="shared" si="8"/>
        <v>Nestee</v>
      </c>
    </row>
    <row r="53">
      <c r="A53" s="1" t="s">
        <v>1302</v>
      </c>
      <c r="B53" s="1" t="s">
        <v>1479</v>
      </c>
      <c r="D53" s="1" t="s">
        <v>1316</v>
      </c>
      <c r="E53" s="1" t="s">
        <v>88</v>
      </c>
      <c r="F53" s="16" t="s">
        <v>98</v>
      </c>
      <c r="G53" s="16" t="s">
        <v>1259</v>
      </c>
      <c r="H53" s="461">
        <v>44537.0</v>
      </c>
      <c r="I53" s="16" t="s">
        <v>1317</v>
      </c>
      <c r="J53" s="66"/>
      <c r="K53" s="466"/>
      <c r="L53" s="70">
        <f>VLOOKUP(A53,'Shiftplan KoA'!A:F,6,false)
</f>
        <v>20</v>
      </c>
      <c r="M53" s="456">
        <f t="shared" si="1"/>
        <v>20</v>
      </c>
      <c r="N53" s="1" t="s">
        <v>526</v>
      </c>
      <c r="O53" s="59" t="str">
        <f t="shared" si="2"/>
        <v>5</v>
      </c>
      <c r="P53" s="457" t="str">
        <f t="shared" si="3"/>
        <v>29</v>
      </c>
      <c r="Q53" s="457" t="str">
        <f t="shared" si="4"/>
        <v>42</v>
      </c>
      <c r="R53" s="1" t="str">
        <f t="shared" si="5"/>
        <v>10</v>
      </c>
      <c r="S53" s="1" t="str">
        <f t="shared" si="6"/>
        <v>5</v>
      </c>
      <c r="T53" s="70" t="str">
        <f t="shared" si="7"/>
        <v>25</v>
      </c>
      <c r="U53" s="1"/>
      <c r="V53" s="458"/>
      <c r="W53" s="1" t="s">
        <v>1480</v>
      </c>
      <c r="X53" s="1"/>
      <c r="Y53" s="458"/>
      <c r="Z53" s="458"/>
      <c r="AA53" s="458"/>
      <c r="AB53" s="70"/>
      <c r="AC53" s="70"/>
      <c r="AD53" s="70"/>
      <c r="AE53" s="1" t="s">
        <v>546</v>
      </c>
      <c r="AF53" s="145" t="str">
        <f t="shared" si="8"/>
        <v>Nestee</v>
      </c>
    </row>
    <row r="54">
      <c r="A54" s="1" t="s">
        <v>272</v>
      </c>
      <c r="B54" s="1" t="s">
        <v>422</v>
      </c>
      <c r="D54" s="1" t="s">
        <v>1316</v>
      </c>
      <c r="E54" s="1" t="s">
        <v>88</v>
      </c>
      <c r="F54" s="16" t="s">
        <v>98</v>
      </c>
      <c r="G54" s="16" t="s">
        <v>1250</v>
      </c>
      <c r="H54" s="461">
        <v>44540.0</v>
      </c>
      <c r="I54" s="16" t="s">
        <v>1317</v>
      </c>
      <c r="J54" s="66"/>
      <c r="K54" s="466"/>
      <c r="L54" s="70">
        <f>VLOOKUP(A54,'Shiftplan KoA'!A:F,6,false)
</f>
        <v>15</v>
      </c>
      <c r="M54" s="456">
        <f t="shared" si="1"/>
        <v>15</v>
      </c>
      <c r="N54" s="1" t="s">
        <v>526</v>
      </c>
      <c r="O54" s="59" t="str">
        <f t="shared" si="2"/>
        <v>4</v>
      </c>
      <c r="P54" s="457" t="str">
        <f t="shared" si="3"/>
        <v>32</v>
      </c>
      <c r="Q54" s="457" t="str">
        <f t="shared" si="4"/>
        <v>32</v>
      </c>
      <c r="R54" s="1" t="str">
        <f t="shared" si="5"/>
        <v>15</v>
      </c>
      <c r="S54" s="1" t="str">
        <f t="shared" si="6"/>
        <v>10</v>
      </c>
      <c r="T54" s="70" t="str">
        <f t="shared" si="7"/>
        <v>30</v>
      </c>
      <c r="U54" s="1"/>
      <c r="V54" s="458"/>
      <c r="W54" s="1" t="s">
        <v>1481</v>
      </c>
      <c r="X54" s="1"/>
      <c r="Y54" s="458"/>
      <c r="Z54" s="458"/>
      <c r="AA54" s="458"/>
      <c r="AB54" s="70"/>
      <c r="AC54" s="70"/>
      <c r="AD54" s="70"/>
      <c r="AE54" s="1" t="s">
        <v>546</v>
      </c>
      <c r="AF54" s="145" t="str">
        <f t="shared" si="8"/>
        <v>Nestee</v>
      </c>
    </row>
    <row r="55">
      <c r="A55" s="464" t="s">
        <v>1304</v>
      </c>
      <c r="B55" s="1" t="s">
        <v>1482</v>
      </c>
      <c r="D55" s="1" t="s">
        <v>1316</v>
      </c>
      <c r="E55" s="1" t="s">
        <v>88</v>
      </c>
      <c r="F55" s="16" t="s">
        <v>98</v>
      </c>
      <c r="G55" s="16" t="s">
        <v>1250</v>
      </c>
      <c r="H55" s="461">
        <v>44550.0</v>
      </c>
      <c r="I55" s="16" t="s">
        <v>1317</v>
      </c>
      <c r="J55" s="66"/>
      <c r="K55" s="466"/>
      <c r="L55" s="70">
        <f>VLOOKUP(A55,'Shiftplan KoA'!A:F,6,false)
</f>
        <v>11</v>
      </c>
      <c r="M55" s="456">
        <f t="shared" si="1"/>
        <v>11</v>
      </c>
      <c r="N55" s="1" t="s">
        <v>526</v>
      </c>
      <c r="O55" s="59" t="str">
        <f t="shared" si="2"/>
        <v>3</v>
      </c>
      <c r="P55" s="457" t="str">
        <f t="shared" si="3"/>
        <v>27</v>
      </c>
      <c r="Q55" s="457" t="str">
        <f t="shared" si="4"/>
        <v>27</v>
      </c>
      <c r="R55" s="1" t="str">
        <f t="shared" si="5"/>
        <v>20</v>
      </c>
      <c r="S55" s="1" t="str">
        <f t="shared" si="6"/>
        <v>10</v>
      </c>
      <c r="T55" s="70" t="str">
        <f t="shared" si="7"/>
        <v>30</v>
      </c>
      <c r="V55" s="465"/>
      <c r="W55" s="1" t="s">
        <v>1483</v>
      </c>
      <c r="Y55" s="465"/>
      <c r="AB55" s="66"/>
      <c r="AC55" s="66"/>
      <c r="AD55" s="66"/>
      <c r="AE55" s="1" t="s">
        <v>546</v>
      </c>
      <c r="AF55" s="145" t="str">
        <f t="shared" si="8"/>
        <v>Nestee</v>
      </c>
    </row>
    <row r="56">
      <c r="A56" s="1" t="s">
        <v>1305</v>
      </c>
      <c r="B56" s="1" t="s">
        <v>1484</v>
      </c>
      <c r="D56" s="1" t="s">
        <v>1316</v>
      </c>
      <c r="E56" s="1" t="s">
        <v>692</v>
      </c>
      <c r="F56" s="16" t="s">
        <v>99</v>
      </c>
      <c r="G56" s="16" t="s">
        <v>1259</v>
      </c>
      <c r="H56" s="461">
        <v>44550.0</v>
      </c>
      <c r="I56" s="16" t="s">
        <v>1317</v>
      </c>
      <c r="J56" s="66"/>
      <c r="K56" s="466"/>
      <c r="L56" s="70">
        <f>VLOOKUP(A56,'Shiftplan KoA'!A:F,6,false)
</f>
        <v>10</v>
      </c>
      <c r="M56" s="456">
        <f t="shared" si="1"/>
        <v>10</v>
      </c>
      <c r="N56" s="1" t="s">
        <v>526</v>
      </c>
      <c r="O56" s="59" t="str">
        <f t="shared" si="2"/>
        <v>3</v>
      </c>
      <c r="P56" s="457" t="str">
        <f t="shared" si="3"/>
        <v>27</v>
      </c>
      <c r="Q56" s="457" t="str">
        <f t="shared" si="4"/>
        <v>27</v>
      </c>
      <c r="R56" s="1" t="str">
        <f t="shared" si="5"/>
        <v>20</v>
      </c>
      <c r="S56" s="1" t="str">
        <f t="shared" si="6"/>
        <v>10</v>
      </c>
      <c r="T56" s="70" t="str">
        <f t="shared" si="7"/>
        <v>30</v>
      </c>
      <c r="V56" s="465"/>
      <c r="W56" s="1" t="s">
        <v>1485</v>
      </c>
      <c r="Y56" s="465"/>
      <c r="AB56" s="66"/>
      <c r="AC56" s="66"/>
      <c r="AD56" s="66"/>
      <c r="AE56" s="1" t="s">
        <v>546</v>
      </c>
      <c r="AF56" s="145" t="str">
        <f t="shared" si="8"/>
        <v>Nestee</v>
      </c>
    </row>
    <row r="57">
      <c r="A57" s="464" t="s">
        <v>1306</v>
      </c>
      <c r="B57" s="1" t="s">
        <v>1486</v>
      </c>
      <c r="D57" s="1" t="s">
        <v>1316</v>
      </c>
      <c r="E57" s="1" t="s">
        <v>88</v>
      </c>
      <c r="F57" s="16" t="s">
        <v>98</v>
      </c>
      <c r="G57" s="16" t="s">
        <v>1259</v>
      </c>
      <c r="H57" s="461">
        <v>44552.0</v>
      </c>
      <c r="I57" s="16" t="s">
        <v>1317</v>
      </c>
      <c r="J57" s="66"/>
      <c r="K57" s="466"/>
      <c r="L57" s="70">
        <f>VLOOKUP(A57,'Shiftplan KoA'!A:F,6,false)
</f>
        <v>9</v>
      </c>
      <c r="M57" s="456">
        <f t="shared" si="1"/>
        <v>9</v>
      </c>
      <c r="N57" s="1" t="s">
        <v>526</v>
      </c>
      <c r="O57" s="59" t="str">
        <f t="shared" si="2"/>
        <v>2</v>
      </c>
      <c r="P57" s="457" t="str">
        <f t="shared" si="3"/>
        <v>22</v>
      </c>
      <c r="Q57" s="457" t="str">
        <f t="shared" si="4"/>
        <v>22</v>
      </c>
      <c r="R57" s="1" t="str">
        <f t="shared" si="5"/>
        <v>20</v>
      </c>
      <c r="S57" s="1" t="str">
        <f t="shared" si="6"/>
        <v>10</v>
      </c>
      <c r="T57" s="70" t="str">
        <f t="shared" si="7"/>
        <v>30</v>
      </c>
      <c r="V57" s="465"/>
      <c r="W57" s="1" t="s">
        <v>1487</v>
      </c>
      <c r="Y57" s="465"/>
      <c r="AB57" s="66"/>
      <c r="AC57" s="66"/>
      <c r="AD57" s="66"/>
      <c r="AE57" s="1" t="s">
        <v>546</v>
      </c>
      <c r="AF57" s="145" t="str">
        <f t="shared" si="8"/>
        <v>Nestee</v>
      </c>
    </row>
    <row r="58">
      <c r="A58" s="1" t="s">
        <v>1307</v>
      </c>
      <c r="B58" s="1" t="s">
        <v>1488</v>
      </c>
      <c r="D58" s="1" t="s">
        <v>1316</v>
      </c>
      <c r="E58" s="1" t="s">
        <v>89</v>
      </c>
      <c r="F58" s="16" t="s">
        <v>98</v>
      </c>
      <c r="G58" s="16" t="s">
        <v>1237</v>
      </c>
      <c r="H58" s="461">
        <v>44564.0</v>
      </c>
      <c r="I58" s="16" t="s">
        <v>1317</v>
      </c>
      <c r="J58" s="66"/>
      <c r="K58" s="466"/>
      <c r="L58" s="70">
        <f>VLOOKUP(A58,'Shiftplan KoA'!A:F,6,false)
</f>
        <v>1</v>
      </c>
      <c r="M58" s="456">
        <f t="shared" si="1"/>
        <v>1</v>
      </c>
      <c r="N58" s="1" t="s">
        <v>526</v>
      </c>
      <c r="O58" s="59" t="str">
        <f t="shared" si="2"/>
        <v>0</v>
      </c>
      <c r="P58" s="457" t="str">
        <f t="shared" si="3"/>
        <v>0</v>
      </c>
      <c r="Q58" s="457" t="str">
        <f t="shared" si="4"/>
        <v>0</v>
      </c>
      <c r="R58" s="1" t="str">
        <f t="shared" si="5"/>
        <v>-</v>
      </c>
      <c r="S58" s="1" t="str">
        <f t="shared" si="6"/>
        <v>-</v>
      </c>
      <c r="T58" s="70" t="str">
        <f t="shared" si="7"/>
        <v>-</v>
      </c>
      <c r="V58" s="465"/>
      <c r="W58" s="1" t="s">
        <v>1489</v>
      </c>
      <c r="Y58" s="465"/>
      <c r="AB58" s="66"/>
      <c r="AC58" s="66"/>
      <c r="AD58" s="66"/>
      <c r="AE58" s="1" t="s">
        <v>546</v>
      </c>
      <c r="AF58" s="145" t="str">
        <f t="shared" si="8"/>
        <v>Trainee</v>
      </c>
    </row>
    <row r="59">
      <c r="A59" s="145"/>
      <c r="F59" s="15"/>
      <c r="G59" s="15"/>
      <c r="H59" s="480"/>
      <c r="I59" s="480"/>
      <c r="J59" s="66"/>
      <c r="K59" s="466"/>
      <c r="L59" s="66"/>
      <c r="M59" s="66"/>
      <c r="O59" s="59"/>
      <c r="P59" s="457"/>
      <c r="Q59" s="457"/>
      <c r="T59" s="66"/>
      <c r="V59" s="465"/>
      <c r="Y59" s="465"/>
      <c r="AB59" s="66"/>
      <c r="AC59" s="66"/>
      <c r="AD59" s="66"/>
    </row>
    <row r="60">
      <c r="A60" s="145"/>
      <c r="F60" s="15"/>
      <c r="G60" s="15"/>
      <c r="H60" s="480"/>
      <c r="I60" s="480"/>
      <c r="J60" s="66"/>
      <c r="K60" s="466"/>
      <c r="L60" s="66"/>
      <c r="M60" s="66"/>
      <c r="O60" s="59"/>
      <c r="P60" s="457"/>
      <c r="Q60" s="457"/>
      <c r="T60" s="66"/>
      <c r="V60" s="465"/>
      <c r="Y60" s="465"/>
      <c r="AB60" s="66"/>
      <c r="AC60" s="66"/>
      <c r="AD60" s="66"/>
    </row>
    <row r="61">
      <c r="A61" s="145"/>
      <c r="F61" s="15"/>
      <c r="G61" s="15"/>
      <c r="H61" s="480"/>
      <c r="I61" s="480"/>
      <c r="J61" s="66"/>
      <c r="K61" s="466"/>
      <c r="L61" s="66"/>
      <c r="M61" s="66"/>
      <c r="O61" s="59"/>
      <c r="P61" s="457"/>
      <c r="Q61" s="457"/>
      <c r="T61" s="66"/>
      <c r="V61" s="465"/>
      <c r="Y61" s="465"/>
      <c r="AB61" s="66"/>
      <c r="AC61" s="66"/>
      <c r="AD61" s="66"/>
    </row>
    <row r="62">
      <c r="A62" s="145"/>
      <c r="F62" s="15"/>
      <c r="G62" s="15"/>
      <c r="H62" s="480"/>
      <c r="I62" s="480"/>
      <c r="J62" s="66"/>
      <c r="K62" s="466"/>
      <c r="L62" s="66"/>
      <c r="M62" s="66"/>
      <c r="O62" s="59"/>
      <c r="P62" s="457"/>
      <c r="Q62" s="457"/>
      <c r="T62" s="66"/>
      <c r="V62" s="465"/>
      <c r="Y62" s="465"/>
      <c r="AB62" s="66"/>
      <c r="AC62" s="66"/>
      <c r="AD62" s="66"/>
    </row>
    <row r="63">
      <c r="A63" s="145"/>
      <c r="F63" s="15"/>
      <c r="G63" s="15"/>
      <c r="H63" s="480"/>
      <c r="I63" s="480"/>
      <c r="J63" s="66"/>
      <c r="K63" s="466"/>
      <c r="L63" s="66"/>
      <c r="M63" s="66"/>
      <c r="O63" s="59"/>
      <c r="P63" s="457"/>
      <c r="Q63" s="457"/>
      <c r="T63" s="66"/>
      <c r="V63" s="465"/>
      <c r="Y63" s="465"/>
      <c r="AB63" s="66"/>
      <c r="AC63" s="66"/>
      <c r="AD63" s="66"/>
    </row>
    <row r="64">
      <c r="A64" s="145"/>
      <c r="F64" s="15"/>
      <c r="G64" s="15"/>
      <c r="H64" s="480"/>
      <c r="I64" s="480"/>
      <c r="J64" s="66"/>
      <c r="K64" s="466"/>
      <c r="L64" s="66"/>
      <c r="M64" s="66"/>
      <c r="O64" s="59"/>
      <c r="P64" s="457"/>
      <c r="Q64" s="457"/>
      <c r="T64" s="66"/>
      <c r="V64" s="465"/>
      <c r="Y64" s="465"/>
      <c r="AB64" s="66"/>
      <c r="AC64" s="66"/>
      <c r="AD64" s="66"/>
    </row>
    <row r="65">
      <c r="A65" s="145"/>
      <c r="F65" s="15"/>
      <c r="G65" s="15"/>
      <c r="H65" s="480"/>
      <c r="I65" s="480"/>
      <c r="J65" s="66"/>
      <c r="K65" s="466"/>
      <c r="L65" s="66"/>
      <c r="M65" s="66"/>
      <c r="O65" s="59"/>
      <c r="P65" s="457"/>
      <c r="Q65" s="457"/>
      <c r="T65" s="66"/>
      <c r="V65" s="465"/>
      <c r="Y65" s="465"/>
      <c r="AB65" s="66"/>
      <c r="AC65" s="66"/>
      <c r="AD65" s="66"/>
    </row>
    <row r="66">
      <c r="A66" s="145"/>
      <c r="F66" s="15"/>
      <c r="G66" s="15"/>
      <c r="H66" s="480"/>
      <c r="I66" s="480"/>
      <c r="J66" s="66"/>
      <c r="K66" s="466"/>
      <c r="L66" s="66"/>
      <c r="M66" s="66"/>
      <c r="O66" s="59"/>
      <c r="P66" s="457"/>
      <c r="Q66" s="457"/>
      <c r="T66" s="66"/>
      <c r="V66" s="465"/>
      <c r="Y66" s="465"/>
      <c r="AB66" s="66"/>
      <c r="AC66" s="66"/>
      <c r="AD66" s="66"/>
    </row>
  </sheetData>
  <customSheetViews>
    <customSheetView guid="{4D3C7CA0-ACCC-4F50-A3C6-515B47606797}" filter="1" showAutoFilter="1">
      <autoFilter ref="$A$1:$AD$66">
        <filterColumn colId="4">
          <filters>
            <filter val="DE"/>
            <filter val="PT"/>
            <filter val="IT"/>
            <filter val="Senior agent"/>
            <filter val="FR"/>
            <filter val="AR"/>
            <filter val="TL"/>
            <filter val="ID"/>
            <filter val="PL"/>
            <filter val="PM"/>
            <filter val="TR"/>
          </filters>
        </filterColumn>
      </autoFilter>
    </customSheetView>
  </customSheetViews>
  <conditionalFormatting sqref="F2:F8 F10 F13:F42 F46:F50">
    <cfRule type="containsText" dxfId="8" priority="1" operator="containsText" text="OFF">
      <formula>NOT(ISERROR(SEARCH(("OFF"),(F2))))</formula>
    </cfRule>
  </conditionalFormatting>
  <conditionalFormatting sqref="F2:F8 F10 F13:F42 F46:F50">
    <cfRule type="containsText" dxfId="9" priority="2" operator="containsText" text="PERSONAL LEAVE">
      <formula>NOT(ISERROR(SEARCH(("PERSONAL LEAVE"),(F2))))</formula>
    </cfRule>
  </conditionalFormatting>
  <conditionalFormatting sqref="F2:F8 F10 F13:F42 F46:F50">
    <cfRule type="cellIs" dxfId="0" priority="3" operator="equal">
      <formula>"ABSENT"</formula>
    </cfRule>
  </conditionalFormatting>
  <conditionalFormatting sqref="F2:F8 F10 F13:F42 F46:F50">
    <cfRule type="cellIs" dxfId="10" priority="4" operator="equal">
      <formula>"BH"</formula>
    </cfRule>
  </conditionalFormatting>
  <conditionalFormatting sqref="J1:N66">
    <cfRule type="containsText" dxfId="0" priority="5" operator="containsText" text="Inactive">
      <formula>NOT(ISERROR(SEARCH(("Inactive"),(J1))))</formula>
    </cfRule>
  </conditionalFormatting>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7.29"/>
    <col customWidth="1" min="2" max="2" width="40.14"/>
  </cols>
  <sheetData>
    <row r="1">
      <c r="A1" s="481"/>
      <c r="B1" s="481" t="s">
        <v>1490</v>
      </c>
    </row>
    <row r="2">
      <c r="A2" s="1" t="str">
        <f>IFERROR(__xludf.DUMMYFUNCTION("unique('SoS - Agents Info'!A9:A1000)"),"João Guilherme Albuquerque Studart")</f>
        <v>João Guilherme Albuquerque Studart</v>
      </c>
      <c r="B2" s="145" t="str">
        <f>IFERROR(__xludf.DUMMYFUNCTION("unique('SoS - Agents Info'!B9:B1000)"),"#REF!")</f>
        <v>#REF!</v>
      </c>
    </row>
    <row r="3">
      <c r="A3" s="145" t="str">
        <f>IFERROR(__xludf.DUMMYFUNCTION("""COMPUTED_VALUE"""),"Tayllor de Oliveira Masi")</f>
        <v>Tayllor de Oliveira Masi</v>
      </c>
      <c r="B3" s="145"/>
    </row>
    <row r="4">
      <c r="A4" s="145" t="str">
        <f>IFERROR(__xludf.DUMMYFUNCTION("""COMPUTED_VALUE"""),"Thercio Augusto Pires de Alencar Brandao")</f>
        <v>Thercio Augusto Pires de Alencar Brandao</v>
      </c>
      <c r="B4" s="145"/>
    </row>
    <row r="5">
      <c r="A5" s="145" t="str">
        <f>IFERROR(__xludf.DUMMYFUNCTION("""COMPUTED_VALUE"""),"Vivianne Mendonça")</f>
        <v>Vivianne Mendonça</v>
      </c>
      <c r="B5" s="145"/>
    </row>
    <row r="6">
      <c r="A6" s="145" t="str">
        <f>IFERROR(__xludf.DUMMYFUNCTION("""COMPUTED_VALUE"""),"Manoela Soares Medici Antunes")</f>
        <v>Manoela Soares Medici Antunes</v>
      </c>
      <c r="B6" s="145"/>
    </row>
    <row r="7">
      <c r="A7" s="145" t="str">
        <f>IFERROR(__xludf.DUMMYFUNCTION("""COMPUTED_VALUE"""),"Jose Edgardo Mass Madrid")</f>
        <v>Jose Edgardo Mass Madrid</v>
      </c>
      <c r="B7" s="145"/>
    </row>
    <row r="8">
      <c r="A8" s="145" t="str">
        <f>IFERROR(__xludf.DUMMYFUNCTION("""COMPUTED_VALUE"""),"Alyna Rylka")</f>
        <v>Alyna Rylka</v>
      </c>
      <c r="B8" s="145"/>
    </row>
    <row r="9">
      <c r="A9" s="145" t="str">
        <f>IFERROR(__xludf.DUMMYFUNCTION("""COMPUTED_VALUE"""),"Ronan Garcia")</f>
        <v>Ronan Garcia</v>
      </c>
      <c r="B9" s="145"/>
    </row>
    <row r="10">
      <c r="A10" s="145" t="str">
        <f>IFERROR(__xludf.DUMMYFUNCTION("""COMPUTED_VALUE"""),"Sascha Miller")</f>
        <v>Sascha Miller</v>
      </c>
      <c r="B10" s="145"/>
    </row>
    <row r="11">
      <c r="A11" s="145" t="str">
        <f>IFERROR(__xludf.DUMMYFUNCTION("""COMPUTED_VALUE"""),"Marcus Kiefer")</f>
        <v>Marcus Kiefer</v>
      </c>
      <c r="B11" s="145"/>
    </row>
    <row r="12">
      <c r="A12" s="145" t="str">
        <f>IFERROR(__xludf.DUMMYFUNCTION("""COMPUTED_VALUE"""),"Douglas Ariel Acosta Flores")</f>
        <v>Douglas Ariel Acosta Flores</v>
      </c>
      <c r="B12" s="145"/>
    </row>
    <row r="13">
      <c r="A13" s="145" t="str">
        <f>IFERROR(__xludf.DUMMYFUNCTION("""COMPUTED_VALUE"""),"Javier Alfredo Islas")</f>
        <v>Javier Alfredo Islas</v>
      </c>
      <c r="B13" s="145"/>
    </row>
    <row r="14">
      <c r="A14" s="145" t="str">
        <f>IFERROR(__xludf.DUMMYFUNCTION("""COMPUTED_VALUE"""),"Natalia Vorobyeva")</f>
        <v>Natalia Vorobyeva</v>
      </c>
      <c r="B14" s="145"/>
    </row>
    <row r="15">
      <c r="A15" s="145" t="str">
        <f>IFERROR(__xludf.DUMMYFUNCTION("""COMPUTED_VALUE"""),"Juan Manuel Verrone")</f>
        <v>Juan Manuel Verrone</v>
      </c>
      <c r="B15" s="145"/>
    </row>
    <row r="16">
      <c r="A16" s="145" t="str">
        <f>IFERROR(__xludf.DUMMYFUNCTION("""COMPUTED_VALUE"""),"Bryan Fernando Barahona Paiz")</f>
        <v>Bryan Fernando Barahona Paiz</v>
      </c>
      <c r="B16" s="145"/>
    </row>
    <row r="17">
      <c r="A17" s="145" t="str">
        <f>IFERROR(__xludf.DUMMYFUNCTION("""COMPUTED_VALUE"""),"Vladyslav Tretyak")</f>
        <v>Vladyslav Tretyak</v>
      </c>
      <c r="B17" s="145"/>
    </row>
    <row r="18">
      <c r="A18" s="145" t="str">
        <f>IFERROR(__xludf.DUMMYFUNCTION("""COMPUTED_VALUE"""),"Timo Jueptner")</f>
        <v>Timo Jueptner</v>
      </c>
      <c r="B18" s="145"/>
    </row>
    <row r="19">
      <c r="A19" s="145" t="str">
        <f>IFERROR(__xludf.DUMMYFUNCTION("""COMPUTED_VALUE"""),"Facundo Lasarte")</f>
        <v>Facundo Lasarte</v>
      </c>
      <c r="B19" s="145"/>
    </row>
    <row r="20">
      <c r="A20" s="145" t="str">
        <f>IFERROR(__xludf.DUMMYFUNCTION("""COMPUTED_VALUE"""),"Zeljko Randic")</f>
        <v>Zeljko Randic</v>
      </c>
      <c r="B20" s="145"/>
    </row>
    <row r="21">
      <c r="A21" s="145" t="str">
        <f>IFERROR(__xludf.DUMMYFUNCTION("""COMPUTED_VALUE"""),"Carlos Andres Albarracin Calvopina")</f>
        <v>Carlos Andres Albarracin Calvopina</v>
      </c>
      <c r="B21" s="145"/>
    </row>
    <row r="22">
      <c r="A22" s="145" t="str">
        <f>IFERROR(__xludf.DUMMYFUNCTION("""COMPUTED_VALUE"""),"Bruno Souza Gonçales")</f>
        <v>Bruno Souza Gonçales</v>
      </c>
      <c r="B22" s="145"/>
    </row>
    <row r="23">
      <c r="A23" s="145" t="str">
        <f>IFERROR(__xludf.DUMMYFUNCTION("""COMPUTED_VALUE"""),"Bruno Salvio Toledo")</f>
        <v>Bruno Salvio Toledo</v>
      </c>
      <c r="B23" s="145"/>
    </row>
    <row r="24">
      <c r="A24" s="145" t="str">
        <f>IFERROR(__xludf.DUMMYFUNCTION("""COMPUTED_VALUE"""),"Eddi Dostatni")</f>
        <v>Eddi Dostatni</v>
      </c>
      <c r="B24" s="145"/>
    </row>
    <row r="25">
      <c r="A25" s="145" t="str">
        <f>IFERROR(__xludf.DUMMYFUNCTION("""COMPUTED_VALUE"""),"Guilherme Torres de Melo Rolim")</f>
        <v>Guilherme Torres de Melo Rolim</v>
      </c>
      <c r="B25" s="145"/>
    </row>
    <row r="26">
      <c r="A26" s="145" t="str">
        <f>IFERROR(__xludf.DUMMYFUNCTION("""COMPUTED_VALUE"""),"Gabriel Zambrano")</f>
        <v>Gabriel Zambrano</v>
      </c>
      <c r="B26" s="145"/>
    </row>
    <row r="27">
      <c r="A27" s="145" t="str">
        <f>IFERROR(__xludf.DUMMYFUNCTION("""COMPUTED_VALUE"""),"Gustavo Albano")</f>
        <v>Gustavo Albano</v>
      </c>
      <c r="B27" s="145"/>
    </row>
    <row r="28">
      <c r="A28" s="145" t="str">
        <f>IFERROR(__xludf.DUMMYFUNCTION("""COMPUTED_VALUE"""),"Paulo Ximenes")</f>
        <v>Paulo Ximenes</v>
      </c>
      <c r="B28" s="145"/>
    </row>
    <row r="29">
      <c r="A29" s="145" t="str">
        <f>IFERROR(__xludf.DUMMYFUNCTION("""COMPUTED_VALUE"""),"Thiago Martins")</f>
        <v>Thiago Martins</v>
      </c>
      <c r="B29" s="145"/>
    </row>
    <row r="30">
      <c r="A30" s="145" t="str">
        <f>IFERROR(__xludf.DUMMYFUNCTION("""COMPUTED_VALUE"""),"Airton Oliva Marques")</f>
        <v>Airton Oliva Marques</v>
      </c>
      <c r="B30" s="145"/>
    </row>
    <row r="31">
      <c r="A31" s="145" t="str">
        <f>IFERROR(__xludf.DUMMYFUNCTION("""COMPUTED_VALUE"""),"Akzharkyn Kozhageldiyeva")</f>
        <v>Akzharkyn Kozhageldiyeva</v>
      </c>
      <c r="B31" s="145"/>
    </row>
    <row r="32">
      <c r="A32" s="145" t="str">
        <f>IFERROR(__xludf.DUMMYFUNCTION("""COMPUTED_VALUE"""),"Angelo Tabada")</f>
        <v>Angelo Tabada</v>
      </c>
      <c r="B32" s="145"/>
    </row>
    <row r="33">
      <c r="A33" s="145" t="str">
        <f>IFERROR(__xludf.DUMMYFUNCTION("""COMPUTED_VALUE"""),"Hans Anderson Co")</f>
        <v>Hans Anderson Co</v>
      </c>
      <c r="B33" s="145"/>
    </row>
    <row r="34">
      <c r="A34" s="145" t="str">
        <f>IFERROR(__xludf.DUMMYFUNCTION("""COMPUTED_VALUE"""),"Jose Mari Kanazawa")</f>
        <v>Jose Mari Kanazawa</v>
      </c>
      <c r="B34" s="145"/>
    </row>
    <row r="35">
      <c r="A35" s="145" t="str">
        <f>IFERROR(__xludf.DUMMYFUNCTION("""COMPUTED_VALUE"""),"Othmane Abidar")</f>
        <v>Othmane Abidar</v>
      </c>
      <c r="B35" s="145"/>
    </row>
    <row r="36">
      <c r="A36" s="145" t="str">
        <f>IFERROR(__xludf.DUMMYFUNCTION("""COMPUTED_VALUE"""),"Ramon César Roberto")</f>
        <v>Ramon César Roberto</v>
      </c>
      <c r="B36" s="145"/>
    </row>
    <row r="37">
      <c r="A37" s="145" t="str">
        <f>IFERROR(__xludf.DUMMYFUNCTION("""COMPUTED_VALUE"""),"Jorge Almeida")</f>
        <v>Jorge Almeida</v>
      </c>
      <c r="B37" s="145"/>
    </row>
    <row r="38">
      <c r="A38" s="145" t="str">
        <f>IFERROR(__xludf.DUMMYFUNCTION("""COMPUTED_VALUE"""),"Enrico Fasani")</f>
        <v>Enrico Fasani</v>
      </c>
      <c r="B38" s="145"/>
    </row>
    <row r="39">
      <c r="A39" s="145" t="str">
        <f>IFERROR(__xludf.DUMMYFUNCTION("""COMPUTED_VALUE"""),"Guilherme Perottoni Araujo")</f>
        <v>Guilherme Perottoni Araujo</v>
      </c>
      <c r="B39" s="145"/>
    </row>
    <row r="40">
      <c r="A40" s="145" t="str">
        <f>IFERROR(__xludf.DUMMYFUNCTION("""COMPUTED_VALUE"""),"Yonatan Suhardi")</f>
        <v>Yonatan Suhardi</v>
      </c>
      <c r="B40" s="145"/>
    </row>
    <row r="41">
      <c r="A41" s="145" t="str">
        <f>IFERROR(__xludf.DUMMYFUNCTION("""COMPUTED_VALUE"""),"Ekaterina Bochkareva")</f>
        <v>Ekaterina Bochkareva</v>
      </c>
      <c r="B41" s="145"/>
    </row>
    <row r="42">
      <c r="A42" s="145" t="str">
        <f>IFERROR(__xludf.DUMMYFUNCTION("""COMPUTED_VALUE"""),"Yury Esin")</f>
        <v>Yury Esin</v>
      </c>
      <c r="B42" s="145"/>
    </row>
    <row r="43">
      <c r="A43" s="145" t="str">
        <f>IFERROR(__xludf.DUMMYFUNCTION("""COMPUTED_VALUE"""),"Kamil Pabin")</f>
        <v>Kamil Pabin</v>
      </c>
      <c r="B43" s="145"/>
    </row>
    <row r="44">
      <c r="A44" s="145" t="str">
        <f>IFERROR(__xludf.DUMMYFUNCTION("""COMPUTED_VALUE"""),"Mathilde Cantagrel")</f>
        <v>Mathilde Cantagrel</v>
      </c>
      <c r="B44" s="145"/>
    </row>
    <row r="45">
      <c r="A45" s="145" t="str">
        <f>IFERROR(__xludf.DUMMYFUNCTION("""COMPUTED_VALUE"""),"Oussama El Hoz")</f>
        <v>Oussama El Hoz</v>
      </c>
      <c r="B45" s="145"/>
    </row>
    <row r="46">
      <c r="A46" s="145" t="str">
        <f>IFERROR(__xludf.DUMMYFUNCTION("""COMPUTED_VALUE"""),"Grigory Stepanishev")</f>
        <v>Grigory Stepanishev</v>
      </c>
      <c r="B46" s="145"/>
    </row>
    <row r="47">
      <c r="A47" s="145" t="str">
        <f>IFERROR(__xludf.DUMMYFUNCTION("""COMPUTED_VALUE"""),"Martin Rostagno")</f>
        <v>Martin Rostagno</v>
      </c>
      <c r="B47" s="145"/>
    </row>
    <row r="48">
      <c r="A48" s="145" t="str">
        <f>IFERROR(__xludf.DUMMYFUNCTION("""COMPUTED_VALUE"""),"Mykhailo Tarantsov")</f>
        <v>Mykhailo Tarantsov</v>
      </c>
      <c r="B48" s="145"/>
    </row>
    <row r="49">
      <c r="A49" s="145" t="str">
        <f>IFERROR(__xludf.DUMMYFUNCTION("""COMPUTED_VALUE"""),"Christian Ries")</f>
        <v>Christian Ries</v>
      </c>
      <c r="B49" s="145"/>
    </row>
    <row r="50">
      <c r="A50" s="145" t="str">
        <f>IFERROR(__xludf.DUMMYFUNCTION("""COMPUTED_VALUE"""),"Katherine Keen")</f>
        <v>Katherine Keen</v>
      </c>
      <c r="B50" s="145"/>
    </row>
    <row r="51">
      <c r="A51" s="145" t="str">
        <f>IFERROR(__xludf.DUMMYFUNCTION("""COMPUTED_VALUE"""),"Kokoh Dahono Murti")</f>
        <v>Kokoh Dahono Murti</v>
      </c>
      <c r="B51" s="145"/>
    </row>
    <row r="52">
      <c r="A52" s="145" t="str">
        <f>IFERROR(__xludf.DUMMYFUNCTION("""COMPUTED_VALUE"""),"Mateus Cavalheiro de Sousa")</f>
        <v>Mateus Cavalheiro de Sousa</v>
      </c>
      <c r="B52" s="145"/>
    </row>
    <row r="53">
      <c r="A53" s="145" t="str">
        <f>IFERROR(__xludf.DUMMYFUNCTION("""COMPUTED_VALUE"""),"Andrzej Karabasz")</f>
        <v>Andrzej Karabasz</v>
      </c>
      <c r="B53" s="145"/>
    </row>
    <row r="54">
      <c r="A54" s="145" t="str">
        <f>IFERROR(__xludf.DUMMYFUNCTION("""COMPUTED_VALUE"""),"Gisellie Abiva")</f>
        <v>Gisellie Abiva</v>
      </c>
      <c r="B54" s="145"/>
    </row>
    <row r="55">
      <c r="A55" s="145" t="str">
        <f>IFERROR(__xludf.DUMMYFUNCTION("""COMPUTED_VALUE"""),"Kevin Craig")</f>
        <v>Kevin Craig</v>
      </c>
      <c r="B55" s="145"/>
    </row>
    <row r="56">
      <c r="A56" s="145" t="str">
        <f>IFERROR(__xludf.DUMMYFUNCTION("""COMPUTED_VALUE"""),"Ricardo Flores")</f>
        <v>Ricardo Flores</v>
      </c>
      <c r="B56" s="145"/>
    </row>
    <row r="57">
      <c r="A57" s="145" t="str">
        <f>IFERROR(__xludf.DUMMYFUNCTION("""COMPUTED_VALUE"""),"Alexander Myaldzin")</f>
        <v>Alexander Myaldzin</v>
      </c>
      <c r="B57" s="145"/>
    </row>
    <row r="58">
      <c r="A58" s="145" t="str">
        <f>IFERROR(__xludf.DUMMYFUNCTION("""COMPUTED_VALUE"""),"Michael Gerard Smyth")</f>
        <v>Michael Gerard Smyth</v>
      </c>
      <c r="B58" s="145"/>
    </row>
    <row r="59">
      <c r="A59" s="145" t="str">
        <f>IFERROR(__xludf.DUMMYFUNCTION("""COMPUTED_VALUE"""),"Chaimaa Elaimeur")</f>
        <v>Chaimaa Elaimeur</v>
      </c>
      <c r="B59" s="145"/>
    </row>
    <row r="60">
      <c r="A60" s="145" t="str">
        <f>IFERROR(__xludf.DUMMYFUNCTION("""COMPUTED_VALUE"""),"Dmitry Patrushev")</f>
        <v>Dmitry Patrushev</v>
      </c>
      <c r="B60" s="145"/>
    </row>
    <row r="61">
      <c r="A61" s="145" t="str">
        <f>IFERROR(__xludf.DUMMYFUNCTION("""COMPUTED_VALUE"""),"Yassine Ekkazani")</f>
        <v>Yassine Ekkazani</v>
      </c>
      <c r="B61" s="145"/>
    </row>
    <row r="62">
      <c r="A62" s="145" t="str">
        <f>IFERROR(__xludf.DUMMYFUNCTION("""COMPUTED_VALUE"""),"Che-jung Yu")</f>
        <v>Che-jung Yu</v>
      </c>
      <c r="B62" s="145"/>
    </row>
    <row r="63">
      <c r="A63" s="145" t="str">
        <f>IFERROR(__xludf.DUMMYFUNCTION("""COMPUTED_VALUE"""),"Amin Majindi")</f>
        <v>Amin Majindi</v>
      </c>
      <c r="B63" s="145"/>
    </row>
    <row r="64">
      <c r="A64" s="145" t="str">
        <f>IFERROR(__xludf.DUMMYFUNCTION("""COMPUTED_VALUE"""),"Evgenii Ovcharov")</f>
        <v>Evgenii Ovcharov</v>
      </c>
      <c r="B64" s="145"/>
    </row>
    <row r="65">
      <c r="A65" s="145" t="str">
        <f>IFERROR(__xludf.DUMMYFUNCTION("""COMPUTED_VALUE"""),"Alex Sidki")</f>
        <v>Alex Sidki</v>
      </c>
      <c r="B65" s="145"/>
    </row>
    <row r="66">
      <c r="A66" s="145" t="str">
        <f>IFERROR(__xludf.DUMMYFUNCTION("""COMPUTED_VALUE"""),"Valentin Cieur")</f>
        <v>Valentin Cieur</v>
      </c>
      <c r="B66" s="145"/>
    </row>
    <row r="67">
      <c r="A67" s="145" t="str">
        <f>IFERROR(__xludf.DUMMYFUNCTION("""COMPUTED_VALUE"""),"Tomás Mendez")</f>
        <v>Tomás Mendez</v>
      </c>
      <c r="B67" s="145"/>
    </row>
    <row r="68">
      <c r="A68" s="145" t="str">
        <f>IFERROR(__xludf.DUMMYFUNCTION("""COMPUTED_VALUE"""),"Adam Ellison")</f>
        <v>Adam Ellison</v>
      </c>
      <c r="B68" s="145"/>
    </row>
    <row r="69">
      <c r="A69" s="145" t="str">
        <f>IFERROR(__xludf.DUMMYFUNCTION("""COMPUTED_VALUE"""),"Eliana Galanda")</f>
        <v>Eliana Galanda</v>
      </c>
      <c r="B69" s="145"/>
    </row>
    <row r="70">
      <c r="A70" s="145" t="str">
        <f>IFERROR(__xludf.DUMMYFUNCTION("""COMPUTED_VALUE"""),"Ian Daroz")</f>
        <v>Ian Daroz</v>
      </c>
      <c r="B70" s="145"/>
    </row>
    <row r="71">
      <c r="A71" s="145" t="str">
        <f>IFERROR(__xludf.DUMMYFUNCTION("""COMPUTED_VALUE"""),"Stefan Nikolas Pacifici Schroeder")</f>
        <v>Stefan Nikolas Pacifici Schroeder</v>
      </c>
      <c r="B71" s="145"/>
    </row>
    <row r="72">
      <c r="A72" s="145" t="str">
        <f>IFERROR(__xludf.DUMMYFUNCTION("""COMPUTED_VALUE"""),"Julie Grace So")</f>
        <v>Julie Grace So</v>
      </c>
      <c r="B72" s="145"/>
    </row>
    <row r="73">
      <c r="A73" s="145" t="str">
        <f>IFERROR(__xludf.DUMMYFUNCTION("""COMPUTED_VALUE"""),"Ramilia Nurutdinova")</f>
        <v>Ramilia Nurutdinova</v>
      </c>
      <c r="B73" s="145"/>
    </row>
    <row r="74">
      <c r="A74" s="145" t="str">
        <f>IFERROR(__xludf.DUMMYFUNCTION("""COMPUTED_VALUE"""),"Alexander Snetkov")</f>
        <v>Alexander Snetkov</v>
      </c>
      <c r="B74" s="145"/>
    </row>
    <row r="75">
      <c r="A75" s="145" t="str">
        <f>IFERROR(__xludf.DUMMYFUNCTION("""COMPUTED_VALUE"""),"Lídia Aguiar Bezerra")</f>
        <v>Lídia Aguiar Bezerra</v>
      </c>
      <c r="B75" s="145"/>
    </row>
    <row r="76">
      <c r="A76" s="145" t="str">
        <f>IFERROR(__xludf.DUMMYFUNCTION("""COMPUTED_VALUE"""),"Tatiana Kummer")</f>
        <v>Tatiana Kummer</v>
      </c>
      <c r="B76" s="145"/>
    </row>
    <row r="77">
      <c r="A77" s="145" t="str">
        <f>IFERROR(__xludf.DUMMYFUNCTION("""COMPUTED_VALUE"""),"Xiogenys Pineda")</f>
        <v>Xiogenys Pineda</v>
      </c>
      <c r="B77" s="145"/>
    </row>
    <row r="78">
      <c r="A78" s="145" t="str">
        <f>IFERROR(__xludf.DUMMYFUNCTION("""COMPUTED_VALUE"""),"Gernot Orgler")</f>
        <v>Gernot Orgler</v>
      </c>
      <c r="B78" s="145"/>
    </row>
    <row r="79">
      <c r="A79" s="145" t="str">
        <f>IFERROR(__xludf.DUMMYFUNCTION("""COMPUTED_VALUE"""),"Karl Matthew Domingo Torres")</f>
        <v>Karl Matthew Domingo Torres</v>
      </c>
      <c r="B79" s="145"/>
    </row>
    <row r="80">
      <c r="A80" s="145" t="str">
        <f>IFERROR(__xludf.DUMMYFUNCTION("""COMPUTED_VALUE"""),"Rachelle Anne Manalo")</f>
        <v>Rachelle Anne Manalo</v>
      </c>
      <c r="B80" s="145"/>
    </row>
    <row r="81">
      <c r="A81" s="145" t="str">
        <f>IFERROR(__xludf.DUMMYFUNCTION("""COMPUTED_VALUE"""),"Ricardo Abelin Fleck")</f>
        <v>Ricardo Abelin Fleck</v>
      </c>
      <c r="B81" s="145"/>
    </row>
    <row r="82">
      <c r="A82" s="145" t="str">
        <f>IFERROR(__xludf.DUMMYFUNCTION("""COMPUTED_VALUE"""),"Victor Macário")</f>
        <v>Victor Macário</v>
      </c>
      <c r="B82" s="145"/>
    </row>
    <row r="83">
      <c r="A83" s="145" t="str">
        <f>IFERROR(__xludf.DUMMYFUNCTION("""COMPUTED_VALUE"""),"Rabia Türten")</f>
        <v>Rabia Türten</v>
      </c>
      <c r="B83" s="145"/>
    </row>
    <row r="84">
      <c r="A84" s="145" t="str">
        <f>IFERROR(__xludf.DUMMYFUNCTION("""COMPUTED_VALUE"""),"Amanda Philot Trotta")</f>
        <v>Amanda Philot Trotta</v>
      </c>
      <c r="B84" s="145"/>
    </row>
    <row r="85">
      <c r="A85" s="145" t="str">
        <f>IFERROR(__xludf.DUMMYFUNCTION("""COMPUTED_VALUE"""),"Daniel Kovacs")</f>
        <v>Daniel Kovacs</v>
      </c>
      <c r="B85" s="1" t="s">
        <v>960</v>
      </c>
    </row>
    <row r="86">
      <c r="A86" s="145" t="str">
        <f>IFERROR(__xludf.DUMMYFUNCTION("""COMPUTED_VALUE"""),"Endrio de Oliveira Lima")</f>
        <v>Endrio de Oliveira Lima</v>
      </c>
      <c r="B86" s="145" t="s">
        <v>425</v>
      </c>
    </row>
    <row r="87">
      <c r="A87" s="145" t="str">
        <f>IFERROR(__xludf.DUMMYFUNCTION("""COMPUTED_VALUE"""),"Stefan Tesic")</f>
        <v>Stefan Tesic</v>
      </c>
    </row>
    <row r="88">
      <c r="A88" s="145" t="str">
        <f>IFERROR(__xludf.DUMMYFUNCTION("""COMPUTED_VALUE"""),"Diana Dobrovolskaja")</f>
        <v>Diana Dobrovolskaja</v>
      </c>
    </row>
    <row r="89">
      <c r="A89" s="145" t="str">
        <f>IFERROR(__xludf.DUMMYFUNCTION("""COMPUTED_VALUE"""),"Stefan Wunder Đokić")</f>
        <v>Stefan Wunder Đokić</v>
      </c>
    </row>
    <row r="90">
      <c r="A90" s="145" t="str">
        <f>IFERROR(__xludf.DUMMYFUNCTION("""COMPUTED_VALUE"""),"Guilherme Eduardo Atalla")</f>
        <v>Guilherme Eduardo Atalla</v>
      </c>
    </row>
    <row r="91">
      <c r="A91" s="145" t="str">
        <f>IFERROR(__xludf.DUMMYFUNCTION("""COMPUTED_VALUE"""),"Burak Emlik")</f>
        <v>Burak Emlik</v>
      </c>
    </row>
    <row r="92">
      <c r="A92" s="145" t="str">
        <f>IFERROR(__xludf.DUMMYFUNCTION("""COMPUTED_VALUE"""),"Dani Taylor")</f>
        <v>Dani Taylor</v>
      </c>
    </row>
    <row r="93">
      <c r="A93" s="145" t="str">
        <f>IFERROR(__xludf.DUMMYFUNCTION("""COMPUTED_VALUE"""),"Elif Emir")</f>
        <v>Elif Emir</v>
      </c>
    </row>
    <row r="94">
      <c r="A94" s="145" t="str">
        <f>IFERROR(__xludf.DUMMYFUNCTION("""COMPUTED_VALUE"""),"Timothy Naldo")</f>
        <v>Timothy Naldo</v>
      </c>
    </row>
    <row r="95">
      <c r="A95" s="145" t="str">
        <f>IFERROR(__xludf.DUMMYFUNCTION("""COMPUTED_VALUE"""),"Malena Portuondo")</f>
        <v>Malena Portuondo</v>
      </c>
    </row>
    <row r="96">
      <c r="A96" s="145" t="str">
        <f>IFERROR(__xludf.DUMMYFUNCTION("""COMPUTED_VALUE"""),"Nanthicha Meksuwan")</f>
        <v>Nanthicha Meksuwan</v>
      </c>
    </row>
    <row r="97">
      <c r="A97" s="145" t="str">
        <f>IFERROR(__xludf.DUMMYFUNCTION("""COMPUTED_VALUE"""),"Lorenzo Martin Vergel")</f>
        <v>Lorenzo Martin Vergel</v>
      </c>
    </row>
    <row r="98">
      <c r="A98" s="145" t="str">
        <f>IFERROR(__xludf.DUMMYFUNCTION("""COMPUTED_VALUE"""),"Sebastian Hadjidimitris")</f>
        <v>Sebastian Hadjidimitris</v>
      </c>
    </row>
    <row r="99">
      <c r="A99" s="145" t="str">
        <f>IFERROR(__xludf.DUMMYFUNCTION("""COMPUTED_VALUE"""),"Artur Venidiktov")</f>
        <v>Artur Venidiktov</v>
      </c>
    </row>
    <row r="100">
      <c r="A100" s="145" t="str">
        <f>IFERROR(__xludf.DUMMYFUNCTION("""COMPUTED_VALUE"""),"Coline Tan")</f>
        <v>Coline Tan</v>
      </c>
    </row>
    <row r="101">
      <c r="A101" s="145" t="str">
        <f>IFERROR(__xludf.DUMMYFUNCTION("""COMPUTED_VALUE"""),"Ladina Adjarain Majindi")</f>
        <v>Ladina Adjarain Majindi</v>
      </c>
    </row>
    <row r="102">
      <c r="A102" s="145" t="str">
        <f>IFERROR(__xludf.DUMMYFUNCTION("""COMPUTED_VALUE"""),"Rebeca de Cerqueira Mateus")</f>
        <v>Rebeca de Cerqueira Mateus</v>
      </c>
    </row>
    <row r="103">
      <c r="A103" s="145" t="str">
        <f>IFERROR(__xludf.DUMMYFUNCTION("""COMPUTED_VALUE"""),"Zul emyr Hadjula")</f>
        <v>Zul emyr Hadjula</v>
      </c>
    </row>
    <row r="104">
      <c r="A104" s="145" t="str">
        <f>IFERROR(__xludf.DUMMYFUNCTION("""COMPUTED_VALUE"""),"David Joshua Andres")</f>
        <v>David Joshua Andres</v>
      </c>
    </row>
    <row r="105">
      <c r="A105" s="145" t="str">
        <f>IFERROR(__xludf.DUMMYFUNCTION("""COMPUTED_VALUE"""),"Ellen Borba")</f>
        <v>Ellen Borba</v>
      </c>
    </row>
    <row r="106">
      <c r="A106" s="145" t="str">
        <f>IFERROR(__xludf.DUMMYFUNCTION("""COMPUTED_VALUE"""),"John Campos")</f>
        <v>John Campos</v>
      </c>
    </row>
    <row r="107">
      <c r="A107" s="145" t="str">
        <f>IFERROR(__xludf.DUMMYFUNCTION("""COMPUTED_VALUE"""),"Ceyhun Cengiz")</f>
        <v>Ceyhun Cengiz</v>
      </c>
    </row>
    <row r="108">
      <c r="A108" s="145" t="str">
        <f>IFERROR(__xludf.DUMMYFUNCTION("""COMPUTED_VALUE"""),"Zayad Mohamed Ayassi")</f>
        <v>Zayad Mohamed Ayassi</v>
      </c>
    </row>
    <row r="109">
      <c r="A109" s="145" t="str">
        <f>IFERROR(__xludf.DUMMYFUNCTION("""COMPUTED_VALUE"""),"Lucas Motta Freese de Carvalho")</f>
        <v>Lucas Motta Freese de Carvalho</v>
      </c>
    </row>
    <row r="110">
      <c r="A110" s="145" t="str">
        <f>IFERROR(__xludf.DUMMYFUNCTION("""COMPUTED_VALUE"""),"Ernesto Zapanta")</f>
        <v>Ernesto Zapanta</v>
      </c>
    </row>
    <row r="111">
      <c r="A111" s="145" t="str">
        <f>IFERROR(__xludf.DUMMYFUNCTION("""COMPUTED_VALUE"""),"Joshua Clarke")</f>
        <v>Joshua Clarke</v>
      </c>
    </row>
    <row r="112">
      <c r="A112" s="145" t="str">
        <f>IFERROR(__xludf.DUMMYFUNCTION("""COMPUTED_VALUE"""),"Licinio Gomes De Pina")</f>
        <v>Licinio Gomes De Pina</v>
      </c>
    </row>
    <row r="113">
      <c r="A113" s="145" t="str">
        <f>IFERROR(__xludf.DUMMYFUNCTION("""COMPUTED_VALUE"""),"Rodrigo Soares Silva")</f>
        <v>Rodrigo Soares Silva</v>
      </c>
    </row>
    <row r="114">
      <c r="A114" s="145" t="str">
        <f>IFERROR(__xludf.DUMMYFUNCTION("""COMPUTED_VALUE"""),"Wissal Dahir")</f>
        <v>Wissal Dahir</v>
      </c>
    </row>
    <row r="115">
      <c r="A115" s="145" t="str">
        <f>IFERROR(__xludf.DUMMYFUNCTION("""COMPUTED_VALUE"""),"Mohamed Zidan")</f>
        <v>Mohamed Zidan</v>
      </c>
    </row>
    <row r="116">
      <c r="A116" s="145" t="str">
        <f>IFERROR(__xludf.DUMMYFUNCTION("""COMPUTED_VALUE"""),"Pacome Kemeku Djoumessi")</f>
        <v>Pacome Kemeku Djoumessi</v>
      </c>
    </row>
    <row r="117">
      <c r="A117" s="145" t="str">
        <f>IFERROR(__xludf.DUMMYFUNCTION("""COMPUTED_VALUE"""),"Vicky Wu")</f>
        <v>Vicky Wu</v>
      </c>
    </row>
    <row r="118">
      <c r="A118" s="145" t="str">
        <f>IFERROR(__xludf.DUMMYFUNCTION("""COMPUTED_VALUE"""),"Jose Luis Alon")</f>
        <v>Jose Luis Alon</v>
      </c>
    </row>
    <row r="119">
      <c r="A119" s="145" t="str">
        <f>IFERROR(__xludf.DUMMYFUNCTION("""COMPUTED_VALUE"""),"Emanuel Alexander Koydl")</f>
        <v>Emanuel Alexander Koydl</v>
      </c>
    </row>
    <row r="120">
      <c r="A120" s="145" t="str">
        <f>IFERROR(__xludf.DUMMYFUNCTION("""COMPUTED_VALUE"""),"Eliezer Peña")</f>
        <v>Eliezer Peña</v>
      </c>
    </row>
    <row r="121">
      <c r="A121" s="145" t="str">
        <f>IFERROR(__xludf.DUMMYFUNCTION("""COMPUTED_VALUE"""),"Ralph Jerome Cruz")</f>
        <v>Ralph Jerome Cruz</v>
      </c>
    </row>
    <row r="122">
      <c r="A122" s="145" t="str">
        <f>IFERROR(__xludf.DUMMYFUNCTION("""COMPUTED_VALUE"""),"Anatolii Draliuk")</f>
        <v>Anatolii Draliuk</v>
      </c>
    </row>
    <row r="123">
      <c r="A123" s="145" t="str">
        <f>IFERROR(__xludf.DUMMYFUNCTION("""COMPUTED_VALUE"""),"Vladimir Dolgov")</f>
        <v>Vladimir Dolgov</v>
      </c>
    </row>
    <row r="124">
      <c r="A124" s="145" t="str">
        <f>IFERROR(__xludf.DUMMYFUNCTION("""COMPUTED_VALUE"""),"Cedric Rosa")</f>
        <v>Cedric Rosa</v>
      </c>
    </row>
    <row r="125">
      <c r="A125" s="145" t="str">
        <f>IFERROR(__xludf.DUMMYFUNCTION("""COMPUTED_VALUE"""),"Tauan Borgo François")</f>
        <v>Tauan Borgo François</v>
      </c>
    </row>
    <row r="126">
      <c r="A126" s="145" t="str">
        <f>IFERROR(__xludf.DUMMYFUNCTION("""COMPUTED_VALUE"""),"Oscar Alfonso Zendejas Nevarez")</f>
        <v>Oscar Alfonso Zendejas Nevarez</v>
      </c>
    </row>
    <row r="127">
      <c r="A127" s="145" t="str">
        <f>IFERROR(__xludf.DUMMYFUNCTION("""COMPUTED_VALUE"""),"Hanne Anette Barkerud Landmark")</f>
        <v>Hanne Anette Barkerud Landmark</v>
      </c>
    </row>
    <row r="128">
      <c r="A128" s="145" t="str">
        <f>IFERROR(__xludf.DUMMYFUNCTION("""COMPUTED_VALUE"""),"Zamzami Syadza")</f>
        <v>Zamzami Syadza</v>
      </c>
    </row>
    <row r="129">
      <c r="A129" s="145" t="str">
        <f>IFERROR(__xludf.DUMMYFUNCTION("""COMPUTED_VALUE"""),"Paultre Stuart Beaucejour")</f>
        <v>Paultre Stuart Beaucejour</v>
      </c>
    </row>
    <row r="130">
      <c r="A130" s="145" t="str">
        <f>IFERROR(__xludf.DUMMYFUNCTION("""COMPUTED_VALUE"""),"Kaelen Bandao")</f>
        <v>Kaelen Bandao</v>
      </c>
    </row>
    <row r="131">
      <c r="A131" s="145" t="str">
        <f>IFERROR(__xludf.DUMMYFUNCTION("""COMPUTED_VALUE"""),"Katherine Joy Veneracion")</f>
        <v>Katherine Joy Veneracion</v>
      </c>
    </row>
    <row r="132">
      <c r="A132" s="145" t="str">
        <f>IFERROR(__xludf.DUMMYFUNCTION("""COMPUTED_VALUE"""),"Marlon Nicho Ferrero")</f>
        <v>Marlon Nicho Ferrero</v>
      </c>
    </row>
    <row r="133">
      <c r="A133" s="145" t="str">
        <f>IFERROR(__xludf.DUMMYFUNCTION("""COMPUTED_VALUE"""),"Rachel Cruz")</f>
        <v>Rachel Cruz</v>
      </c>
    </row>
    <row r="134">
      <c r="A134" s="145" t="str">
        <f>IFERROR(__xludf.DUMMYFUNCTION("""COMPUTED_VALUE"""),"Rafael Palmieri")</f>
        <v>Rafael Palmieri</v>
      </c>
    </row>
    <row r="135">
      <c r="A135" s="145" t="str">
        <f>IFERROR(__xludf.DUMMYFUNCTION("""COMPUTED_VALUE"""),"Farouk Saboula")</f>
        <v>Farouk Saboula</v>
      </c>
    </row>
    <row r="136">
      <c r="A136" s="145" t="str">
        <f>IFERROR(__xludf.DUMMYFUNCTION("""COMPUTED_VALUE"""),"José Agustín Torti Candellero")</f>
        <v>José Agustín Torti Candellero</v>
      </c>
    </row>
    <row r="137">
      <c r="A137" s="145" t="str">
        <f>IFERROR(__xludf.DUMMYFUNCTION("""COMPUTED_VALUE"""),"Hamza Benchreik")</f>
        <v>Hamza Benchreik</v>
      </c>
    </row>
    <row r="138">
      <c r="A138" s="145" t="str">
        <f>IFERROR(__xludf.DUMMYFUNCTION("""COMPUTED_VALUE"""),"Arthur Tellechea Inda de Almeida")</f>
        <v>Arthur Tellechea Inda de Almeida</v>
      </c>
    </row>
    <row r="139">
      <c r="A139" s="145" t="str">
        <f>IFERROR(__xludf.DUMMYFUNCTION("""COMPUTED_VALUE"""),"Braulio de Araujo Braga")</f>
        <v>Braulio de Araujo Braga</v>
      </c>
    </row>
    <row r="140">
      <c r="A140" s="145" t="str">
        <f>IFERROR(__xludf.DUMMYFUNCTION("""COMPUTED_VALUE"""),"Esther Elaweremi")</f>
        <v>Esther Elaweremi</v>
      </c>
    </row>
    <row r="141">
      <c r="A141" s="145" t="str">
        <f>IFERROR(__xludf.DUMMYFUNCTION("""COMPUTED_VALUE"""),"Jesus Antonio Mejia Vasquez")</f>
        <v>Jesus Antonio Mejia Vasquez</v>
      </c>
    </row>
    <row r="142">
      <c r="A142" s="145" t="str">
        <f>IFERROR(__xludf.DUMMYFUNCTION("""COMPUTED_VALUE"""),"Milos Martinovic")</f>
        <v>Milos Martinovic</v>
      </c>
    </row>
    <row r="143">
      <c r="A143" s="145" t="str">
        <f>IFERROR(__xludf.DUMMYFUNCTION("""COMPUTED_VALUE"""),"Mohamed Amine Boudguig")</f>
        <v>Mohamed Amine Boudguig</v>
      </c>
    </row>
    <row r="144">
      <c r="A144" s="145" t="str">
        <f>IFERROR(__xludf.DUMMYFUNCTION("""COMPUTED_VALUE"""),"Mohammed Bourassi")</f>
        <v>Mohammed Bourassi</v>
      </c>
    </row>
    <row r="145">
      <c r="A145" s="145" t="str">
        <f>IFERROR(__xludf.DUMMYFUNCTION("""COMPUTED_VALUE"""),"Bruno Allaria")</f>
        <v>Bruno Allaria</v>
      </c>
    </row>
    <row r="146">
      <c r="A146" s="145" t="str">
        <f>IFERROR(__xludf.DUMMYFUNCTION("""COMPUTED_VALUE"""),"Sukum Naralertsukumpong")</f>
        <v>Sukum Naralertsukumpong</v>
      </c>
    </row>
    <row r="147">
      <c r="A147" s="145" t="str">
        <f>IFERROR(__xludf.DUMMYFUNCTION("""COMPUTED_VALUE"""),"Allan Zambrano")</f>
        <v>Allan Zambrano</v>
      </c>
    </row>
    <row r="148">
      <c r="A148" s="145" t="str">
        <f>IFERROR(__xludf.DUMMYFUNCTION("""COMPUTED_VALUE"""),"Kapil Chawala")</f>
        <v>Kapil Chawala</v>
      </c>
    </row>
    <row r="149">
      <c r="A149" s="145" t="str">
        <f>IFERROR(__xludf.DUMMYFUNCTION("""COMPUTED_VALUE"""),"Larissa Rodrigues")</f>
        <v>Larissa Rodrigues</v>
      </c>
    </row>
    <row r="150">
      <c r="A150" s="145" t="str">
        <f>IFERROR(__xludf.DUMMYFUNCTION("""COMPUTED_VALUE"""),"Ksenia Lukyanova")</f>
        <v>Ksenia Lukyanova</v>
      </c>
    </row>
    <row r="151">
      <c r="A151" s="145" t="str">
        <f>IFERROR(__xludf.DUMMYFUNCTION("""COMPUTED_VALUE"""),"Clark Jesse Falv Olayvar")</f>
        <v>Clark Jesse Falv Olayvar</v>
      </c>
    </row>
    <row r="152">
      <c r="A152" s="145" t="str">
        <f>IFERROR(__xludf.DUMMYFUNCTION("""COMPUTED_VALUE"""),"Nikita Denisjuks")</f>
        <v>Nikita Denisjuks</v>
      </c>
    </row>
    <row r="153">
      <c r="A153" s="145" t="str">
        <f>IFERROR(__xludf.DUMMYFUNCTION("""COMPUTED_VALUE"""),"Armand Van As")</f>
        <v>Armand Van As</v>
      </c>
    </row>
    <row r="154">
      <c r="A154" s="145" t="str">
        <f>IFERROR(__xludf.DUMMYFUNCTION("""COMPUTED_VALUE"""),"Callum Riding-Smith")</f>
        <v>Callum Riding-Smith</v>
      </c>
    </row>
    <row r="155">
      <c r="A155" s="145" t="str">
        <f>IFERROR(__xludf.DUMMYFUNCTION("""COMPUTED_VALUE"""),"Huseyn Ismayilov")</f>
        <v>Huseyn Ismayilov</v>
      </c>
    </row>
    <row r="156">
      <c r="A156" s="145" t="str">
        <f>IFERROR(__xludf.DUMMYFUNCTION("""COMPUTED_VALUE"""),"Liliya Konovalova")</f>
        <v>Liliya Konovalova</v>
      </c>
    </row>
    <row r="157">
      <c r="A157" s="145" t="str">
        <f>IFERROR(__xludf.DUMMYFUNCTION("""COMPUTED_VALUE"""),"This sheet will no longer be updated, please find the new roster in the MGMT Dingtalk Chat!")</f>
        <v>This sheet will no longer be updated, please find the new roster in the MGMT Dingtalk Chat!</v>
      </c>
    </row>
    <row r="158">
      <c r="A158" s="145"/>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3.0"/>
    <col customWidth="1" min="3" max="3" width="24.29"/>
  </cols>
  <sheetData>
    <row r="1">
      <c r="A1" s="1" t="s">
        <v>1491</v>
      </c>
      <c r="C1" s="1" t="s">
        <v>1492</v>
      </c>
    </row>
    <row r="2">
      <c r="A2" s="482" t="str">
        <f>IFERROR(__xludf.DUMMYFUNCTION("filter('SoS - Agents Info'!A:A,'SoS - Agents Info'!L:L=""Active"")"),"Raffael Azevedo Andrade")</f>
        <v>Raffael Azevedo Andrade</v>
      </c>
      <c r="C2" s="353" t="str">
        <f>IFERROR(__xludf.DUMMYFUNCTION("filter('SoS - Agents Info'!A:A,'SoS - Agents Info'!L:L=""Active"",'SoS - Agents Info'!K:K&lt;=5)"),"Allan Zambrano")</f>
        <v>Allan Zambrano</v>
      </c>
    </row>
    <row r="3">
      <c r="A3" s="482" t="str">
        <f>IFERROR(__xludf.DUMMYFUNCTION("""COMPUTED_VALUE"""),"Gabriela Mello")</f>
        <v>Gabriela Mello</v>
      </c>
      <c r="C3" s="353" t="str">
        <f>IFERROR(__xludf.DUMMYFUNCTION("""COMPUTED_VALUE"""),"Kapil Chawala")</f>
        <v>Kapil Chawala</v>
      </c>
    </row>
    <row r="4">
      <c r="A4" s="482" t="str">
        <f>IFERROR(__xludf.DUMMYFUNCTION("""COMPUTED_VALUE"""),"Julian Soler")</f>
        <v>Julian Soler</v>
      </c>
      <c r="C4" s="349" t="str">
        <f>IFERROR(__xludf.DUMMYFUNCTION("""COMPUTED_VALUE"""),"Larissa Rodrigues")</f>
        <v>Larissa Rodrigues</v>
      </c>
    </row>
    <row r="5">
      <c r="A5" s="482" t="str">
        <f>IFERROR(__xludf.DUMMYFUNCTION("""COMPUTED_VALUE"""),"Kevin Eikmeier")</f>
        <v>Kevin Eikmeier</v>
      </c>
      <c r="C5" s="353" t="str">
        <f>IFERROR(__xludf.DUMMYFUNCTION("""COMPUTED_VALUE"""),"Ksenia Lukyanova")</f>
        <v>Ksenia Lukyanova</v>
      </c>
    </row>
    <row r="6">
      <c r="A6" s="482" t="str">
        <f>IFERROR(__xludf.DUMMYFUNCTION("""COMPUTED_VALUE"""),"Maria Luiza Hattler")</f>
        <v>Maria Luiza Hattler</v>
      </c>
      <c r="C6" s="349" t="str">
        <f>IFERROR(__xludf.DUMMYFUNCTION("""COMPUTED_VALUE"""),"Nikita Denisjuks")</f>
        <v>Nikita Denisjuks</v>
      </c>
    </row>
    <row r="7">
      <c r="A7" s="482" t="str">
        <f>IFERROR(__xludf.DUMMYFUNCTION("""COMPUTED_VALUE"""),"Matheus Ramos Cardoso Tinôco Cortez")</f>
        <v>Matheus Ramos Cardoso Tinôco Cortez</v>
      </c>
      <c r="C7" s="353" t="str">
        <f>IFERROR(__xludf.DUMMYFUNCTION("""COMPUTED_VALUE"""),"Armand Van As")</f>
        <v>Armand Van As</v>
      </c>
    </row>
    <row r="8">
      <c r="A8" s="482" t="str">
        <f>IFERROR(__xludf.DUMMYFUNCTION("""COMPUTED_VALUE"""),"Nicha Mahakanchanakul")</f>
        <v>Nicha Mahakanchanakul</v>
      </c>
      <c r="C8" s="349" t="str">
        <f>IFERROR(__xludf.DUMMYFUNCTION("""COMPUTED_VALUE"""),"Callum Riding-Smith")</f>
        <v>Callum Riding-Smith</v>
      </c>
    </row>
    <row r="9">
      <c r="A9" s="482" t="str">
        <f>IFERROR(__xludf.DUMMYFUNCTION("""COMPUTED_VALUE"""),"João Guilherme Albuquerque Studart")</f>
        <v>João Guilherme Albuquerque Studart</v>
      </c>
      <c r="C9" s="353" t="str">
        <f>IFERROR(__xludf.DUMMYFUNCTION("""COMPUTED_VALUE"""),"Huseyn Ismayilov")</f>
        <v>Huseyn Ismayilov</v>
      </c>
    </row>
    <row r="10">
      <c r="A10" s="482" t="str">
        <f>IFERROR(__xludf.DUMMYFUNCTION("""COMPUTED_VALUE"""),"Tayllor de Oliveira Masi")</f>
        <v>Tayllor de Oliveira Masi</v>
      </c>
      <c r="C10" s="349" t="str">
        <f>IFERROR(__xludf.DUMMYFUNCTION("""COMPUTED_VALUE"""),"Liliya Konovalova")</f>
        <v>Liliya Konovalova</v>
      </c>
    </row>
    <row r="11">
      <c r="A11" s="482" t="str">
        <f>IFERROR(__xludf.DUMMYFUNCTION("""COMPUTED_VALUE"""),"Thercio Augusto Pires de Alencar Brandao")</f>
        <v>Thercio Augusto Pires de Alencar Brandao</v>
      </c>
      <c r="C11" s="309" t="s">
        <v>1493</v>
      </c>
    </row>
    <row r="12">
      <c r="A12" s="482" t="str">
        <f>IFERROR(__xludf.DUMMYFUNCTION("""COMPUTED_VALUE"""),"Vivianne Mendonça")</f>
        <v>Vivianne Mendonça</v>
      </c>
      <c r="C12" s="254" t="s">
        <v>1494</v>
      </c>
    </row>
    <row r="13">
      <c r="A13" s="482" t="str">
        <f>IFERROR(__xludf.DUMMYFUNCTION("""COMPUTED_VALUE"""),"Jose Edgardo Mass Madrid")</f>
        <v>Jose Edgardo Mass Madrid</v>
      </c>
      <c r="C13" s="309" t="s">
        <v>1495</v>
      </c>
    </row>
    <row r="14">
      <c r="A14" s="482" t="str">
        <f>IFERROR(__xludf.DUMMYFUNCTION("""COMPUTED_VALUE"""),"Sascha Miller")</f>
        <v>Sascha Miller</v>
      </c>
      <c r="C14" s="254" t="s">
        <v>1496</v>
      </c>
    </row>
    <row r="15">
      <c r="A15" s="482" t="str">
        <f>IFERROR(__xludf.DUMMYFUNCTION("""COMPUTED_VALUE"""),"Marcus Kiefer")</f>
        <v>Marcus Kiefer</v>
      </c>
      <c r="C15" s="309" t="s">
        <v>1497</v>
      </c>
    </row>
    <row r="16">
      <c r="A16" s="482" t="str">
        <f>IFERROR(__xludf.DUMMYFUNCTION("""COMPUTED_VALUE"""),"Douglas Ariel Acosta Flores")</f>
        <v>Douglas Ariel Acosta Flores</v>
      </c>
      <c r="C16" s="254" t="s">
        <v>1498</v>
      </c>
    </row>
    <row r="17">
      <c r="A17" s="482" t="str">
        <f>IFERROR(__xludf.DUMMYFUNCTION("""COMPUTED_VALUE"""),"Juan Manuel Verrone")</f>
        <v>Juan Manuel Verrone</v>
      </c>
      <c r="C17" s="309" t="s">
        <v>1499</v>
      </c>
    </row>
    <row r="18">
      <c r="A18" s="482" t="str">
        <f>IFERROR(__xludf.DUMMYFUNCTION("""COMPUTED_VALUE"""),"Facundo Lasarte")</f>
        <v>Facundo Lasarte</v>
      </c>
      <c r="C18" s="1" t="s">
        <v>1500</v>
      </c>
    </row>
    <row r="19">
      <c r="A19" s="482" t="str">
        <f>IFERROR(__xludf.DUMMYFUNCTION("""COMPUTED_VALUE"""),"Zeljko Randic")</f>
        <v>Zeljko Randic</v>
      </c>
      <c r="C19" s="1" t="s">
        <v>1501</v>
      </c>
    </row>
    <row r="20">
      <c r="A20" s="482" t="str">
        <f>IFERROR(__xludf.DUMMYFUNCTION("""COMPUTED_VALUE"""),"Bruno Souza Gonçales")</f>
        <v>Bruno Souza Gonçales</v>
      </c>
      <c r="C20" s="1" t="s">
        <v>1502</v>
      </c>
    </row>
    <row r="21">
      <c r="A21" s="482" t="str">
        <f>IFERROR(__xludf.DUMMYFUNCTION("""COMPUTED_VALUE"""),"Bruno Salvio Toledo")</f>
        <v>Bruno Salvio Toledo</v>
      </c>
      <c r="C21" s="1" t="s">
        <v>1503</v>
      </c>
    </row>
    <row r="22">
      <c r="A22" s="482" t="str">
        <f>IFERROR(__xludf.DUMMYFUNCTION("""COMPUTED_VALUE"""),"Eddi Dostatni")</f>
        <v>Eddi Dostatni</v>
      </c>
      <c r="C22" s="1" t="s">
        <v>1504</v>
      </c>
    </row>
    <row r="23">
      <c r="A23" s="482" t="str">
        <f>IFERROR(__xludf.DUMMYFUNCTION("""COMPUTED_VALUE"""),"Guilherme Torres de Melo Rolim")</f>
        <v>Guilherme Torres de Melo Rolim</v>
      </c>
      <c r="C23" s="1" t="s">
        <v>1505</v>
      </c>
    </row>
    <row r="24">
      <c r="A24" s="482" t="str">
        <f>IFERROR(__xludf.DUMMYFUNCTION("""COMPUTED_VALUE"""),"Gabriel Zambrano")</f>
        <v>Gabriel Zambrano</v>
      </c>
      <c r="C24" s="1" t="s">
        <v>1299</v>
      </c>
    </row>
    <row r="25">
      <c r="A25" s="482" t="str">
        <f>IFERROR(__xludf.DUMMYFUNCTION("""COMPUTED_VALUE"""),"Gustavo Albano")</f>
        <v>Gustavo Albano</v>
      </c>
      <c r="C25" s="1" t="s">
        <v>1506</v>
      </c>
    </row>
    <row r="26">
      <c r="A26" s="482" t="str">
        <f>IFERROR(__xludf.DUMMYFUNCTION("""COMPUTED_VALUE"""),"Paulo Ximenes")</f>
        <v>Paulo Ximenes</v>
      </c>
      <c r="C26" s="1" t="s">
        <v>1507</v>
      </c>
    </row>
    <row r="27">
      <c r="A27" s="482" t="str">
        <f>IFERROR(__xludf.DUMMYFUNCTION("""COMPUTED_VALUE"""),"Thiago Martins")</f>
        <v>Thiago Martins</v>
      </c>
      <c r="C27" s="1" t="s">
        <v>1508</v>
      </c>
    </row>
    <row r="28">
      <c r="A28" s="482" t="str">
        <f>IFERROR(__xludf.DUMMYFUNCTION("""COMPUTED_VALUE"""),"Angelo Tabada")</f>
        <v>Angelo Tabada</v>
      </c>
      <c r="C28" s="1" t="s">
        <v>1509</v>
      </c>
    </row>
    <row r="29">
      <c r="A29" s="482" t="str">
        <f>IFERROR(__xludf.DUMMYFUNCTION("""COMPUTED_VALUE"""),"Hans Anderson Co")</f>
        <v>Hans Anderson Co</v>
      </c>
      <c r="C29" s="1" t="s">
        <v>1510</v>
      </c>
    </row>
    <row r="30">
      <c r="A30" s="482" t="str">
        <f>IFERROR(__xludf.DUMMYFUNCTION("""COMPUTED_VALUE"""),"Jose Mari Kanazawa")</f>
        <v>Jose Mari Kanazawa</v>
      </c>
      <c r="C30" s="1" t="s">
        <v>1511</v>
      </c>
    </row>
    <row r="31">
      <c r="A31" s="482" t="str">
        <f>IFERROR(__xludf.DUMMYFUNCTION("""COMPUTED_VALUE"""),"Othmane Abidar")</f>
        <v>Othmane Abidar</v>
      </c>
    </row>
    <row r="32">
      <c r="A32" s="482" t="str">
        <f>IFERROR(__xludf.DUMMYFUNCTION("""COMPUTED_VALUE"""),"Ramon César Roberto")</f>
        <v>Ramon César Roberto</v>
      </c>
    </row>
    <row r="33">
      <c r="A33" s="482" t="str">
        <f>IFERROR(__xludf.DUMMYFUNCTION("""COMPUTED_VALUE"""),"Enrico Fasani")</f>
        <v>Enrico Fasani</v>
      </c>
    </row>
    <row r="34">
      <c r="A34" s="482" t="str">
        <f>IFERROR(__xludf.DUMMYFUNCTION("""COMPUTED_VALUE"""),"Guilherme Perottoni Araujo")</f>
        <v>Guilherme Perottoni Araujo</v>
      </c>
    </row>
    <row r="35">
      <c r="A35" s="482" t="str">
        <f>IFERROR(__xludf.DUMMYFUNCTION("""COMPUTED_VALUE"""),"Yonatan Suhardi")</f>
        <v>Yonatan Suhardi</v>
      </c>
    </row>
    <row r="36">
      <c r="A36" s="482" t="str">
        <f>IFERROR(__xludf.DUMMYFUNCTION("""COMPUTED_VALUE"""),"Kamil Pabin")</f>
        <v>Kamil Pabin</v>
      </c>
    </row>
    <row r="37">
      <c r="A37" s="482" t="str">
        <f>IFERROR(__xludf.DUMMYFUNCTION("""COMPUTED_VALUE"""),"Mathilde Cantagrel")</f>
        <v>Mathilde Cantagrel</v>
      </c>
    </row>
    <row r="38">
      <c r="A38" s="482" t="str">
        <f>IFERROR(__xludf.DUMMYFUNCTION("""COMPUTED_VALUE"""),"Oussama El Hoz")</f>
        <v>Oussama El Hoz</v>
      </c>
    </row>
    <row r="39">
      <c r="A39" s="482" t="str">
        <f>IFERROR(__xludf.DUMMYFUNCTION("""COMPUTED_VALUE"""),"Katherine Keen")</f>
        <v>Katherine Keen</v>
      </c>
    </row>
    <row r="40">
      <c r="A40" s="482" t="str">
        <f>IFERROR(__xludf.DUMMYFUNCTION("""COMPUTED_VALUE"""),"Kokoh Dahono Murti")</f>
        <v>Kokoh Dahono Murti</v>
      </c>
    </row>
    <row r="41">
      <c r="A41" s="482" t="str">
        <f>IFERROR(__xludf.DUMMYFUNCTION("""COMPUTED_VALUE"""),"Mateus Cavalheiro de Sousa")</f>
        <v>Mateus Cavalheiro de Sousa</v>
      </c>
    </row>
    <row r="42">
      <c r="A42" s="482" t="str">
        <f>IFERROR(__xludf.DUMMYFUNCTION("""COMPUTED_VALUE"""),"Alexander Myaldzin")</f>
        <v>Alexander Myaldzin</v>
      </c>
    </row>
    <row r="43">
      <c r="A43" s="482" t="str">
        <f>IFERROR(__xludf.DUMMYFUNCTION("""COMPUTED_VALUE"""),"Michael Gerard Smyth")</f>
        <v>Michael Gerard Smyth</v>
      </c>
    </row>
    <row r="44">
      <c r="A44" s="482" t="str">
        <f>IFERROR(__xludf.DUMMYFUNCTION("""COMPUTED_VALUE"""),"Chaimaa Elaimeur")</f>
        <v>Chaimaa Elaimeur</v>
      </c>
    </row>
    <row r="45">
      <c r="A45" s="482" t="str">
        <f>IFERROR(__xludf.DUMMYFUNCTION("""COMPUTED_VALUE"""),"Dmitry Patrushev")</f>
        <v>Dmitry Patrushev</v>
      </c>
    </row>
    <row r="46">
      <c r="A46" s="482" t="str">
        <f>IFERROR(__xludf.DUMMYFUNCTION("""COMPUTED_VALUE"""),"Amin Majindi")</f>
        <v>Amin Majindi</v>
      </c>
    </row>
    <row r="47">
      <c r="A47" s="482" t="str">
        <f>IFERROR(__xludf.DUMMYFUNCTION("""COMPUTED_VALUE"""),"Evgenii Ovcharov")</f>
        <v>Evgenii Ovcharov</v>
      </c>
    </row>
    <row r="48">
      <c r="A48" s="482" t="str">
        <f>IFERROR(__xludf.DUMMYFUNCTION("""COMPUTED_VALUE"""),"Alex Sidki")</f>
        <v>Alex Sidki</v>
      </c>
    </row>
    <row r="49">
      <c r="A49" s="482" t="str">
        <f>IFERROR(__xludf.DUMMYFUNCTION("""COMPUTED_VALUE"""),"Valentin Cieur")</f>
        <v>Valentin Cieur</v>
      </c>
    </row>
    <row r="50">
      <c r="A50" s="482" t="str">
        <f>IFERROR(__xludf.DUMMYFUNCTION("""COMPUTED_VALUE"""),"Tomás Mendez")</f>
        <v>Tomás Mendez</v>
      </c>
    </row>
    <row r="51">
      <c r="A51" s="482" t="str">
        <f>IFERROR(__xludf.DUMMYFUNCTION("""COMPUTED_VALUE"""),"Adam Ellison")</f>
        <v>Adam Ellison</v>
      </c>
    </row>
    <row r="52">
      <c r="A52" s="482" t="str">
        <f>IFERROR(__xludf.DUMMYFUNCTION("""COMPUTED_VALUE"""),"Eliana Galanda")</f>
        <v>Eliana Galanda</v>
      </c>
    </row>
    <row r="53">
      <c r="A53" s="482" t="str">
        <f>IFERROR(__xludf.DUMMYFUNCTION("""COMPUTED_VALUE"""),"Ramilia Nurutdinova")</f>
        <v>Ramilia Nurutdinova</v>
      </c>
    </row>
    <row r="54">
      <c r="A54" s="482" t="str">
        <f>IFERROR(__xludf.DUMMYFUNCTION("""COMPUTED_VALUE"""),"Alexander Snetkov")</f>
        <v>Alexander Snetkov</v>
      </c>
    </row>
    <row r="55">
      <c r="A55" s="482" t="str">
        <f>IFERROR(__xludf.DUMMYFUNCTION("""COMPUTED_VALUE"""),"Lídia Aguiar Bezerra")</f>
        <v>Lídia Aguiar Bezerra</v>
      </c>
    </row>
    <row r="56">
      <c r="A56" s="482" t="str">
        <f>IFERROR(__xludf.DUMMYFUNCTION("""COMPUTED_VALUE"""),"Tatiana Kummer")</f>
        <v>Tatiana Kummer</v>
      </c>
    </row>
    <row r="57">
      <c r="A57" s="482" t="str">
        <f>IFERROR(__xludf.DUMMYFUNCTION("""COMPUTED_VALUE"""),"Xiogenys Pineda")</f>
        <v>Xiogenys Pineda</v>
      </c>
    </row>
    <row r="58">
      <c r="A58" s="482" t="str">
        <f>IFERROR(__xludf.DUMMYFUNCTION("""COMPUTED_VALUE"""),"Rabia Türten")</f>
        <v>Rabia Türten</v>
      </c>
    </row>
    <row r="59">
      <c r="A59" s="482" t="str">
        <f>IFERROR(__xludf.DUMMYFUNCTION("""COMPUTED_VALUE"""),"Amanda Philot Trotta")</f>
        <v>Amanda Philot Trotta</v>
      </c>
    </row>
    <row r="60">
      <c r="A60" s="482" t="str">
        <f>IFERROR(__xludf.DUMMYFUNCTION("""COMPUTED_VALUE"""),"Daniel Kovacs")</f>
        <v>Daniel Kovacs</v>
      </c>
    </row>
    <row r="61">
      <c r="A61" s="482" t="str">
        <f>IFERROR(__xludf.DUMMYFUNCTION("""COMPUTED_VALUE"""),"Diana Dobrovolskaja")</f>
        <v>Diana Dobrovolskaja</v>
      </c>
    </row>
    <row r="62">
      <c r="A62" s="482" t="str">
        <f>IFERROR(__xludf.DUMMYFUNCTION("""COMPUTED_VALUE"""),"Stefan Wunder Đokić")</f>
        <v>Stefan Wunder Đokić</v>
      </c>
    </row>
    <row r="63">
      <c r="A63" s="482" t="str">
        <f>IFERROR(__xludf.DUMMYFUNCTION("""COMPUTED_VALUE"""),"Guilherme Eduardo Atalla")</f>
        <v>Guilherme Eduardo Atalla</v>
      </c>
    </row>
    <row r="64">
      <c r="A64" s="482" t="str">
        <f>IFERROR(__xludf.DUMMYFUNCTION("""COMPUTED_VALUE"""),"Burak Emlik")</f>
        <v>Burak Emlik</v>
      </c>
    </row>
    <row r="65">
      <c r="A65" s="482" t="str">
        <f>IFERROR(__xludf.DUMMYFUNCTION("""COMPUTED_VALUE"""),"Dani Taylor")</f>
        <v>Dani Taylor</v>
      </c>
    </row>
    <row r="66">
      <c r="A66" s="482" t="str">
        <f>IFERROR(__xludf.DUMMYFUNCTION("""COMPUTED_VALUE"""),"Elif Emir")</f>
        <v>Elif Emir</v>
      </c>
    </row>
    <row r="67">
      <c r="A67" s="482" t="str">
        <f>IFERROR(__xludf.DUMMYFUNCTION("""COMPUTED_VALUE"""),"Timothy Naldo")</f>
        <v>Timothy Naldo</v>
      </c>
    </row>
    <row r="68">
      <c r="A68" s="482" t="str">
        <f>IFERROR(__xludf.DUMMYFUNCTION("""COMPUTED_VALUE"""),"Nanthicha Meksuwan")</f>
        <v>Nanthicha Meksuwan</v>
      </c>
    </row>
    <row r="69">
      <c r="A69" s="482" t="str">
        <f>IFERROR(__xludf.DUMMYFUNCTION("""COMPUTED_VALUE"""),"Sebastian Hadjidimitris")</f>
        <v>Sebastian Hadjidimitris</v>
      </c>
    </row>
    <row r="70">
      <c r="A70" s="482" t="str">
        <f>IFERROR(__xludf.DUMMYFUNCTION("""COMPUTED_VALUE"""),"Coline Tan")</f>
        <v>Coline Tan</v>
      </c>
    </row>
    <row r="71">
      <c r="A71" s="482" t="str">
        <f>IFERROR(__xludf.DUMMYFUNCTION("""COMPUTED_VALUE"""),"Ladina Adjarain Majindi")</f>
        <v>Ladina Adjarain Majindi</v>
      </c>
    </row>
    <row r="72">
      <c r="A72" s="482" t="str">
        <f>IFERROR(__xludf.DUMMYFUNCTION("""COMPUTED_VALUE"""),"Rebeca de Cerqueira Mateus")</f>
        <v>Rebeca de Cerqueira Mateus</v>
      </c>
    </row>
    <row r="73">
      <c r="A73" s="482" t="str">
        <f>IFERROR(__xludf.DUMMYFUNCTION("""COMPUTED_VALUE"""),"Zul emyr Hadjula")</f>
        <v>Zul emyr Hadjula</v>
      </c>
    </row>
    <row r="74">
      <c r="A74" s="482" t="str">
        <f>IFERROR(__xludf.DUMMYFUNCTION("""COMPUTED_VALUE"""),"Ceyhun Cengiz")</f>
        <v>Ceyhun Cengiz</v>
      </c>
    </row>
    <row r="75">
      <c r="A75" s="482" t="str">
        <f>IFERROR(__xludf.DUMMYFUNCTION("""COMPUTED_VALUE"""),"Zayad Mohamed Ayassi")</f>
        <v>Zayad Mohamed Ayassi</v>
      </c>
    </row>
    <row r="76">
      <c r="A76" s="482" t="str">
        <f>IFERROR(__xludf.DUMMYFUNCTION("""COMPUTED_VALUE"""),"Rodrigo Soares Silva")</f>
        <v>Rodrigo Soares Silva</v>
      </c>
    </row>
    <row r="77">
      <c r="A77" s="482" t="str">
        <f>IFERROR(__xludf.DUMMYFUNCTION("""COMPUTED_VALUE"""),"Wissal Dahir")</f>
        <v>Wissal Dahir</v>
      </c>
    </row>
    <row r="78">
      <c r="A78" s="482" t="str">
        <f>IFERROR(__xludf.DUMMYFUNCTION("""COMPUTED_VALUE"""),"Vicky Wu")</f>
        <v>Vicky Wu</v>
      </c>
    </row>
    <row r="79">
      <c r="A79" s="482" t="str">
        <f>IFERROR(__xludf.DUMMYFUNCTION("""COMPUTED_VALUE"""),"Emanuel Alexander Koydl")</f>
        <v>Emanuel Alexander Koydl</v>
      </c>
    </row>
    <row r="80">
      <c r="A80" s="482" t="str">
        <f>IFERROR(__xludf.DUMMYFUNCTION("""COMPUTED_VALUE"""),"Eliezer Peña")</f>
        <v>Eliezer Peña</v>
      </c>
    </row>
    <row r="81">
      <c r="A81" s="482" t="str">
        <f>IFERROR(__xludf.DUMMYFUNCTION("""COMPUTED_VALUE"""),"Ralph Jerome Cruz")</f>
        <v>Ralph Jerome Cruz</v>
      </c>
    </row>
    <row r="82">
      <c r="A82" s="482" t="str">
        <f>IFERROR(__xludf.DUMMYFUNCTION("""COMPUTED_VALUE"""),"Vladimir Dolgov")</f>
        <v>Vladimir Dolgov</v>
      </c>
    </row>
    <row r="83">
      <c r="A83" s="482" t="str">
        <f>IFERROR(__xludf.DUMMYFUNCTION("""COMPUTED_VALUE"""),"Oscar Alfonso Zendejas Nevarez")</f>
        <v>Oscar Alfonso Zendejas Nevarez</v>
      </c>
    </row>
    <row r="84">
      <c r="A84" s="482" t="str">
        <f>IFERROR(__xludf.DUMMYFUNCTION("""COMPUTED_VALUE"""),"Hanne Anette Barkerud Landmark")</f>
        <v>Hanne Anette Barkerud Landmark</v>
      </c>
    </row>
    <row r="85">
      <c r="A85" s="482" t="str">
        <f>IFERROR(__xludf.DUMMYFUNCTION("""COMPUTED_VALUE"""),"Zamzami Syadza")</f>
        <v>Zamzami Syadza</v>
      </c>
    </row>
    <row r="86">
      <c r="A86" s="482" t="str">
        <f>IFERROR(__xludf.DUMMYFUNCTION("""COMPUTED_VALUE"""),"Kaelen Bandao")</f>
        <v>Kaelen Bandao</v>
      </c>
    </row>
    <row r="87">
      <c r="A87" s="482" t="str">
        <f>IFERROR(__xludf.DUMMYFUNCTION("""COMPUTED_VALUE"""),"Katherine Joy Veneracion")</f>
        <v>Katherine Joy Veneracion</v>
      </c>
    </row>
    <row r="88">
      <c r="A88" s="482" t="str">
        <f>IFERROR(__xludf.DUMMYFUNCTION("""COMPUTED_VALUE"""),"Marlon Nicho Ferrero")</f>
        <v>Marlon Nicho Ferrero</v>
      </c>
    </row>
    <row r="89">
      <c r="A89" s="482" t="str">
        <f>IFERROR(__xludf.DUMMYFUNCTION("""COMPUTED_VALUE"""),"Rachel Cruz")</f>
        <v>Rachel Cruz</v>
      </c>
    </row>
    <row r="90">
      <c r="A90" s="482" t="str">
        <f>IFERROR(__xludf.DUMMYFUNCTION("""COMPUTED_VALUE"""),"Rafael Palmieri")</f>
        <v>Rafael Palmieri</v>
      </c>
    </row>
    <row r="91">
      <c r="A91" s="482" t="str">
        <f>IFERROR(__xludf.DUMMYFUNCTION("""COMPUTED_VALUE"""),"Farouk Saboula")</f>
        <v>Farouk Saboula</v>
      </c>
    </row>
    <row r="92">
      <c r="A92" s="482" t="str">
        <f>IFERROR(__xludf.DUMMYFUNCTION("""COMPUTED_VALUE"""),"José Agustín Torti Candellero")</f>
        <v>José Agustín Torti Candellero</v>
      </c>
    </row>
    <row r="93">
      <c r="A93" s="482" t="str">
        <f>IFERROR(__xludf.DUMMYFUNCTION("""COMPUTED_VALUE"""),"Hamza Benchreik")</f>
        <v>Hamza Benchreik</v>
      </c>
    </row>
    <row r="94">
      <c r="A94" s="482" t="str">
        <f>IFERROR(__xludf.DUMMYFUNCTION("""COMPUTED_VALUE"""),"Arthur Tellechea Inda de Almeida")</f>
        <v>Arthur Tellechea Inda de Almeida</v>
      </c>
    </row>
    <row r="95">
      <c r="A95" s="482" t="str">
        <f>IFERROR(__xludf.DUMMYFUNCTION("""COMPUTED_VALUE"""),"Braulio de Araujo Braga")</f>
        <v>Braulio de Araujo Braga</v>
      </c>
    </row>
    <row r="96">
      <c r="A96" s="482" t="str">
        <f>IFERROR(__xludf.DUMMYFUNCTION("""COMPUTED_VALUE"""),"Esther Elaweremi")</f>
        <v>Esther Elaweremi</v>
      </c>
    </row>
    <row r="97">
      <c r="A97" s="482" t="str">
        <f>IFERROR(__xludf.DUMMYFUNCTION("""COMPUTED_VALUE"""),"Jesus Antonio Mejia Vasquez")</f>
        <v>Jesus Antonio Mejia Vasquez</v>
      </c>
    </row>
    <row r="98">
      <c r="A98" s="482" t="str">
        <f>IFERROR(__xludf.DUMMYFUNCTION("""COMPUTED_VALUE"""),"Milos Martinovic")</f>
        <v>Milos Martinovic</v>
      </c>
    </row>
    <row r="99">
      <c r="A99" s="482" t="str">
        <f>IFERROR(__xludf.DUMMYFUNCTION("""COMPUTED_VALUE"""),"Mohamed Amine Boudguig")</f>
        <v>Mohamed Amine Boudguig</v>
      </c>
    </row>
    <row r="100">
      <c r="A100" s="482" t="str">
        <f>IFERROR(__xludf.DUMMYFUNCTION("""COMPUTED_VALUE"""),"Mohammed Bourassi")</f>
        <v>Mohammed Bourassi</v>
      </c>
    </row>
    <row r="101">
      <c r="A101" s="482" t="str">
        <f>IFERROR(__xludf.DUMMYFUNCTION("""COMPUTED_VALUE"""),"Bruno Allaria")</f>
        <v>Bruno Allaria</v>
      </c>
    </row>
    <row r="102">
      <c r="A102" s="482" t="str">
        <f>IFERROR(__xludf.DUMMYFUNCTION("""COMPUTED_VALUE"""),"Sukum Naralertsukumpong")</f>
        <v>Sukum Naralertsukumpong</v>
      </c>
    </row>
    <row r="103">
      <c r="A103" s="482" t="str">
        <f>IFERROR(__xludf.DUMMYFUNCTION("""COMPUTED_VALUE"""),"Allan Zambrano")</f>
        <v>Allan Zambrano</v>
      </c>
    </row>
    <row r="104">
      <c r="A104" s="482" t="str">
        <f>IFERROR(__xludf.DUMMYFUNCTION("""COMPUTED_VALUE"""),"Kapil Chawala")</f>
        <v>Kapil Chawala</v>
      </c>
    </row>
    <row r="105">
      <c r="A105" s="482" t="str">
        <f>IFERROR(__xludf.DUMMYFUNCTION("""COMPUTED_VALUE"""),"Larissa Rodrigues")</f>
        <v>Larissa Rodrigues</v>
      </c>
    </row>
    <row r="106">
      <c r="A106" s="482" t="str">
        <f>IFERROR(__xludf.DUMMYFUNCTION("""COMPUTED_VALUE"""),"Ksenia Lukyanova")</f>
        <v>Ksenia Lukyanova</v>
      </c>
    </row>
    <row r="107">
      <c r="A107" s="482" t="str">
        <f>IFERROR(__xludf.DUMMYFUNCTION("""COMPUTED_VALUE"""),"Clark Jesse Falv Olayvar")</f>
        <v>Clark Jesse Falv Olayvar</v>
      </c>
    </row>
    <row r="108">
      <c r="A108" s="482" t="str">
        <f>IFERROR(__xludf.DUMMYFUNCTION("""COMPUTED_VALUE"""),"Nikita Denisjuks")</f>
        <v>Nikita Denisjuks</v>
      </c>
    </row>
    <row r="109">
      <c r="A109" s="482" t="str">
        <f>IFERROR(__xludf.DUMMYFUNCTION("""COMPUTED_VALUE"""),"Armand Van As")</f>
        <v>Armand Van As</v>
      </c>
    </row>
    <row r="110">
      <c r="A110" s="482" t="str">
        <f>IFERROR(__xludf.DUMMYFUNCTION("""COMPUTED_VALUE"""),"Callum Riding-Smith")</f>
        <v>Callum Riding-Smith</v>
      </c>
    </row>
    <row r="111">
      <c r="A111" s="483" t="str">
        <f>IFERROR(__xludf.DUMMYFUNCTION("""COMPUTED_VALUE"""),"Huseyn Ismayilov")</f>
        <v>Huseyn Ismayilov</v>
      </c>
    </row>
    <row r="112">
      <c r="A112" s="482" t="str">
        <f>IFERROR(__xludf.DUMMYFUNCTION("""COMPUTED_VALUE"""),"Liliya Konovalova")</f>
        <v>Liliya Konovalova</v>
      </c>
    </row>
    <row r="113">
      <c r="A113" s="483" t="s">
        <v>1512</v>
      </c>
    </row>
    <row r="114">
      <c r="A114" s="484" t="s">
        <v>1494</v>
      </c>
    </row>
    <row r="115">
      <c r="A115" s="483" t="s">
        <v>1493</v>
      </c>
    </row>
    <row r="116">
      <c r="A116" s="1" t="s">
        <v>1513</v>
      </c>
    </row>
    <row r="117">
      <c r="A117" s="483" t="s">
        <v>1514</v>
      </c>
    </row>
    <row r="118">
      <c r="A118" s="483" t="s">
        <v>1495</v>
      </c>
    </row>
    <row r="119">
      <c r="A119" s="483" t="s">
        <v>1496</v>
      </c>
    </row>
    <row r="120">
      <c r="A120" s="483" t="s">
        <v>1503</v>
      </c>
    </row>
    <row r="121">
      <c r="A121" s="483" t="s">
        <v>1498</v>
      </c>
    </row>
    <row r="122">
      <c r="A122" s="483" t="s">
        <v>1499</v>
      </c>
    </row>
    <row r="123">
      <c r="A123" s="483" t="s">
        <v>1500</v>
      </c>
    </row>
    <row r="124">
      <c r="A124" s="483" t="s">
        <v>1515</v>
      </c>
    </row>
    <row r="125">
      <c r="A125" s="483" t="s">
        <v>1516</v>
      </c>
    </row>
    <row r="126">
      <c r="A126" s="483" t="s">
        <v>1501</v>
      </c>
    </row>
    <row r="127">
      <c r="A127" s="483" t="s">
        <v>1502</v>
      </c>
    </row>
    <row r="128">
      <c r="A128" s="483" t="s">
        <v>1497</v>
      </c>
    </row>
    <row r="129">
      <c r="A129" s="483" t="s">
        <v>1517</v>
      </c>
    </row>
    <row r="130">
      <c r="A130" s="483" t="s">
        <v>1235</v>
      </c>
    </row>
    <row r="131">
      <c r="A131" s="483" t="s">
        <v>1518</v>
      </c>
    </row>
    <row r="132">
      <c r="A132" s="483" t="s">
        <v>1519</v>
      </c>
    </row>
    <row r="133">
      <c r="A133" s="483" t="s">
        <v>1504</v>
      </c>
    </row>
    <row r="134">
      <c r="A134" s="483" t="s">
        <v>1299</v>
      </c>
    </row>
    <row r="135">
      <c r="A135" s="483" t="s">
        <v>1506</v>
      </c>
    </row>
    <row r="136">
      <c r="A136" s="483" t="s">
        <v>1520</v>
      </c>
    </row>
    <row r="137">
      <c r="A137" s="483" t="s">
        <v>1507</v>
      </c>
    </row>
    <row r="138">
      <c r="A138" s="483" t="s">
        <v>1508</v>
      </c>
    </row>
    <row r="139">
      <c r="A139" s="483" t="s">
        <v>1509</v>
      </c>
    </row>
    <row r="140">
      <c r="A140" s="483" t="s">
        <v>1510</v>
      </c>
    </row>
    <row r="141">
      <c r="A141" s="483" t="s">
        <v>1505</v>
      </c>
    </row>
    <row r="142">
      <c r="A142" s="483" t="s">
        <v>1511</v>
      </c>
    </row>
    <row r="143">
      <c r="A143" s="482"/>
    </row>
    <row r="144">
      <c r="A144" s="482"/>
    </row>
    <row r="145">
      <c r="A145" s="482"/>
    </row>
    <row r="146">
      <c r="A146" s="482"/>
    </row>
    <row r="147">
      <c r="A147" s="482"/>
    </row>
    <row r="148">
      <c r="A148" s="482"/>
    </row>
    <row r="149">
      <c r="A149" s="482"/>
    </row>
    <row r="150">
      <c r="A150" s="482"/>
    </row>
    <row r="151">
      <c r="A151" s="482"/>
    </row>
    <row r="152">
      <c r="A152" s="482"/>
    </row>
    <row r="153">
      <c r="A153" s="482"/>
    </row>
    <row r="154">
      <c r="A154" s="482"/>
    </row>
    <row r="155">
      <c r="A155" s="482"/>
    </row>
    <row r="156">
      <c r="A156" s="482"/>
    </row>
    <row r="157">
      <c r="A157" s="482"/>
    </row>
    <row r="158">
      <c r="A158" s="482"/>
    </row>
    <row r="159">
      <c r="A159" s="482"/>
    </row>
    <row r="160">
      <c r="A160" s="482"/>
    </row>
    <row r="161">
      <c r="A161" s="482"/>
    </row>
    <row r="162">
      <c r="A162" s="482"/>
    </row>
    <row r="163">
      <c r="A163" s="482"/>
    </row>
    <row r="164">
      <c r="A164" s="482"/>
    </row>
    <row r="165">
      <c r="A165" s="482"/>
    </row>
    <row r="166">
      <c r="A166" s="482"/>
    </row>
    <row r="167">
      <c r="A167" s="482"/>
    </row>
    <row r="168">
      <c r="A168" s="482"/>
    </row>
    <row r="169">
      <c r="A169" s="482"/>
    </row>
    <row r="170">
      <c r="A170" s="482"/>
    </row>
    <row r="171">
      <c r="A171" s="482"/>
    </row>
    <row r="172">
      <c r="A172" s="482"/>
    </row>
    <row r="173">
      <c r="A173" s="482"/>
    </row>
    <row r="174">
      <c r="A174" s="482"/>
    </row>
    <row r="175">
      <c r="A175" s="482"/>
    </row>
    <row r="176">
      <c r="A176" s="482"/>
    </row>
    <row r="177">
      <c r="A177" s="482"/>
    </row>
    <row r="178">
      <c r="A178" s="482"/>
    </row>
    <row r="179">
      <c r="A179" s="482"/>
    </row>
    <row r="180">
      <c r="A180" s="482"/>
    </row>
    <row r="181">
      <c r="A181" s="482"/>
    </row>
    <row r="182">
      <c r="A182" s="482"/>
    </row>
    <row r="183">
      <c r="A183" s="482"/>
    </row>
    <row r="184">
      <c r="A184" s="482"/>
    </row>
    <row r="185">
      <c r="A185" s="482"/>
    </row>
    <row r="186">
      <c r="A186" s="482"/>
    </row>
    <row r="187">
      <c r="A187" s="482"/>
    </row>
    <row r="188">
      <c r="A188" s="482"/>
    </row>
    <row r="189">
      <c r="A189" s="482"/>
    </row>
    <row r="190">
      <c r="A190" s="482"/>
    </row>
    <row r="191">
      <c r="A191" s="482"/>
    </row>
    <row r="192">
      <c r="A192" s="482"/>
    </row>
    <row r="193">
      <c r="A193" s="482"/>
    </row>
    <row r="194">
      <c r="A194" s="482"/>
    </row>
    <row r="195">
      <c r="A195" s="482"/>
    </row>
    <row r="196">
      <c r="A196" s="482"/>
    </row>
    <row r="197">
      <c r="A197" s="482"/>
    </row>
    <row r="198">
      <c r="A198" s="482"/>
    </row>
    <row r="199">
      <c r="A199" s="482"/>
    </row>
    <row r="200">
      <c r="A200" s="482"/>
    </row>
    <row r="201">
      <c r="A201" s="482"/>
    </row>
  </sheetData>
  <customSheetViews>
    <customSheetView guid="{4D3C7CA0-ACCC-4F50-A3C6-515B47606797}" filter="1" showAutoFilter="1">
      <autoFilter ref="$A$1:$A$111">
        <sortState ref="A1:A111">
          <sortCondition ref="A1:A111"/>
        </sortState>
      </autoFilter>
    </customSheetView>
  </customSheetView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43"/>
    <col customWidth="1" min="3" max="3" width="11.43"/>
    <col customWidth="1" min="10" max="10" width="31.86"/>
    <col customWidth="1" min="13" max="13" width="8.43"/>
    <col customWidth="1" min="14" max="14" width="7.0"/>
  </cols>
  <sheetData>
    <row r="1">
      <c r="A1" s="485" t="s">
        <v>1521</v>
      </c>
      <c r="B1" s="486" t="s">
        <v>1522</v>
      </c>
      <c r="I1" s="485" t="s">
        <v>1523</v>
      </c>
      <c r="J1" s="487" t="s">
        <v>1524</v>
      </c>
      <c r="K1" s="485" t="s">
        <v>1525</v>
      </c>
      <c r="L1" s="63"/>
      <c r="M1" s="485" t="s">
        <v>546</v>
      </c>
      <c r="N1" s="485" t="s">
        <v>495</v>
      </c>
      <c r="O1" s="485" t="s">
        <v>1526</v>
      </c>
      <c r="P1" s="485" t="s">
        <v>1527</v>
      </c>
    </row>
    <row r="2">
      <c r="A2" s="63" t="s">
        <v>1528</v>
      </c>
      <c r="B2" s="488" t="s">
        <v>1529</v>
      </c>
      <c r="I2" s="63" t="s">
        <v>1530</v>
      </c>
      <c r="J2" s="489" t="s">
        <v>1531</v>
      </c>
      <c r="K2" s="490" t="s">
        <v>1532</v>
      </c>
      <c r="L2" s="63"/>
      <c r="M2" s="63" t="s">
        <v>1533</v>
      </c>
      <c r="N2" s="63" t="s">
        <v>1534</v>
      </c>
      <c r="O2" s="145" t="b">
        <v>1</v>
      </c>
      <c r="P2" s="63"/>
    </row>
    <row r="3">
      <c r="A3" s="63" t="s">
        <v>1535</v>
      </c>
      <c r="B3" s="488" t="s">
        <v>1536</v>
      </c>
      <c r="I3" s="63" t="s">
        <v>1530</v>
      </c>
      <c r="J3" s="489" t="s">
        <v>1537</v>
      </c>
      <c r="K3" s="490" t="s">
        <v>81</v>
      </c>
      <c r="L3" s="63"/>
      <c r="M3" s="63" t="s">
        <v>550</v>
      </c>
      <c r="N3" s="63"/>
      <c r="O3" s="145" t="b">
        <v>0</v>
      </c>
      <c r="P3" s="63"/>
    </row>
    <row r="4">
      <c r="A4" s="63"/>
      <c r="B4" s="465"/>
      <c r="I4" s="63"/>
      <c r="J4" s="460" t="s">
        <v>1538</v>
      </c>
      <c r="K4" s="491" t="s">
        <v>1539</v>
      </c>
      <c r="L4" s="63"/>
      <c r="M4" s="63"/>
      <c r="N4" s="63"/>
      <c r="O4" s="63"/>
      <c r="P4" s="63"/>
    </row>
    <row r="5">
      <c r="A5" s="63" t="s">
        <v>1540</v>
      </c>
      <c r="B5" s="488" t="s">
        <v>1541</v>
      </c>
      <c r="I5" s="63" t="s">
        <v>1530</v>
      </c>
      <c r="J5" s="492" t="s">
        <v>1542</v>
      </c>
      <c r="K5" s="493" t="s">
        <v>1543</v>
      </c>
      <c r="L5" s="63"/>
      <c r="M5" s="63" t="s">
        <v>1544</v>
      </c>
      <c r="N5" s="63" t="s">
        <v>1545</v>
      </c>
      <c r="O5" s="145" t="b">
        <v>1</v>
      </c>
      <c r="P5" s="63"/>
    </row>
    <row r="6">
      <c r="A6" s="63" t="s">
        <v>1546</v>
      </c>
      <c r="B6" s="494" t="s">
        <v>1547</v>
      </c>
      <c r="I6" s="63" t="s">
        <v>1530</v>
      </c>
      <c r="J6" s="489" t="s">
        <v>1548</v>
      </c>
      <c r="K6" s="495" t="s">
        <v>1549</v>
      </c>
      <c r="L6" s="63"/>
      <c r="M6" s="63" t="s">
        <v>1550</v>
      </c>
      <c r="N6" s="63" t="s">
        <v>1545</v>
      </c>
      <c r="O6" s="145" t="b">
        <v>1</v>
      </c>
      <c r="P6" s="63"/>
    </row>
    <row r="7" hidden="1">
      <c r="A7" s="63" t="s">
        <v>1551</v>
      </c>
      <c r="B7" s="488" t="s">
        <v>1552</v>
      </c>
      <c r="I7" s="63"/>
      <c r="J7" s="492" t="s">
        <v>1553</v>
      </c>
      <c r="K7" s="493" t="s">
        <v>1554</v>
      </c>
      <c r="L7" s="63"/>
      <c r="M7" s="63" t="s">
        <v>1555</v>
      </c>
      <c r="N7" s="63" t="s">
        <v>1545</v>
      </c>
      <c r="O7" s="145" t="b">
        <v>1</v>
      </c>
      <c r="P7" s="496" t="s">
        <v>1556</v>
      </c>
    </row>
    <row r="8">
      <c r="A8" s="63"/>
      <c r="B8" s="465"/>
      <c r="I8" s="63"/>
      <c r="J8" s="460" t="s">
        <v>1557</v>
      </c>
      <c r="K8" s="491" t="s">
        <v>1558</v>
      </c>
      <c r="L8" s="63"/>
      <c r="M8" s="63"/>
      <c r="N8" s="63"/>
      <c r="O8" s="63"/>
      <c r="P8" s="63"/>
    </row>
    <row r="9">
      <c r="A9" s="63" t="s">
        <v>1559</v>
      </c>
      <c r="B9" s="488" t="s">
        <v>1560</v>
      </c>
      <c r="I9" s="63" t="s">
        <v>1530</v>
      </c>
      <c r="J9" s="460" t="s">
        <v>1561</v>
      </c>
      <c r="K9" s="493" t="s">
        <v>1562</v>
      </c>
      <c r="L9" s="63"/>
      <c r="M9" s="63" t="s">
        <v>564</v>
      </c>
      <c r="N9" s="63" t="s">
        <v>1545</v>
      </c>
      <c r="O9" s="145" t="b">
        <v>1</v>
      </c>
      <c r="P9" s="63"/>
    </row>
    <row r="10" hidden="1">
      <c r="A10" s="497" t="s">
        <v>1563</v>
      </c>
      <c r="B10" s="498" t="s">
        <v>1564</v>
      </c>
      <c r="I10" s="497" t="s">
        <v>1530</v>
      </c>
      <c r="J10" s="499" t="s">
        <v>1565</v>
      </c>
      <c r="K10" s="500" t="s">
        <v>1566</v>
      </c>
      <c r="L10" s="497"/>
      <c r="M10" s="497" t="s">
        <v>1567</v>
      </c>
      <c r="N10" s="497" t="s">
        <v>1545</v>
      </c>
      <c r="O10" s="501" t="b">
        <v>1</v>
      </c>
      <c r="P10" s="63"/>
    </row>
    <row r="11">
      <c r="A11" s="63" t="s">
        <v>1568</v>
      </c>
      <c r="B11" s="488" t="s">
        <v>1569</v>
      </c>
      <c r="I11" s="63" t="s">
        <v>1530</v>
      </c>
      <c r="J11" s="63"/>
      <c r="K11" s="63"/>
      <c r="L11" s="63"/>
      <c r="M11" s="63" t="s">
        <v>1570</v>
      </c>
      <c r="N11" s="63"/>
      <c r="O11" s="145" t="b">
        <v>0</v>
      </c>
      <c r="P11" s="63"/>
    </row>
    <row r="12">
      <c r="A12" s="63" t="s">
        <v>1571</v>
      </c>
      <c r="B12" s="488" t="s">
        <v>1572</v>
      </c>
      <c r="I12" s="63" t="s">
        <v>1573</v>
      </c>
      <c r="J12" s="489" t="s">
        <v>1574</v>
      </c>
      <c r="K12" s="493" t="s">
        <v>1575</v>
      </c>
      <c r="L12" s="63"/>
      <c r="M12" s="63" t="s">
        <v>1576</v>
      </c>
      <c r="N12" s="63" t="s">
        <v>1545</v>
      </c>
      <c r="O12" s="145" t="b">
        <v>1</v>
      </c>
      <c r="P12" s="63"/>
    </row>
    <row r="13">
      <c r="A13" s="63" t="s">
        <v>1577</v>
      </c>
      <c r="B13" s="488" t="s">
        <v>1578</v>
      </c>
      <c r="I13" s="63" t="s">
        <v>1530</v>
      </c>
      <c r="J13" s="489" t="s">
        <v>1579</v>
      </c>
      <c r="K13" s="490" t="s">
        <v>1580</v>
      </c>
      <c r="L13" s="63"/>
      <c r="M13" s="63" t="s">
        <v>1581</v>
      </c>
      <c r="N13" s="63" t="s">
        <v>1545</v>
      </c>
      <c r="O13" s="145" t="b">
        <v>1</v>
      </c>
      <c r="P13" s="63"/>
    </row>
    <row r="14">
      <c r="A14" s="63" t="s">
        <v>1582</v>
      </c>
      <c r="B14" s="488" t="s">
        <v>1583</v>
      </c>
      <c r="I14" s="63"/>
      <c r="J14" s="492" t="s">
        <v>1584</v>
      </c>
      <c r="K14" s="493" t="s">
        <v>1585</v>
      </c>
      <c r="L14" s="63"/>
      <c r="M14" s="63" t="s">
        <v>1555</v>
      </c>
      <c r="N14" s="63" t="s">
        <v>1534</v>
      </c>
      <c r="O14" s="145" t="b">
        <v>1</v>
      </c>
      <c r="P14" s="63"/>
    </row>
    <row r="15">
      <c r="J15" s="1" t="s">
        <v>1586</v>
      </c>
      <c r="K15" s="5" t="s">
        <v>73</v>
      </c>
    </row>
    <row r="16">
      <c r="J16" s="1" t="s">
        <v>1587</v>
      </c>
      <c r="K16" s="5" t="s">
        <v>1588</v>
      </c>
    </row>
    <row r="17">
      <c r="A17" s="63"/>
      <c r="B17" s="465"/>
      <c r="I17" s="502"/>
      <c r="J17" s="502"/>
      <c r="K17" s="63"/>
      <c r="L17" s="63"/>
      <c r="M17" s="63"/>
      <c r="N17" s="63"/>
      <c r="O17" s="63"/>
      <c r="P17" s="63"/>
    </row>
    <row r="18">
      <c r="A18" s="63"/>
      <c r="B18" s="465"/>
      <c r="I18" s="503"/>
      <c r="J18" s="503"/>
      <c r="K18" s="63"/>
      <c r="L18" s="63"/>
      <c r="M18" s="63"/>
      <c r="N18" s="63"/>
      <c r="O18" s="63"/>
      <c r="P18" s="63"/>
    </row>
    <row r="19">
      <c r="B19" s="465"/>
    </row>
    <row r="20">
      <c r="B20" s="465"/>
    </row>
    <row r="21">
      <c r="B21" s="465"/>
    </row>
    <row r="22">
      <c r="B22" s="465"/>
    </row>
    <row r="23">
      <c r="B23" s="465"/>
    </row>
    <row r="24">
      <c r="B24" s="465"/>
    </row>
    <row r="25">
      <c r="B25" s="465"/>
    </row>
    <row r="26">
      <c r="B26" s="465"/>
    </row>
    <row r="27">
      <c r="B27" s="465"/>
    </row>
    <row r="28">
      <c r="B28" s="465"/>
    </row>
    <row r="29">
      <c r="B29" s="465"/>
    </row>
    <row r="30">
      <c r="B30" s="465"/>
    </row>
    <row r="31">
      <c r="B31" s="465"/>
    </row>
    <row r="32">
      <c r="B32" s="465"/>
    </row>
    <row r="33">
      <c r="B33" s="465"/>
    </row>
    <row r="34">
      <c r="B34" s="465"/>
    </row>
    <row r="35">
      <c r="B35" s="465"/>
    </row>
    <row r="36">
      <c r="B36" s="465"/>
    </row>
    <row r="37">
      <c r="B37" s="465"/>
    </row>
    <row r="38">
      <c r="B38" s="465"/>
    </row>
    <row r="39">
      <c r="B39" s="465"/>
    </row>
    <row r="40">
      <c r="B40" s="465"/>
    </row>
    <row r="41">
      <c r="B41" s="465"/>
    </row>
    <row r="42">
      <c r="B42" s="465"/>
    </row>
    <row r="43">
      <c r="B43" s="465"/>
    </row>
    <row r="44">
      <c r="B44" s="465"/>
    </row>
    <row r="45">
      <c r="B45" s="465"/>
    </row>
    <row r="46">
      <c r="B46" s="465"/>
    </row>
    <row r="47">
      <c r="B47" s="465"/>
    </row>
    <row r="48">
      <c r="B48" s="465"/>
    </row>
    <row r="49">
      <c r="B49" s="465"/>
    </row>
    <row r="50">
      <c r="B50" s="465"/>
    </row>
    <row r="51">
      <c r="B51" s="465"/>
    </row>
    <row r="52">
      <c r="B52" s="465"/>
    </row>
    <row r="53">
      <c r="B53" s="465"/>
    </row>
    <row r="54">
      <c r="B54" s="465"/>
    </row>
    <row r="55">
      <c r="B55" s="465"/>
    </row>
    <row r="56">
      <c r="B56" s="465"/>
    </row>
    <row r="57">
      <c r="B57" s="465"/>
    </row>
    <row r="58">
      <c r="B58" s="465"/>
    </row>
    <row r="59">
      <c r="B59" s="465"/>
    </row>
    <row r="60">
      <c r="B60" s="465"/>
    </row>
    <row r="61">
      <c r="B61" s="465"/>
    </row>
    <row r="62">
      <c r="B62" s="465"/>
    </row>
    <row r="63">
      <c r="B63" s="465"/>
    </row>
    <row r="64">
      <c r="B64" s="465"/>
    </row>
    <row r="65">
      <c r="B65" s="465"/>
    </row>
    <row r="66">
      <c r="B66" s="465"/>
    </row>
    <row r="67">
      <c r="B67" s="465"/>
    </row>
    <row r="68">
      <c r="B68" s="465"/>
    </row>
    <row r="69">
      <c r="B69" s="465"/>
    </row>
    <row r="70">
      <c r="B70" s="465"/>
    </row>
    <row r="71">
      <c r="B71" s="465"/>
    </row>
    <row r="72">
      <c r="B72" s="465"/>
    </row>
    <row r="73">
      <c r="B73" s="465"/>
    </row>
    <row r="74">
      <c r="B74" s="465"/>
    </row>
    <row r="75">
      <c r="B75" s="465"/>
    </row>
    <row r="76">
      <c r="B76" s="465"/>
    </row>
    <row r="77">
      <c r="B77" s="465"/>
    </row>
    <row r="78">
      <c r="B78" s="465"/>
    </row>
    <row r="79">
      <c r="B79" s="465"/>
    </row>
    <row r="80">
      <c r="B80" s="465"/>
    </row>
    <row r="81">
      <c r="B81" s="465"/>
    </row>
    <row r="82">
      <c r="B82" s="465"/>
    </row>
    <row r="83">
      <c r="B83" s="465"/>
    </row>
    <row r="84">
      <c r="B84" s="465"/>
    </row>
    <row r="85">
      <c r="B85" s="465"/>
    </row>
    <row r="86">
      <c r="B86" s="465"/>
    </row>
    <row r="87">
      <c r="B87" s="465"/>
    </row>
    <row r="88">
      <c r="B88" s="465"/>
    </row>
    <row r="89">
      <c r="B89" s="465"/>
    </row>
    <row r="90">
      <c r="B90" s="465"/>
    </row>
    <row r="91">
      <c r="B91" s="465"/>
    </row>
    <row r="92">
      <c r="B92" s="465"/>
    </row>
    <row r="93">
      <c r="B93" s="465"/>
    </row>
    <row r="94">
      <c r="B94" s="465"/>
    </row>
    <row r="95">
      <c r="B95" s="465"/>
    </row>
    <row r="96">
      <c r="B96" s="465"/>
    </row>
    <row r="97">
      <c r="B97" s="465"/>
    </row>
    <row r="98">
      <c r="B98" s="465"/>
    </row>
    <row r="99">
      <c r="B99" s="465"/>
    </row>
    <row r="100">
      <c r="B100" s="465"/>
    </row>
    <row r="101">
      <c r="B101" s="465"/>
    </row>
    <row r="102">
      <c r="B102" s="465"/>
    </row>
    <row r="103">
      <c r="B103" s="465"/>
    </row>
    <row r="104">
      <c r="B104" s="465"/>
    </row>
    <row r="105">
      <c r="B105" s="465"/>
    </row>
    <row r="106">
      <c r="B106" s="465"/>
    </row>
    <row r="107">
      <c r="B107" s="465"/>
    </row>
    <row r="108">
      <c r="B108" s="465"/>
    </row>
    <row r="109">
      <c r="B109" s="465"/>
    </row>
    <row r="110">
      <c r="B110" s="465"/>
    </row>
    <row r="111">
      <c r="B111" s="465"/>
    </row>
    <row r="112">
      <c r="B112" s="465"/>
    </row>
    <row r="113">
      <c r="B113" s="465"/>
    </row>
    <row r="114">
      <c r="B114" s="465"/>
    </row>
    <row r="115">
      <c r="B115" s="465"/>
    </row>
    <row r="116">
      <c r="B116" s="465"/>
    </row>
    <row r="117">
      <c r="B117" s="465"/>
    </row>
    <row r="118">
      <c r="B118" s="465"/>
    </row>
    <row r="119">
      <c r="B119" s="465"/>
    </row>
    <row r="120">
      <c r="B120" s="465"/>
    </row>
    <row r="121">
      <c r="B121" s="465"/>
    </row>
    <row r="122">
      <c r="B122" s="465"/>
    </row>
    <row r="123">
      <c r="B123" s="465"/>
    </row>
    <row r="124">
      <c r="B124" s="465"/>
    </row>
    <row r="125">
      <c r="B125" s="465"/>
    </row>
    <row r="126">
      <c r="B126" s="465"/>
    </row>
    <row r="127">
      <c r="B127" s="465"/>
    </row>
    <row r="128">
      <c r="B128" s="465"/>
    </row>
    <row r="129">
      <c r="B129" s="465"/>
    </row>
    <row r="130">
      <c r="B130" s="465"/>
    </row>
    <row r="131">
      <c r="B131" s="465"/>
    </row>
    <row r="132">
      <c r="B132" s="465"/>
    </row>
    <row r="133">
      <c r="B133" s="465"/>
    </row>
    <row r="134">
      <c r="B134" s="465"/>
    </row>
    <row r="135">
      <c r="B135" s="465"/>
    </row>
    <row r="136">
      <c r="B136" s="465"/>
    </row>
    <row r="137">
      <c r="B137" s="465"/>
    </row>
    <row r="138">
      <c r="B138" s="465"/>
    </row>
    <row r="139">
      <c r="B139" s="465"/>
    </row>
    <row r="140">
      <c r="B140" s="465"/>
    </row>
    <row r="141">
      <c r="B141" s="465"/>
    </row>
    <row r="142">
      <c r="B142" s="465"/>
    </row>
    <row r="143">
      <c r="B143" s="465"/>
    </row>
    <row r="144">
      <c r="B144" s="465"/>
    </row>
    <row r="145">
      <c r="B145" s="465"/>
    </row>
    <row r="146">
      <c r="B146" s="465"/>
    </row>
    <row r="147">
      <c r="B147" s="465"/>
    </row>
    <row r="148">
      <c r="B148" s="465"/>
    </row>
    <row r="149">
      <c r="B149" s="465"/>
    </row>
    <row r="150">
      <c r="B150" s="465"/>
    </row>
    <row r="151">
      <c r="B151" s="465"/>
    </row>
    <row r="152">
      <c r="B152" s="465"/>
    </row>
    <row r="153">
      <c r="B153" s="465"/>
    </row>
    <row r="154">
      <c r="B154" s="465"/>
    </row>
    <row r="155">
      <c r="B155" s="465"/>
    </row>
    <row r="156">
      <c r="B156" s="465"/>
    </row>
    <row r="157">
      <c r="B157" s="465"/>
    </row>
    <row r="158">
      <c r="B158" s="465"/>
    </row>
    <row r="159">
      <c r="B159" s="465"/>
    </row>
    <row r="160">
      <c r="B160" s="465"/>
    </row>
    <row r="161">
      <c r="B161" s="465"/>
    </row>
    <row r="162">
      <c r="B162" s="465"/>
    </row>
    <row r="163">
      <c r="B163" s="465"/>
    </row>
    <row r="164">
      <c r="B164" s="465"/>
    </row>
    <row r="165">
      <c r="B165" s="465"/>
    </row>
    <row r="166">
      <c r="B166" s="465"/>
    </row>
    <row r="167">
      <c r="B167" s="465"/>
    </row>
    <row r="168">
      <c r="B168" s="465"/>
    </row>
    <row r="169">
      <c r="B169" s="465"/>
    </row>
    <row r="170">
      <c r="B170" s="465"/>
    </row>
    <row r="171">
      <c r="B171" s="465"/>
    </row>
    <row r="172">
      <c r="B172" s="465"/>
    </row>
    <row r="173">
      <c r="B173" s="465"/>
    </row>
    <row r="174">
      <c r="B174" s="465"/>
    </row>
    <row r="175">
      <c r="B175" s="465"/>
    </row>
    <row r="176">
      <c r="B176" s="465"/>
    </row>
    <row r="177">
      <c r="B177" s="465"/>
    </row>
    <row r="178">
      <c r="B178" s="465"/>
    </row>
    <row r="179">
      <c r="B179" s="465"/>
    </row>
    <row r="180">
      <c r="B180" s="465"/>
    </row>
    <row r="181">
      <c r="B181" s="465"/>
    </row>
    <row r="182">
      <c r="B182" s="465"/>
    </row>
    <row r="183">
      <c r="B183" s="465"/>
    </row>
    <row r="184">
      <c r="B184" s="465"/>
    </row>
    <row r="185">
      <c r="B185" s="465"/>
    </row>
    <row r="186">
      <c r="B186" s="465"/>
    </row>
    <row r="187">
      <c r="B187" s="465"/>
    </row>
    <row r="188">
      <c r="B188" s="465"/>
    </row>
    <row r="189">
      <c r="B189" s="465"/>
    </row>
    <row r="190">
      <c r="B190" s="465"/>
    </row>
    <row r="191">
      <c r="B191" s="465"/>
    </row>
    <row r="192">
      <c r="B192" s="465"/>
    </row>
    <row r="193">
      <c r="B193" s="465"/>
    </row>
    <row r="194">
      <c r="B194" s="465"/>
    </row>
    <row r="195">
      <c r="B195" s="465"/>
    </row>
    <row r="196">
      <c r="B196" s="465"/>
    </row>
    <row r="197">
      <c r="B197" s="465"/>
    </row>
    <row r="198">
      <c r="B198" s="465"/>
    </row>
    <row r="199">
      <c r="B199" s="465"/>
    </row>
    <row r="200">
      <c r="B200" s="465"/>
    </row>
    <row r="201">
      <c r="B201" s="465"/>
    </row>
    <row r="202">
      <c r="B202" s="465"/>
    </row>
    <row r="203">
      <c r="B203" s="465"/>
    </row>
    <row r="204">
      <c r="B204" s="465"/>
    </row>
    <row r="205">
      <c r="B205" s="465"/>
    </row>
    <row r="206">
      <c r="B206" s="465"/>
    </row>
    <row r="207">
      <c r="B207" s="465"/>
    </row>
    <row r="208">
      <c r="B208" s="465"/>
    </row>
    <row r="209">
      <c r="B209" s="465"/>
    </row>
    <row r="210">
      <c r="B210" s="465"/>
    </row>
    <row r="211">
      <c r="B211" s="465"/>
    </row>
    <row r="212">
      <c r="B212" s="465"/>
    </row>
    <row r="213">
      <c r="B213" s="465"/>
    </row>
    <row r="214">
      <c r="B214" s="465"/>
    </row>
    <row r="215">
      <c r="B215" s="465"/>
    </row>
    <row r="216">
      <c r="B216" s="465"/>
    </row>
    <row r="217">
      <c r="B217" s="465"/>
    </row>
    <row r="218">
      <c r="B218" s="465"/>
    </row>
    <row r="219">
      <c r="B219" s="465"/>
    </row>
    <row r="220">
      <c r="B220" s="465"/>
    </row>
    <row r="221">
      <c r="B221" s="465"/>
    </row>
    <row r="222">
      <c r="B222" s="465"/>
    </row>
    <row r="223">
      <c r="B223" s="465"/>
    </row>
    <row r="224">
      <c r="B224" s="465"/>
    </row>
    <row r="225">
      <c r="B225" s="465"/>
    </row>
    <row r="226">
      <c r="B226" s="465"/>
    </row>
    <row r="227">
      <c r="B227" s="465"/>
    </row>
    <row r="228">
      <c r="B228" s="465"/>
    </row>
    <row r="229">
      <c r="B229" s="465"/>
    </row>
    <row r="230">
      <c r="B230" s="465"/>
    </row>
    <row r="231">
      <c r="B231" s="465"/>
    </row>
    <row r="232">
      <c r="B232" s="465"/>
    </row>
    <row r="233">
      <c r="B233" s="465"/>
    </row>
    <row r="234">
      <c r="B234" s="465"/>
    </row>
    <row r="235">
      <c r="B235" s="465"/>
    </row>
    <row r="236">
      <c r="B236" s="465"/>
    </row>
    <row r="237">
      <c r="B237" s="465"/>
    </row>
    <row r="238">
      <c r="B238" s="465"/>
    </row>
    <row r="239">
      <c r="B239" s="465"/>
    </row>
    <row r="240">
      <c r="B240" s="465"/>
    </row>
    <row r="241">
      <c r="B241" s="465"/>
    </row>
    <row r="242">
      <c r="B242" s="465"/>
    </row>
    <row r="243">
      <c r="B243" s="465"/>
    </row>
    <row r="244">
      <c r="B244" s="465"/>
    </row>
    <row r="245">
      <c r="B245" s="465"/>
    </row>
    <row r="246">
      <c r="B246" s="465"/>
    </row>
    <row r="247">
      <c r="B247" s="465"/>
    </row>
    <row r="248">
      <c r="B248" s="465"/>
    </row>
    <row r="249">
      <c r="B249" s="465"/>
    </row>
    <row r="250">
      <c r="B250" s="465"/>
    </row>
    <row r="251">
      <c r="B251" s="465"/>
    </row>
    <row r="252">
      <c r="B252" s="465"/>
    </row>
    <row r="253">
      <c r="B253" s="465"/>
    </row>
    <row r="254">
      <c r="B254" s="465"/>
    </row>
    <row r="255">
      <c r="B255" s="465"/>
    </row>
    <row r="256">
      <c r="B256" s="465"/>
    </row>
    <row r="257">
      <c r="B257" s="465"/>
    </row>
    <row r="258">
      <c r="B258" s="465"/>
    </row>
    <row r="259">
      <c r="B259" s="465"/>
    </row>
    <row r="260">
      <c r="B260" s="465"/>
    </row>
    <row r="261">
      <c r="B261" s="465"/>
    </row>
    <row r="262">
      <c r="B262" s="465"/>
    </row>
    <row r="263">
      <c r="B263" s="465"/>
    </row>
    <row r="264">
      <c r="B264" s="465"/>
    </row>
    <row r="265">
      <c r="B265" s="465"/>
    </row>
    <row r="266">
      <c r="B266" s="465"/>
    </row>
    <row r="267">
      <c r="B267" s="465"/>
    </row>
    <row r="268">
      <c r="B268" s="465"/>
    </row>
    <row r="269">
      <c r="B269" s="465"/>
    </row>
    <row r="270">
      <c r="B270" s="465"/>
    </row>
    <row r="271">
      <c r="B271" s="465"/>
    </row>
    <row r="272">
      <c r="B272" s="465"/>
    </row>
    <row r="273">
      <c r="B273" s="465"/>
    </row>
    <row r="274">
      <c r="B274" s="465"/>
    </row>
    <row r="275">
      <c r="B275" s="465"/>
    </row>
    <row r="276">
      <c r="B276" s="465"/>
    </row>
    <row r="277">
      <c r="B277" s="465"/>
    </row>
    <row r="278">
      <c r="B278" s="465"/>
    </row>
    <row r="279">
      <c r="B279" s="465"/>
    </row>
    <row r="280">
      <c r="B280" s="465"/>
    </row>
    <row r="281">
      <c r="B281" s="465"/>
    </row>
    <row r="282">
      <c r="B282" s="465"/>
    </row>
    <row r="283">
      <c r="B283" s="465"/>
    </row>
    <row r="284">
      <c r="B284" s="465"/>
    </row>
    <row r="285">
      <c r="B285" s="465"/>
    </row>
    <row r="286">
      <c r="B286" s="465"/>
    </row>
    <row r="287">
      <c r="B287" s="465"/>
    </row>
    <row r="288">
      <c r="B288" s="465"/>
    </row>
    <row r="289">
      <c r="B289" s="465"/>
    </row>
    <row r="290">
      <c r="B290" s="465"/>
    </row>
    <row r="291">
      <c r="B291" s="465"/>
    </row>
    <row r="292">
      <c r="B292" s="465"/>
    </row>
    <row r="293">
      <c r="B293" s="465"/>
    </row>
    <row r="294">
      <c r="B294" s="465"/>
    </row>
    <row r="295">
      <c r="B295" s="465"/>
    </row>
    <row r="296">
      <c r="B296" s="465"/>
    </row>
    <row r="297">
      <c r="B297" s="465"/>
    </row>
    <row r="298">
      <c r="B298" s="465"/>
    </row>
    <row r="299">
      <c r="B299" s="465"/>
    </row>
    <row r="300">
      <c r="B300" s="465"/>
    </row>
    <row r="301">
      <c r="B301" s="465"/>
    </row>
    <row r="302">
      <c r="B302" s="465"/>
    </row>
    <row r="303">
      <c r="B303" s="465"/>
    </row>
    <row r="304">
      <c r="B304" s="465"/>
    </row>
    <row r="305">
      <c r="B305" s="465"/>
    </row>
    <row r="306">
      <c r="B306" s="465"/>
    </row>
    <row r="307">
      <c r="B307" s="465"/>
    </row>
    <row r="308">
      <c r="B308" s="465"/>
    </row>
    <row r="309">
      <c r="B309" s="465"/>
    </row>
    <row r="310">
      <c r="B310" s="465"/>
    </row>
    <row r="311">
      <c r="B311" s="465"/>
    </row>
    <row r="312">
      <c r="B312" s="465"/>
    </row>
    <row r="313">
      <c r="B313" s="465"/>
    </row>
    <row r="314">
      <c r="B314" s="465"/>
    </row>
    <row r="315">
      <c r="B315" s="465"/>
    </row>
    <row r="316">
      <c r="B316" s="465"/>
    </row>
    <row r="317">
      <c r="B317" s="465"/>
    </row>
    <row r="318">
      <c r="B318" s="465"/>
    </row>
    <row r="319">
      <c r="B319" s="465"/>
    </row>
    <row r="320">
      <c r="B320" s="465"/>
    </row>
    <row r="321">
      <c r="B321" s="465"/>
    </row>
    <row r="322">
      <c r="B322" s="465"/>
    </row>
    <row r="323">
      <c r="B323" s="465"/>
    </row>
    <row r="324">
      <c r="B324" s="465"/>
    </row>
    <row r="325">
      <c r="B325" s="465"/>
    </row>
    <row r="326">
      <c r="B326" s="465"/>
    </row>
    <row r="327">
      <c r="B327" s="465"/>
    </row>
    <row r="328">
      <c r="B328" s="465"/>
    </row>
    <row r="329">
      <c r="B329" s="465"/>
    </row>
    <row r="330">
      <c r="B330" s="465"/>
    </row>
    <row r="331">
      <c r="B331" s="465"/>
    </row>
    <row r="332">
      <c r="B332" s="465"/>
    </row>
    <row r="333">
      <c r="B333" s="465"/>
    </row>
    <row r="334">
      <c r="B334" s="465"/>
    </row>
    <row r="335">
      <c r="B335" s="465"/>
    </row>
    <row r="336">
      <c r="B336" s="465"/>
    </row>
    <row r="337">
      <c r="B337" s="465"/>
    </row>
    <row r="338">
      <c r="B338" s="465"/>
    </row>
    <row r="339">
      <c r="B339" s="465"/>
    </row>
    <row r="340">
      <c r="B340" s="465"/>
    </row>
    <row r="341">
      <c r="B341" s="465"/>
    </row>
    <row r="342">
      <c r="B342" s="465"/>
    </row>
    <row r="343">
      <c r="B343" s="465"/>
    </row>
    <row r="344">
      <c r="B344" s="465"/>
    </row>
    <row r="345">
      <c r="B345" s="465"/>
    </row>
    <row r="346">
      <c r="B346" s="465"/>
    </row>
    <row r="347">
      <c r="B347" s="465"/>
    </row>
    <row r="348">
      <c r="B348" s="465"/>
    </row>
    <row r="349">
      <c r="B349" s="465"/>
    </row>
    <row r="350">
      <c r="B350" s="465"/>
    </row>
    <row r="351">
      <c r="B351" s="465"/>
    </row>
    <row r="352">
      <c r="B352" s="465"/>
    </row>
    <row r="353">
      <c r="B353" s="465"/>
    </row>
    <row r="354">
      <c r="B354" s="465"/>
    </row>
    <row r="355">
      <c r="B355" s="465"/>
    </row>
    <row r="356">
      <c r="B356" s="465"/>
    </row>
    <row r="357">
      <c r="B357" s="465"/>
    </row>
    <row r="358">
      <c r="B358" s="465"/>
    </row>
    <row r="359">
      <c r="B359" s="465"/>
    </row>
    <row r="360">
      <c r="B360" s="465"/>
    </row>
    <row r="361">
      <c r="B361" s="465"/>
    </row>
    <row r="362">
      <c r="B362" s="465"/>
    </row>
    <row r="363">
      <c r="B363" s="465"/>
    </row>
    <row r="364">
      <c r="B364" s="465"/>
    </row>
    <row r="365">
      <c r="B365" s="465"/>
    </row>
    <row r="366">
      <c r="B366" s="465"/>
    </row>
    <row r="367">
      <c r="B367" s="465"/>
    </row>
    <row r="368">
      <c r="B368" s="465"/>
    </row>
    <row r="369">
      <c r="B369" s="465"/>
    </row>
    <row r="370">
      <c r="B370" s="465"/>
    </row>
    <row r="371">
      <c r="B371" s="465"/>
    </row>
    <row r="372">
      <c r="B372" s="465"/>
    </row>
    <row r="373">
      <c r="B373" s="465"/>
    </row>
    <row r="374">
      <c r="B374" s="465"/>
    </row>
    <row r="375">
      <c r="B375" s="465"/>
    </row>
    <row r="376">
      <c r="B376" s="465"/>
    </row>
    <row r="377">
      <c r="B377" s="465"/>
    </row>
    <row r="378">
      <c r="B378" s="465"/>
    </row>
    <row r="379">
      <c r="B379" s="465"/>
    </row>
    <row r="380">
      <c r="B380" s="465"/>
    </row>
    <row r="381">
      <c r="B381" s="465"/>
    </row>
    <row r="382">
      <c r="B382" s="465"/>
    </row>
    <row r="383">
      <c r="B383" s="465"/>
    </row>
    <row r="384">
      <c r="B384" s="465"/>
    </row>
    <row r="385">
      <c r="B385" s="465"/>
    </row>
    <row r="386">
      <c r="B386" s="465"/>
    </row>
    <row r="387">
      <c r="B387" s="465"/>
    </row>
    <row r="388">
      <c r="B388" s="465"/>
    </row>
    <row r="389">
      <c r="B389" s="465"/>
    </row>
    <row r="390">
      <c r="B390" s="465"/>
    </row>
    <row r="391">
      <c r="B391" s="465"/>
    </row>
    <row r="392">
      <c r="B392" s="465"/>
    </row>
    <row r="393">
      <c r="B393" s="465"/>
    </row>
    <row r="394">
      <c r="B394" s="465"/>
    </row>
    <row r="395">
      <c r="B395" s="465"/>
    </row>
    <row r="396">
      <c r="B396" s="465"/>
    </row>
    <row r="397">
      <c r="B397" s="465"/>
    </row>
    <row r="398">
      <c r="B398" s="465"/>
    </row>
    <row r="399">
      <c r="B399" s="465"/>
    </row>
    <row r="400">
      <c r="B400" s="465"/>
    </row>
    <row r="401">
      <c r="B401" s="465"/>
    </row>
    <row r="402">
      <c r="B402" s="465"/>
    </row>
    <row r="403">
      <c r="B403" s="465"/>
    </row>
    <row r="404">
      <c r="B404" s="465"/>
    </row>
    <row r="405">
      <c r="B405" s="465"/>
    </row>
    <row r="406">
      <c r="B406" s="465"/>
    </row>
    <row r="407">
      <c r="B407" s="465"/>
    </row>
    <row r="408">
      <c r="B408" s="465"/>
    </row>
    <row r="409">
      <c r="B409" s="465"/>
    </row>
    <row r="410">
      <c r="B410" s="465"/>
    </row>
    <row r="411">
      <c r="B411" s="465"/>
    </row>
    <row r="412">
      <c r="B412" s="465"/>
    </row>
    <row r="413">
      <c r="B413" s="465"/>
    </row>
    <row r="414">
      <c r="B414" s="465"/>
    </row>
    <row r="415">
      <c r="B415" s="465"/>
    </row>
    <row r="416">
      <c r="B416" s="465"/>
    </row>
    <row r="417">
      <c r="B417" s="465"/>
    </row>
    <row r="418">
      <c r="B418" s="465"/>
    </row>
    <row r="419">
      <c r="B419" s="465"/>
    </row>
    <row r="420">
      <c r="B420" s="465"/>
    </row>
    <row r="421">
      <c r="B421" s="465"/>
    </row>
    <row r="422">
      <c r="B422" s="465"/>
    </row>
    <row r="423">
      <c r="B423" s="465"/>
    </row>
    <row r="424">
      <c r="B424" s="465"/>
    </row>
    <row r="425">
      <c r="B425" s="465"/>
    </row>
    <row r="426">
      <c r="B426" s="465"/>
    </row>
    <row r="427">
      <c r="B427" s="465"/>
    </row>
    <row r="428">
      <c r="B428" s="465"/>
    </row>
    <row r="429">
      <c r="B429" s="465"/>
    </row>
    <row r="430">
      <c r="B430" s="465"/>
    </row>
    <row r="431">
      <c r="B431" s="465"/>
    </row>
    <row r="432">
      <c r="B432" s="465"/>
    </row>
    <row r="433">
      <c r="B433" s="465"/>
    </row>
    <row r="434">
      <c r="B434" s="465"/>
    </row>
    <row r="435">
      <c r="B435" s="465"/>
    </row>
    <row r="436">
      <c r="B436" s="465"/>
    </row>
    <row r="437">
      <c r="B437" s="465"/>
    </row>
    <row r="438">
      <c r="B438" s="465"/>
    </row>
    <row r="439">
      <c r="B439" s="465"/>
    </row>
    <row r="440">
      <c r="B440" s="465"/>
    </row>
    <row r="441">
      <c r="B441" s="465"/>
    </row>
    <row r="442">
      <c r="B442" s="465"/>
    </row>
    <row r="443">
      <c r="B443" s="465"/>
    </row>
    <row r="444">
      <c r="B444" s="465"/>
    </row>
    <row r="445">
      <c r="B445" s="465"/>
    </row>
    <row r="446">
      <c r="B446" s="465"/>
    </row>
    <row r="447">
      <c r="B447" s="465"/>
    </row>
    <row r="448">
      <c r="B448" s="465"/>
    </row>
    <row r="449">
      <c r="B449" s="465"/>
    </row>
    <row r="450">
      <c r="B450" s="465"/>
    </row>
    <row r="451">
      <c r="B451" s="465"/>
    </row>
    <row r="452">
      <c r="B452" s="465"/>
    </row>
    <row r="453">
      <c r="B453" s="465"/>
    </row>
    <row r="454">
      <c r="B454" s="465"/>
    </row>
    <row r="455">
      <c r="B455" s="465"/>
    </row>
    <row r="456">
      <c r="B456" s="465"/>
    </row>
    <row r="457">
      <c r="B457" s="465"/>
    </row>
    <row r="458">
      <c r="B458" s="465"/>
    </row>
    <row r="459">
      <c r="B459" s="465"/>
    </row>
    <row r="460">
      <c r="B460" s="465"/>
    </row>
    <row r="461">
      <c r="B461" s="465"/>
    </row>
    <row r="462">
      <c r="B462" s="465"/>
    </row>
    <row r="463">
      <c r="B463" s="465"/>
    </row>
    <row r="464">
      <c r="B464" s="465"/>
    </row>
    <row r="465">
      <c r="B465" s="465"/>
    </row>
    <row r="466">
      <c r="B466" s="465"/>
    </row>
    <row r="467">
      <c r="B467" s="465"/>
    </row>
    <row r="468">
      <c r="B468" s="465"/>
    </row>
    <row r="469">
      <c r="B469" s="465"/>
    </row>
    <row r="470">
      <c r="B470" s="465"/>
    </row>
    <row r="471">
      <c r="B471" s="465"/>
    </row>
    <row r="472">
      <c r="B472" s="465"/>
    </row>
    <row r="473">
      <c r="B473" s="465"/>
    </row>
    <row r="474">
      <c r="B474" s="465"/>
    </row>
    <row r="475">
      <c r="B475" s="465"/>
    </row>
    <row r="476">
      <c r="B476" s="465"/>
    </row>
    <row r="477">
      <c r="B477" s="465"/>
    </row>
    <row r="478">
      <c r="B478" s="465"/>
    </row>
    <row r="479">
      <c r="B479" s="465"/>
    </row>
    <row r="480">
      <c r="B480" s="465"/>
    </row>
    <row r="481">
      <c r="B481" s="465"/>
    </row>
    <row r="482">
      <c r="B482" s="465"/>
    </row>
    <row r="483">
      <c r="B483" s="465"/>
    </row>
    <row r="484">
      <c r="B484" s="465"/>
    </row>
    <row r="485">
      <c r="B485" s="465"/>
    </row>
    <row r="486">
      <c r="B486" s="465"/>
    </row>
    <row r="487">
      <c r="B487" s="465"/>
    </row>
    <row r="488">
      <c r="B488" s="465"/>
    </row>
    <row r="489">
      <c r="B489" s="465"/>
    </row>
    <row r="490">
      <c r="B490" s="465"/>
    </row>
    <row r="491">
      <c r="B491" s="465"/>
    </row>
    <row r="492">
      <c r="B492" s="465"/>
    </row>
    <row r="493">
      <c r="B493" s="465"/>
    </row>
    <row r="494">
      <c r="B494" s="465"/>
    </row>
    <row r="495">
      <c r="B495" s="465"/>
    </row>
    <row r="496">
      <c r="B496" s="465"/>
    </row>
    <row r="497">
      <c r="B497" s="465"/>
    </row>
    <row r="498">
      <c r="B498" s="465"/>
    </row>
    <row r="499">
      <c r="B499" s="465"/>
    </row>
    <row r="500">
      <c r="B500" s="465"/>
    </row>
    <row r="501">
      <c r="B501" s="465"/>
    </row>
    <row r="502">
      <c r="B502" s="465"/>
    </row>
    <row r="503">
      <c r="B503" s="465"/>
    </row>
    <row r="504">
      <c r="B504" s="465"/>
    </row>
    <row r="505">
      <c r="B505" s="465"/>
    </row>
    <row r="506">
      <c r="B506" s="465"/>
    </row>
    <row r="507">
      <c r="B507" s="465"/>
    </row>
    <row r="508">
      <c r="B508" s="465"/>
    </row>
    <row r="509">
      <c r="B509" s="465"/>
    </row>
    <row r="510">
      <c r="B510" s="465"/>
    </row>
    <row r="511">
      <c r="B511" s="465"/>
    </row>
    <row r="512">
      <c r="B512" s="465"/>
    </row>
    <row r="513">
      <c r="B513" s="465"/>
    </row>
    <row r="514">
      <c r="B514" s="465"/>
    </row>
    <row r="515">
      <c r="B515" s="465"/>
    </row>
    <row r="516">
      <c r="B516" s="465"/>
    </row>
    <row r="517">
      <c r="B517" s="465"/>
    </row>
    <row r="518">
      <c r="B518" s="465"/>
    </row>
    <row r="519">
      <c r="B519" s="465"/>
    </row>
    <row r="520">
      <c r="B520" s="465"/>
    </row>
    <row r="521">
      <c r="B521" s="465"/>
    </row>
    <row r="522">
      <c r="B522" s="465"/>
    </row>
    <row r="523">
      <c r="B523" s="465"/>
    </row>
    <row r="524">
      <c r="B524" s="465"/>
    </row>
    <row r="525">
      <c r="B525" s="465"/>
    </row>
    <row r="526">
      <c r="B526" s="465"/>
    </row>
    <row r="527">
      <c r="B527" s="465"/>
    </row>
    <row r="528">
      <c r="B528" s="465"/>
    </row>
    <row r="529">
      <c r="B529" s="465"/>
    </row>
    <row r="530">
      <c r="B530" s="465"/>
    </row>
    <row r="531">
      <c r="B531" s="465"/>
    </row>
    <row r="532">
      <c r="B532" s="465"/>
    </row>
    <row r="533">
      <c r="B533" s="465"/>
    </row>
    <row r="534">
      <c r="B534" s="465"/>
    </row>
    <row r="535">
      <c r="B535" s="465"/>
    </row>
    <row r="536">
      <c r="B536" s="465"/>
    </row>
    <row r="537">
      <c r="B537" s="465"/>
    </row>
    <row r="538">
      <c r="B538" s="465"/>
    </row>
    <row r="539">
      <c r="B539" s="465"/>
    </row>
    <row r="540">
      <c r="B540" s="465"/>
    </row>
    <row r="541">
      <c r="B541" s="465"/>
    </row>
    <row r="542">
      <c r="B542" s="465"/>
    </row>
    <row r="543">
      <c r="B543" s="465"/>
    </row>
    <row r="544">
      <c r="B544" s="465"/>
    </row>
    <row r="545">
      <c r="B545" s="465"/>
    </row>
    <row r="546">
      <c r="B546" s="465"/>
    </row>
    <row r="547">
      <c r="B547" s="465"/>
    </row>
    <row r="548">
      <c r="B548" s="465"/>
    </row>
    <row r="549">
      <c r="B549" s="465"/>
    </row>
    <row r="550">
      <c r="B550" s="465"/>
    </row>
    <row r="551">
      <c r="B551" s="465"/>
    </row>
    <row r="552">
      <c r="B552" s="465"/>
    </row>
    <row r="553">
      <c r="B553" s="465"/>
    </row>
    <row r="554">
      <c r="B554" s="465"/>
    </row>
    <row r="555">
      <c r="B555" s="465"/>
    </row>
    <row r="556">
      <c r="B556" s="465"/>
    </row>
    <row r="557">
      <c r="B557" s="465"/>
    </row>
    <row r="558">
      <c r="B558" s="465"/>
    </row>
    <row r="559">
      <c r="B559" s="465"/>
    </row>
    <row r="560">
      <c r="B560" s="465"/>
    </row>
    <row r="561">
      <c r="B561" s="465"/>
    </row>
    <row r="562">
      <c r="B562" s="465"/>
    </row>
    <row r="563">
      <c r="B563" s="465"/>
    </row>
    <row r="564">
      <c r="B564" s="465"/>
    </row>
    <row r="565">
      <c r="B565" s="465"/>
    </row>
    <row r="566">
      <c r="B566" s="465"/>
    </row>
    <row r="567">
      <c r="B567" s="465"/>
    </row>
    <row r="568">
      <c r="B568" s="465"/>
    </row>
    <row r="569">
      <c r="B569" s="465"/>
    </row>
    <row r="570">
      <c r="B570" s="465"/>
    </row>
    <row r="571">
      <c r="B571" s="465"/>
    </row>
    <row r="572">
      <c r="B572" s="465"/>
    </row>
    <row r="573">
      <c r="B573" s="465"/>
    </row>
    <row r="574">
      <c r="B574" s="465"/>
    </row>
    <row r="575">
      <c r="B575" s="465"/>
    </row>
    <row r="576">
      <c r="B576" s="465"/>
    </row>
    <row r="577">
      <c r="B577" s="465"/>
    </row>
    <row r="578">
      <c r="B578" s="465"/>
    </row>
    <row r="579">
      <c r="B579" s="465"/>
    </row>
    <row r="580">
      <c r="B580" s="465"/>
    </row>
    <row r="581">
      <c r="B581" s="465"/>
    </row>
    <row r="582">
      <c r="B582" s="465"/>
    </row>
    <row r="583">
      <c r="B583" s="465"/>
    </row>
    <row r="584">
      <c r="B584" s="465"/>
    </row>
    <row r="585">
      <c r="B585" s="465"/>
    </row>
    <row r="586">
      <c r="B586" s="465"/>
    </row>
    <row r="587">
      <c r="B587" s="465"/>
    </row>
    <row r="588">
      <c r="B588" s="465"/>
    </row>
    <row r="589">
      <c r="B589" s="465"/>
    </row>
    <row r="590">
      <c r="B590" s="465"/>
    </row>
    <row r="591">
      <c r="B591" s="465"/>
    </row>
    <row r="592">
      <c r="B592" s="465"/>
    </row>
    <row r="593">
      <c r="B593" s="465"/>
    </row>
    <row r="594">
      <c r="B594" s="465"/>
    </row>
    <row r="595">
      <c r="B595" s="465"/>
    </row>
    <row r="596">
      <c r="B596" s="465"/>
    </row>
    <row r="597">
      <c r="B597" s="465"/>
    </row>
    <row r="598">
      <c r="B598" s="465"/>
    </row>
    <row r="599">
      <c r="B599" s="465"/>
    </row>
    <row r="600">
      <c r="B600" s="465"/>
    </row>
    <row r="601">
      <c r="B601" s="465"/>
    </row>
    <row r="602">
      <c r="B602" s="465"/>
    </row>
    <row r="603">
      <c r="B603" s="465"/>
    </row>
    <row r="604">
      <c r="B604" s="465"/>
    </row>
    <row r="605">
      <c r="B605" s="465"/>
    </row>
    <row r="606">
      <c r="B606" s="465"/>
    </row>
    <row r="607">
      <c r="B607" s="465"/>
    </row>
    <row r="608">
      <c r="B608" s="465"/>
    </row>
    <row r="609">
      <c r="B609" s="465"/>
    </row>
    <row r="610">
      <c r="B610" s="465"/>
    </row>
    <row r="611">
      <c r="B611" s="465"/>
    </row>
    <row r="612">
      <c r="B612" s="465"/>
    </row>
    <row r="613">
      <c r="B613" s="465"/>
    </row>
    <row r="614">
      <c r="B614" s="465"/>
    </row>
    <row r="615">
      <c r="B615" s="465"/>
    </row>
    <row r="616">
      <c r="B616" s="465"/>
    </row>
    <row r="617">
      <c r="B617" s="465"/>
    </row>
    <row r="618">
      <c r="B618" s="465"/>
    </row>
    <row r="619">
      <c r="B619" s="465"/>
    </row>
    <row r="620">
      <c r="B620" s="465"/>
    </row>
    <row r="621">
      <c r="B621" s="465"/>
    </row>
    <row r="622">
      <c r="B622" s="465"/>
    </row>
    <row r="623">
      <c r="B623" s="465"/>
    </row>
    <row r="624">
      <c r="B624" s="465"/>
    </row>
    <row r="625">
      <c r="B625" s="465"/>
    </row>
    <row r="626">
      <c r="B626" s="465"/>
    </row>
    <row r="627">
      <c r="B627" s="465"/>
    </row>
    <row r="628">
      <c r="B628" s="465"/>
    </row>
    <row r="629">
      <c r="B629" s="465"/>
    </row>
    <row r="630">
      <c r="B630" s="465"/>
    </row>
    <row r="631">
      <c r="B631" s="465"/>
    </row>
    <row r="632">
      <c r="B632" s="465"/>
    </row>
    <row r="633">
      <c r="B633" s="465"/>
    </row>
    <row r="634">
      <c r="B634" s="465"/>
    </row>
    <row r="635">
      <c r="B635" s="465"/>
    </row>
    <row r="636">
      <c r="B636" s="465"/>
    </row>
    <row r="637">
      <c r="B637" s="465"/>
    </row>
    <row r="638">
      <c r="B638" s="465"/>
    </row>
    <row r="639">
      <c r="B639" s="465"/>
    </row>
    <row r="640">
      <c r="B640" s="465"/>
    </row>
    <row r="641">
      <c r="B641" s="465"/>
    </row>
    <row r="642">
      <c r="B642" s="465"/>
    </row>
    <row r="643">
      <c r="B643" s="465"/>
    </row>
    <row r="644">
      <c r="B644" s="465"/>
    </row>
    <row r="645">
      <c r="B645" s="465"/>
    </row>
    <row r="646">
      <c r="B646" s="465"/>
    </row>
    <row r="647">
      <c r="B647" s="465"/>
    </row>
    <row r="648">
      <c r="B648" s="465"/>
    </row>
    <row r="649">
      <c r="B649" s="465"/>
    </row>
    <row r="650">
      <c r="B650" s="465"/>
    </row>
    <row r="651">
      <c r="B651" s="465"/>
    </row>
    <row r="652">
      <c r="B652" s="465"/>
    </row>
    <row r="653">
      <c r="B653" s="465"/>
    </row>
    <row r="654">
      <c r="B654" s="465"/>
    </row>
    <row r="655">
      <c r="B655" s="465"/>
    </row>
    <row r="656">
      <c r="B656" s="465"/>
    </row>
    <row r="657">
      <c r="B657" s="465"/>
    </row>
    <row r="658">
      <c r="B658" s="465"/>
    </row>
    <row r="659">
      <c r="B659" s="465"/>
    </row>
    <row r="660">
      <c r="B660" s="465"/>
    </row>
    <row r="661">
      <c r="B661" s="465"/>
    </row>
    <row r="662">
      <c r="B662" s="465"/>
    </row>
    <row r="663">
      <c r="B663" s="465"/>
    </row>
    <row r="664">
      <c r="B664" s="465"/>
    </row>
    <row r="665">
      <c r="B665" s="465"/>
    </row>
    <row r="666">
      <c r="B666" s="465"/>
    </row>
    <row r="667">
      <c r="B667" s="465"/>
    </row>
    <row r="668">
      <c r="B668" s="465"/>
    </row>
    <row r="669">
      <c r="B669" s="465"/>
    </row>
    <row r="670">
      <c r="B670" s="465"/>
    </row>
    <row r="671">
      <c r="B671" s="465"/>
    </row>
    <row r="672">
      <c r="B672" s="465"/>
    </row>
    <row r="673">
      <c r="B673" s="465"/>
    </row>
    <row r="674">
      <c r="B674" s="465"/>
    </row>
    <row r="675">
      <c r="B675" s="465"/>
    </row>
    <row r="676">
      <c r="B676" s="465"/>
    </row>
    <row r="677">
      <c r="B677" s="465"/>
    </row>
    <row r="678">
      <c r="B678" s="465"/>
    </row>
    <row r="679">
      <c r="B679" s="465"/>
    </row>
    <row r="680">
      <c r="B680" s="465"/>
    </row>
    <row r="681">
      <c r="B681" s="465"/>
    </row>
    <row r="682">
      <c r="B682" s="465"/>
    </row>
    <row r="683">
      <c r="B683" s="465"/>
    </row>
    <row r="684">
      <c r="B684" s="465"/>
    </row>
    <row r="685">
      <c r="B685" s="465"/>
    </row>
    <row r="686">
      <c r="B686" s="465"/>
    </row>
    <row r="687">
      <c r="B687" s="465"/>
    </row>
    <row r="688">
      <c r="B688" s="465"/>
    </row>
    <row r="689">
      <c r="B689" s="465"/>
    </row>
    <row r="690">
      <c r="B690" s="465"/>
    </row>
    <row r="691">
      <c r="B691" s="465"/>
    </row>
    <row r="692">
      <c r="B692" s="465"/>
    </row>
    <row r="693">
      <c r="B693" s="465"/>
    </row>
    <row r="694">
      <c r="B694" s="465"/>
    </row>
    <row r="695">
      <c r="B695" s="465"/>
    </row>
    <row r="696">
      <c r="B696" s="465"/>
    </row>
    <row r="697">
      <c r="B697" s="465"/>
    </row>
    <row r="698">
      <c r="B698" s="465"/>
    </row>
    <row r="699">
      <c r="B699" s="465"/>
    </row>
    <row r="700">
      <c r="B700" s="465"/>
    </row>
    <row r="701">
      <c r="B701" s="465"/>
    </row>
    <row r="702">
      <c r="B702" s="465"/>
    </row>
    <row r="703">
      <c r="B703" s="465"/>
    </row>
    <row r="704">
      <c r="B704" s="465"/>
    </row>
    <row r="705">
      <c r="B705" s="465"/>
    </row>
    <row r="706">
      <c r="B706" s="465"/>
    </row>
    <row r="707">
      <c r="B707" s="465"/>
    </row>
    <row r="708">
      <c r="B708" s="465"/>
    </row>
    <row r="709">
      <c r="B709" s="465"/>
    </row>
    <row r="710">
      <c r="B710" s="465"/>
    </row>
    <row r="711">
      <c r="B711" s="465"/>
    </row>
    <row r="712">
      <c r="B712" s="465"/>
    </row>
    <row r="713">
      <c r="B713" s="465"/>
    </row>
    <row r="714">
      <c r="B714" s="465"/>
    </row>
    <row r="715">
      <c r="B715" s="465"/>
    </row>
    <row r="716">
      <c r="B716" s="465"/>
    </row>
    <row r="717">
      <c r="B717" s="465"/>
    </row>
    <row r="718">
      <c r="B718" s="465"/>
    </row>
    <row r="719">
      <c r="B719" s="465"/>
    </row>
    <row r="720">
      <c r="B720" s="465"/>
    </row>
    <row r="721">
      <c r="B721" s="465"/>
    </row>
    <row r="722">
      <c r="B722" s="465"/>
    </row>
    <row r="723">
      <c r="B723" s="465"/>
    </row>
    <row r="724">
      <c r="B724" s="465"/>
    </row>
    <row r="725">
      <c r="B725" s="465"/>
    </row>
    <row r="726">
      <c r="B726" s="465"/>
    </row>
    <row r="727">
      <c r="B727" s="465"/>
    </row>
    <row r="728">
      <c r="B728" s="465"/>
    </row>
    <row r="729">
      <c r="B729" s="465"/>
    </row>
    <row r="730">
      <c r="B730" s="465"/>
    </row>
    <row r="731">
      <c r="B731" s="465"/>
    </row>
    <row r="732">
      <c r="B732" s="465"/>
    </row>
    <row r="733">
      <c r="B733" s="465"/>
    </row>
    <row r="734">
      <c r="B734" s="465"/>
    </row>
    <row r="735">
      <c r="B735" s="465"/>
    </row>
    <row r="736">
      <c r="B736" s="465"/>
    </row>
    <row r="737">
      <c r="B737" s="465"/>
    </row>
    <row r="738">
      <c r="B738" s="465"/>
    </row>
    <row r="739">
      <c r="B739" s="465"/>
    </row>
    <row r="740">
      <c r="B740" s="465"/>
    </row>
    <row r="741">
      <c r="B741" s="465"/>
    </row>
    <row r="742">
      <c r="B742" s="465"/>
    </row>
    <row r="743">
      <c r="B743" s="465"/>
    </row>
    <row r="744">
      <c r="B744" s="465"/>
    </row>
    <row r="745">
      <c r="B745" s="465"/>
    </row>
    <row r="746">
      <c r="B746" s="465"/>
    </row>
    <row r="747">
      <c r="B747" s="465"/>
    </row>
    <row r="748">
      <c r="B748" s="465"/>
    </row>
    <row r="749">
      <c r="B749" s="465"/>
    </row>
    <row r="750">
      <c r="B750" s="465"/>
    </row>
    <row r="751">
      <c r="B751" s="465"/>
    </row>
    <row r="752">
      <c r="B752" s="465"/>
    </row>
    <row r="753">
      <c r="B753" s="465"/>
    </row>
    <row r="754">
      <c r="B754" s="465"/>
    </row>
    <row r="755">
      <c r="B755" s="465"/>
    </row>
    <row r="756">
      <c r="B756" s="465"/>
    </row>
    <row r="757">
      <c r="B757" s="465"/>
    </row>
    <row r="758">
      <c r="B758" s="465"/>
    </row>
    <row r="759">
      <c r="B759" s="465"/>
    </row>
    <row r="760">
      <c r="B760" s="465"/>
    </row>
    <row r="761">
      <c r="B761" s="465"/>
    </row>
    <row r="762">
      <c r="B762" s="465"/>
    </row>
    <row r="763">
      <c r="B763" s="465"/>
    </row>
    <row r="764">
      <c r="B764" s="465"/>
    </row>
    <row r="765">
      <c r="B765" s="465"/>
    </row>
    <row r="766">
      <c r="B766" s="465"/>
    </row>
    <row r="767">
      <c r="B767" s="465"/>
    </row>
    <row r="768">
      <c r="B768" s="465"/>
    </row>
    <row r="769">
      <c r="B769" s="465"/>
    </row>
    <row r="770">
      <c r="B770" s="465"/>
    </row>
    <row r="771">
      <c r="B771" s="465"/>
    </row>
    <row r="772">
      <c r="B772" s="465"/>
    </row>
    <row r="773">
      <c r="B773" s="465"/>
    </row>
    <row r="774">
      <c r="B774" s="465"/>
    </row>
    <row r="775">
      <c r="B775" s="465"/>
    </row>
    <row r="776">
      <c r="B776" s="465"/>
    </row>
    <row r="777">
      <c r="B777" s="465"/>
    </row>
    <row r="778">
      <c r="B778" s="465"/>
    </row>
    <row r="779">
      <c r="B779" s="465"/>
    </row>
    <row r="780">
      <c r="B780" s="465"/>
    </row>
    <row r="781">
      <c r="B781" s="465"/>
    </row>
    <row r="782">
      <c r="B782" s="465"/>
    </row>
    <row r="783">
      <c r="B783" s="465"/>
    </row>
    <row r="784">
      <c r="B784" s="465"/>
    </row>
    <row r="785">
      <c r="B785" s="465"/>
    </row>
    <row r="786">
      <c r="B786" s="465"/>
    </row>
    <row r="787">
      <c r="B787" s="465"/>
    </row>
    <row r="788">
      <c r="B788" s="465"/>
    </row>
    <row r="789">
      <c r="B789" s="465"/>
    </row>
    <row r="790">
      <c r="B790" s="465"/>
    </row>
    <row r="791">
      <c r="B791" s="465"/>
    </row>
    <row r="792">
      <c r="B792" s="465"/>
    </row>
    <row r="793">
      <c r="B793" s="465"/>
    </row>
    <row r="794">
      <c r="B794" s="465"/>
    </row>
    <row r="795">
      <c r="B795" s="465"/>
    </row>
    <row r="796">
      <c r="B796" s="465"/>
    </row>
    <row r="797">
      <c r="B797" s="465"/>
    </row>
    <row r="798">
      <c r="B798" s="465"/>
    </row>
    <row r="799">
      <c r="B799" s="465"/>
    </row>
    <row r="800">
      <c r="B800" s="465"/>
    </row>
    <row r="801">
      <c r="B801" s="465"/>
    </row>
    <row r="802">
      <c r="B802" s="465"/>
    </row>
    <row r="803">
      <c r="B803" s="465"/>
    </row>
    <row r="804">
      <c r="B804" s="465"/>
    </row>
    <row r="805">
      <c r="B805" s="465"/>
    </row>
    <row r="806">
      <c r="B806" s="465"/>
    </row>
    <row r="807">
      <c r="B807" s="465"/>
    </row>
    <row r="808">
      <c r="B808" s="465"/>
    </row>
    <row r="809">
      <c r="B809" s="465"/>
    </row>
    <row r="810">
      <c r="B810" s="465"/>
    </row>
    <row r="811">
      <c r="B811" s="465"/>
    </row>
    <row r="812">
      <c r="B812" s="465"/>
    </row>
    <row r="813">
      <c r="B813" s="465"/>
    </row>
    <row r="814">
      <c r="B814" s="465"/>
    </row>
    <row r="815">
      <c r="B815" s="465"/>
    </row>
    <row r="816">
      <c r="B816" s="465"/>
    </row>
    <row r="817">
      <c r="B817" s="465"/>
    </row>
    <row r="818">
      <c r="B818" s="465"/>
    </row>
    <row r="819">
      <c r="B819" s="465"/>
    </row>
    <row r="820">
      <c r="B820" s="465"/>
    </row>
    <row r="821">
      <c r="B821" s="465"/>
    </row>
    <row r="822">
      <c r="B822" s="465"/>
    </row>
    <row r="823">
      <c r="B823" s="465"/>
    </row>
    <row r="824">
      <c r="B824" s="465"/>
    </row>
    <row r="825">
      <c r="B825" s="465"/>
    </row>
    <row r="826">
      <c r="B826" s="465"/>
    </row>
    <row r="827">
      <c r="B827" s="465"/>
    </row>
    <row r="828">
      <c r="B828" s="465"/>
    </row>
    <row r="829">
      <c r="B829" s="465"/>
    </row>
    <row r="830">
      <c r="B830" s="465"/>
    </row>
    <row r="831">
      <c r="B831" s="465"/>
    </row>
    <row r="832">
      <c r="B832" s="465"/>
    </row>
    <row r="833">
      <c r="B833" s="465"/>
    </row>
    <row r="834">
      <c r="B834" s="465"/>
    </row>
    <row r="835">
      <c r="B835" s="465"/>
    </row>
    <row r="836">
      <c r="B836" s="465"/>
    </row>
    <row r="837">
      <c r="B837" s="465"/>
    </row>
    <row r="838">
      <c r="B838" s="465"/>
    </row>
    <row r="839">
      <c r="B839" s="465"/>
    </row>
    <row r="840">
      <c r="B840" s="465"/>
    </row>
    <row r="841">
      <c r="B841" s="465"/>
    </row>
    <row r="842">
      <c r="B842" s="465"/>
    </row>
    <row r="843">
      <c r="B843" s="465"/>
    </row>
    <row r="844">
      <c r="B844" s="465"/>
    </row>
    <row r="845">
      <c r="B845" s="465"/>
    </row>
    <row r="846">
      <c r="B846" s="465"/>
    </row>
    <row r="847">
      <c r="B847" s="465"/>
    </row>
    <row r="848">
      <c r="B848" s="465"/>
    </row>
    <row r="849">
      <c r="B849" s="465"/>
    </row>
    <row r="850">
      <c r="B850" s="465"/>
    </row>
    <row r="851">
      <c r="B851" s="465"/>
    </row>
    <row r="852">
      <c r="B852" s="465"/>
    </row>
    <row r="853">
      <c r="B853" s="465"/>
    </row>
    <row r="854">
      <c r="B854" s="465"/>
    </row>
    <row r="855">
      <c r="B855" s="465"/>
    </row>
    <row r="856">
      <c r="B856" s="465"/>
    </row>
    <row r="857">
      <c r="B857" s="465"/>
    </row>
    <row r="858">
      <c r="B858" s="465"/>
    </row>
    <row r="859">
      <c r="B859" s="465"/>
    </row>
    <row r="860">
      <c r="B860" s="465"/>
    </row>
    <row r="861">
      <c r="B861" s="465"/>
    </row>
    <row r="862">
      <c r="B862" s="465"/>
    </row>
    <row r="863">
      <c r="B863" s="465"/>
    </row>
    <row r="864">
      <c r="B864" s="465"/>
    </row>
    <row r="865">
      <c r="B865" s="465"/>
    </row>
    <row r="866">
      <c r="B866" s="465"/>
    </row>
    <row r="867">
      <c r="B867" s="465"/>
    </row>
    <row r="868">
      <c r="B868" s="465"/>
    </row>
    <row r="869">
      <c r="B869" s="465"/>
    </row>
    <row r="870">
      <c r="B870" s="465"/>
    </row>
    <row r="871">
      <c r="B871" s="465"/>
    </row>
    <row r="872">
      <c r="B872" s="465"/>
    </row>
    <row r="873">
      <c r="B873" s="465"/>
    </row>
    <row r="874">
      <c r="B874" s="465"/>
    </row>
    <row r="875">
      <c r="B875" s="465"/>
    </row>
    <row r="876">
      <c r="B876" s="465"/>
    </row>
    <row r="877">
      <c r="B877" s="465"/>
    </row>
    <row r="878">
      <c r="B878" s="465"/>
    </row>
    <row r="879">
      <c r="B879" s="465"/>
    </row>
    <row r="880">
      <c r="B880" s="465"/>
    </row>
    <row r="881">
      <c r="B881" s="465"/>
    </row>
    <row r="882">
      <c r="B882" s="465"/>
    </row>
    <row r="883">
      <c r="B883" s="465"/>
    </row>
    <row r="884">
      <c r="B884" s="465"/>
    </row>
    <row r="885">
      <c r="B885" s="465"/>
    </row>
    <row r="886">
      <c r="B886" s="465"/>
    </row>
    <row r="887">
      <c r="B887" s="465"/>
    </row>
    <row r="888">
      <c r="B888" s="465"/>
    </row>
    <row r="889">
      <c r="B889" s="465"/>
    </row>
    <row r="890">
      <c r="B890" s="465"/>
    </row>
    <row r="891">
      <c r="B891" s="465"/>
    </row>
    <row r="892">
      <c r="B892" s="465"/>
    </row>
    <row r="893">
      <c r="B893" s="465"/>
    </row>
    <row r="894">
      <c r="B894" s="465"/>
    </row>
    <row r="895">
      <c r="B895" s="465"/>
    </row>
    <row r="896">
      <c r="B896" s="465"/>
    </row>
    <row r="897">
      <c r="B897" s="465"/>
    </row>
    <row r="898">
      <c r="B898" s="465"/>
    </row>
    <row r="899">
      <c r="B899" s="465"/>
    </row>
    <row r="900">
      <c r="B900" s="465"/>
    </row>
    <row r="901">
      <c r="B901" s="465"/>
    </row>
    <row r="902">
      <c r="B902" s="465"/>
    </row>
    <row r="903">
      <c r="B903" s="465"/>
    </row>
    <row r="904">
      <c r="B904" s="465"/>
    </row>
    <row r="905">
      <c r="B905" s="465"/>
    </row>
    <row r="906">
      <c r="B906" s="465"/>
    </row>
    <row r="907">
      <c r="B907" s="465"/>
    </row>
    <row r="908">
      <c r="B908" s="465"/>
    </row>
    <row r="909">
      <c r="B909" s="465"/>
    </row>
    <row r="910">
      <c r="B910" s="465"/>
    </row>
    <row r="911">
      <c r="B911" s="465"/>
    </row>
    <row r="912">
      <c r="B912" s="465"/>
    </row>
    <row r="913">
      <c r="B913" s="465"/>
    </row>
    <row r="914">
      <c r="B914" s="465"/>
    </row>
    <row r="915">
      <c r="B915" s="465"/>
    </row>
    <row r="916">
      <c r="B916" s="465"/>
    </row>
    <row r="917">
      <c r="B917" s="465"/>
    </row>
    <row r="918">
      <c r="B918" s="465"/>
    </row>
    <row r="919">
      <c r="B919" s="465"/>
    </row>
    <row r="920">
      <c r="B920" s="465"/>
    </row>
    <row r="921">
      <c r="B921" s="465"/>
    </row>
    <row r="922">
      <c r="B922" s="465"/>
    </row>
    <row r="923">
      <c r="B923" s="465"/>
    </row>
    <row r="924">
      <c r="B924" s="465"/>
    </row>
    <row r="925">
      <c r="B925" s="465"/>
    </row>
    <row r="926">
      <c r="B926" s="465"/>
    </row>
    <row r="927">
      <c r="B927" s="465"/>
    </row>
    <row r="928">
      <c r="B928" s="465"/>
    </row>
    <row r="929">
      <c r="B929" s="465"/>
    </row>
    <row r="930">
      <c r="B930" s="465"/>
    </row>
    <row r="931">
      <c r="B931" s="465"/>
    </row>
    <row r="932">
      <c r="B932" s="465"/>
    </row>
    <row r="933">
      <c r="B933" s="465"/>
    </row>
    <row r="934">
      <c r="B934" s="465"/>
    </row>
    <row r="935">
      <c r="B935" s="465"/>
    </row>
    <row r="936">
      <c r="B936" s="465"/>
    </row>
    <row r="937">
      <c r="B937" s="465"/>
    </row>
    <row r="938">
      <c r="B938" s="465"/>
    </row>
    <row r="939">
      <c r="B939" s="465"/>
    </row>
    <row r="940">
      <c r="B940" s="465"/>
    </row>
    <row r="941">
      <c r="B941" s="465"/>
    </row>
    <row r="942">
      <c r="B942" s="465"/>
    </row>
    <row r="943">
      <c r="B943" s="465"/>
    </row>
    <row r="944">
      <c r="B944" s="465"/>
    </row>
    <row r="945">
      <c r="B945" s="465"/>
    </row>
    <row r="946">
      <c r="B946" s="465"/>
    </row>
    <row r="947">
      <c r="B947" s="465"/>
    </row>
    <row r="948">
      <c r="B948" s="465"/>
    </row>
    <row r="949">
      <c r="B949" s="465"/>
    </row>
    <row r="950">
      <c r="B950" s="465"/>
    </row>
    <row r="951">
      <c r="B951" s="465"/>
    </row>
    <row r="952">
      <c r="B952" s="465"/>
    </row>
    <row r="953">
      <c r="B953" s="465"/>
    </row>
    <row r="954">
      <c r="B954" s="465"/>
    </row>
    <row r="955">
      <c r="B955" s="465"/>
    </row>
    <row r="956">
      <c r="B956" s="465"/>
    </row>
    <row r="957">
      <c r="B957" s="465"/>
    </row>
    <row r="958">
      <c r="B958" s="465"/>
    </row>
    <row r="959">
      <c r="B959" s="465"/>
    </row>
    <row r="960">
      <c r="B960" s="465"/>
    </row>
    <row r="961">
      <c r="B961" s="465"/>
    </row>
    <row r="962">
      <c r="B962" s="465"/>
    </row>
    <row r="963">
      <c r="B963" s="465"/>
    </row>
    <row r="964">
      <c r="B964" s="465"/>
    </row>
    <row r="965">
      <c r="B965" s="465"/>
    </row>
    <row r="966">
      <c r="B966" s="465"/>
    </row>
    <row r="967">
      <c r="B967" s="465"/>
    </row>
    <row r="968">
      <c r="B968" s="465"/>
    </row>
    <row r="969">
      <c r="B969" s="465"/>
    </row>
    <row r="970">
      <c r="B970" s="465"/>
    </row>
    <row r="971">
      <c r="B971" s="465"/>
    </row>
    <row r="972">
      <c r="B972" s="465"/>
    </row>
    <row r="973">
      <c r="B973" s="465"/>
    </row>
    <row r="974">
      <c r="B974" s="465"/>
    </row>
    <row r="975">
      <c r="B975" s="465"/>
    </row>
    <row r="976">
      <c r="B976" s="465"/>
    </row>
    <row r="977">
      <c r="B977" s="465"/>
    </row>
    <row r="978">
      <c r="B978" s="465"/>
    </row>
    <row r="979">
      <c r="B979" s="465"/>
    </row>
    <row r="980">
      <c r="B980" s="465"/>
    </row>
    <row r="981">
      <c r="B981" s="465"/>
    </row>
    <row r="982">
      <c r="B982" s="465"/>
    </row>
    <row r="983">
      <c r="B983" s="465"/>
    </row>
    <row r="984">
      <c r="B984" s="465"/>
    </row>
    <row r="985">
      <c r="B985" s="465"/>
    </row>
    <row r="986">
      <c r="B986" s="465"/>
    </row>
    <row r="987">
      <c r="B987" s="465"/>
    </row>
    <row r="988">
      <c r="B988" s="465"/>
    </row>
    <row r="989">
      <c r="B989" s="465"/>
    </row>
    <row r="990">
      <c r="B990" s="465"/>
    </row>
    <row r="991">
      <c r="B991" s="465"/>
    </row>
    <row r="992">
      <c r="B992" s="465"/>
    </row>
    <row r="993">
      <c r="B993" s="465"/>
    </row>
    <row r="994">
      <c r="B994" s="465"/>
    </row>
    <row r="995">
      <c r="B995" s="465"/>
    </row>
    <row r="996">
      <c r="B996" s="465"/>
    </row>
    <row r="997">
      <c r="B997" s="465"/>
    </row>
    <row r="998">
      <c r="B998" s="465"/>
    </row>
    <row r="999">
      <c r="B999" s="465"/>
    </row>
    <row r="1000">
      <c r="B1000" s="465"/>
    </row>
    <row r="1001">
      <c r="B1001" s="465"/>
    </row>
    <row r="1002">
      <c r="B1002" s="465"/>
    </row>
  </sheetData>
  <mergeCells count="16">
    <mergeCell ref="B1:H1"/>
    <mergeCell ref="B2:H2"/>
    <mergeCell ref="B3:H3"/>
    <mergeCell ref="B4:H4"/>
    <mergeCell ref="B5:H5"/>
    <mergeCell ref="B6:H6"/>
    <mergeCell ref="B7:H7"/>
    <mergeCell ref="B17:H17"/>
    <mergeCell ref="B18:H18"/>
    <mergeCell ref="B8:H8"/>
    <mergeCell ref="B9:H9"/>
    <mergeCell ref="B10:H10"/>
    <mergeCell ref="B11:H11"/>
    <mergeCell ref="B12:H12"/>
    <mergeCell ref="B13:H13"/>
    <mergeCell ref="B14:H14"/>
  </mergeCells>
  <hyperlinks>
    <hyperlink r:id="rId2" ref="B2"/>
    <hyperlink r:id="rId3" ref="K2"/>
    <hyperlink r:id="rId4" ref="B3"/>
    <hyperlink r:id="rId5" ref="K3"/>
    <hyperlink r:id="rId6" ref="K4"/>
    <hyperlink r:id="rId7" location="gid=246219343" ref="B5"/>
    <hyperlink r:id="rId8" ref="K5"/>
    <hyperlink r:id="rId9" ref="B6"/>
    <hyperlink r:id="rId10" ref="K6"/>
    <hyperlink r:id="rId11" ref="B7"/>
    <hyperlink r:id="rId12" ref="K7"/>
    <hyperlink r:id="rId13" ref="K8"/>
    <hyperlink r:id="rId14" ref="B9"/>
    <hyperlink r:id="rId15" ref="K9"/>
    <hyperlink r:id="rId16" location="gid=1027218365" ref="B10"/>
    <hyperlink r:id="rId17" ref="K10"/>
    <hyperlink r:id="rId18" ref="B11"/>
    <hyperlink r:id="rId19" ref="B12"/>
    <hyperlink r:id="rId20" ref="K12"/>
    <hyperlink r:id="rId21" location="gid=48286096" ref="B13"/>
    <hyperlink r:id="rId22" ref="K13"/>
    <hyperlink r:id="rId23" ref="B14"/>
    <hyperlink r:id="rId24" ref="K14"/>
    <hyperlink r:id="rId25" ref="K15"/>
    <hyperlink r:id="rId26" location="gid=0" ref="K16"/>
  </hyperlinks>
  <drawing r:id="rId27"/>
  <legacyDrawing r:id="rId28"/>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71"/>
    <col customWidth="1" min="2" max="2" width="49.71"/>
    <col customWidth="1" min="3" max="3" width="86.29"/>
  </cols>
  <sheetData>
    <row r="1">
      <c r="A1" s="504"/>
      <c r="B1" s="504" t="s">
        <v>18</v>
      </c>
      <c r="C1" s="99" t="s">
        <v>1589</v>
      </c>
      <c r="D1" s="505"/>
      <c r="E1" s="505"/>
      <c r="F1" s="505"/>
      <c r="G1" s="505"/>
      <c r="H1" s="505"/>
      <c r="I1" s="505"/>
      <c r="J1" s="505"/>
      <c r="K1" s="505"/>
      <c r="L1" s="505"/>
      <c r="M1" s="505"/>
      <c r="N1" s="505"/>
      <c r="O1" s="505"/>
      <c r="P1" s="505"/>
      <c r="Q1" s="505"/>
      <c r="R1" s="505"/>
      <c r="S1" s="505"/>
      <c r="T1" s="505"/>
      <c r="U1" s="505"/>
      <c r="V1" s="505"/>
      <c r="W1" s="505"/>
      <c r="X1" s="505"/>
      <c r="Y1" s="505"/>
      <c r="Z1" s="505"/>
    </row>
    <row r="2">
      <c r="A2" s="70">
        <v>392928.0</v>
      </c>
      <c r="B2" s="70" t="s">
        <v>1590</v>
      </c>
    </row>
    <row r="3">
      <c r="A3" s="70">
        <v>417663.0</v>
      </c>
      <c r="B3" s="70" t="s">
        <v>1591</v>
      </c>
    </row>
    <row r="4">
      <c r="A4" s="70">
        <v>397762.0</v>
      </c>
      <c r="B4" s="70" t="s">
        <v>1592</v>
      </c>
    </row>
    <row r="5">
      <c r="A5" s="70">
        <v>346988.0</v>
      </c>
      <c r="B5" s="70" t="s">
        <v>1593</v>
      </c>
    </row>
    <row r="6">
      <c r="A6" s="70">
        <v>399936.0</v>
      </c>
      <c r="B6" s="70" t="s">
        <v>1594</v>
      </c>
    </row>
    <row r="7">
      <c r="A7" s="70">
        <v>429284.0</v>
      </c>
      <c r="B7" s="70" t="s">
        <v>1595</v>
      </c>
    </row>
    <row r="8">
      <c r="A8" s="70">
        <v>407320.0</v>
      </c>
      <c r="B8" s="70" t="s">
        <v>1596</v>
      </c>
    </row>
    <row r="9">
      <c r="A9" s="70">
        <v>430201.0</v>
      </c>
      <c r="B9" s="70" t="s">
        <v>1597</v>
      </c>
    </row>
    <row r="10">
      <c r="A10" s="70">
        <v>421756.0</v>
      </c>
      <c r="B10" s="70" t="s">
        <v>1598</v>
      </c>
    </row>
    <row r="11">
      <c r="A11" s="70" t="s">
        <v>1599</v>
      </c>
      <c r="B11" s="70" t="s">
        <v>1600</v>
      </c>
    </row>
    <row r="12">
      <c r="A12" s="70">
        <v>431018.0</v>
      </c>
      <c r="B12" s="70" t="s">
        <v>1601</v>
      </c>
    </row>
    <row r="13">
      <c r="A13" s="70">
        <v>405070.0</v>
      </c>
      <c r="B13" s="70" t="s">
        <v>1602</v>
      </c>
    </row>
    <row r="14">
      <c r="A14" s="70">
        <v>440347.0</v>
      </c>
      <c r="B14" s="70" t="s">
        <v>1603</v>
      </c>
    </row>
    <row r="15">
      <c r="A15" s="70">
        <v>442311.0</v>
      </c>
      <c r="B15" s="70" t="s">
        <v>1604</v>
      </c>
    </row>
    <row r="16">
      <c r="A16" s="70">
        <v>438286.0</v>
      </c>
      <c r="B16" s="70" t="s">
        <v>1605</v>
      </c>
      <c r="C16" s="1" t="s">
        <v>1606</v>
      </c>
    </row>
    <row r="17">
      <c r="A17" s="70">
        <v>442978.0</v>
      </c>
      <c r="B17" s="70" t="s">
        <v>1607</v>
      </c>
    </row>
    <row r="18">
      <c r="A18" s="70"/>
      <c r="B18" s="70" t="s">
        <v>1608</v>
      </c>
      <c r="C18" s="1" t="s">
        <v>1609</v>
      </c>
    </row>
    <row r="19">
      <c r="A19" s="70">
        <v>440708.0</v>
      </c>
      <c r="B19" s="70" t="s">
        <v>1610</v>
      </c>
    </row>
    <row r="20">
      <c r="A20" s="70">
        <v>523469.0</v>
      </c>
      <c r="B20" s="70" t="s">
        <v>1611</v>
      </c>
    </row>
    <row r="21">
      <c r="A21" s="66"/>
      <c r="B21" s="66"/>
    </row>
    <row r="22">
      <c r="A22" s="66"/>
      <c r="B22" s="66"/>
    </row>
    <row r="23">
      <c r="A23" s="66"/>
      <c r="B23" s="66"/>
    </row>
    <row r="24">
      <c r="A24" s="66"/>
      <c r="B24" s="66"/>
    </row>
    <row r="25">
      <c r="A25" s="66"/>
      <c r="B25" s="66"/>
    </row>
    <row r="26">
      <c r="A26" s="66"/>
      <c r="B26" s="66"/>
    </row>
    <row r="27">
      <c r="A27" s="66"/>
      <c r="B27" s="66"/>
    </row>
    <row r="28">
      <c r="A28" s="66"/>
      <c r="B28" s="66"/>
    </row>
    <row r="29">
      <c r="A29" s="66"/>
      <c r="B29" s="66"/>
    </row>
    <row r="30">
      <c r="A30" s="66"/>
      <c r="B30" s="66"/>
    </row>
    <row r="31">
      <c r="A31" s="66"/>
      <c r="B31" s="66"/>
      <c r="C31" s="145" t="str">
        <f>'SoS - Agents Info'!A45</f>
        <v>Enrico Fasani</v>
      </c>
    </row>
    <row r="32">
      <c r="A32" s="66"/>
      <c r="B32" s="66"/>
    </row>
    <row r="33">
      <c r="A33" s="66"/>
      <c r="B33" s="66"/>
    </row>
    <row r="34">
      <c r="A34" s="66"/>
      <c r="B34" s="66"/>
    </row>
    <row r="35">
      <c r="A35" s="66"/>
      <c r="B35" s="66"/>
    </row>
    <row r="36">
      <c r="A36" s="66"/>
      <c r="B36" s="66"/>
    </row>
    <row r="37">
      <c r="A37" s="66"/>
      <c r="B37" s="66"/>
    </row>
    <row r="38">
      <c r="A38" s="66"/>
      <c r="B38" s="66"/>
    </row>
    <row r="39">
      <c r="A39" s="66"/>
      <c r="B39" s="66"/>
    </row>
    <row r="40">
      <c r="A40" s="66"/>
      <c r="B40" s="66"/>
    </row>
    <row r="41">
      <c r="A41" s="66"/>
      <c r="B41" s="66"/>
    </row>
    <row r="42">
      <c r="A42" s="66"/>
      <c r="B42" s="66"/>
    </row>
    <row r="43">
      <c r="A43" s="66"/>
      <c r="B43" s="66"/>
    </row>
    <row r="44">
      <c r="A44" s="66"/>
      <c r="B44" s="66"/>
    </row>
    <row r="45">
      <c r="A45" s="66"/>
      <c r="B45" s="66"/>
    </row>
    <row r="46">
      <c r="A46" s="66"/>
      <c r="B46" s="66"/>
    </row>
    <row r="47">
      <c r="A47" s="66"/>
      <c r="B47" s="66"/>
    </row>
    <row r="48">
      <c r="A48" s="66"/>
      <c r="B48" s="66"/>
    </row>
    <row r="49">
      <c r="A49" s="66"/>
      <c r="B49" s="66"/>
    </row>
    <row r="50">
      <c r="A50" s="66"/>
      <c r="B50" s="66"/>
    </row>
    <row r="51">
      <c r="A51" s="66"/>
      <c r="B51" s="66"/>
    </row>
    <row r="52">
      <c r="A52" s="66"/>
      <c r="B52" s="66"/>
    </row>
    <row r="53">
      <c r="A53" s="66"/>
      <c r="B53" s="66"/>
    </row>
    <row r="54">
      <c r="A54" s="66"/>
      <c r="B54" s="66"/>
    </row>
    <row r="55">
      <c r="A55" s="66"/>
      <c r="B55" s="66"/>
    </row>
    <row r="56">
      <c r="A56" s="66"/>
      <c r="B56" s="66"/>
    </row>
    <row r="57">
      <c r="A57" s="66"/>
      <c r="B57" s="66"/>
    </row>
    <row r="58">
      <c r="A58" s="66"/>
      <c r="B58" s="66"/>
    </row>
    <row r="59">
      <c r="A59" s="66"/>
      <c r="B59" s="66"/>
    </row>
    <row r="60">
      <c r="A60" s="66"/>
      <c r="B60" s="66"/>
    </row>
    <row r="61">
      <c r="A61" s="66"/>
      <c r="B61" s="66"/>
    </row>
    <row r="62">
      <c r="A62" s="66"/>
      <c r="B62" s="66"/>
    </row>
    <row r="63">
      <c r="A63" s="66"/>
      <c r="B63" s="66"/>
    </row>
    <row r="64">
      <c r="A64" s="66"/>
      <c r="B64" s="66"/>
    </row>
    <row r="65">
      <c r="A65" s="66"/>
      <c r="B65" s="66"/>
    </row>
    <row r="66">
      <c r="A66" s="66"/>
      <c r="B66" s="66"/>
    </row>
    <row r="67">
      <c r="A67" s="66"/>
      <c r="B67" s="66"/>
    </row>
    <row r="68">
      <c r="A68" s="66"/>
      <c r="B68" s="66"/>
    </row>
    <row r="69">
      <c r="A69" s="66"/>
      <c r="B69" s="66"/>
    </row>
    <row r="70">
      <c r="A70" s="66"/>
      <c r="B70" s="66"/>
    </row>
    <row r="71">
      <c r="A71" s="66"/>
      <c r="B71" s="66"/>
    </row>
    <row r="72">
      <c r="A72" s="66"/>
      <c r="B72" s="66"/>
    </row>
    <row r="73">
      <c r="A73" s="66"/>
      <c r="B73" s="66"/>
    </row>
    <row r="74">
      <c r="A74" s="66"/>
      <c r="B74" s="66"/>
    </row>
    <row r="75">
      <c r="A75" s="66"/>
      <c r="B75" s="66"/>
    </row>
    <row r="76">
      <c r="A76" s="66"/>
      <c r="B76" s="66"/>
    </row>
    <row r="77">
      <c r="A77" s="66"/>
      <c r="B77" s="66"/>
    </row>
    <row r="78">
      <c r="A78" s="66"/>
      <c r="B78" s="66"/>
    </row>
    <row r="79">
      <c r="A79" s="66"/>
      <c r="B79" s="66"/>
    </row>
    <row r="80">
      <c r="A80" s="66"/>
      <c r="B80" s="66"/>
    </row>
    <row r="81">
      <c r="A81" s="66"/>
      <c r="B81" s="66"/>
    </row>
    <row r="82">
      <c r="A82" s="66"/>
      <c r="B82" s="66"/>
    </row>
    <row r="83">
      <c r="A83" s="66"/>
      <c r="B83" s="66"/>
    </row>
    <row r="84">
      <c r="A84" s="66"/>
      <c r="B84" s="66"/>
    </row>
    <row r="85">
      <c r="A85" s="66"/>
      <c r="B85" s="66"/>
    </row>
    <row r="86">
      <c r="A86" s="66"/>
      <c r="B86" s="66"/>
    </row>
    <row r="87">
      <c r="A87" s="66"/>
      <c r="B87" s="66"/>
    </row>
    <row r="88">
      <c r="A88" s="66"/>
      <c r="B88" s="66"/>
    </row>
    <row r="89">
      <c r="A89" s="66"/>
      <c r="B89" s="66"/>
    </row>
    <row r="90">
      <c r="A90" s="66"/>
      <c r="B90" s="66"/>
    </row>
    <row r="91">
      <c r="A91" s="66"/>
      <c r="B91" s="66"/>
    </row>
    <row r="92">
      <c r="A92" s="66"/>
      <c r="B92" s="66"/>
    </row>
    <row r="93">
      <c r="A93" s="66"/>
      <c r="B93" s="66"/>
    </row>
    <row r="94">
      <c r="A94" s="66"/>
      <c r="B94" s="66"/>
    </row>
    <row r="95">
      <c r="A95" s="66"/>
      <c r="B95" s="66"/>
    </row>
    <row r="96">
      <c r="A96" s="66"/>
      <c r="B96" s="66"/>
    </row>
    <row r="97">
      <c r="A97" s="66"/>
      <c r="B97" s="66"/>
    </row>
    <row r="98">
      <c r="A98" s="66"/>
      <c r="B98" s="66"/>
    </row>
    <row r="99">
      <c r="A99" s="66"/>
      <c r="B99" s="66"/>
    </row>
    <row r="100">
      <c r="A100" s="66"/>
      <c r="B100" s="66"/>
    </row>
    <row r="101">
      <c r="A101" s="66"/>
      <c r="B101" s="66"/>
    </row>
    <row r="102">
      <c r="A102" s="66"/>
      <c r="B102" s="66"/>
    </row>
    <row r="103">
      <c r="A103" s="66"/>
      <c r="B103" s="66"/>
    </row>
    <row r="104">
      <c r="A104" s="66"/>
      <c r="B104" s="66"/>
    </row>
    <row r="105">
      <c r="A105" s="66"/>
      <c r="B105" s="66"/>
    </row>
    <row r="106">
      <c r="A106" s="66"/>
      <c r="B106" s="66"/>
    </row>
    <row r="107">
      <c r="A107" s="66"/>
      <c r="B107" s="66"/>
    </row>
    <row r="108">
      <c r="A108" s="66"/>
      <c r="B108" s="66"/>
    </row>
    <row r="109">
      <c r="A109" s="66"/>
      <c r="B109" s="66"/>
    </row>
    <row r="110">
      <c r="A110" s="66"/>
      <c r="B110" s="66"/>
    </row>
    <row r="111">
      <c r="A111" s="66"/>
      <c r="B111" s="66"/>
    </row>
    <row r="112">
      <c r="A112" s="66"/>
      <c r="B112" s="66"/>
    </row>
    <row r="113">
      <c r="A113" s="66"/>
      <c r="B113" s="66"/>
    </row>
    <row r="114">
      <c r="A114" s="66"/>
      <c r="B114" s="66"/>
    </row>
    <row r="115">
      <c r="A115" s="66"/>
      <c r="B115" s="66"/>
    </row>
    <row r="116">
      <c r="A116" s="66"/>
      <c r="B116" s="66"/>
    </row>
    <row r="117">
      <c r="A117" s="66"/>
      <c r="B117" s="66"/>
    </row>
    <row r="118">
      <c r="A118" s="66"/>
      <c r="B118" s="66"/>
    </row>
    <row r="119">
      <c r="A119" s="66"/>
      <c r="B119" s="66"/>
    </row>
    <row r="120">
      <c r="A120" s="66"/>
      <c r="B120" s="66"/>
    </row>
    <row r="121">
      <c r="A121" s="66"/>
      <c r="B121" s="66"/>
    </row>
    <row r="122">
      <c r="A122" s="66"/>
      <c r="B122" s="66"/>
    </row>
    <row r="123">
      <c r="A123" s="66"/>
      <c r="B123" s="66"/>
    </row>
    <row r="124">
      <c r="A124" s="66"/>
      <c r="B124" s="66"/>
    </row>
    <row r="125">
      <c r="A125" s="66"/>
      <c r="B125" s="66"/>
    </row>
    <row r="126">
      <c r="A126" s="66"/>
      <c r="B126" s="66"/>
    </row>
    <row r="127">
      <c r="A127" s="66"/>
      <c r="B127" s="66"/>
    </row>
    <row r="128">
      <c r="A128" s="66"/>
      <c r="B128" s="66"/>
    </row>
    <row r="129">
      <c r="A129" s="66"/>
      <c r="B129" s="66"/>
    </row>
    <row r="130">
      <c r="A130" s="66"/>
      <c r="B130" s="66"/>
    </row>
    <row r="131">
      <c r="A131" s="66"/>
      <c r="B131" s="66"/>
    </row>
    <row r="132">
      <c r="A132" s="66"/>
      <c r="B132" s="66"/>
    </row>
    <row r="133">
      <c r="A133" s="66"/>
      <c r="B133" s="66"/>
    </row>
    <row r="134">
      <c r="A134" s="66"/>
      <c r="B134" s="66"/>
    </row>
    <row r="135">
      <c r="A135" s="66"/>
      <c r="B135" s="66"/>
    </row>
    <row r="136">
      <c r="A136" s="66"/>
      <c r="B136" s="66"/>
    </row>
    <row r="137">
      <c r="A137" s="66"/>
      <c r="B137" s="66"/>
    </row>
    <row r="138">
      <c r="A138" s="66"/>
      <c r="B138" s="66"/>
    </row>
    <row r="139">
      <c r="A139" s="66"/>
      <c r="B139" s="66"/>
    </row>
    <row r="140">
      <c r="A140" s="66"/>
      <c r="B140" s="66"/>
    </row>
    <row r="141">
      <c r="A141" s="66"/>
      <c r="B141" s="66"/>
    </row>
    <row r="142">
      <c r="A142" s="66"/>
      <c r="B142" s="66"/>
    </row>
    <row r="143">
      <c r="A143" s="66"/>
      <c r="B143" s="66"/>
    </row>
    <row r="144">
      <c r="A144" s="66"/>
      <c r="B144" s="66"/>
    </row>
    <row r="145">
      <c r="A145" s="66"/>
      <c r="B145" s="66"/>
    </row>
    <row r="146">
      <c r="A146" s="66"/>
      <c r="B146" s="66"/>
    </row>
    <row r="147">
      <c r="A147" s="66"/>
      <c r="B147" s="66"/>
    </row>
    <row r="148">
      <c r="A148" s="66"/>
      <c r="B148" s="66"/>
    </row>
    <row r="149">
      <c r="A149" s="66"/>
      <c r="B149" s="66"/>
    </row>
    <row r="150">
      <c r="A150" s="66"/>
      <c r="B150" s="66"/>
    </row>
    <row r="151">
      <c r="A151" s="66"/>
      <c r="B151" s="66"/>
    </row>
    <row r="152">
      <c r="A152" s="66"/>
      <c r="B152" s="66"/>
    </row>
    <row r="153">
      <c r="A153" s="66"/>
      <c r="B153" s="66"/>
    </row>
    <row r="154">
      <c r="A154" s="66"/>
      <c r="B154" s="66"/>
    </row>
    <row r="155">
      <c r="A155" s="66"/>
      <c r="B155" s="66"/>
    </row>
    <row r="156">
      <c r="A156" s="66"/>
      <c r="B156" s="66"/>
    </row>
    <row r="157">
      <c r="A157" s="66"/>
      <c r="B157" s="66"/>
    </row>
    <row r="158">
      <c r="A158" s="66"/>
      <c r="B158" s="66"/>
    </row>
    <row r="159">
      <c r="A159" s="66"/>
      <c r="B159" s="66"/>
    </row>
    <row r="160">
      <c r="A160" s="66"/>
      <c r="B160" s="66"/>
    </row>
    <row r="161">
      <c r="A161" s="66"/>
      <c r="B161" s="66"/>
    </row>
    <row r="162">
      <c r="A162" s="66"/>
      <c r="B162" s="66"/>
    </row>
    <row r="163">
      <c r="A163" s="66"/>
      <c r="B163" s="66"/>
    </row>
    <row r="164">
      <c r="A164" s="66"/>
      <c r="B164" s="66"/>
    </row>
    <row r="165">
      <c r="A165" s="66"/>
      <c r="B165" s="66"/>
    </row>
    <row r="166">
      <c r="A166" s="66"/>
      <c r="B166" s="66"/>
    </row>
    <row r="167">
      <c r="A167" s="66"/>
      <c r="B167" s="66"/>
    </row>
    <row r="168">
      <c r="A168" s="66"/>
      <c r="B168" s="66"/>
    </row>
    <row r="169">
      <c r="A169" s="66"/>
      <c r="B169" s="66"/>
    </row>
    <row r="170">
      <c r="A170" s="66"/>
      <c r="B170" s="66"/>
    </row>
    <row r="171">
      <c r="A171" s="66"/>
      <c r="B171" s="66"/>
    </row>
    <row r="172">
      <c r="A172" s="66"/>
      <c r="B172" s="66"/>
    </row>
    <row r="173">
      <c r="A173" s="66"/>
      <c r="B173" s="66"/>
    </row>
    <row r="174">
      <c r="A174" s="66"/>
      <c r="B174" s="66"/>
    </row>
    <row r="175">
      <c r="A175" s="66"/>
      <c r="B175" s="66"/>
    </row>
    <row r="176">
      <c r="A176" s="66"/>
      <c r="B176" s="66"/>
    </row>
    <row r="177">
      <c r="A177" s="66"/>
      <c r="B177" s="66"/>
    </row>
    <row r="178">
      <c r="A178" s="66"/>
      <c r="B178" s="66"/>
    </row>
    <row r="179">
      <c r="A179" s="66"/>
      <c r="B179" s="66"/>
    </row>
    <row r="180">
      <c r="A180" s="66"/>
      <c r="B180" s="66"/>
    </row>
    <row r="181">
      <c r="A181" s="66"/>
      <c r="B181" s="66"/>
    </row>
    <row r="182">
      <c r="A182" s="66"/>
      <c r="B182" s="66"/>
    </row>
    <row r="183">
      <c r="A183" s="66"/>
      <c r="B183" s="66"/>
    </row>
    <row r="184">
      <c r="A184" s="66"/>
      <c r="B184" s="66"/>
    </row>
    <row r="185">
      <c r="A185" s="66"/>
      <c r="B185" s="66"/>
    </row>
    <row r="186">
      <c r="A186" s="66"/>
      <c r="B186" s="66"/>
    </row>
    <row r="187">
      <c r="A187" s="66"/>
      <c r="B187" s="66"/>
    </row>
    <row r="188">
      <c r="A188" s="66"/>
      <c r="B188" s="66"/>
    </row>
    <row r="189">
      <c r="A189" s="66"/>
      <c r="B189" s="66"/>
    </row>
    <row r="190">
      <c r="A190" s="66"/>
      <c r="B190" s="66"/>
    </row>
    <row r="191">
      <c r="A191" s="66"/>
      <c r="B191" s="66"/>
    </row>
    <row r="192">
      <c r="A192" s="66"/>
      <c r="B192" s="66"/>
    </row>
    <row r="193">
      <c r="A193" s="66"/>
      <c r="B193" s="66"/>
    </row>
    <row r="194">
      <c r="A194" s="66"/>
      <c r="B194" s="66"/>
    </row>
    <row r="195">
      <c r="A195" s="66"/>
      <c r="B195" s="66"/>
    </row>
    <row r="196">
      <c r="A196" s="66"/>
      <c r="B196" s="66"/>
    </row>
    <row r="197">
      <c r="A197" s="66"/>
      <c r="B197" s="66"/>
    </row>
    <row r="198">
      <c r="A198" s="66"/>
      <c r="B198" s="66"/>
    </row>
    <row r="199">
      <c r="A199" s="66"/>
      <c r="B199" s="66"/>
    </row>
    <row r="200">
      <c r="A200" s="66"/>
      <c r="B200" s="66"/>
    </row>
    <row r="201">
      <c r="A201" s="66"/>
      <c r="B201" s="66"/>
    </row>
    <row r="202">
      <c r="A202" s="66"/>
      <c r="B202" s="66"/>
    </row>
    <row r="203">
      <c r="A203" s="66"/>
      <c r="B203" s="66"/>
    </row>
    <row r="204">
      <c r="A204" s="66"/>
      <c r="B204" s="66"/>
    </row>
    <row r="205">
      <c r="A205" s="66"/>
      <c r="B205" s="66"/>
    </row>
    <row r="206">
      <c r="A206" s="66"/>
      <c r="B206" s="66"/>
    </row>
    <row r="207">
      <c r="A207" s="66"/>
      <c r="B207" s="66"/>
    </row>
    <row r="208">
      <c r="A208" s="66"/>
      <c r="B208" s="66"/>
    </row>
    <row r="209">
      <c r="A209" s="66"/>
      <c r="B209" s="66"/>
    </row>
    <row r="210">
      <c r="A210" s="66"/>
      <c r="B210" s="66"/>
    </row>
    <row r="211">
      <c r="A211" s="66"/>
      <c r="B211" s="66"/>
    </row>
    <row r="212">
      <c r="A212" s="66"/>
      <c r="B212" s="66"/>
    </row>
    <row r="213">
      <c r="A213" s="66"/>
      <c r="B213" s="66"/>
    </row>
    <row r="214">
      <c r="A214" s="66"/>
      <c r="B214" s="66"/>
    </row>
    <row r="215">
      <c r="A215" s="66"/>
      <c r="B215" s="66"/>
    </row>
    <row r="216">
      <c r="A216" s="66"/>
      <c r="B216" s="66"/>
    </row>
    <row r="217">
      <c r="A217" s="66"/>
      <c r="B217" s="66"/>
    </row>
    <row r="218">
      <c r="A218" s="66"/>
      <c r="B218" s="66"/>
    </row>
    <row r="219">
      <c r="A219" s="66"/>
      <c r="B219" s="66"/>
    </row>
    <row r="220">
      <c r="A220" s="66"/>
      <c r="B220" s="66"/>
    </row>
    <row r="221">
      <c r="A221" s="66"/>
      <c r="B221" s="66"/>
    </row>
    <row r="222">
      <c r="A222" s="66"/>
      <c r="B222" s="66"/>
    </row>
    <row r="223">
      <c r="A223" s="66"/>
      <c r="B223" s="66"/>
    </row>
    <row r="224">
      <c r="A224" s="66"/>
      <c r="B224" s="66"/>
    </row>
    <row r="225">
      <c r="A225" s="66"/>
      <c r="B225" s="66"/>
    </row>
    <row r="226">
      <c r="A226" s="66"/>
      <c r="B226" s="66"/>
    </row>
    <row r="227">
      <c r="A227" s="66"/>
      <c r="B227" s="66"/>
    </row>
    <row r="228">
      <c r="A228" s="66"/>
      <c r="B228" s="66"/>
    </row>
    <row r="229">
      <c r="A229" s="66"/>
      <c r="B229" s="66"/>
    </row>
    <row r="230">
      <c r="A230" s="66"/>
      <c r="B230" s="66"/>
    </row>
    <row r="231">
      <c r="A231" s="66"/>
      <c r="B231" s="66"/>
    </row>
    <row r="232">
      <c r="A232" s="66"/>
      <c r="B232" s="66"/>
    </row>
    <row r="233">
      <c r="A233" s="66"/>
      <c r="B233" s="66"/>
    </row>
    <row r="234">
      <c r="A234" s="66"/>
      <c r="B234" s="66"/>
    </row>
    <row r="235">
      <c r="A235" s="66"/>
      <c r="B235" s="66"/>
    </row>
    <row r="236">
      <c r="A236" s="66"/>
      <c r="B236" s="66"/>
    </row>
    <row r="237">
      <c r="A237" s="66"/>
      <c r="B237" s="66"/>
    </row>
    <row r="238">
      <c r="A238" s="66"/>
      <c r="B238" s="66"/>
    </row>
    <row r="239">
      <c r="A239" s="66"/>
      <c r="B239" s="66"/>
    </row>
    <row r="240">
      <c r="A240" s="66"/>
      <c r="B240" s="66"/>
    </row>
    <row r="241">
      <c r="A241" s="66"/>
      <c r="B241" s="66"/>
    </row>
    <row r="242">
      <c r="A242" s="66"/>
      <c r="B242" s="66"/>
    </row>
    <row r="243">
      <c r="A243" s="66"/>
      <c r="B243" s="66"/>
    </row>
    <row r="244">
      <c r="A244" s="66"/>
      <c r="B244" s="66"/>
    </row>
    <row r="245">
      <c r="A245" s="66"/>
      <c r="B245" s="66"/>
    </row>
    <row r="246">
      <c r="A246" s="66"/>
      <c r="B246" s="66"/>
    </row>
    <row r="247">
      <c r="A247" s="66"/>
      <c r="B247" s="66"/>
    </row>
    <row r="248">
      <c r="A248" s="66"/>
      <c r="B248" s="66"/>
    </row>
    <row r="249">
      <c r="A249" s="66"/>
      <c r="B249" s="66"/>
    </row>
    <row r="250">
      <c r="A250" s="66"/>
      <c r="B250" s="66"/>
    </row>
    <row r="251">
      <c r="A251" s="66"/>
      <c r="B251" s="66"/>
    </row>
    <row r="252">
      <c r="A252" s="66"/>
      <c r="B252" s="66"/>
    </row>
    <row r="253">
      <c r="A253" s="66"/>
      <c r="B253" s="66"/>
    </row>
    <row r="254">
      <c r="A254" s="66"/>
      <c r="B254" s="66"/>
    </row>
    <row r="255">
      <c r="A255" s="66"/>
      <c r="B255" s="66"/>
    </row>
    <row r="256">
      <c r="A256" s="66"/>
      <c r="B256" s="66"/>
    </row>
    <row r="257">
      <c r="A257" s="66"/>
      <c r="B257" s="66"/>
    </row>
    <row r="258">
      <c r="A258" s="66"/>
      <c r="B258" s="66"/>
    </row>
    <row r="259">
      <c r="A259" s="66"/>
      <c r="B259" s="66"/>
    </row>
    <row r="260">
      <c r="A260" s="66"/>
      <c r="B260" s="66"/>
    </row>
    <row r="261">
      <c r="A261" s="66"/>
      <c r="B261" s="66"/>
    </row>
    <row r="262">
      <c r="A262" s="66"/>
      <c r="B262" s="66"/>
    </row>
    <row r="263">
      <c r="A263" s="66"/>
      <c r="B263" s="66"/>
    </row>
    <row r="264">
      <c r="A264" s="66"/>
      <c r="B264" s="66"/>
    </row>
    <row r="265">
      <c r="A265" s="66"/>
      <c r="B265" s="66"/>
    </row>
    <row r="266">
      <c r="A266" s="66"/>
      <c r="B266" s="66"/>
    </row>
    <row r="267">
      <c r="A267" s="66"/>
      <c r="B267" s="66"/>
    </row>
    <row r="268">
      <c r="A268" s="66"/>
      <c r="B268" s="66"/>
    </row>
    <row r="269">
      <c r="A269" s="66"/>
      <c r="B269" s="66"/>
    </row>
    <row r="270">
      <c r="A270" s="66"/>
      <c r="B270" s="66"/>
    </row>
    <row r="271">
      <c r="A271" s="66"/>
      <c r="B271" s="66"/>
    </row>
    <row r="272">
      <c r="A272" s="66"/>
      <c r="B272" s="66"/>
    </row>
    <row r="273">
      <c r="A273" s="66"/>
      <c r="B273" s="66"/>
    </row>
    <row r="274">
      <c r="A274" s="66"/>
      <c r="B274" s="66"/>
    </row>
    <row r="275">
      <c r="A275" s="66"/>
      <c r="B275" s="66"/>
    </row>
    <row r="276">
      <c r="A276" s="66"/>
      <c r="B276" s="66"/>
    </row>
    <row r="277">
      <c r="A277" s="66"/>
      <c r="B277" s="66"/>
    </row>
    <row r="278">
      <c r="A278" s="66"/>
      <c r="B278" s="66"/>
    </row>
    <row r="279">
      <c r="A279" s="66"/>
      <c r="B279" s="66"/>
    </row>
    <row r="280">
      <c r="A280" s="66"/>
      <c r="B280" s="66"/>
    </row>
    <row r="281">
      <c r="A281" s="66"/>
      <c r="B281" s="66"/>
    </row>
    <row r="282">
      <c r="A282" s="66"/>
      <c r="B282" s="66"/>
    </row>
    <row r="283">
      <c r="A283" s="66"/>
      <c r="B283" s="66"/>
    </row>
    <row r="284">
      <c r="A284" s="66"/>
      <c r="B284" s="66"/>
    </row>
    <row r="285">
      <c r="A285" s="66"/>
      <c r="B285" s="66"/>
    </row>
    <row r="286">
      <c r="A286" s="66"/>
      <c r="B286" s="66"/>
    </row>
    <row r="287">
      <c r="A287" s="66"/>
      <c r="B287" s="66"/>
    </row>
    <row r="288">
      <c r="A288" s="66"/>
      <c r="B288" s="66"/>
    </row>
    <row r="289">
      <c r="A289" s="66"/>
      <c r="B289" s="66"/>
    </row>
    <row r="290">
      <c r="A290" s="66"/>
      <c r="B290" s="66"/>
    </row>
    <row r="291">
      <c r="A291" s="66"/>
      <c r="B291" s="66"/>
    </row>
    <row r="292">
      <c r="A292" s="66"/>
      <c r="B292" s="66"/>
    </row>
    <row r="293">
      <c r="A293" s="66"/>
      <c r="B293" s="66"/>
    </row>
    <row r="294">
      <c r="A294" s="66"/>
      <c r="B294" s="66"/>
    </row>
    <row r="295">
      <c r="A295" s="66"/>
      <c r="B295" s="66"/>
    </row>
    <row r="296">
      <c r="A296" s="66"/>
      <c r="B296" s="66"/>
    </row>
    <row r="297">
      <c r="A297" s="66"/>
      <c r="B297" s="66"/>
    </row>
    <row r="298">
      <c r="A298" s="66"/>
      <c r="B298" s="66"/>
    </row>
    <row r="299">
      <c r="A299" s="66"/>
      <c r="B299" s="66"/>
    </row>
    <row r="300">
      <c r="A300" s="66"/>
      <c r="B300" s="66"/>
    </row>
    <row r="301">
      <c r="A301" s="66"/>
      <c r="B301" s="66"/>
    </row>
    <row r="302">
      <c r="A302" s="66"/>
      <c r="B302" s="66"/>
    </row>
    <row r="303">
      <c r="A303" s="66"/>
      <c r="B303" s="66"/>
    </row>
    <row r="304">
      <c r="A304" s="66"/>
      <c r="B304" s="66"/>
    </row>
    <row r="305">
      <c r="A305" s="66"/>
      <c r="B305" s="66"/>
    </row>
    <row r="306">
      <c r="A306" s="66"/>
      <c r="B306" s="66"/>
    </row>
    <row r="307">
      <c r="A307" s="66"/>
      <c r="B307" s="66"/>
    </row>
    <row r="308">
      <c r="A308" s="66"/>
      <c r="B308" s="66"/>
    </row>
    <row r="309">
      <c r="A309" s="66"/>
      <c r="B309" s="66"/>
    </row>
    <row r="310">
      <c r="A310" s="66"/>
      <c r="B310" s="66"/>
    </row>
    <row r="311">
      <c r="A311" s="66"/>
      <c r="B311" s="66"/>
    </row>
    <row r="312">
      <c r="A312" s="66"/>
      <c r="B312" s="66"/>
    </row>
    <row r="313">
      <c r="A313" s="66"/>
      <c r="B313" s="66"/>
    </row>
    <row r="314">
      <c r="A314" s="66"/>
      <c r="B314" s="66"/>
    </row>
    <row r="315">
      <c r="A315" s="66"/>
      <c r="B315" s="66"/>
    </row>
    <row r="316">
      <c r="A316" s="66"/>
      <c r="B316" s="66"/>
    </row>
    <row r="317">
      <c r="A317" s="66"/>
      <c r="B317" s="66"/>
    </row>
    <row r="318">
      <c r="A318" s="66"/>
      <c r="B318" s="66"/>
    </row>
    <row r="319">
      <c r="A319" s="66"/>
      <c r="B319" s="66"/>
    </row>
    <row r="320">
      <c r="A320" s="66"/>
      <c r="B320" s="66"/>
    </row>
    <row r="321">
      <c r="A321" s="66"/>
      <c r="B321" s="66"/>
    </row>
    <row r="322">
      <c r="A322" s="66"/>
      <c r="B322" s="66"/>
    </row>
    <row r="323">
      <c r="A323" s="66"/>
      <c r="B323" s="66"/>
    </row>
    <row r="324">
      <c r="A324" s="66"/>
      <c r="B324" s="66"/>
    </row>
    <row r="325">
      <c r="A325" s="66"/>
      <c r="B325" s="66"/>
    </row>
    <row r="326">
      <c r="A326" s="66"/>
      <c r="B326" s="66"/>
    </row>
    <row r="327">
      <c r="A327" s="66"/>
      <c r="B327" s="66"/>
    </row>
    <row r="328">
      <c r="A328" s="66"/>
      <c r="B328" s="66"/>
    </row>
    <row r="329">
      <c r="A329" s="66"/>
      <c r="B329" s="66"/>
    </row>
    <row r="330">
      <c r="A330" s="66"/>
      <c r="B330" s="66"/>
    </row>
    <row r="331">
      <c r="A331" s="66"/>
      <c r="B331" s="66"/>
    </row>
    <row r="332">
      <c r="A332" s="66"/>
      <c r="B332" s="66"/>
    </row>
    <row r="333">
      <c r="A333" s="66"/>
      <c r="B333" s="66"/>
    </row>
    <row r="334">
      <c r="A334" s="66"/>
      <c r="B334" s="66"/>
    </row>
    <row r="335">
      <c r="A335" s="66"/>
      <c r="B335" s="66"/>
    </row>
    <row r="336">
      <c r="A336" s="66"/>
      <c r="B336" s="66"/>
    </row>
    <row r="337">
      <c r="A337" s="66"/>
      <c r="B337" s="66"/>
    </row>
    <row r="338">
      <c r="A338" s="66"/>
      <c r="B338" s="66"/>
    </row>
    <row r="339">
      <c r="A339" s="66"/>
      <c r="B339" s="66"/>
    </row>
    <row r="340">
      <c r="A340" s="66"/>
      <c r="B340" s="66"/>
    </row>
    <row r="341">
      <c r="A341" s="66"/>
      <c r="B341" s="66"/>
    </row>
    <row r="342">
      <c r="A342" s="66"/>
      <c r="B342" s="66"/>
    </row>
    <row r="343">
      <c r="A343" s="66"/>
      <c r="B343" s="66"/>
    </row>
    <row r="344">
      <c r="A344" s="66"/>
      <c r="B344" s="66"/>
    </row>
    <row r="345">
      <c r="A345" s="66"/>
      <c r="B345" s="66"/>
    </row>
    <row r="346">
      <c r="A346" s="66"/>
      <c r="B346" s="66"/>
    </row>
    <row r="347">
      <c r="A347" s="66"/>
      <c r="B347" s="66"/>
    </row>
    <row r="348">
      <c r="A348" s="66"/>
      <c r="B348" s="66"/>
    </row>
    <row r="349">
      <c r="A349" s="66"/>
      <c r="B349" s="66"/>
    </row>
    <row r="350">
      <c r="A350" s="66"/>
      <c r="B350" s="66"/>
    </row>
    <row r="351">
      <c r="A351" s="66"/>
      <c r="B351" s="66"/>
    </row>
    <row r="352">
      <c r="A352" s="66"/>
      <c r="B352" s="66"/>
    </row>
    <row r="353">
      <c r="A353" s="66"/>
      <c r="B353" s="66"/>
    </row>
    <row r="354">
      <c r="A354" s="66"/>
      <c r="B354" s="66"/>
    </row>
    <row r="355">
      <c r="A355" s="66"/>
      <c r="B355" s="66"/>
    </row>
    <row r="356">
      <c r="A356" s="66"/>
      <c r="B356" s="66"/>
    </row>
    <row r="357">
      <c r="A357" s="66"/>
      <c r="B357" s="66"/>
    </row>
    <row r="358">
      <c r="A358" s="66"/>
      <c r="B358" s="66"/>
    </row>
    <row r="359">
      <c r="A359" s="66"/>
      <c r="B359" s="66"/>
    </row>
    <row r="360">
      <c r="A360" s="66"/>
      <c r="B360" s="66"/>
    </row>
    <row r="361">
      <c r="A361" s="66"/>
      <c r="B361" s="66"/>
    </row>
    <row r="362">
      <c r="A362" s="66"/>
      <c r="B362" s="66"/>
    </row>
    <row r="363">
      <c r="A363" s="66"/>
      <c r="B363" s="66"/>
    </row>
    <row r="364">
      <c r="A364" s="66"/>
      <c r="B364" s="66"/>
    </row>
    <row r="365">
      <c r="A365" s="66"/>
      <c r="B365" s="66"/>
    </row>
    <row r="366">
      <c r="A366" s="66"/>
      <c r="B366" s="66"/>
    </row>
    <row r="367">
      <c r="A367" s="66"/>
      <c r="B367" s="66"/>
    </row>
    <row r="368">
      <c r="A368" s="66"/>
      <c r="B368" s="66"/>
    </row>
    <row r="369">
      <c r="A369" s="66"/>
      <c r="B369" s="66"/>
    </row>
    <row r="370">
      <c r="A370" s="66"/>
      <c r="B370" s="66"/>
    </row>
    <row r="371">
      <c r="A371" s="66"/>
      <c r="B371" s="66"/>
    </row>
    <row r="372">
      <c r="A372" s="66"/>
      <c r="B372" s="66"/>
    </row>
    <row r="373">
      <c r="A373" s="66"/>
      <c r="B373" s="66"/>
    </row>
    <row r="374">
      <c r="A374" s="66"/>
      <c r="B374" s="66"/>
    </row>
    <row r="375">
      <c r="A375" s="66"/>
      <c r="B375" s="66"/>
    </row>
    <row r="376">
      <c r="A376" s="66"/>
      <c r="B376" s="66"/>
    </row>
    <row r="377">
      <c r="A377" s="66"/>
      <c r="B377" s="66"/>
    </row>
    <row r="378">
      <c r="A378" s="66"/>
      <c r="B378" s="66"/>
    </row>
    <row r="379">
      <c r="A379" s="66"/>
      <c r="B379" s="66"/>
    </row>
    <row r="380">
      <c r="A380" s="66"/>
      <c r="B380" s="66"/>
    </row>
    <row r="381">
      <c r="A381" s="66"/>
      <c r="B381" s="66"/>
    </row>
    <row r="382">
      <c r="A382" s="66"/>
      <c r="B382" s="66"/>
    </row>
    <row r="383">
      <c r="A383" s="66"/>
      <c r="B383" s="66"/>
    </row>
    <row r="384">
      <c r="A384" s="66"/>
      <c r="B384" s="66"/>
    </row>
    <row r="385">
      <c r="A385" s="66"/>
      <c r="B385" s="66"/>
    </row>
    <row r="386">
      <c r="A386" s="66"/>
      <c r="B386" s="66"/>
    </row>
    <row r="387">
      <c r="A387" s="66"/>
      <c r="B387" s="66"/>
    </row>
    <row r="388">
      <c r="A388" s="66"/>
      <c r="B388" s="66"/>
    </row>
    <row r="389">
      <c r="A389" s="66"/>
      <c r="B389" s="66"/>
    </row>
    <row r="390">
      <c r="A390" s="66"/>
      <c r="B390" s="66"/>
    </row>
    <row r="391">
      <c r="A391" s="66"/>
      <c r="B391" s="66"/>
    </row>
    <row r="392">
      <c r="A392" s="66"/>
      <c r="B392" s="66"/>
    </row>
    <row r="393">
      <c r="A393" s="66"/>
      <c r="B393" s="66"/>
    </row>
    <row r="394">
      <c r="A394" s="66"/>
      <c r="B394" s="66"/>
    </row>
    <row r="395">
      <c r="A395" s="66"/>
      <c r="B395" s="66"/>
    </row>
    <row r="396">
      <c r="A396" s="66"/>
      <c r="B396" s="66"/>
    </row>
    <row r="397">
      <c r="A397" s="66"/>
      <c r="B397" s="66"/>
    </row>
    <row r="398">
      <c r="A398" s="66"/>
      <c r="B398" s="66"/>
    </row>
    <row r="399">
      <c r="A399" s="66"/>
      <c r="B399" s="66"/>
    </row>
    <row r="400">
      <c r="A400" s="66"/>
      <c r="B400" s="66"/>
    </row>
    <row r="401">
      <c r="A401" s="66"/>
      <c r="B401" s="66"/>
    </row>
    <row r="402">
      <c r="A402" s="66"/>
      <c r="B402" s="66"/>
    </row>
    <row r="403">
      <c r="A403" s="66"/>
      <c r="B403" s="66"/>
    </row>
    <row r="404">
      <c r="A404" s="66"/>
      <c r="B404" s="66"/>
    </row>
    <row r="405">
      <c r="A405" s="66"/>
      <c r="B405" s="66"/>
    </row>
    <row r="406">
      <c r="A406" s="66"/>
      <c r="B406" s="66"/>
    </row>
    <row r="407">
      <c r="A407" s="66"/>
      <c r="B407" s="66"/>
    </row>
    <row r="408">
      <c r="A408" s="66"/>
      <c r="B408" s="66"/>
    </row>
    <row r="409">
      <c r="A409" s="66"/>
      <c r="B409" s="66"/>
    </row>
    <row r="410">
      <c r="A410" s="66"/>
      <c r="B410" s="66"/>
    </row>
    <row r="411">
      <c r="A411" s="66"/>
      <c r="B411" s="66"/>
    </row>
    <row r="412">
      <c r="A412" s="66"/>
      <c r="B412" s="66"/>
    </row>
    <row r="413">
      <c r="A413" s="66"/>
      <c r="B413" s="66"/>
    </row>
    <row r="414">
      <c r="A414" s="66"/>
      <c r="B414" s="66"/>
    </row>
    <row r="415">
      <c r="A415" s="66"/>
      <c r="B415" s="66"/>
    </row>
    <row r="416">
      <c r="A416" s="66"/>
      <c r="B416" s="66"/>
    </row>
    <row r="417">
      <c r="A417" s="66"/>
      <c r="B417" s="66"/>
    </row>
    <row r="418">
      <c r="A418" s="66"/>
      <c r="B418" s="66"/>
    </row>
    <row r="419">
      <c r="A419" s="66"/>
      <c r="B419" s="66"/>
    </row>
    <row r="420">
      <c r="A420" s="66"/>
      <c r="B420" s="66"/>
    </row>
    <row r="421">
      <c r="A421" s="66"/>
      <c r="B421" s="66"/>
    </row>
    <row r="422">
      <c r="A422" s="66"/>
      <c r="B422" s="66"/>
    </row>
    <row r="423">
      <c r="A423" s="66"/>
      <c r="B423" s="66"/>
    </row>
    <row r="424">
      <c r="A424" s="66"/>
      <c r="B424" s="66"/>
    </row>
    <row r="425">
      <c r="A425" s="66"/>
      <c r="B425" s="66"/>
    </row>
    <row r="426">
      <c r="A426" s="66"/>
      <c r="B426" s="66"/>
    </row>
    <row r="427">
      <c r="A427" s="66"/>
      <c r="B427" s="66"/>
    </row>
    <row r="428">
      <c r="A428" s="66"/>
      <c r="B428" s="66"/>
    </row>
    <row r="429">
      <c r="A429" s="66"/>
      <c r="B429" s="66"/>
    </row>
    <row r="430">
      <c r="A430" s="66"/>
      <c r="B430" s="66"/>
    </row>
    <row r="431">
      <c r="A431" s="66"/>
      <c r="B431" s="66"/>
    </row>
    <row r="432">
      <c r="A432" s="66"/>
      <c r="B432" s="66"/>
    </row>
    <row r="433">
      <c r="A433" s="66"/>
      <c r="B433" s="66"/>
    </row>
    <row r="434">
      <c r="A434" s="66"/>
      <c r="B434" s="66"/>
    </row>
    <row r="435">
      <c r="A435" s="66"/>
      <c r="B435" s="66"/>
    </row>
    <row r="436">
      <c r="A436" s="66"/>
      <c r="B436" s="66"/>
    </row>
    <row r="437">
      <c r="A437" s="66"/>
      <c r="B437" s="66"/>
    </row>
    <row r="438">
      <c r="A438" s="66"/>
      <c r="B438" s="66"/>
    </row>
    <row r="439">
      <c r="A439" s="66"/>
      <c r="B439" s="66"/>
    </row>
    <row r="440">
      <c r="A440" s="66"/>
      <c r="B440" s="66"/>
    </row>
    <row r="441">
      <c r="A441" s="66"/>
      <c r="B441" s="66"/>
    </row>
    <row r="442">
      <c r="A442" s="66"/>
      <c r="B442" s="66"/>
    </row>
    <row r="443">
      <c r="A443" s="66"/>
      <c r="B443" s="66"/>
    </row>
    <row r="444">
      <c r="A444" s="66"/>
      <c r="B444" s="66"/>
    </row>
    <row r="445">
      <c r="A445" s="66"/>
      <c r="B445" s="66"/>
    </row>
    <row r="446">
      <c r="A446" s="66"/>
      <c r="B446" s="66"/>
    </row>
    <row r="447">
      <c r="A447" s="66"/>
      <c r="B447" s="66"/>
    </row>
    <row r="448">
      <c r="A448" s="66"/>
      <c r="B448" s="66"/>
    </row>
    <row r="449">
      <c r="A449" s="66"/>
      <c r="B449" s="66"/>
    </row>
    <row r="450">
      <c r="A450" s="66"/>
      <c r="B450" s="66"/>
    </row>
    <row r="451">
      <c r="A451" s="66"/>
      <c r="B451" s="66"/>
    </row>
    <row r="452">
      <c r="A452" s="66"/>
      <c r="B452" s="66"/>
    </row>
    <row r="453">
      <c r="A453" s="66"/>
      <c r="B453" s="66"/>
    </row>
    <row r="454">
      <c r="A454" s="66"/>
      <c r="B454" s="66"/>
    </row>
    <row r="455">
      <c r="A455" s="66"/>
      <c r="B455" s="66"/>
    </row>
    <row r="456">
      <c r="A456" s="66"/>
      <c r="B456" s="66"/>
    </row>
    <row r="457">
      <c r="A457" s="66"/>
      <c r="B457" s="66"/>
    </row>
    <row r="458">
      <c r="A458" s="66"/>
      <c r="B458" s="66"/>
    </row>
    <row r="459">
      <c r="A459" s="66"/>
      <c r="B459" s="66"/>
    </row>
    <row r="460">
      <c r="A460" s="66"/>
      <c r="B460" s="66"/>
    </row>
    <row r="461">
      <c r="A461" s="66"/>
      <c r="B461" s="66"/>
    </row>
    <row r="462">
      <c r="A462" s="66"/>
      <c r="B462" s="66"/>
    </row>
    <row r="463">
      <c r="A463" s="66"/>
      <c r="B463" s="66"/>
    </row>
    <row r="464">
      <c r="A464" s="66"/>
      <c r="B464" s="66"/>
    </row>
    <row r="465">
      <c r="A465" s="66"/>
      <c r="B465" s="66"/>
    </row>
    <row r="466">
      <c r="A466" s="66"/>
      <c r="B466" s="66"/>
    </row>
    <row r="467">
      <c r="A467" s="66"/>
      <c r="B467" s="66"/>
    </row>
    <row r="468">
      <c r="A468" s="66"/>
      <c r="B468" s="66"/>
    </row>
    <row r="469">
      <c r="A469" s="66"/>
      <c r="B469" s="66"/>
    </row>
    <row r="470">
      <c r="A470" s="66"/>
      <c r="B470" s="66"/>
    </row>
    <row r="471">
      <c r="A471" s="66"/>
      <c r="B471" s="66"/>
    </row>
    <row r="472">
      <c r="A472" s="66"/>
      <c r="B472" s="66"/>
    </row>
    <row r="473">
      <c r="A473" s="66"/>
      <c r="B473" s="66"/>
    </row>
    <row r="474">
      <c r="A474" s="66"/>
      <c r="B474" s="66"/>
    </row>
    <row r="475">
      <c r="A475" s="66"/>
      <c r="B475" s="66"/>
    </row>
    <row r="476">
      <c r="A476" s="66"/>
      <c r="B476" s="66"/>
    </row>
    <row r="477">
      <c r="A477" s="66"/>
      <c r="B477" s="66"/>
    </row>
    <row r="478">
      <c r="A478" s="66"/>
      <c r="B478" s="66"/>
    </row>
    <row r="479">
      <c r="A479" s="66"/>
      <c r="B479" s="66"/>
    </row>
    <row r="480">
      <c r="A480" s="66"/>
      <c r="B480" s="66"/>
    </row>
    <row r="481">
      <c r="A481" s="66"/>
      <c r="B481" s="66"/>
    </row>
    <row r="482">
      <c r="A482" s="66"/>
      <c r="B482" s="66"/>
    </row>
    <row r="483">
      <c r="A483" s="66"/>
      <c r="B483" s="66"/>
    </row>
    <row r="484">
      <c r="A484" s="66"/>
      <c r="B484" s="66"/>
    </row>
    <row r="485">
      <c r="A485" s="66"/>
      <c r="B485" s="66"/>
    </row>
    <row r="486">
      <c r="A486" s="66"/>
      <c r="B486" s="66"/>
    </row>
    <row r="487">
      <c r="A487" s="66"/>
      <c r="B487" s="66"/>
    </row>
    <row r="488">
      <c r="A488" s="66"/>
      <c r="B488" s="66"/>
    </row>
    <row r="489">
      <c r="A489" s="66"/>
      <c r="B489" s="66"/>
    </row>
    <row r="490">
      <c r="A490" s="66"/>
      <c r="B490" s="66"/>
    </row>
    <row r="491">
      <c r="A491" s="66"/>
      <c r="B491" s="66"/>
    </row>
    <row r="492">
      <c r="A492" s="66"/>
      <c r="B492" s="66"/>
    </row>
    <row r="493">
      <c r="A493" s="66"/>
      <c r="B493" s="66"/>
    </row>
    <row r="494">
      <c r="A494" s="66"/>
      <c r="B494" s="66"/>
    </row>
    <row r="495">
      <c r="A495" s="66"/>
      <c r="B495" s="66"/>
    </row>
    <row r="496">
      <c r="A496" s="66"/>
      <c r="B496" s="66"/>
    </row>
    <row r="497">
      <c r="A497" s="66"/>
      <c r="B497" s="66"/>
    </row>
    <row r="498">
      <c r="A498" s="66"/>
      <c r="B498" s="66"/>
    </row>
    <row r="499">
      <c r="A499" s="66"/>
      <c r="B499" s="66"/>
    </row>
    <row r="500">
      <c r="A500" s="66"/>
      <c r="B500" s="66"/>
    </row>
    <row r="501">
      <c r="A501" s="66"/>
      <c r="B501" s="66"/>
    </row>
    <row r="502">
      <c r="A502" s="66"/>
      <c r="B502" s="66"/>
    </row>
    <row r="503">
      <c r="A503" s="66"/>
      <c r="B503" s="66"/>
    </row>
    <row r="504">
      <c r="A504" s="66"/>
      <c r="B504" s="66"/>
    </row>
    <row r="505">
      <c r="A505" s="66"/>
      <c r="B505" s="66"/>
    </row>
    <row r="506">
      <c r="A506" s="66"/>
      <c r="B506" s="66"/>
    </row>
    <row r="507">
      <c r="A507" s="66"/>
      <c r="B507" s="66"/>
    </row>
    <row r="508">
      <c r="A508" s="66"/>
      <c r="B508" s="66"/>
    </row>
    <row r="509">
      <c r="A509" s="66"/>
      <c r="B509" s="66"/>
    </row>
    <row r="510">
      <c r="A510" s="66"/>
      <c r="B510" s="66"/>
    </row>
    <row r="511">
      <c r="A511" s="66"/>
      <c r="B511" s="66"/>
    </row>
    <row r="512">
      <c r="A512" s="66"/>
      <c r="B512" s="66"/>
    </row>
    <row r="513">
      <c r="A513" s="66"/>
      <c r="B513" s="66"/>
    </row>
    <row r="514">
      <c r="A514" s="66"/>
      <c r="B514" s="66"/>
    </row>
    <row r="515">
      <c r="A515" s="66"/>
      <c r="B515" s="66"/>
    </row>
    <row r="516">
      <c r="A516" s="66"/>
      <c r="B516" s="66"/>
    </row>
    <row r="517">
      <c r="A517" s="66"/>
      <c r="B517" s="66"/>
    </row>
    <row r="518">
      <c r="A518" s="66"/>
      <c r="B518" s="66"/>
    </row>
    <row r="519">
      <c r="A519" s="66"/>
      <c r="B519" s="66"/>
    </row>
    <row r="520">
      <c r="A520" s="66"/>
      <c r="B520" s="66"/>
    </row>
    <row r="521">
      <c r="A521" s="66"/>
      <c r="B521" s="66"/>
    </row>
    <row r="522">
      <c r="A522" s="66"/>
      <c r="B522" s="66"/>
    </row>
    <row r="523">
      <c r="A523" s="66"/>
      <c r="B523" s="66"/>
    </row>
    <row r="524">
      <c r="A524" s="66"/>
      <c r="B524" s="66"/>
    </row>
    <row r="525">
      <c r="A525" s="66"/>
      <c r="B525" s="66"/>
    </row>
    <row r="526">
      <c r="A526" s="66"/>
      <c r="B526" s="66"/>
    </row>
    <row r="527">
      <c r="A527" s="66"/>
      <c r="B527" s="66"/>
    </row>
    <row r="528">
      <c r="A528" s="66"/>
      <c r="B528" s="66"/>
    </row>
    <row r="529">
      <c r="A529" s="66"/>
      <c r="B529" s="66"/>
    </row>
    <row r="530">
      <c r="A530" s="66"/>
      <c r="B530" s="66"/>
    </row>
    <row r="531">
      <c r="A531" s="66"/>
      <c r="B531" s="66"/>
    </row>
    <row r="532">
      <c r="A532" s="66"/>
      <c r="B532" s="66"/>
    </row>
    <row r="533">
      <c r="A533" s="66"/>
      <c r="B533" s="66"/>
    </row>
    <row r="534">
      <c r="A534" s="66"/>
      <c r="B534" s="66"/>
    </row>
    <row r="535">
      <c r="A535" s="66"/>
      <c r="B535" s="66"/>
    </row>
    <row r="536">
      <c r="A536" s="66"/>
      <c r="B536" s="66"/>
    </row>
    <row r="537">
      <c r="A537" s="66"/>
      <c r="B537" s="66"/>
    </row>
    <row r="538">
      <c r="A538" s="66"/>
      <c r="B538" s="66"/>
    </row>
    <row r="539">
      <c r="A539" s="66"/>
      <c r="B539" s="66"/>
    </row>
    <row r="540">
      <c r="A540" s="66"/>
      <c r="B540" s="66"/>
    </row>
    <row r="541">
      <c r="A541" s="66"/>
      <c r="B541" s="66"/>
    </row>
    <row r="542">
      <c r="A542" s="66"/>
      <c r="B542" s="66"/>
    </row>
    <row r="543">
      <c r="A543" s="66"/>
      <c r="B543" s="66"/>
    </row>
    <row r="544">
      <c r="A544" s="66"/>
      <c r="B544" s="66"/>
    </row>
    <row r="545">
      <c r="A545" s="66"/>
      <c r="B545" s="66"/>
    </row>
    <row r="546">
      <c r="A546" s="66"/>
      <c r="B546" s="66"/>
    </row>
    <row r="547">
      <c r="A547" s="66"/>
      <c r="B547" s="66"/>
    </row>
    <row r="548">
      <c r="A548" s="66"/>
      <c r="B548" s="66"/>
    </row>
    <row r="549">
      <c r="A549" s="66"/>
      <c r="B549" s="66"/>
    </row>
    <row r="550">
      <c r="A550" s="66"/>
      <c r="B550" s="66"/>
    </row>
    <row r="551">
      <c r="A551" s="66"/>
      <c r="B551" s="66"/>
    </row>
    <row r="552">
      <c r="A552" s="66"/>
      <c r="B552" s="66"/>
    </row>
    <row r="553">
      <c r="A553" s="66"/>
      <c r="B553" s="66"/>
    </row>
    <row r="554">
      <c r="A554" s="66"/>
      <c r="B554" s="66"/>
    </row>
    <row r="555">
      <c r="A555" s="66"/>
      <c r="B555" s="66"/>
    </row>
    <row r="556">
      <c r="A556" s="66"/>
      <c r="B556" s="66"/>
    </row>
    <row r="557">
      <c r="A557" s="66"/>
      <c r="B557" s="66"/>
    </row>
    <row r="558">
      <c r="A558" s="66"/>
      <c r="B558" s="66"/>
    </row>
    <row r="559">
      <c r="A559" s="66"/>
      <c r="B559" s="66"/>
    </row>
    <row r="560">
      <c r="A560" s="66"/>
      <c r="B560" s="66"/>
    </row>
    <row r="561">
      <c r="A561" s="66"/>
      <c r="B561" s="66"/>
    </row>
    <row r="562">
      <c r="A562" s="66"/>
      <c r="B562" s="66"/>
    </row>
    <row r="563">
      <c r="A563" s="66"/>
      <c r="B563" s="66"/>
    </row>
    <row r="564">
      <c r="A564" s="66"/>
      <c r="B564" s="66"/>
    </row>
    <row r="565">
      <c r="A565" s="66"/>
      <c r="B565" s="66"/>
    </row>
    <row r="566">
      <c r="A566" s="66"/>
      <c r="B566" s="66"/>
    </row>
    <row r="567">
      <c r="A567" s="66"/>
      <c r="B567" s="66"/>
    </row>
    <row r="568">
      <c r="A568" s="66"/>
      <c r="B568" s="66"/>
    </row>
    <row r="569">
      <c r="A569" s="66"/>
      <c r="B569" s="66"/>
    </row>
    <row r="570">
      <c r="A570" s="66"/>
      <c r="B570" s="66"/>
    </row>
    <row r="571">
      <c r="A571" s="66"/>
      <c r="B571" s="66"/>
    </row>
    <row r="572">
      <c r="A572" s="66"/>
      <c r="B572" s="66"/>
    </row>
    <row r="573">
      <c r="A573" s="66"/>
      <c r="B573" s="66"/>
    </row>
    <row r="574">
      <c r="A574" s="66"/>
      <c r="B574" s="66"/>
    </row>
    <row r="575">
      <c r="A575" s="66"/>
      <c r="B575" s="66"/>
    </row>
    <row r="576">
      <c r="A576" s="66"/>
      <c r="B576" s="66"/>
    </row>
    <row r="577">
      <c r="A577" s="66"/>
      <c r="B577" s="66"/>
    </row>
    <row r="578">
      <c r="A578" s="66"/>
      <c r="B578" s="66"/>
    </row>
    <row r="579">
      <c r="A579" s="66"/>
      <c r="B579" s="66"/>
    </row>
    <row r="580">
      <c r="A580" s="66"/>
      <c r="B580" s="66"/>
    </row>
    <row r="581">
      <c r="A581" s="66"/>
      <c r="B581" s="66"/>
    </row>
    <row r="582">
      <c r="A582" s="66"/>
      <c r="B582" s="66"/>
    </row>
    <row r="583">
      <c r="A583" s="66"/>
      <c r="B583" s="66"/>
    </row>
    <row r="584">
      <c r="A584" s="66"/>
      <c r="B584" s="66"/>
    </row>
    <row r="585">
      <c r="A585" s="66"/>
      <c r="B585" s="66"/>
    </row>
    <row r="586">
      <c r="A586" s="66"/>
      <c r="B586" s="66"/>
    </row>
    <row r="587">
      <c r="A587" s="66"/>
      <c r="B587" s="66"/>
    </row>
    <row r="588">
      <c r="A588" s="66"/>
      <c r="B588" s="66"/>
    </row>
    <row r="589">
      <c r="A589" s="66"/>
      <c r="B589" s="66"/>
    </row>
    <row r="590">
      <c r="A590" s="66"/>
      <c r="B590" s="66"/>
    </row>
    <row r="591">
      <c r="A591" s="66"/>
      <c r="B591" s="66"/>
    </row>
    <row r="592">
      <c r="A592" s="66"/>
      <c r="B592" s="66"/>
    </row>
    <row r="593">
      <c r="A593" s="66"/>
      <c r="B593" s="66"/>
    </row>
    <row r="594">
      <c r="A594" s="66"/>
      <c r="B594" s="66"/>
    </row>
    <row r="595">
      <c r="A595" s="66"/>
      <c r="B595" s="66"/>
    </row>
    <row r="596">
      <c r="A596" s="66"/>
      <c r="B596" s="66"/>
    </row>
    <row r="597">
      <c r="A597" s="66"/>
      <c r="B597" s="66"/>
    </row>
    <row r="598">
      <c r="A598" s="66"/>
      <c r="B598" s="66"/>
    </row>
    <row r="599">
      <c r="A599" s="66"/>
      <c r="B599" s="66"/>
    </row>
    <row r="600">
      <c r="A600" s="66"/>
      <c r="B600" s="66"/>
    </row>
    <row r="601">
      <c r="A601" s="66"/>
      <c r="B601" s="66"/>
    </row>
    <row r="602">
      <c r="A602" s="66"/>
      <c r="B602" s="66"/>
    </row>
    <row r="603">
      <c r="A603" s="66"/>
      <c r="B603" s="66"/>
    </row>
    <row r="604">
      <c r="A604" s="66"/>
      <c r="B604" s="66"/>
    </row>
    <row r="605">
      <c r="A605" s="66"/>
      <c r="B605" s="66"/>
    </row>
    <row r="606">
      <c r="A606" s="66"/>
      <c r="B606" s="66"/>
    </row>
    <row r="607">
      <c r="A607" s="66"/>
      <c r="B607" s="66"/>
    </row>
    <row r="608">
      <c r="A608" s="66"/>
      <c r="B608" s="66"/>
    </row>
    <row r="609">
      <c r="A609" s="66"/>
      <c r="B609" s="66"/>
    </row>
    <row r="610">
      <c r="A610" s="66"/>
      <c r="B610" s="66"/>
    </row>
    <row r="611">
      <c r="A611" s="66"/>
      <c r="B611" s="66"/>
    </row>
    <row r="612">
      <c r="A612" s="66"/>
      <c r="B612" s="66"/>
    </row>
    <row r="613">
      <c r="A613" s="66"/>
      <c r="B613" s="66"/>
    </row>
    <row r="614">
      <c r="A614" s="66"/>
      <c r="B614" s="66"/>
    </row>
    <row r="615">
      <c r="A615" s="66"/>
      <c r="B615" s="66"/>
    </row>
    <row r="616">
      <c r="A616" s="66"/>
      <c r="B616" s="66"/>
    </row>
    <row r="617">
      <c r="A617" s="66"/>
      <c r="B617" s="66"/>
    </row>
    <row r="618">
      <c r="A618" s="66"/>
      <c r="B618" s="66"/>
    </row>
    <row r="619">
      <c r="A619" s="66"/>
      <c r="B619" s="66"/>
    </row>
    <row r="620">
      <c r="A620" s="66"/>
      <c r="B620" s="66"/>
    </row>
    <row r="621">
      <c r="A621" s="66"/>
      <c r="B621" s="66"/>
    </row>
    <row r="622">
      <c r="A622" s="66"/>
      <c r="B622" s="66"/>
    </row>
    <row r="623">
      <c r="A623" s="66"/>
      <c r="B623" s="66"/>
    </row>
    <row r="624">
      <c r="A624" s="66"/>
      <c r="B624" s="66"/>
    </row>
    <row r="625">
      <c r="A625" s="66"/>
      <c r="B625" s="66"/>
    </row>
    <row r="626">
      <c r="A626" s="66"/>
      <c r="B626" s="66"/>
    </row>
    <row r="627">
      <c r="A627" s="66"/>
      <c r="B627" s="66"/>
    </row>
    <row r="628">
      <c r="A628" s="66"/>
      <c r="B628" s="66"/>
    </row>
    <row r="629">
      <c r="A629" s="66"/>
      <c r="B629" s="66"/>
    </row>
    <row r="630">
      <c r="A630" s="66"/>
      <c r="B630" s="66"/>
    </row>
    <row r="631">
      <c r="A631" s="66"/>
      <c r="B631" s="66"/>
    </row>
    <row r="632">
      <c r="A632" s="66"/>
      <c r="B632" s="66"/>
    </row>
    <row r="633">
      <c r="A633" s="66"/>
      <c r="B633" s="66"/>
    </row>
    <row r="634">
      <c r="A634" s="66"/>
      <c r="B634" s="66"/>
    </row>
    <row r="635">
      <c r="A635" s="66"/>
      <c r="B635" s="66"/>
    </row>
    <row r="636">
      <c r="A636" s="66"/>
      <c r="B636" s="66"/>
    </row>
    <row r="637">
      <c r="A637" s="66"/>
      <c r="B637" s="66"/>
    </row>
    <row r="638">
      <c r="A638" s="66"/>
      <c r="B638" s="66"/>
    </row>
    <row r="639">
      <c r="A639" s="66"/>
      <c r="B639" s="66"/>
    </row>
    <row r="640">
      <c r="A640" s="66"/>
      <c r="B640" s="66"/>
    </row>
    <row r="641">
      <c r="A641" s="66"/>
      <c r="B641" s="66"/>
    </row>
    <row r="642">
      <c r="A642" s="66"/>
      <c r="B642" s="66"/>
    </row>
    <row r="643">
      <c r="A643" s="66"/>
      <c r="B643" s="66"/>
    </row>
    <row r="644">
      <c r="A644" s="66"/>
      <c r="B644" s="66"/>
    </row>
    <row r="645">
      <c r="A645" s="66"/>
      <c r="B645" s="66"/>
    </row>
    <row r="646">
      <c r="A646" s="66"/>
      <c r="B646" s="66"/>
    </row>
    <row r="647">
      <c r="A647" s="66"/>
      <c r="B647" s="66"/>
    </row>
    <row r="648">
      <c r="A648" s="66"/>
      <c r="B648" s="66"/>
    </row>
    <row r="649">
      <c r="A649" s="66"/>
      <c r="B649" s="66"/>
    </row>
    <row r="650">
      <c r="A650" s="66"/>
      <c r="B650" s="66"/>
    </row>
    <row r="651">
      <c r="A651" s="66"/>
      <c r="B651" s="66"/>
    </row>
    <row r="652">
      <c r="A652" s="66"/>
      <c r="B652" s="66"/>
    </row>
    <row r="653">
      <c r="A653" s="66"/>
      <c r="B653" s="66"/>
    </row>
    <row r="654">
      <c r="A654" s="66"/>
      <c r="B654" s="66"/>
    </row>
    <row r="655">
      <c r="A655" s="66"/>
      <c r="B655" s="66"/>
    </row>
    <row r="656">
      <c r="A656" s="66"/>
      <c r="B656" s="66"/>
    </row>
    <row r="657">
      <c r="A657" s="66"/>
      <c r="B657" s="66"/>
    </row>
    <row r="658">
      <c r="A658" s="66"/>
      <c r="B658" s="66"/>
    </row>
    <row r="659">
      <c r="A659" s="66"/>
      <c r="B659" s="66"/>
    </row>
    <row r="660">
      <c r="A660" s="66"/>
      <c r="B660" s="66"/>
    </row>
    <row r="661">
      <c r="A661" s="66"/>
      <c r="B661" s="66"/>
    </row>
    <row r="662">
      <c r="A662" s="66"/>
      <c r="B662" s="66"/>
    </row>
    <row r="663">
      <c r="A663" s="66"/>
      <c r="B663" s="66"/>
    </row>
    <row r="664">
      <c r="A664" s="66"/>
      <c r="B664" s="66"/>
    </row>
    <row r="665">
      <c r="A665" s="66"/>
      <c r="B665" s="66"/>
    </row>
    <row r="666">
      <c r="A666" s="66"/>
      <c r="B666" s="66"/>
    </row>
    <row r="667">
      <c r="A667" s="66"/>
      <c r="B667" s="66"/>
    </row>
    <row r="668">
      <c r="A668" s="66"/>
      <c r="B668" s="66"/>
    </row>
    <row r="669">
      <c r="A669" s="66"/>
      <c r="B669" s="66"/>
    </row>
    <row r="670">
      <c r="A670" s="66"/>
      <c r="B670" s="66"/>
    </row>
    <row r="671">
      <c r="A671" s="66"/>
      <c r="B671" s="66"/>
    </row>
    <row r="672">
      <c r="A672" s="66"/>
      <c r="B672" s="66"/>
    </row>
    <row r="673">
      <c r="A673" s="66"/>
      <c r="B673" s="66"/>
    </row>
    <row r="674">
      <c r="A674" s="66"/>
      <c r="B674" s="66"/>
    </row>
    <row r="675">
      <c r="A675" s="66"/>
      <c r="B675" s="66"/>
    </row>
    <row r="676">
      <c r="A676" s="66"/>
      <c r="B676" s="66"/>
    </row>
    <row r="677">
      <c r="A677" s="66"/>
      <c r="B677" s="66"/>
    </row>
    <row r="678">
      <c r="A678" s="66"/>
      <c r="B678" s="66"/>
    </row>
    <row r="679">
      <c r="A679" s="66"/>
      <c r="B679" s="66"/>
    </row>
    <row r="680">
      <c r="A680" s="66"/>
      <c r="B680" s="66"/>
    </row>
    <row r="681">
      <c r="A681" s="66"/>
      <c r="B681" s="66"/>
    </row>
    <row r="682">
      <c r="A682" s="66"/>
      <c r="B682" s="66"/>
    </row>
    <row r="683">
      <c r="A683" s="66"/>
      <c r="B683" s="66"/>
    </row>
    <row r="684">
      <c r="A684" s="66"/>
      <c r="B684" s="66"/>
    </row>
    <row r="685">
      <c r="A685" s="66"/>
      <c r="B685" s="66"/>
    </row>
    <row r="686">
      <c r="A686" s="66"/>
      <c r="B686" s="66"/>
    </row>
    <row r="687">
      <c r="A687" s="66"/>
      <c r="B687" s="66"/>
    </row>
    <row r="688">
      <c r="A688" s="66"/>
      <c r="B688" s="66"/>
    </row>
    <row r="689">
      <c r="A689" s="66"/>
      <c r="B689" s="66"/>
    </row>
    <row r="690">
      <c r="A690" s="66"/>
      <c r="B690" s="66"/>
    </row>
    <row r="691">
      <c r="A691" s="66"/>
      <c r="B691" s="66"/>
    </row>
    <row r="692">
      <c r="A692" s="66"/>
      <c r="B692" s="66"/>
    </row>
    <row r="693">
      <c r="A693" s="66"/>
      <c r="B693" s="66"/>
    </row>
    <row r="694">
      <c r="A694" s="66"/>
      <c r="B694" s="66"/>
    </row>
    <row r="695">
      <c r="A695" s="66"/>
      <c r="B695" s="66"/>
    </row>
    <row r="696">
      <c r="A696" s="66"/>
      <c r="B696" s="66"/>
    </row>
    <row r="697">
      <c r="A697" s="66"/>
      <c r="B697" s="66"/>
    </row>
    <row r="698">
      <c r="A698" s="66"/>
      <c r="B698" s="66"/>
    </row>
    <row r="699">
      <c r="A699" s="66"/>
      <c r="B699" s="66"/>
    </row>
    <row r="700">
      <c r="A700" s="66"/>
      <c r="B700" s="66"/>
    </row>
    <row r="701">
      <c r="A701" s="66"/>
      <c r="B701" s="66"/>
    </row>
    <row r="702">
      <c r="A702" s="66"/>
      <c r="B702" s="66"/>
    </row>
    <row r="703">
      <c r="A703" s="66"/>
      <c r="B703" s="66"/>
    </row>
    <row r="704">
      <c r="A704" s="66"/>
      <c r="B704" s="66"/>
    </row>
    <row r="705">
      <c r="A705" s="66"/>
      <c r="B705" s="66"/>
    </row>
    <row r="706">
      <c r="A706" s="66"/>
      <c r="B706" s="66"/>
    </row>
    <row r="707">
      <c r="A707" s="66"/>
      <c r="B707" s="66"/>
    </row>
    <row r="708">
      <c r="A708" s="66"/>
      <c r="B708" s="66"/>
    </row>
    <row r="709">
      <c r="A709" s="66"/>
      <c r="B709" s="66"/>
    </row>
    <row r="710">
      <c r="A710" s="66"/>
      <c r="B710" s="66"/>
    </row>
    <row r="711">
      <c r="A711" s="66"/>
      <c r="B711" s="66"/>
    </row>
    <row r="712">
      <c r="A712" s="66"/>
      <c r="B712" s="66"/>
    </row>
    <row r="713">
      <c r="A713" s="66"/>
      <c r="B713" s="66"/>
    </row>
    <row r="714">
      <c r="A714" s="66"/>
      <c r="B714" s="66"/>
    </row>
    <row r="715">
      <c r="A715" s="66"/>
      <c r="B715" s="66"/>
    </row>
    <row r="716">
      <c r="A716" s="66"/>
      <c r="B716" s="66"/>
    </row>
    <row r="717">
      <c r="A717" s="66"/>
      <c r="B717" s="66"/>
    </row>
    <row r="718">
      <c r="A718" s="66"/>
      <c r="B718" s="66"/>
    </row>
    <row r="719">
      <c r="A719" s="66"/>
      <c r="B719" s="66"/>
    </row>
    <row r="720">
      <c r="A720" s="66"/>
      <c r="B720" s="66"/>
    </row>
    <row r="721">
      <c r="A721" s="66"/>
      <c r="B721" s="66"/>
    </row>
    <row r="722">
      <c r="A722" s="66"/>
      <c r="B722" s="66"/>
    </row>
    <row r="723">
      <c r="A723" s="66"/>
      <c r="B723" s="66"/>
    </row>
    <row r="724">
      <c r="A724" s="66"/>
      <c r="B724" s="66"/>
    </row>
    <row r="725">
      <c r="A725" s="66"/>
      <c r="B725" s="66"/>
    </row>
    <row r="726">
      <c r="A726" s="66"/>
      <c r="B726" s="66"/>
    </row>
    <row r="727">
      <c r="A727" s="66"/>
      <c r="B727" s="66"/>
    </row>
    <row r="728">
      <c r="A728" s="66"/>
      <c r="B728" s="66"/>
    </row>
    <row r="729">
      <c r="A729" s="66"/>
      <c r="B729" s="66"/>
    </row>
    <row r="730">
      <c r="A730" s="66"/>
      <c r="B730" s="66"/>
    </row>
    <row r="731">
      <c r="A731" s="66"/>
      <c r="B731" s="66"/>
    </row>
    <row r="732">
      <c r="A732" s="66"/>
      <c r="B732" s="66"/>
    </row>
    <row r="733">
      <c r="A733" s="66"/>
      <c r="B733" s="66"/>
    </row>
    <row r="734">
      <c r="A734" s="66"/>
      <c r="B734" s="66"/>
    </row>
    <row r="735">
      <c r="A735" s="66"/>
      <c r="B735" s="66"/>
    </row>
    <row r="736">
      <c r="A736" s="66"/>
      <c r="B736" s="66"/>
    </row>
    <row r="737">
      <c r="A737" s="66"/>
      <c r="B737" s="66"/>
    </row>
    <row r="738">
      <c r="A738" s="66"/>
      <c r="B738" s="66"/>
    </row>
    <row r="739">
      <c r="A739" s="66"/>
      <c r="B739" s="66"/>
    </row>
    <row r="740">
      <c r="A740" s="66"/>
      <c r="B740" s="66"/>
    </row>
    <row r="741">
      <c r="A741" s="66"/>
      <c r="B741" s="66"/>
    </row>
    <row r="742">
      <c r="A742" s="66"/>
      <c r="B742" s="66"/>
    </row>
    <row r="743">
      <c r="A743" s="66"/>
      <c r="B743" s="66"/>
    </row>
    <row r="744">
      <c r="A744" s="66"/>
      <c r="B744" s="66"/>
    </row>
    <row r="745">
      <c r="A745" s="66"/>
      <c r="B745" s="66"/>
    </row>
    <row r="746">
      <c r="A746" s="66"/>
      <c r="B746" s="66"/>
    </row>
    <row r="747">
      <c r="A747" s="66"/>
      <c r="B747" s="66"/>
    </row>
    <row r="748">
      <c r="A748" s="66"/>
      <c r="B748" s="66"/>
    </row>
    <row r="749">
      <c r="A749" s="66"/>
      <c r="B749" s="66"/>
    </row>
    <row r="750">
      <c r="A750" s="66"/>
      <c r="B750" s="66"/>
    </row>
    <row r="751">
      <c r="A751" s="66"/>
      <c r="B751" s="66"/>
    </row>
    <row r="752">
      <c r="A752" s="66"/>
      <c r="B752" s="66"/>
    </row>
    <row r="753">
      <c r="A753" s="66"/>
      <c r="B753" s="66"/>
    </row>
    <row r="754">
      <c r="A754" s="66"/>
      <c r="B754" s="66"/>
    </row>
    <row r="755">
      <c r="A755" s="66"/>
      <c r="B755" s="66"/>
    </row>
    <row r="756">
      <c r="A756" s="66"/>
      <c r="B756" s="66"/>
    </row>
    <row r="757">
      <c r="A757" s="66"/>
      <c r="B757" s="66"/>
    </row>
    <row r="758">
      <c r="A758" s="66"/>
      <c r="B758" s="66"/>
    </row>
    <row r="759">
      <c r="A759" s="66"/>
      <c r="B759" s="66"/>
    </row>
    <row r="760">
      <c r="A760" s="66"/>
      <c r="B760" s="66"/>
    </row>
    <row r="761">
      <c r="A761" s="66"/>
      <c r="B761" s="66"/>
    </row>
    <row r="762">
      <c r="A762" s="66"/>
      <c r="B762" s="66"/>
    </row>
    <row r="763">
      <c r="A763" s="66"/>
      <c r="B763" s="66"/>
    </row>
    <row r="764">
      <c r="A764" s="66"/>
      <c r="B764" s="66"/>
    </row>
    <row r="765">
      <c r="A765" s="66"/>
      <c r="B765" s="66"/>
    </row>
    <row r="766">
      <c r="A766" s="66"/>
      <c r="B766" s="66"/>
    </row>
    <row r="767">
      <c r="A767" s="66"/>
      <c r="B767" s="66"/>
    </row>
    <row r="768">
      <c r="A768" s="66"/>
      <c r="B768" s="66"/>
    </row>
    <row r="769">
      <c r="A769" s="66"/>
      <c r="B769" s="66"/>
    </row>
    <row r="770">
      <c r="A770" s="66"/>
      <c r="B770" s="66"/>
    </row>
    <row r="771">
      <c r="A771" s="66"/>
      <c r="B771" s="66"/>
    </row>
    <row r="772">
      <c r="A772" s="66"/>
      <c r="B772" s="66"/>
    </row>
    <row r="773">
      <c r="A773" s="66"/>
      <c r="B773" s="66"/>
    </row>
    <row r="774">
      <c r="A774" s="66"/>
      <c r="B774" s="66"/>
    </row>
    <row r="775">
      <c r="A775" s="66"/>
      <c r="B775" s="66"/>
    </row>
    <row r="776">
      <c r="A776" s="66"/>
      <c r="B776" s="66"/>
    </row>
    <row r="777">
      <c r="A777" s="66"/>
      <c r="B777" s="66"/>
    </row>
    <row r="778">
      <c r="A778" s="66"/>
      <c r="B778" s="66"/>
    </row>
    <row r="779">
      <c r="A779" s="66"/>
      <c r="B779" s="66"/>
    </row>
    <row r="780">
      <c r="A780" s="66"/>
      <c r="B780" s="66"/>
    </row>
    <row r="781">
      <c r="A781" s="66"/>
      <c r="B781" s="66"/>
    </row>
    <row r="782">
      <c r="A782" s="66"/>
      <c r="B782" s="66"/>
    </row>
    <row r="783">
      <c r="A783" s="66"/>
      <c r="B783" s="66"/>
    </row>
    <row r="784">
      <c r="A784" s="66"/>
      <c r="B784" s="66"/>
    </row>
    <row r="785">
      <c r="A785" s="66"/>
      <c r="B785" s="66"/>
    </row>
    <row r="786">
      <c r="A786" s="66"/>
      <c r="B786" s="66"/>
    </row>
    <row r="787">
      <c r="A787" s="66"/>
      <c r="B787" s="66"/>
    </row>
    <row r="788">
      <c r="A788" s="66"/>
      <c r="B788" s="66"/>
    </row>
    <row r="789">
      <c r="A789" s="66"/>
      <c r="B789" s="66"/>
    </row>
    <row r="790">
      <c r="A790" s="66"/>
      <c r="B790" s="66"/>
    </row>
    <row r="791">
      <c r="A791" s="66"/>
      <c r="B791" s="66"/>
    </row>
    <row r="792">
      <c r="A792" s="66"/>
      <c r="B792" s="66"/>
    </row>
    <row r="793">
      <c r="A793" s="66"/>
      <c r="B793" s="66"/>
    </row>
    <row r="794">
      <c r="A794" s="66"/>
      <c r="B794" s="66"/>
    </row>
    <row r="795">
      <c r="A795" s="66"/>
      <c r="B795" s="66"/>
    </row>
    <row r="796">
      <c r="A796" s="66"/>
      <c r="B796" s="66"/>
    </row>
    <row r="797">
      <c r="A797" s="66"/>
      <c r="B797" s="66"/>
    </row>
    <row r="798">
      <c r="A798" s="66"/>
      <c r="B798" s="66"/>
    </row>
    <row r="799">
      <c r="A799" s="66"/>
      <c r="B799" s="66"/>
    </row>
    <row r="800">
      <c r="A800" s="66"/>
      <c r="B800" s="66"/>
    </row>
    <row r="801">
      <c r="A801" s="66"/>
      <c r="B801" s="66"/>
    </row>
    <row r="802">
      <c r="A802" s="66"/>
      <c r="B802" s="66"/>
    </row>
    <row r="803">
      <c r="A803" s="66"/>
      <c r="B803" s="66"/>
    </row>
    <row r="804">
      <c r="A804" s="66"/>
      <c r="B804" s="66"/>
    </row>
    <row r="805">
      <c r="A805" s="66"/>
      <c r="B805" s="66"/>
    </row>
    <row r="806">
      <c r="A806" s="66"/>
      <c r="B806" s="66"/>
    </row>
    <row r="807">
      <c r="A807" s="66"/>
      <c r="B807" s="66"/>
    </row>
    <row r="808">
      <c r="A808" s="66"/>
      <c r="B808" s="66"/>
    </row>
    <row r="809">
      <c r="A809" s="66"/>
      <c r="B809" s="66"/>
    </row>
    <row r="810">
      <c r="A810" s="66"/>
      <c r="B810" s="66"/>
    </row>
    <row r="811">
      <c r="A811" s="66"/>
      <c r="B811" s="66"/>
    </row>
    <row r="812">
      <c r="A812" s="66"/>
      <c r="B812" s="66"/>
    </row>
    <row r="813">
      <c r="A813" s="66"/>
      <c r="B813" s="66"/>
    </row>
    <row r="814">
      <c r="A814" s="66"/>
      <c r="B814" s="66"/>
    </row>
    <row r="815">
      <c r="A815" s="66"/>
      <c r="B815" s="66"/>
    </row>
    <row r="816">
      <c r="A816" s="66"/>
      <c r="B816" s="66"/>
    </row>
    <row r="817">
      <c r="A817" s="66"/>
      <c r="B817" s="66"/>
    </row>
    <row r="818">
      <c r="A818" s="66"/>
      <c r="B818" s="66"/>
    </row>
    <row r="819">
      <c r="A819" s="66"/>
      <c r="B819" s="66"/>
    </row>
    <row r="820">
      <c r="A820" s="66"/>
      <c r="B820" s="66"/>
    </row>
    <row r="821">
      <c r="A821" s="66"/>
      <c r="B821" s="66"/>
    </row>
    <row r="822">
      <c r="A822" s="66"/>
      <c r="B822" s="66"/>
    </row>
    <row r="823">
      <c r="A823" s="66"/>
      <c r="B823" s="66"/>
    </row>
    <row r="824">
      <c r="A824" s="66"/>
      <c r="B824" s="66"/>
    </row>
    <row r="825">
      <c r="A825" s="66"/>
      <c r="B825" s="66"/>
    </row>
    <row r="826">
      <c r="A826" s="66"/>
      <c r="B826" s="66"/>
    </row>
    <row r="827">
      <c r="A827" s="66"/>
      <c r="B827" s="66"/>
    </row>
    <row r="828">
      <c r="A828" s="66"/>
      <c r="B828" s="66"/>
    </row>
    <row r="829">
      <c r="A829" s="66"/>
      <c r="B829" s="66"/>
    </row>
    <row r="830">
      <c r="A830" s="66"/>
      <c r="B830" s="66"/>
    </row>
    <row r="831">
      <c r="A831" s="66"/>
      <c r="B831" s="66"/>
    </row>
    <row r="832">
      <c r="A832" s="66"/>
      <c r="B832" s="66"/>
    </row>
    <row r="833">
      <c r="A833" s="66"/>
      <c r="B833" s="66"/>
    </row>
    <row r="834">
      <c r="A834" s="66"/>
      <c r="B834" s="66"/>
    </row>
    <row r="835">
      <c r="A835" s="66"/>
      <c r="B835" s="66"/>
    </row>
    <row r="836">
      <c r="A836" s="66"/>
      <c r="B836" s="66"/>
    </row>
    <row r="837">
      <c r="A837" s="66"/>
      <c r="B837" s="66"/>
    </row>
    <row r="838">
      <c r="A838" s="66"/>
      <c r="B838" s="66"/>
    </row>
    <row r="839">
      <c r="A839" s="66"/>
      <c r="B839" s="66"/>
    </row>
    <row r="840">
      <c r="A840" s="66"/>
      <c r="B840" s="66"/>
    </row>
    <row r="841">
      <c r="A841" s="66"/>
      <c r="B841" s="66"/>
    </row>
    <row r="842">
      <c r="A842" s="66"/>
      <c r="B842" s="66"/>
    </row>
    <row r="843">
      <c r="A843" s="66"/>
      <c r="B843" s="66"/>
    </row>
    <row r="844">
      <c r="A844" s="66"/>
      <c r="B844" s="66"/>
    </row>
    <row r="845">
      <c r="A845" s="66"/>
      <c r="B845" s="66"/>
    </row>
    <row r="846">
      <c r="A846" s="66"/>
      <c r="B846" s="66"/>
    </row>
    <row r="847">
      <c r="A847" s="66"/>
      <c r="B847" s="66"/>
    </row>
    <row r="848">
      <c r="A848" s="66"/>
      <c r="B848" s="66"/>
    </row>
    <row r="849">
      <c r="A849" s="66"/>
      <c r="B849" s="66"/>
    </row>
    <row r="850">
      <c r="A850" s="66"/>
      <c r="B850" s="66"/>
    </row>
    <row r="851">
      <c r="A851" s="66"/>
      <c r="B851" s="66"/>
    </row>
    <row r="852">
      <c r="A852" s="66"/>
      <c r="B852" s="66"/>
    </row>
    <row r="853">
      <c r="A853" s="66"/>
      <c r="B853" s="66"/>
    </row>
    <row r="854">
      <c r="A854" s="66"/>
      <c r="B854" s="66"/>
    </row>
    <row r="855">
      <c r="A855" s="66"/>
      <c r="B855" s="66"/>
    </row>
    <row r="856">
      <c r="A856" s="66"/>
      <c r="B856" s="66"/>
    </row>
    <row r="857">
      <c r="A857" s="66"/>
      <c r="B857" s="66"/>
    </row>
    <row r="858">
      <c r="A858" s="66"/>
      <c r="B858" s="66"/>
    </row>
    <row r="859">
      <c r="A859" s="66"/>
      <c r="B859" s="66"/>
    </row>
    <row r="860">
      <c r="A860" s="66"/>
      <c r="B860" s="66"/>
    </row>
    <row r="861">
      <c r="A861" s="66"/>
      <c r="B861" s="66"/>
    </row>
    <row r="862">
      <c r="A862" s="66"/>
      <c r="B862" s="66"/>
    </row>
    <row r="863">
      <c r="A863" s="66"/>
      <c r="B863" s="66"/>
    </row>
    <row r="864">
      <c r="A864" s="66"/>
      <c r="B864" s="66"/>
    </row>
    <row r="865">
      <c r="A865" s="66"/>
      <c r="B865" s="66"/>
    </row>
    <row r="866">
      <c r="A866" s="66"/>
      <c r="B866" s="66"/>
    </row>
    <row r="867">
      <c r="A867" s="66"/>
      <c r="B867" s="66"/>
    </row>
    <row r="868">
      <c r="A868" s="66"/>
      <c r="B868" s="66"/>
    </row>
    <row r="869">
      <c r="A869" s="66"/>
      <c r="B869" s="66"/>
    </row>
    <row r="870">
      <c r="A870" s="66"/>
      <c r="B870" s="66"/>
    </row>
    <row r="871">
      <c r="A871" s="66"/>
      <c r="B871" s="66"/>
    </row>
    <row r="872">
      <c r="A872" s="66"/>
      <c r="B872" s="66"/>
    </row>
    <row r="873">
      <c r="A873" s="66"/>
      <c r="B873" s="66"/>
    </row>
    <row r="874">
      <c r="A874" s="66"/>
      <c r="B874" s="66"/>
    </row>
    <row r="875">
      <c r="A875" s="66"/>
      <c r="B875" s="66"/>
    </row>
    <row r="876">
      <c r="A876" s="66"/>
      <c r="B876" s="66"/>
    </row>
    <row r="877">
      <c r="A877" s="66"/>
      <c r="B877" s="66"/>
    </row>
    <row r="878">
      <c r="A878" s="66"/>
      <c r="B878" s="66"/>
    </row>
    <row r="879">
      <c r="A879" s="66"/>
      <c r="B879" s="66"/>
    </row>
    <row r="880">
      <c r="A880" s="66"/>
      <c r="B880" s="66"/>
    </row>
    <row r="881">
      <c r="A881" s="66"/>
      <c r="B881" s="66"/>
    </row>
    <row r="882">
      <c r="A882" s="66"/>
      <c r="B882" s="66"/>
    </row>
    <row r="883">
      <c r="A883" s="66"/>
      <c r="B883" s="66"/>
    </row>
    <row r="884">
      <c r="A884" s="66"/>
      <c r="B884" s="66"/>
    </row>
    <row r="885">
      <c r="A885" s="66"/>
      <c r="B885" s="66"/>
    </row>
    <row r="886">
      <c r="A886" s="66"/>
      <c r="B886" s="66"/>
    </row>
    <row r="887">
      <c r="A887" s="66"/>
      <c r="B887" s="66"/>
    </row>
    <row r="888">
      <c r="A888" s="66"/>
      <c r="B888" s="66"/>
    </row>
    <row r="889">
      <c r="A889" s="66"/>
      <c r="B889" s="66"/>
    </row>
    <row r="890">
      <c r="A890" s="66"/>
      <c r="B890" s="66"/>
    </row>
    <row r="891">
      <c r="A891" s="66"/>
      <c r="B891" s="66"/>
    </row>
    <row r="892">
      <c r="A892" s="66"/>
      <c r="B892" s="66"/>
    </row>
    <row r="893">
      <c r="A893" s="66"/>
      <c r="B893" s="66"/>
    </row>
    <row r="894">
      <c r="A894" s="66"/>
      <c r="B894" s="66"/>
    </row>
    <row r="895">
      <c r="A895" s="66"/>
      <c r="B895" s="66"/>
    </row>
    <row r="896">
      <c r="A896" s="66"/>
      <c r="B896" s="66"/>
    </row>
    <row r="897">
      <c r="A897" s="66"/>
      <c r="B897" s="66"/>
    </row>
    <row r="898">
      <c r="A898" s="66"/>
      <c r="B898" s="66"/>
    </row>
    <row r="899">
      <c r="A899" s="66"/>
      <c r="B899" s="66"/>
    </row>
    <row r="900">
      <c r="A900" s="66"/>
      <c r="B900" s="66"/>
    </row>
    <row r="901">
      <c r="A901" s="66"/>
      <c r="B901" s="66"/>
    </row>
    <row r="902">
      <c r="A902" s="66"/>
      <c r="B902" s="66"/>
    </row>
    <row r="903">
      <c r="A903" s="66"/>
      <c r="B903" s="66"/>
    </row>
    <row r="904">
      <c r="A904" s="66"/>
      <c r="B904" s="66"/>
    </row>
    <row r="905">
      <c r="A905" s="66"/>
      <c r="B905" s="66"/>
    </row>
    <row r="906">
      <c r="A906" s="66"/>
      <c r="B906" s="66"/>
    </row>
    <row r="907">
      <c r="A907" s="66"/>
      <c r="B907" s="66"/>
    </row>
    <row r="908">
      <c r="A908" s="66"/>
      <c r="B908" s="66"/>
    </row>
    <row r="909">
      <c r="A909" s="66"/>
      <c r="B909" s="66"/>
    </row>
    <row r="910">
      <c r="A910" s="66"/>
      <c r="B910" s="66"/>
    </row>
    <row r="911">
      <c r="A911" s="66"/>
      <c r="B911" s="66"/>
    </row>
    <row r="912">
      <c r="A912" s="66"/>
      <c r="B912" s="66"/>
    </row>
    <row r="913">
      <c r="A913" s="66"/>
      <c r="B913" s="66"/>
    </row>
    <row r="914">
      <c r="A914" s="66"/>
      <c r="B914" s="66"/>
    </row>
    <row r="915">
      <c r="A915" s="66"/>
      <c r="B915" s="66"/>
    </row>
    <row r="916">
      <c r="A916" s="66"/>
      <c r="B916" s="66"/>
    </row>
    <row r="917">
      <c r="A917" s="66"/>
      <c r="B917" s="66"/>
    </row>
    <row r="918">
      <c r="A918" s="66"/>
      <c r="B918" s="66"/>
    </row>
    <row r="919">
      <c r="A919" s="66"/>
      <c r="B919" s="66"/>
    </row>
    <row r="920">
      <c r="A920" s="66"/>
      <c r="B920" s="66"/>
    </row>
    <row r="921">
      <c r="A921" s="66"/>
      <c r="B921" s="66"/>
    </row>
    <row r="922">
      <c r="A922" s="66"/>
      <c r="B922" s="66"/>
    </row>
    <row r="923">
      <c r="A923" s="66"/>
      <c r="B923" s="66"/>
    </row>
    <row r="924">
      <c r="A924" s="66"/>
      <c r="B924" s="66"/>
    </row>
    <row r="925">
      <c r="A925" s="66"/>
      <c r="B925" s="66"/>
    </row>
    <row r="926">
      <c r="A926" s="66"/>
      <c r="B926" s="66"/>
    </row>
    <row r="927">
      <c r="A927" s="66"/>
      <c r="B927" s="66"/>
    </row>
    <row r="928">
      <c r="A928" s="66"/>
      <c r="B928" s="66"/>
    </row>
    <row r="929">
      <c r="A929" s="66"/>
      <c r="B929" s="66"/>
    </row>
    <row r="930">
      <c r="A930" s="66"/>
      <c r="B930" s="66"/>
    </row>
    <row r="931">
      <c r="A931" s="66"/>
      <c r="B931" s="66"/>
    </row>
    <row r="932">
      <c r="A932" s="66"/>
      <c r="B932" s="66"/>
    </row>
    <row r="933">
      <c r="A933" s="66"/>
      <c r="B933" s="66"/>
    </row>
    <row r="934">
      <c r="A934" s="66"/>
      <c r="B934" s="66"/>
    </row>
    <row r="935">
      <c r="A935" s="66"/>
      <c r="B935" s="66"/>
    </row>
    <row r="936">
      <c r="A936" s="66"/>
      <c r="B936" s="66"/>
    </row>
    <row r="937">
      <c r="A937" s="66"/>
      <c r="B937" s="66"/>
    </row>
    <row r="938">
      <c r="A938" s="66"/>
      <c r="B938" s="66"/>
    </row>
    <row r="939">
      <c r="A939" s="66"/>
      <c r="B939" s="66"/>
    </row>
    <row r="940">
      <c r="A940" s="66"/>
      <c r="B940" s="66"/>
    </row>
    <row r="941">
      <c r="A941" s="66"/>
      <c r="B941" s="66"/>
    </row>
    <row r="942">
      <c r="A942" s="66"/>
      <c r="B942" s="66"/>
    </row>
    <row r="943">
      <c r="A943" s="66"/>
      <c r="B943" s="66"/>
    </row>
    <row r="944">
      <c r="A944" s="66"/>
      <c r="B944" s="66"/>
    </row>
    <row r="945">
      <c r="A945" s="66"/>
      <c r="B945" s="66"/>
    </row>
    <row r="946">
      <c r="A946" s="66"/>
      <c r="B946" s="66"/>
    </row>
    <row r="947">
      <c r="A947" s="66"/>
      <c r="B947" s="66"/>
    </row>
    <row r="948">
      <c r="A948" s="66"/>
      <c r="B948" s="66"/>
    </row>
    <row r="949">
      <c r="A949" s="66"/>
      <c r="B949" s="66"/>
    </row>
    <row r="950">
      <c r="A950" s="66"/>
      <c r="B950" s="66"/>
    </row>
    <row r="951">
      <c r="A951" s="66"/>
      <c r="B951" s="66"/>
    </row>
    <row r="952">
      <c r="A952" s="66"/>
      <c r="B952" s="66"/>
    </row>
    <row r="953">
      <c r="A953" s="66"/>
      <c r="B953" s="66"/>
    </row>
    <row r="954">
      <c r="A954" s="66"/>
      <c r="B954" s="66"/>
    </row>
    <row r="955">
      <c r="A955" s="66"/>
      <c r="B955" s="66"/>
    </row>
    <row r="956">
      <c r="A956" s="66"/>
      <c r="B956" s="66"/>
    </row>
    <row r="957">
      <c r="A957" s="66"/>
      <c r="B957" s="66"/>
    </row>
    <row r="958">
      <c r="A958" s="66"/>
      <c r="B958" s="66"/>
    </row>
    <row r="959">
      <c r="A959" s="66"/>
      <c r="B959" s="66"/>
    </row>
    <row r="960">
      <c r="A960" s="66"/>
      <c r="B960" s="66"/>
    </row>
    <row r="961">
      <c r="A961" s="66"/>
      <c r="B961" s="66"/>
    </row>
    <row r="962">
      <c r="A962" s="66"/>
      <c r="B962" s="66"/>
    </row>
    <row r="963">
      <c r="A963" s="66"/>
      <c r="B963" s="66"/>
    </row>
    <row r="964">
      <c r="A964" s="66"/>
      <c r="B964" s="66"/>
    </row>
    <row r="965">
      <c r="A965" s="66"/>
      <c r="B965" s="66"/>
    </row>
    <row r="966">
      <c r="A966" s="66"/>
      <c r="B966" s="66"/>
    </row>
    <row r="967">
      <c r="A967" s="66"/>
      <c r="B967" s="66"/>
    </row>
    <row r="968">
      <c r="A968" s="66"/>
      <c r="B968" s="66"/>
    </row>
    <row r="969">
      <c r="A969" s="66"/>
      <c r="B969" s="66"/>
    </row>
    <row r="970">
      <c r="A970" s="66"/>
      <c r="B970" s="66"/>
    </row>
    <row r="971">
      <c r="A971" s="66"/>
      <c r="B971" s="66"/>
    </row>
    <row r="972">
      <c r="A972" s="66"/>
      <c r="B972" s="66"/>
    </row>
    <row r="973">
      <c r="A973" s="66"/>
      <c r="B973" s="66"/>
    </row>
    <row r="974">
      <c r="A974" s="66"/>
      <c r="B974" s="66"/>
    </row>
    <row r="975">
      <c r="A975" s="66"/>
      <c r="B975" s="66"/>
    </row>
    <row r="976">
      <c r="A976" s="66"/>
      <c r="B976" s="66"/>
    </row>
    <row r="977">
      <c r="A977" s="66"/>
      <c r="B977" s="66"/>
    </row>
    <row r="978">
      <c r="A978" s="66"/>
      <c r="B978" s="66"/>
    </row>
    <row r="979">
      <c r="A979" s="66"/>
      <c r="B979" s="66"/>
    </row>
    <row r="980">
      <c r="A980" s="66"/>
      <c r="B980" s="66"/>
    </row>
    <row r="981">
      <c r="A981" s="66"/>
      <c r="B981" s="66"/>
    </row>
    <row r="982">
      <c r="A982" s="66"/>
      <c r="B982" s="66"/>
    </row>
    <row r="983">
      <c r="A983" s="66"/>
      <c r="B983" s="66"/>
    </row>
    <row r="984">
      <c r="A984" s="66"/>
      <c r="B984" s="66"/>
    </row>
    <row r="985">
      <c r="A985" s="66"/>
      <c r="B985" s="66"/>
    </row>
    <row r="986">
      <c r="A986" s="66"/>
      <c r="B986" s="66"/>
    </row>
    <row r="987">
      <c r="A987" s="66"/>
      <c r="B987" s="66"/>
    </row>
    <row r="988">
      <c r="A988" s="66"/>
      <c r="B988" s="66"/>
    </row>
    <row r="989">
      <c r="A989" s="66"/>
      <c r="B989" s="66"/>
    </row>
    <row r="990">
      <c r="A990" s="66"/>
      <c r="B990" s="66"/>
    </row>
    <row r="991">
      <c r="A991" s="66"/>
      <c r="B991" s="66"/>
    </row>
    <row r="992">
      <c r="A992" s="66"/>
      <c r="B992" s="66"/>
    </row>
    <row r="993">
      <c r="A993" s="66"/>
      <c r="B993" s="66"/>
    </row>
    <row r="994">
      <c r="A994" s="66"/>
      <c r="B994" s="66"/>
    </row>
    <row r="995">
      <c r="A995" s="66"/>
      <c r="B995" s="66"/>
    </row>
    <row r="996">
      <c r="A996" s="66"/>
      <c r="B996" s="66"/>
    </row>
    <row r="997">
      <c r="A997" s="66"/>
      <c r="B997" s="66"/>
    </row>
    <row r="998">
      <c r="A998" s="66"/>
      <c r="B998" s="66"/>
    </row>
    <row r="999">
      <c r="A999" s="66"/>
      <c r="B999" s="66"/>
    </row>
    <row r="1000">
      <c r="A1000" s="66"/>
      <c r="B1000" s="66"/>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1612</v>
      </c>
      <c r="B1" s="506">
        <f t="array" ref="B1:AF1">transpose(B14:B44)</f>
        <v>44197</v>
      </c>
      <c r="C1" s="506">
        <v>44198.0</v>
      </c>
      <c r="D1" s="506">
        <v>44199.0</v>
      </c>
      <c r="E1" s="506">
        <v>44200.0</v>
      </c>
      <c r="F1" s="506">
        <v>44201.0</v>
      </c>
      <c r="G1" s="506">
        <v>44202.0</v>
      </c>
      <c r="H1" s="506">
        <v>44203.0</v>
      </c>
      <c r="I1" s="506">
        <v>44204.0</v>
      </c>
      <c r="J1" s="506">
        <v>44205.0</v>
      </c>
      <c r="K1" s="506">
        <v>44206.0</v>
      </c>
      <c r="L1" s="506">
        <v>44207.0</v>
      </c>
      <c r="M1" s="506">
        <v>44208.0</v>
      </c>
      <c r="N1" s="506">
        <v>44209.0</v>
      </c>
      <c r="O1" s="506">
        <v>44210.0</v>
      </c>
      <c r="P1" s="506">
        <v>44211.0</v>
      </c>
      <c r="Q1" s="506">
        <v>44212.0</v>
      </c>
      <c r="R1" s="506">
        <v>44213.0</v>
      </c>
      <c r="S1" s="506">
        <v>44214.0</v>
      </c>
      <c r="T1" s="506">
        <v>44215.0</v>
      </c>
      <c r="U1" s="506">
        <v>44216.0</v>
      </c>
      <c r="V1" s="506">
        <v>44217.0</v>
      </c>
      <c r="W1" s="506">
        <v>44218.0</v>
      </c>
      <c r="X1" s="506">
        <v>44219.0</v>
      </c>
      <c r="Y1" s="506">
        <v>44220.0</v>
      </c>
      <c r="Z1" s="506">
        <v>44221.0</v>
      </c>
      <c r="AA1" s="506">
        <v>44222.0</v>
      </c>
      <c r="AB1" s="506">
        <v>44223.0</v>
      </c>
      <c r="AC1" s="506">
        <v>44224.0</v>
      </c>
      <c r="AD1" s="506">
        <v>44225.0</v>
      </c>
      <c r="AE1" s="506">
        <v>44226.0</v>
      </c>
      <c r="AF1" s="506">
        <v>44227.0</v>
      </c>
    </row>
    <row r="2">
      <c r="A2" s="1" t="s">
        <v>1613</v>
      </c>
      <c r="B2" s="506">
        <f t="array" ref="B2:AF2">transpose(C14:C44)</f>
        <v>44228</v>
      </c>
      <c r="C2" s="506">
        <v>44229.0</v>
      </c>
      <c r="D2" s="506">
        <v>44230.0</v>
      </c>
      <c r="E2" s="506">
        <v>44231.0</v>
      </c>
      <c r="F2" s="506">
        <v>44232.0</v>
      </c>
      <c r="G2" s="506">
        <v>44233.0</v>
      </c>
      <c r="H2" s="506">
        <v>44234.0</v>
      </c>
      <c r="I2" s="506">
        <v>44235.0</v>
      </c>
      <c r="J2" s="506">
        <v>44236.0</v>
      </c>
      <c r="K2" s="506">
        <v>44237.0</v>
      </c>
      <c r="L2" s="506">
        <v>44238.0</v>
      </c>
      <c r="M2" s="506">
        <v>44239.0</v>
      </c>
      <c r="N2" s="506">
        <v>44240.0</v>
      </c>
      <c r="O2" s="506">
        <v>44241.0</v>
      </c>
      <c r="P2" s="506">
        <v>44242.0</v>
      </c>
      <c r="Q2" s="506">
        <v>44243.0</v>
      </c>
      <c r="R2" s="506">
        <v>44244.0</v>
      </c>
      <c r="S2" s="506">
        <v>44245.0</v>
      </c>
      <c r="T2" s="506">
        <v>44246.0</v>
      </c>
      <c r="U2" s="506">
        <v>44247.0</v>
      </c>
      <c r="V2" s="506">
        <v>44248.0</v>
      </c>
      <c r="W2" s="506">
        <v>44249.0</v>
      </c>
      <c r="X2" s="506">
        <v>44250.0</v>
      </c>
      <c r="Y2" s="506">
        <v>44251.0</v>
      </c>
      <c r="Z2" s="506">
        <v>44252.0</v>
      </c>
      <c r="AA2" s="506">
        <v>44253.0</v>
      </c>
      <c r="AB2" s="506">
        <v>44254.0</v>
      </c>
      <c r="AC2" s="506">
        <v>44255.0</v>
      </c>
      <c r="AD2" s="506"/>
      <c r="AE2" s="506"/>
      <c r="AF2" s="145"/>
    </row>
    <row r="3">
      <c r="A3" s="1" t="s">
        <v>86</v>
      </c>
      <c r="B3" s="506">
        <f t="array" ref="B3:AF3">transpose(D14:D44)</f>
        <v>44256</v>
      </c>
      <c r="C3" s="506">
        <v>44257.0</v>
      </c>
      <c r="D3" s="506">
        <v>44258.0</v>
      </c>
      <c r="E3" s="506">
        <v>44259.0</v>
      </c>
      <c r="F3" s="506">
        <v>44260.0</v>
      </c>
      <c r="G3" s="506">
        <v>44261.0</v>
      </c>
      <c r="H3" s="506">
        <v>44262.0</v>
      </c>
      <c r="I3" s="506">
        <v>44263.0</v>
      </c>
      <c r="J3" s="506">
        <v>44264.0</v>
      </c>
      <c r="K3" s="506">
        <v>44265.0</v>
      </c>
      <c r="L3" s="506">
        <v>44266.0</v>
      </c>
      <c r="M3" s="506">
        <v>44267.0</v>
      </c>
      <c r="N3" s="506">
        <v>44268.0</v>
      </c>
      <c r="O3" s="506">
        <v>44269.0</v>
      </c>
      <c r="P3" s="506">
        <v>44270.0</v>
      </c>
      <c r="Q3" s="506">
        <v>44271.0</v>
      </c>
      <c r="R3" s="506">
        <v>44272.0</v>
      </c>
      <c r="S3" s="506">
        <v>44273.0</v>
      </c>
      <c r="T3" s="506">
        <v>44274.0</v>
      </c>
      <c r="U3" s="506">
        <v>44275.0</v>
      </c>
      <c r="V3" s="506">
        <v>44276.0</v>
      </c>
      <c r="W3" s="506">
        <v>44277.0</v>
      </c>
      <c r="X3" s="506">
        <v>44278.0</v>
      </c>
      <c r="Y3" s="506">
        <v>44279.0</v>
      </c>
      <c r="Z3" s="506">
        <v>44280.0</v>
      </c>
      <c r="AA3" s="506">
        <v>44281.0</v>
      </c>
      <c r="AB3" s="506">
        <v>44282.0</v>
      </c>
      <c r="AC3" s="506">
        <v>44283.0</v>
      </c>
      <c r="AD3" s="506">
        <v>44284.0</v>
      </c>
      <c r="AE3" s="506">
        <v>44285.0</v>
      </c>
      <c r="AF3" s="506">
        <v>44286.0</v>
      </c>
    </row>
    <row r="4">
      <c r="A4" s="1" t="s">
        <v>1614</v>
      </c>
      <c r="B4" s="506">
        <f t="array" ref="B4:AF4">transpose(E14:E44)</f>
        <v>44287</v>
      </c>
      <c r="C4" s="506">
        <v>44288.0</v>
      </c>
      <c r="D4" s="506">
        <v>44289.0</v>
      </c>
      <c r="E4" s="506">
        <v>44290.0</v>
      </c>
      <c r="F4" s="506">
        <v>44291.0</v>
      </c>
      <c r="G4" s="506">
        <v>44292.0</v>
      </c>
      <c r="H4" s="506">
        <v>44293.0</v>
      </c>
      <c r="I4" s="506">
        <v>44294.0</v>
      </c>
      <c r="J4" s="506">
        <v>44295.0</v>
      </c>
      <c r="K4" s="506">
        <v>44296.0</v>
      </c>
      <c r="L4" s="506">
        <v>44297.0</v>
      </c>
      <c r="M4" s="506">
        <v>44298.0</v>
      </c>
      <c r="N4" s="506">
        <v>44299.0</v>
      </c>
      <c r="O4" s="506">
        <v>44300.0</v>
      </c>
      <c r="P4" s="506">
        <v>44301.0</v>
      </c>
      <c r="Q4" s="506">
        <v>44302.0</v>
      </c>
      <c r="R4" s="506">
        <v>44303.0</v>
      </c>
      <c r="S4" s="506">
        <v>44304.0</v>
      </c>
      <c r="T4" s="506">
        <v>44305.0</v>
      </c>
      <c r="U4" s="506">
        <v>44306.0</v>
      </c>
      <c r="V4" s="506">
        <v>44307.0</v>
      </c>
      <c r="W4" s="506">
        <v>44308.0</v>
      </c>
      <c r="X4" s="506">
        <v>44309.0</v>
      </c>
      <c r="Y4" s="506">
        <v>44310.0</v>
      </c>
      <c r="Z4" s="506">
        <v>44311.0</v>
      </c>
      <c r="AA4" s="506">
        <v>44312.0</v>
      </c>
      <c r="AB4" s="506">
        <v>44313.0</v>
      </c>
      <c r="AC4" s="506">
        <v>44314.0</v>
      </c>
      <c r="AD4" s="506">
        <v>44315.0</v>
      </c>
      <c r="AE4" s="506">
        <v>44316.0</v>
      </c>
      <c r="AF4" s="506"/>
    </row>
    <row r="5">
      <c r="A5" s="1" t="s">
        <v>1615</v>
      </c>
      <c r="B5" s="506">
        <f t="array" ref="B5:AF5">transpose(F14:F44)</f>
        <v>44317</v>
      </c>
      <c r="C5" s="506">
        <v>44318.0</v>
      </c>
      <c r="D5" s="506">
        <v>44319.0</v>
      </c>
      <c r="E5" s="506">
        <v>44320.0</v>
      </c>
      <c r="F5" s="506">
        <v>44321.0</v>
      </c>
      <c r="G5" s="506">
        <v>44322.0</v>
      </c>
      <c r="H5" s="506">
        <v>44323.0</v>
      </c>
      <c r="I5" s="506">
        <v>44324.0</v>
      </c>
      <c r="J5" s="506">
        <v>44325.0</v>
      </c>
      <c r="K5" s="506">
        <v>44326.0</v>
      </c>
      <c r="L5" s="506">
        <v>44327.0</v>
      </c>
      <c r="M5" s="506">
        <v>44328.0</v>
      </c>
      <c r="N5" s="506">
        <v>44329.0</v>
      </c>
      <c r="O5" s="506">
        <v>44330.0</v>
      </c>
      <c r="P5" s="506">
        <v>44331.0</v>
      </c>
      <c r="Q5" s="506">
        <v>44332.0</v>
      </c>
      <c r="R5" s="506">
        <v>44333.0</v>
      </c>
      <c r="S5" s="506">
        <v>44334.0</v>
      </c>
      <c r="T5" s="506">
        <v>44335.0</v>
      </c>
      <c r="U5" s="506">
        <v>44336.0</v>
      </c>
      <c r="V5" s="506">
        <v>44337.0</v>
      </c>
      <c r="W5" s="506">
        <v>44338.0</v>
      </c>
      <c r="X5" s="506">
        <v>44339.0</v>
      </c>
      <c r="Y5" s="506">
        <v>44340.0</v>
      </c>
      <c r="Z5" s="506">
        <v>44341.0</v>
      </c>
      <c r="AA5" s="506">
        <v>44342.0</v>
      </c>
      <c r="AB5" s="506">
        <v>44343.0</v>
      </c>
      <c r="AC5" s="506">
        <v>44344.0</v>
      </c>
      <c r="AD5" s="506">
        <v>44345.0</v>
      </c>
      <c r="AE5" s="506">
        <v>44346.0</v>
      </c>
      <c r="AF5" s="506">
        <v>44347.0</v>
      </c>
    </row>
    <row r="6">
      <c r="A6" s="1" t="s">
        <v>1616</v>
      </c>
      <c r="B6" s="506">
        <f t="array" ref="B6:AF6">transpose(G14:G44)</f>
        <v>44348</v>
      </c>
      <c r="C6" s="506">
        <v>44349.0</v>
      </c>
      <c r="D6" s="506">
        <v>44350.0</v>
      </c>
      <c r="E6" s="506">
        <v>44351.0</v>
      </c>
      <c r="F6" s="506">
        <v>44352.0</v>
      </c>
      <c r="G6" s="506">
        <v>44353.0</v>
      </c>
      <c r="H6" s="506">
        <v>44354.0</v>
      </c>
      <c r="I6" s="506">
        <v>44355.0</v>
      </c>
      <c r="J6" s="506">
        <v>44356.0</v>
      </c>
      <c r="K6" s="506">
        <v>44357.0</v>
      </c>
      <c r="L6" s="506">
        <v>44358.0</v>
      </c>
      <c r="M6" s="506">
        <v>44359.0</v>
      </c>
      <c r="N6" s="506">
        <v>44360.0</v>
      </c>
      <c r="O6" s="506">
        <v>44361.0</v>
      </c>
      <c r="P6" s="506">
        <v>44362.0</v>
      </c>
      <c r="Q6" s="506">
        <v>44363.0</v>
      </c>
      <c r="R6" s="506">
        <v>44364.0</v>
      </c>
      <c r="S6" s="506">
        <v>44365.0</v>
      </c>
      <c r="T6" s="506">
        <v>44366.0</v>
      </c>
      <c r="U6" s="506">
        <v>44367.0</v>
      </c>
      <c r="V6" s="506">
        <v>44368.0</v>
      </c>
      <c r="W6" s="506">
        <v>44369.0</v>
      </c>
      <c r="X6" s="506">
        <v>44370.0</v>
      </c>
      <c r="Y6" s="506">
        <v>44371.0</v>
      </c>
      <c r="Z6" s="506">
        <v>44372.0</v>
      </c>
      <c r="AA6" s="506">
        <v>44373.0</v>
      </c>
      <c r="AB6" s="506">
        <v>44374.0</v>
      </c>
      <c r="AC6" s="506">
        <v>44375.0</v>
      </c>
      <c r="AD6" s="506">
        <v>44376.0</v>
      </c>
      <c r="AE6" s="506">
        <v>44377.0</v>
      </c>
      <c r="AF6" s="506"/>
    </row>
    <row r="7">
      <c r="A7" s="1" t="s">
        <v>1617</v>
      </c>
      <c r="B7" s="506">
        <f t="array" ref="B7:AF7">transpose(H14:H44)</f>
        <v>44378</v>
      </c>
      <c r="C7" s="506">
        <v>44379.0</v>
      </c>
      <c r="D7" s="506">
        <v>44380.0</v>
      </c>
      <c r="E7" s="506">
        <v>44381.0</v>
      </c>
      <c r="F7" s="506">
        <v>44382.0</v>
      </c>
      <c r="G7" s="506">
        <v>44383.0</v>
      </c>
      <c r="H7" s="506">
        <v>44384.0</v>
      </c>
      <c r="I7" s="506">
        <v>44385.0</v>
      </c>
      <c r="J7" s="506">
        <v>44386.0</v>
      </c>
      <c r="K7" s="506">
        <v>44387.0</v>
      </c>
      <c r="L7" s="506">
        <v>44388.0</v>
      </c>
      <c r="M7" s="506">
        <v>44389.0</v>
      </c>
      <c r="N7" s="506">
        <v>44390.0</v>
      </c>
      <c r="O7" s="506">
        <v>44391.0</v>
      </c>
      <c r="P7" s="506">
        <v>44392.0</v>
      </c>
      <c r="Q7" s="506">
        <v>44393.0</v>
      </c>
      <c r="R7" s="506">
        <v>44394.0</v>
      </c>
      <c r="S7" s="506">
        <v>44395.0</v>
      </c>
      <c r="T7" s="506">
        <v>44396.0</v>
      </c>
      <c r="U7" s="506">
        <v>44397.0</v>
      </c>
      <c r="V7" s="506">
        <v>44398.0</v>
      </c>
      <c r="W7" s="506">
        <v>44399.0</v>
      </c>
      <c r="X7" s="506">
        <v>44400.0</v>
      </c>
      <c r="Y7" s="506">
        <v>44401.0</v>
      </c>
      <c r="Z7" s="506">
        <v>44402.0</v>
      </c>
      <c r="AA7" s="506">
        <v>44403.0</v>
      </c>
      <c r="AB7" s="506">
        <v>44404.0</v>
      </c>
      <c r="AC7" s="506">
        <v>44405.0</v>
      </c>
      <c r="AD7" s="506">
        <v>44406.0</v>
      </c>
      <c r="AE7" s="506">
        <v>44407.0</v>
      </c>
      <c r="AF7" s="506">
        <v>44408.0</v>
      </c>
    </row>
    <row r="8">
      <c r="A8" s="1" t="s">
        <v>1618</v>
      </c>
      <c r="B8" s="506">
        <f t="array" ref="B8:AF8">transpose(I14:I44)</f>
        <v>44409</v>
      </c>
      <c r="C8" s="506">
        <v>44410.0</v>
      </c>
      <c r="D8" s="506">
        <v>44411.0</v>
      </c>
      <c r="E8" s="506">
        <v>44412.0</v>
      </c>
      <c r="F8" s="506">
        <v>44413.0</v>
      </c>
      <c r="G8" s="506">
        <v>44414.0</v>
      </c>
      <c r="H8" s="506">
        <v>44415.0</v>
      </c>
      <c r="I8" s="506">
        <v>44416.0</v>
      </c>
      <c r="J8" s="506">
        <v>44417.0</v>
      </c>
      <c r="K8" s="506">
        <v>44418.0</v>
      </c>
      <c r="L8" s="506">
        <v>44419.0</v>
      </c>
      <c r="M8" s="506">
        <v>44420.0</v>
      </c>
      <c r="N8" s="506">
        <v>44421.0</v>
      </c>
      <c r="O8" s="506">
        <v>44422.0</v>
      </c>
      <c r="P8" s="506">
        <v>44423.0</v>
      </c>
      <c r="Q8" s="506">
        <v>44424.0</v>
      </c>
      <c r="R8" s="506">
        <v>44425.0</v>
      </c>
      <c r="S8" s="506">
        <v>44426.0</v>
      </c>
      <c r="T8" s="506">
        <v>44427.0</v>
      </c>
      <c r="U8" s="506">
        <v>44428.0</v>
      </c>
      <c r="V8" s="506">
        <v>44429.0</v>
      </c>
      <c r="W8" s="506">
        <v>44430.0</v>
      </c>
      <c r="X8" s="506">
        <v>44431.0</v>
      </c>
      <c r="Y8" s="506">
        <v>44432.0</v>
      </c>
      <c r="Z8" s="506">
        <v>44433.0</v>
      </c>
      <c r="AA8" s="506">
        <v>44434.0</v>
      </c>
      <c r="AB8" s="506">
        <v>44435.0</v>
      </c>
      <c r="AC8" s="506">
        <v>44436.0</v>
      </c>
      <c r="AD8" s="506">
        <v>44437.0</v>
      </c>
      <c r="AE8" s="506">
        <v>44438.0</v>
      </c>
      <c r="AF8" s="506">
        <v>44439.0</v>
      </c>
    </row>
    <row r="9">
      <c r="A9" s="1" t="s">
        <v>1619</v>
      </c>
      <c r="B9" s="506">
        <f t="array" ref="B9:AF9">transpose(J14:J44)</f>
        <v>44440</v>
      </c>
      <c r="C9" s="506">
        <v>44441.0</v>
      </c>
      <c r="D9" s="506">
        <v>44442.0</v>
      </c>
      <c r="E9" s="506">
        <v>44443.0</v>
      </c>
      <c r="F9" s="506">
        <v>44444.0</v>
      </c>
      <c r="G9" s="506">
        <v>44445.0</v>
      </c>
      <c r="H9" s="506">
        <v>44446.0</v>
      </c>
      <c r="I9" s="506">
        <v>44447.0</v>
      </c>
      <c r="J9" s="506">
        <v>44448.0</v>
      </c>
      <c r="K9" s="506">
        <v>44449.0</v>
      </c>
      <c r="L9" s="506">
        <v>44450.0</v>
      </c>
      <c r="M9" s="506">
        <v>44451.0</v>
      </c>
      <c r="N9" s="506">
        <v>44452.0</v>
      </c>
      <c r="O9" s="506">
        <v>44453.0</v>
      </c>
      <c r="P9" s="506">
        <v>44454.0</v>
      </c>
      <c r="Q9" s="506">
        <v>44455.0</v>
      </c>
      <c r="R9" s="506">
        <v>44456.0</v>
      </c>
      <c r="S9" s="506">
        <v>44457.0</v>
      </c>
      <c r="T9" s="506">
        <v>44458.0</v>
      </c>
      <c r="U9" s="506">
        <v>44459.0</v>
      </c>
      <c r="V9" s="506">
        <v>44460.0</v>
      </c>
      <c r="W9" s="506">
        <v>44461.0</v>
      </c>
      <c r="X9" s="506">
        <v>44462.0</v>
      </c>
      <c r="Y9" s="506">
        <v>44463.0</v>
      </c>
      <c r="Z9" s="506">
        <v>44464.0</v>
      </c>
      <c r="AA9" s="506">
        <v>44465.0</v>
      </c>
      <c r="AB9" s="506">
        <v>44466.0</v>
      </c>
      <c r="AC9" s="506">
        <v>44467.0</v>
      </c>
      <c r="AD9" s="506">
        <v>44468.0</v>
      </c>
      <c r="AE9" s="506">
        <v>44469.0</v>
      </c>
      <c r="AF9" s="506"/>
    </row>
    <row r="10">
      <c r="A10" s="1" t="s">
        <v>1620</v>
      </c>
      <c r="B10" s="506">
        <f t="array" ref="B10:AF10">transpose(K14:K44)</f>
        <v>44470</v>
      </c>
      <c r="C10" s="506">
        <v>44471.0</v>
      </c>
      <c r="D10" s="506">
        <v>44472.0</v>
      </c>
      <c r="E10" s="506">
        <v>44473.0</v>
      </c>
      <c r="F10" s="506">
        <v>44474.0</v>
      </c>
      <c r="G10" s="506">
        <v>44475.0</v>
      </c>
      <c r="H10" s="506">
        <v>44476.0</v>
      </c>
      <c r="I10" s="506">
        <v>44477.0</v>
      </c>
      <c r="J10" s="506">
        <v>44478.0</v>
      </c>
      <c r="K10" s="506">
        <v>44479.0</v>
      </c>
      <c r="L10" s="506">
        <v>44480.0</v>
      </c>
      <c r="M10" s="506">
        <v>44481.0</v>
      </c>
      <c r="N10" s="506">
        <v>44482.0</v>
      </c>
      <c r="O10" s="506">
        <v>44483.0</v>
      </c>
      <c r="P10" s="506">
        <v>44484.0</v>
      </c>
      <c r="Q10" s="506">
        <v>44485.0</v>
      </c>
      <c r="R10" s="506">
        <v>44486.0</v>
      </c>
      <c r="S10" s="506">
        <v>44487.0</v>
      </c>
      <c r="T10" s="506">
        <v>44488.0</v>
      </c>
      <c r="U10" s="506">
        <v>44489.0</v>
      </c>
      <c r="V10" s="506">
        <v>44490.0</v>
      </c>
      <c r="W10" s="506">
        <v>44491.0</v>
      </c>
      <c r="X10" s="506">
        <v>44492.0</v>
      </c>
      <c r="Y10" s="506">
        <v>44493.0</v>
      </c>
      <c r="Z10" s="506">
        <v>44494.0</v>
      </c>
      <c r="AA10" s="506">
        <v>44495.0</v>
      </c>
      <c r="AB10" s="506">
        <v>44496.0</v>
      </c>
      <c r="AC10" s="506">
        <v>44497.0</v>
      </c>
      <c r="AD10" s="506">
        <v>44498.0</v>
      </c>
      <c r="AE10" s="506">
        <v>44499.0</v>
      </c>
      <c r="AF10" s="506">
        <v>44500.0</v>
      </c>
    </row>
    <row r="11">
      <c r="A11" s="1" t="s">
        <v>1621</v>
      </c>
      <c r="B11" s="506">
        <f t="array" ref="B11:AF11">transpose(L14:L44)</f>
        <v>44501</v>
      </c>
      <c r="C11" s="506">
        <v>44502.0</v>
      </c>
      <c r="D11" s="506">
        <v>44503.0</v>
      </c>
      <c r="E11" s="506">
        <v>44504.0</v>
      </c>
      <c r="F11" s="506">
        <v>44505.0</v>
      </c>
      <c r="G11" s="506">
        <v>44506.0</v>
      </c>
      <c r="H11" s="506">
        <v>44507.0</v>
      </c>
      <c r="I11" s="506">
        <v>44508.0</v>
      </c>
      <c r="J11" s="506">
        <v>44509.0</v>
      </c>
      <c r="K11" s="506">
        <v>44510.0</v>
      </c>
      <c r="L11" s="506">
        <v>44511.0</v>
      </c>
      <c r="M11" s="506">
        <v>44512.0</v>
      </c>
      <c r="N11" s="506">
        <v>44513.0</v>
      </c>
      <c r="O11" s="506">
        <v>44514.0</v>
      </c>
      <c r="P11" s="506">
        <v>44515.0</v>
      </c>
      <c r="Q11" s="506">
        <v>44516.0</v>
      </c>
      <c r="R11" s="506">
        <v>44517.0</v>
      </c>
      <c r="S11" s="506">
        <v>44518.0</v>
      </c>
      <c r="T11" s="506">
        <v>44519.0</v>
      </c>
      <c r="U11" s="506">
        <v>44520.0</v>
      </c>
      <c r="V11" s="506">
        <v>44521.0</v>
      </c>
      <c r="W11" s="506">
        <v>44522.0</v>
      </c>
      <c r="X11" s="506">
        <v>44523.0</v>
      </c>
      <c r="Y11" s="506">
        <v>44524.0</v>
      </c>
      <c r="Z11" s="506">
        <v>44525.0</v>
      </c>
      <c r="AA11" s="506">
        <v>44526.0</v>
      </c>
      <c r="AB11" s="506">
        <v>44527.0</v>
      </c>
      <c r="AC11" s="506">
        <v>44528.0</v>
      </c>
      <c r="AD11" s="506">
        <v>44529.0</v>
      </c>
      <c r="AE11" s="506">
        <v>44530.0</v>
      </c>
      <c r="AF11" s="506"/>
    </row>
    <row r="12">
      <c r="A12" s="1" t="s">
        <v>1622</v>
      </c>
      <c r="B12" s="506">
        <f t="array" ref="B12:AF12">transpose(M14:M44)</f>
        <v>44531</v>
      </c>
      <c r="C12" s="506">
        <v>44532.0</v>
      </c>
      <c r="D12" s="506">
        <v>44533.0</v>
      </c>
      <c r="E12" s="506">
        <v>44534.0</v>
      </c>
      <c r="F12" s="506">
        <v>44535.0</v>
      </c>
      <c r="G12" s="506">
        <v>44536.0</v>
      </c>
      <c r="H12" s="506">
        <v>44537.0</v>
      </c>
      <c r="I12" s="506">
        <v>44538.0</v>
      </c>
      <c r="J12" s="506">
        <v>44539.0</v>
      </c>
      <c r="K12" s="506">
        <v>44540.0</v>
      </c>
      <c r="L12" s="506">
        <v>44541.0</v>
      </c>
      <c r="M12" s="506">
        <v>44542.0</v>
      </c>
      <c r="N12" s="506">
        <v>44543.0</v>
      </c>
      <c r="O12" s="506">
        <v>44544.0</v>
      </c>
      <c r="P12" s="506">
        <v>44545.0</v>
      </c>
      <c r="Q12" s="506">
        <v>44546.0</v>
      </c>
      <c r="R12" s="506">
        <v>44547.0</v>
      </c>
      <c r="S12" s="506">
        <v>44548.0</v>
      </c>
      <c r="T12" s="506">
        <v>44549.0</v>
      </c>
      <c r="U12" s="506">
        <v>44550.0</v>
      </c>
      <c r="V12" s="506">
        <v>44551.0</v>
      </c>
      <c r="W12" s="506">
        <v>44552.0</v>
      </c>
      <c r="X12" s="506">
        <v>44553.0</v>
      </c>
      <c r="Y12" s="506">
        <v>44554.0</v>
      </c>
      <c r="Z12" s="506">
        <v>44555.0</v>
      </c>
      <c r="AA12" s="506">
        <v>44556.0</v>
      </c>
      <c r="AB12" s="506">
        <v>44557.0</v>
      </c>
      <c r="AC12" s="506">
        <v>44558.0</v>
      </c>
      <c r="AD12" s="506">
        <v>44559.0</v>
      </c>
      <c r="AE12" s="506">
        <v>44560.0</v>
      </c>
      <c r="AF12" s="506">
        <v>44561.0</v>
      </c>
    </row>
    <row r="13">
      <c r="B13" s="145" t="str">
        <f t="array" ref="B13:M13">transpose(A1:A12)</f>
        <v>January</v>
      </c>
      <c r="C13" s="145" t="s">
        <v>1613</v>
      </c>
      <c r="D13" s="145" t="s">
        <v>86</v>
      </c>
      <c r="E13" s="145" t="s">
        <v>1614</v>
      </c>
      <c r="F13" s="145" t="s">
        <v>1615</v>
      </c>
      <c r="G13" s="145" t="s">
        <v>1616</v>
      </c>
      <c r="H13" s="145" t="s">
        <v>1617</v>
      </c>
      <c r="I13" s="145" t="s">
        <v>1618</v>
      </c>
      <c r="J13" s="145" t="s">
        <v>1619</v>
      </c>
      <c r="K13" s="145" t="s">
        <v>1620</v>
      </c>
      <c r="L13" s="145" t="s">
        <v>1621</v>
      </c>
      <c r="M13" s="145" t="s">
        <v>1622</v>
      </c>
    </row>
    <row r="14">
      <c r="B14" s="507">
        <v>44197.0</v>
      </c>
      <c r="C14" s="507">
        <v>44228.0</v>
      </c>
      <c r="D14" s="507">
        <v>44256.0</v>
      </c>
      <c r="E14" s="507">
        <v>44287.0</v>
      </c>
      <c r="F14" s="507">
        <v>44317.0</v>
      </c>
      <c r="G14" s="507">
        <v>44348.0</v>
      </c>
      <c r="H14" s="507">
        <v>44378.0</v>
      </c>
      <c r="I14" s="507">
        <v>44409.0</v>
      </c>
      <c r="J14" s="507">
        <v>44440.0</v>
      </c>
      <c r="K14" s="507">
        <v>44470.0</v>
      </c>
      <c r="L14" s="507">
        <v>44501.0</v>
      </c>
      <c r="M14" s="507">
        <v>44531.0</v>
      </c>
      <c r="O14" s="1">
        <v>1.0</v>
      </c>
      <c r="P14" s="1" t="s">
        <v>1623</v>
      </c>
    </row>
    <row r="15">
      <c r="B15" s="507">
        <v>44198.0</v>
      </c>
      <c r="C15" s="507">
        <v>44229.0</v>
      </c>
      <c r="D15" s="507">
        <v>44257.0</v>
      </c>
      <c r="E15" s="507">
        <v>44288.0</v>
      </c>
      <c r="F15" s="507">
        <v>44318.0</v>
      </c>
      <c r="G15" s="507">
        <v>44349.0</v>
      </c>
      <c r="H15" s="507">
        <v>44379.0</v>
      </c>
      <c r="I15" s="507">
        <v>44410.0</v>
      </c>
      <c r="J15" s="507">
        <v>44441.0</v>
      </c>
      <c r="K15" s="507">
        <v>44471.0</v>
      </c>
      <c r="L15" s="507">
        <v>44502.0</v>
      </c>
      <c r="M15" s="507">
        <v>44532.0</v>
      </c>
      <c r="O15" s="1">
        <v>2.0</v>
      </c>
      <c r="P15" s="1" t="s">
        <v>1624</v>
      </c>
    </row>
    <row r="16">
      <c r="B16" s="507">
        <v>44199.0</v>
      </c>
      <c r="C16" s="507">
        <v>44230.0</v>
      </c>
      <c r="D16" s="507">
        <v>44258.0</v>
      </c>
      <c r="E16" s="507">
        <v>44289.0</v>
      </c>
      <c r="F16" s="507">
        <v>44319.0</v>
      </c>
      <c r="G16" s="507">
        <v>44350.0</v>
      </c>
      <c r="H16" s="507">
        <v>44380.0</v>
      </c>
      <c r="I16" s="507">
        <v>44411.0</v>
      </c>
      <c r="J16" s="507">
        <v>44442.0</v>
      </c>
      <c r="K16" s="507">
        <v>44472.0</v>
      </c>
      <c r="L16" s="507">
        <v>44503.0</v>
      </c>
      <c r="M16" s="507">
        <v>44533.0</v>
      </c>
      <c r="O16" s="1">
        <v>3.0</v>
      </c>
      <c r="P16" s="1" t="s">
        <v>1625</v>
      </c>
    </row>
    <row r="17">
      <c r="B17" s="507">
        <v>44200.0</v>
      </c>
      <c r="C17" s="507">
        <v>44231.0</v>
      </c>
      <c r="D17" s="507">
        <v>44259.0</v>
      </c>
      <c r="E17" s="507">
        <v>44290.0</v>
      </c>
      <c r="F17" s="507">
        <v>44320.0</v>
      </c>
      <c r="G17" s="507">
        <v>44351.0</v>
      </c>
      <c r="H17" s="507">
        <v>44381.0</v>
      </c>
      <c r="I17" s="507">
        <v>44412.0</v>
      </c>
      <c r="J17" s="507">
        <v>44443.0</v>
      </c>
      <c r="K17" s="507">
        <v>44473.0</v>
      </c>
      <c r="L17" s="507">
        <v>44504.0</v>
      </c>
      <c r="M17" s="507">
        <v>44534.0</v>
      </c>
      <c r="O17" s="1">
        <v>4.0</v>
      </c>
      <c r="P17" s="1" t="s">
        <v>1626</v>
      </c>
    </row>
    <row r="18">
      <c r="B18" s="507">
        <v>44201.0</v>
      </c>
      <c r="C18" s="507">
        <v>44232.0</v>
      </c>
      <c r="D18" s="507">
        <v>44260.0</v>
      </c>
      <c r="E18" s="507">
        <v>44291.0</v>
      </c>
      <c r="F18" s="507">
        <v>44321.0</v>
      </c>
      <c r="G18" s="507">
        <v>44352.0</v>
      </c>
      <c r="H18" s="507">
        <v>44382.0</v>
      </c>
      <c r="I18" s="507">
        <v>44413.0</v>
      </c>
      <c r="J18" s="507">
        <v>44444.0</v>
      </c>
      <c r="K18" s="507">
        <v>44474.0</v>
      </c>
      <c r="L18" s="507">
        <v>44505.0</v>
      </c>
      <c r="M18" s="507">
        <v>44535.0</v>
      </c>
      <c r="O18" s="1">
        <v>5.0</v>
      </c>
      <c r="P18" s="1" t="s">
        <v>1627</v>
      </c>
    </row>
    <row r="19">
      <c r="B19" s="507">
        <v>44202.0</v>
      </c>
      <c r="C19" s="507">
        <v>44233.0</v>
      </c>
      <c r="D19" s="507">
        <v>44261.0</v>
      </c>
      <c r="E19" s="507">
        <v>44292.0</v>
      </c>
      <c r="F19" s="507">
        <v>44322.0</v>
      </c>
      <c r="G19" s="507">
        <v>44353.0</v>
      </c>
      <c r="H19" s="507">
        <v>44383.0</v>
      </c>
      <c r="I19" s="507">
        <v>44414.0</v>
      </c>
      <c r="J19" s="507">
        <v>44445.0</v>
      </c>
      <c r="K19" s="507">
        <v>44475.0</v>
      </c>
      <c r="L19" s="507">
        <v>44506.0</v>
      </c>
      <c r="M19" s="507">
        <v>44536.0</v>
      </c>
      <c r="O19" s="1">
        <v>6.0</v>
      </c>
      <c r="P19" s="1" t="s">
        <v>1628</v>
      </c>
    </row>
    <row r="20">
      <c r="B20" s="507">
        <v>44203.0</v>
      </c>
      <c r="C20" s="507">
        <v>44234.0</v>
      </c>
      <c r="D20" s="507">
        <v>44262.0</v>
      </c>
      <c r="E20" s="507">
        <v>44293.0</v>
      </c>
      <c r="F20" s="507">
        <v>44323.0</v>
      </c>
      <c r="G20" s="507">
        <v>44354.0</v>
      </c>
      <c r="H20" s="507">
        <v>44384.0</v>
      </c>
      <c r="I20" s="507">
        <v>44415.0</v>
      </c>
      <c r="J20" s="507">
        <v>44446.0</v>
      </c>
      <c r="K20" s="507">
        <v>44476.0</v>
      </c>
      <c r="L20" s="507">
        <v>44507.0</v>
      </c>
      <c r="M20" s="507">
        <v>44537.0</v>
      </c>
      <c r="O20" s="1">
        <v>7.0</v>
      </c>
      <c r="P20" s="1" t="s">
        <v>1629</v>
      </c>
    </row>
    <row r="21">
      <c r="B21" s="507">
        <v>44204.0</v>
      </c>
      <c r="C21" s="507">
        <v>44235.0</v>
      </c>
      <c r="D21" s="507">
        <v>44263.0</v>
      </c>
      <c r="E21" s="507">
        <v>44294.0</v>
      </c>
      <c r="F21" s="507">
        <v>44324.0</v>
      </c>
      <c r="G21" s="507">
        <v>44355.0</v>
      </c>
      <c r="H21" s="507">
        <v>44385.0</v>
      </c>
      <c r="I21" s="507">
        <v>44416.0</v>
      </c>
      <c r="J21" s="507">
        <v>44447.0</v>
      </c>
      <c r="K21" s="507">
        <v>44477.0</v>
      </c>
      <c r="L21" s="507">
        <v>44508.0</v>
      </c>
      <c r="M21" s="507">
        <v>44538.0</v>
      </c>
    </row>
    <row r="22">
      <c r="B22" s="507">
        <v>44205.0</v>
      </c>
      <c r="C22" s="507">
        <v>44236.0</v>
      </c>
      <c r="D22" s="507">
        <v>44264.0</v>
      </c>
      <c r="E22" s="507">
        <v>44295.0</v>
      </c>
      <c r="F22" s="507">
        <v>44325.0</v>
      </c>
      <c r="G22" s="507">
        <v>44356.0</v>
      </c>
      <c r="H22" s="507">
        <v>44386.0</v>
      </c>
      <c r="I22" s="507">
        <v>44417.0</v>
      </c>
      <c r="J22" s="507">
        <v>44448.0</v>
      </c>
      <c r="K22" s="507">
        <v>44478.0</v>
      </c>
      <c r="L22" s="507">
        <v>44509.0</v>
      </c>
      <c r="M22" s="507">
        <v>44539.0</v>
      </c>
    </row>
    <row r="23">
      <c r="B23" s="507">
        <v>44206.0</v>
      </c>
      <c r="C23" s="507">
        <v>44237.0</v>
      </c>
      <c r="D23" s="507">
        <v>44265.0</v>
      </c>
      <c r="E23" s="507">
        <v>44296.0</v>
      </c>
      <c r="F23" s="507">
        <v>44326.0</v>
      </c>
      <c r="G23" s="507">
        <v>44357.0</v>
      </c>
      <c r="H23" s="507">
        <v>44387.0</v>
      </c>
      <c r="I23" s="507">
        <v>44418.0</v>
      </c>
      <c r="J23" s="507">
        <v>44449.0</v>
      </c>
      <c r="K23" s="507">
        <v>44479.0</v>
      </c>
      <c r="L23" s="507">
        <v>44510.0</v>
      </c>
      <c r="M23" s="507">
        <v>44540.0</v>
      </c>
    </row>
    <row r="24">
      <c r="B24" s="507">
        <v>44207.0</v>
      </c>
      <c r="C24" s="507">
        <v>44238.0</v>
      </c>
      <c r="D24" s="507">
        <v>44266.0</v>
      </c>
      <c r="E24" s="507">
        <v>44297.0</v>
      </c>
      <c r="F24" s="507">
        <v>44327.0</v>
      </c>
      <c r="G24" s="507">
        <v>44358.0</v>
      </c>
      <c r="H24" s="507">
        <v>44388.0</v>
      </c>
      <c r="I24" s="507">
        <v>44419.0</v>
      </c>
      <c r="J24" s="507">
        <v>44450.0</v>
      </c>
      <c r="K24" s="507">
        <v>44480.0</v>
      </c>
      <c r="L24" s="507">
        <v>44511.0</v>
      </c>
      <c r="M24" s="507">
        <v>44541.0</v>
      </c>
    </row>
    <row r="25">
      <c r="B25" s="507">
        <v>44208.0</v>
      </c>
      <c r="C25" s="507">
        <v>44239.0</v>
      </c>
      <c r="D25" s="507">
        <v>44267.0</v>
      </c>
      <c r="E25" s="507">
        <v>44298.0</v>
      </c>
      <c r="F25" s="507">
        <v>44328.0</v>
      </c>
      <c r="G25" s="507">
        <v>44359.0</v>
      </c>
      <c r="H25" s="507">
        <v>44389.0</v>
      </c>
      <c r="I25" s="507">
        <v>44420.0</v>
      </c>
      <c r="J25" s="507">
        <v>44451.0</v>
      </c>
      <c r="K25" s="507">
        <v>44481.0</v>
      </c>
      <c r="L25" s="507">
        <v>44512.0</v>
      </c>
      <c r="M25" s="507">
        <v>44542.0</v>
      </c>
    </row>
    <row r="26">
      <c r="B26" s="507">
        <v>44209.0</v>
      </c>
      <c r="C26" s="507">
        <v>44240.0</v>
      </c>
      <c r="D26" s="507">
        <v>44268.0</v>
      </c>
      <c r="E26" s="507">
        <v>44299.0</v>
      </c>
      <c r="F26" s="507">
        <v>44329.0</v>
      </c>
      <c r="G26" s="507">
        <v>44360.0</v>
      </c>
      <c r="H26" s="507">
        <v>44390.0</v>
      </c>
      <c r="I26" s="507">
        <v>44421.0</v>
      </c>
      <c r="J26" s="507">
        <v>44452.0</v>
      </c>
      <c r="K26" s="507">
        <v>44482.0</v>
      </c>
      <c r="L26" s="507">
        <v>44513.0</v>
      </c>
      <c r="M26" s="507">
        <v>44543.0</v>
      </c>
    </row>
    <row r="27">
      <c r="B27" s="507">
        <v>44210.0</v>
      </c>
      <c r="C27" s="507">
        <v>44241.0</v>
      </c>
      <c r="D27" s="507">
        <v>44269.0</v>
      </c>
      <c r="E27" s="507">
        <v>44300.0</v>
      </c>
      <c r="F27" s="507">
        <v>44330.0</v>
      </c>
      <c r="G27" s="507">
        <v>44361.0</v>
      </c>
      <c r="H27" s="507">
        <v>44391.0</v>
      </c>
      <c r="I27" s="507">
        <v>44422.0</v>
      </c>
      <c r="J27" s="507">
        <v>44453.0</v>
      </c>
      <c r="K27" s="507">
        <v>44483.0</v>
      </c>
      <c r="L27" s="507">
        <v>44514.0</v>
      </c>
      <c r="M27" s="507">
        <v>44544.0</v>
      </c>
    </row>
    <row r="28">
      <c r="B28" s="507">
        <v>44211.0</v>
      </c>
      <c r="C28" s="507">
        <v>44242.0</v>
      </c>
      <c r="D28" s="507">
        <v>44270.0</v>
      </c>
      <c r="E28" s="507">
        <v>44301.0</v>
      </c>
      <c r="F28" s="507">
        <v>44331.0</v>
      </c>
      <c r="G28" s="507">
        <v>44362.0</v>
      </c>
      <c r="H28" s="507">
        <v>44392.0</v>
      </c>
      <c r="I28" s="507">
        <v>44423.0</v>
      </c>
      <c r="J28" s="507">
        <v>44454.0</v>
      </c>
      <c r="K28" s="507">
        <v>44484.0</v>
      </c>
      <c r="L28" s="507">
        <v>44515.0</v>
      </c>
      <c r="M28" s="507">
        <v>44545.0</v>
      </c>
    </row>
    <row r="29">
      <c r="B29" s="507">
        <v>44212.0</v>
      </c>
      <c r="C29" s="507">
        <v>44243.0</v>
      </c>
      <c r="D29" s="507">
        <v>44271.0</v>
      </c>
      <c r="E29" s="507">
        <v>44302.0</v>
      </c>
      <c r="F29" s="507">
        <v>44332.0</v>
      </c>
      <c r="G29" s="507">
        <v>44363.0</v>
      </c>
      <c r="H29" s="507">
        <v>44393.0</v>
      </c>
      <c r="I29" s="507">
        <v>44424.0</v>
      </c>
      <c r="J29" s="507">
        <v>44455.0</v>
      </c>
      <c r="K29" s="507">
        <v>44485.0</v>
      </c>
      <c r="L29" s="507">
        <v>44516.0</v>
      </c>
      <c r="M29" s="507">
        <v>44546.0</v>
      </c>
    </row>
    <row r="30">
      <c r="B30" s="507">
        <v>44213.0</v>
      </c>
      <c r="C30" s="507">
        <v>44244.0</v>
      </c>
      <c r="D30" s="507">
        <v>44272.0</v>
      </c>
      <c r="E30" s="507">
        <v>44303.0</v>
      </c>
      <c r="F30" s="507">
        <v>44333.0</v>
      </c>
      <c r="G30" s="507">
        <v>44364.0</v>
      </c>
      <c r="H30" s="507">
        <v>44394.0</v>
      </c>
      <c r="I30" s="507">
        <v>44425.0</v>
      </c>
      <c r="J30" s="507">
        <v>44456.0</v>
      </c>
      <c r="K30" s="507">
        <v>44486.0</v>
      </c>
      <c r="L30" s="507">
        <v>44517.0</v>
      </c>
      <c r="M30" s="507">
        <v>44547.0</v>
      </c>
    </row>
    <row r="31">
      <c r="B31" s="507">
        <v>44214.0</v>
      </c>
      <c r="C31" s="507">
        <v>44245.0</v>
      </c>
      <c r="D31" s="507">
        <v>44273.0</v>
      </c>
      <c r="E31" s="507">
        <v>44304.0</v>
      </c>
      <c r="F31" s="507">
        <v>44334.0</v>
      </c>
      <c r="G31" s="507">
        <v>44365.0</v>
      </c>
      <c r="H31" s="507">
        <v>44395.0</v>
      </c>
      <c r="I31" s="507">
        <v>44426.0</v>
      </c>
      <c r="J31" s="507">
        <v>44457.0</v>
      </c>
      <c r="K31" s="507">
        <v>44487.0</v>
      </c>
      <c r="L31" s="507">
        <v>44518.0</v>
      </c>
      <c r="M31" s="507">
        <v>44548.0</v>
      </c>
    </row>
    <row r="32">
      <c r="B32" s="507">
        <v>44215.0</v>
      </c>
      <c r="C32" s="507">
        <v>44246.0</v>
      </c>
      <c r="D32" s="507">
        <v>44274.0</v>
      </c>
      <c r="E32" s="507">
        <v>44305.0</v>
      </c>
      <c r="F32" s="507">
        <v>44335.0</v>
      </c>
      <c r="G32" s="507">
        <v>44366.0</v>
      </c>
      <c r="H32" s="507">
        <v>44396.0</v>
      </c>
      <c r="I32" s="507">
        <v>44427.0</v>
      </c>
      <c r="J32" s="507">
        <v>44458.0</v>
      </c>
      <c r="K32" s="507">
        <v>44488.0</v>
      </c>
      <c r="L32" s="507">
        <v>44519.0</v>
      </c>
      <c r="M32" s="507">
        <v>44549.0</v>
      </c>
    </row>
    <row r="33">
      <c r="B33" s="507">
        <v>44216.0</v>
      </c>
      <c r="C33" s="507">
        <v>44247.0</v>
      </c>
      <c r="D33" s="507">
        <v>44275.0</v>
      </c>
      <c r="E33" s="507">
        <v>44306.0</v>
      </c>
      <c r="F33" s="507">
        <v>44336.0</v>
      </c>
      <c r="G33" s="507">
        <v>44367.0</v>
      </c>
      <c r="H33" s="507">
        <v>44397.0</v>
      </c>
      <c r="I33" s="507">
        <v>44428.0</v>
      </c>
      <c r="J33" s="507">
        <v>44459.0</v>
      </c>
      <c r="K33" s="507">
        <v>44489.0</v>
      </c>
      <c r="L33" s="507">
        <v>44520.0</v>
      </c>
      <c r="M33" s="507">
        <v>44550.0</v>
      </c>
    </row>
    <row r="34">
      <c r="B34" s="507">
        <v>44217.0</v>
      </c>
      <c r="C34" s="507">
        <v>44248.0</v>
      </c>
      <c r="D34" s="507">
        <v>44276.0</v>
      </c>
      <c r="E34" s="507">
        <v>44307.0</v>
      </c>
      <c r="F34" s="507">
        <v>44337.0</v>
      </c>
      <c r="G34" s="507">
        <v>44368.0</v>
      </c>
      <c r="H34" s="507">
        <v>44398.0</v>
      </c>
      <c r="I34" s="507">
        <v>44429.0</v>
      </c>
      <c r="J34" s="507">
        <v>44460.0</v>
      </c>
      <c r="K34" s="507">
        <v>44490.0</v>
      </c>
      <c r="L34" s="507">
        <v>44521.0</v>
      </c>
      <c r="M34" s="507">
        <v>44551.0</v>
      </c>
    </row>
    <row r="35">
      <c r="B35" s="507">
        <v>44218.0</v>
      </c>
      <c r="C35" s="507">
        <v>44249.0</v>
      </c>
      <c r="D35" s="507">
        <v>44277.0</v>
      </c>
      <c r="E35" s="507">
        <v>44308.0</v>
      </c>
      <c r="F35" s="507">
        <v>44338.0</v>
      </c>
      <c r="G35" s="507">
        <v>44369.0</v>
      </c>
      <c r="H35" s="507">
        <v>44399.0</v>
      </c>
      <c r="I35" s="507">
        <v>44430.0</v>
      </c>
      <c r="J35" s="507">
        <v>44461.0</v>
      </c>
      <c r="K35" s="507">
        <v>44491.0</v>
      </c>
      <c r="L35" s="507">
        <v>44522.0</v>
      </c>
      <c r="M35" s="507">
        <v>44552.0</v>
      </c>
    </row>
    <row r="36">
      <c r="B36" s="507">
        <v>44219.0</v>
      </c>
      <c r="C36" s="507">
        <v>44250.0</v>
      </c>
      <c r="D36" s="507">
        <v>44278.0</v>
      </c>
      <c r="E36" s="507">
        <v>44309.0</v>
      </c>
      <c r="F36" s="507">
        <v>44339.0</v>
      </c>
      <c r="G36" s="507">
        <v>44370.0</v>
      </c>
      <c r="H36" s="507">
        <v>44400.0</v>
      </c>
      <c r="I36" s="507">
        <v>44431.0</v>
      </c>
      <c r="J36" s="507">
        <v>44462.0</v>
      </c>
      <c r="K36" s="507">
        <v>44492.0</v>
      </c>
      <c r="L36" s="507">
        <v>44523.0</v>
      </c>
      <c r="M36" s="507">
        <v>44553.0</v>
      </c>
    </row>
    <row r="37">
      <c r="B37" s="507">
        <v>44220.0</v>
      </c>
      <c r="C37" s="507">
        <v>44251.0</v>
      </c>
      <c r="D37" s="507">
        <v>44279.0</v>
      </c>
      <c r="E37" s="507">
        <v>44310.0</v>
      </c>
      <c r="F37" s="507">
        <v>44340.0</v>
      </c>
      <c r="G37" s="507">
        <v>44371.0</v>
      </c>
      <c r="H37" s="507">
        <v>44401.0</v>
      </c>
      <c r="I37" s="507">
        <v>44432.0</v>
      </c>
      <c r="J37" s="507">
        <v>44463.0</v>
      </c>
      <c r="K37" s="507">
        <v>44493.0</v>
      </c>
      <c r="L37" s="507">
        <v>44524.0</v>
      </c>
      <c r="M37" s="507">
        <v>44554.0</v>
      </c>
    </row>
    <row r="38">
      <c r="B38" s="507">
        <v>44221.0</v>
      </c>
      <c r="C38" s="507">
        <v>44252.0</v>
      </c>
      <c r="D38" s="507">
        <v>44280.0</v>
      </c>
      <c r="E38" s="507">
        <v>44311.0</v>
      </c>
      <c r="F38" s="507">
        <v>44341.0</v>
      </c>
      <c r="G38" s="507">
        <v>44372.0</v>
      </c>
      <c r="H38" s="507">
        <v>44402.0</v>
      </c>
      <c r="I38" s="507">
        <v>44433.0</v>
      </c>
      <c r="J38" s="507">
        <v>44464.0</v>
      </c>
      <c r="K38" s="507">
        <v>44494.0</v>
      </c>
      <c r="L38" s="507">
        <v>44525.0</v>
      </c>
      <c r="M38" s="507">
        <v>44555.0</v>
      </c>
    </row>
    <row r="39">
      <c r="B39" s="507">
        <v>44222.0</v>
      </c>
      <c r="C39" s="507">
        <v>44253.0</v>
      </c>
      <c r="D39" s="507">
        <v>44281.0</v>
      </c>
      <c r="E39" s="507">
        <v>44312.0</v>
      </c>
      <c r="F39" s="507">
        <v>44342.0</v>
      </c>
      <c r="G39" s="507">
        <v>44373.0</v>
      </c>
      <c r="H39" s="507">
        <v>44403.0</v>
      </c>
      <c r="I39" s="507">
        <v>44434.0</v>
      </c>
      <c r="J39" s="507">
        <v>44465.0</v>
      </c>
      <c r="K39" s="507">
        <v>44495.0</v>
      </c>
      <c r="L39" s="507">
        <v>44526.0</v>
      </c>
      <c r="M39" s="507">
        <v>44556.0</v>
      </c>
    </row>
    <row r="40">
      <c r="B40" s="507">
        <v>44223.0</v>
      </c>
      <c r="C40" s="507">
        <v>44254.0</v>
      </c>
      <c r="D40" s="507">
        <v>44282.0</v>
      </c>
      <c r="E40" s="507">
        <v>44313.0</v>
      </c>
      <c r="F40" s="507">
        <v>44343.0</v>
      </c>
      <c r="G40" s="507">
        <v>44374.0</v>
      </c>
      <c r="H40" s="507">
        <v>44404.0</v>
      </c>
      <c r="I40" s="507">
        <v>44435.0</v>
      </c>
      <c r="J40" s="507">
        <v>44466.0</v>
      </c>
      <c r="K40" s="507">
        <v>44496.0</v>
      </c>
      <c r="L40" s="507">
        <v>44527.0</v>
      </c>
      <c r="M40" s="507">
        <v>44557.0</v>
      </c>
    </row>
    <row r="41">
      <c r="B41" s="507">
        <v>44224.0</v>
      </c>
      <c r="C41" s="507">
        <v>44255.0</v>
      </c>
      <c r="D41" s="507">
        <v>44283.0</v>
      </c>
      <c r="E41" s="507">
        <v>44314.0</v>
      </c>
      <c r="F41" s="507">
        <v>44344.0</v>
      </c>
      <c r="G41" s="507">
        <v>44375.0</v>
      </c>
      <c r="H41" s="507">
        <v>44405.0</v>
      </c>
      <c r="I41" s="507">
        <v>44436.0</v>
      </c>
      <c r="J41" s="507">
        <v>44467.0</v>
      </c>
      <c r="K41" s="507">
        <v>44497.0</v>
      </c>
      <c r="L41" s="507">
        <v>44528.0</v>
      </c>
      <c r="M41" s="507">
        <v>44558.0</v>
      </c>
    </row>
    <row r="42">
      <c r="B42" s="507">
        <v>44225.0</v>
      </c>
      <c r="C42" s="507"/>
      <c r="D42" s="507">
        <v>44284.0</v>
      </c>
      <c r="E42" s="507">
        <v>44315.0</v>
      </c>
      <c r="F42" s="507">
        <v>44345.0</v>
      </c>
      <c r="G42" s="507">
        <v>44376.0</v>
      </c>
      <c r="H42" s="507">
        <v>44406.0</v>
      </c>
      <c r="I42" s="507">
        <v>44437.0</v>
      </c>
      <c r="J42" s="507">
        <v>44468.0</v>
      </c>
      <c r="K42" s="507">
        <v>44498.0</v>
      </c>
      <c r="L42" s="507">
        <v>44529.0</v>
      </c>
      <c r="M42" s="507">
        <v>44559.0</v>
      </c>
    </row>
    <row r="43">
      <c r="B43" s="507">
        <v>44226.0</v>
      </c>
      <c r="C43" s="507"/>
      <c r="D43" s="507">
        <v>44285.0</v>
      </c>
      <c r="E43" s="507">
        <v>44316.0</v>
      </c>
      <c r="F43" s="507">
        <v>44346.0</v>
      </c>
      <c r="G43" s="507">
        <v>44377.0</v>
      </c>
      <c r="H43" s="507">
        <v>44407.0</v>
      </c>
      <c r="I43" s="507">
        <v>44438.0</v>
      </c>
      <c r="J43" s="507">
        <v>44469.0</v>
      </c>
      <c r="K43" s="507">
        <v>44499.0</v>
      </c>
      <c r="L43" s="507">
        <v>44530.0</v>
      </c>
      <c r="M43" s="507">
        <v>44560.0</v>
      </c>
    </row>
    <row r="44">
      <c r="B44" s="507">
        <v>44227.0</v>
      </c>
      <c r="D44" s="507">
        <v>44286.0</v>
      </c>
      <c r="E44" s="507"/>
      <c r="F44" s="507">
        <v>44347.0</v>
      </c>
      <c r="G44" s="507"/>
      <c r="H44" s="507">
        <v>44408.0</v>
      </c>
      <c r="I44" s="507">
        <v>44439.0</v>
      </c>
      <c r="J44" s="507"/>
      <c r="K44" s="507">
        <v>44500.0</v>
      </c>
      <c r="L44" s="507"/>
      <c r="M44" s="507">
        <v>44561.0</v>
      </c>
    </row>
    <row r="48">
      <c r="A48" s="1" t="s">
        <v>1630</v>
      </c>
      <c r="B48" s="508" t="s">
        <v>1631</v>
      </c>
      <c r="C48" s="509" t="s">
        <v>166</v>
      </c>
      <c r="D48" s="509" t="s">
        <v>1632</v>
      </c>
    </row>
    <row r="49">
      <c r="A49" s="1">
        <v>1.0</v>
      </c>
      <c r="B49" s="508" t="s">
        <v>1633</v>
      </c>
      <c r="C49" s="508" t="s">
        <v>166</v>
      </c>
      <c r="D49" s="508" t="s">
        <v>1634</v>
      </c>
      <c r="E49" s="145" t="str">
        <f t="shared" ref="E49:E53" si="1">B49&amp;C49&amp;D49</f>
        <v>00:00-09:00</v>
      </c>
    </row>
    <row r="50">
      <c r="A50" s="1">
        <v>2.0</v>
      </c>
      <c r="B50" s="508" t="s">
        <v>1635</v>
      </c>
      <c r="C50" s="508" t="s">
        <v>166</v>
      </c>
      <c r="D50" s="508" t="s">
        <v>1636</v>
      </c>
      <c r="E50" s="145" t="str">
        <f t="shared" si="1"/>
        <v>08:00-17:00</v>
      </c>
    </row>
    <row r="51">
      <c r="A51" s="1">
        <v>3.0</v>
      </c>
      <c r="B51" s="508" t="s">
        <v>1637</v>
      </c>
      <c r="C51" s="508" t="s">
        <v>166</v>
      </c>
      <c r="D51" s="508" t="s">
        <v>1638</v>
      </c>
      <c r="E51" s="145" t="str">
        <f t="shared" si="1"/>
        <v>16:00-01:00</v>
      </c>
    </row>
    <row r="52">
      <c r="A52" s="1">
        <v>4.0</v>
      </c>
      <c r="B52" s="508" t="s">
        <v>1634</v>
      </c>
      <c r="C52" s="508" t="s">
        <v>166</v>
      </c>
      <c r="D52" s="508" t="s">
        <v>1639</v>
      </c>
      <c r="E52" s="145" t="str">
        <f t="shared" si="1"/>
        <v>09:00-18:00</v>
      </c>
    </row>
    <row r="53">
      <c r="A53" s="1">
        <v>5.0</v>
      </c>
      <c r="B53" s="508" t="s">
        <v>1640</v>
      </c>
      <c r="C53" s="508" t="s">
        <v>166</v>
      </c>
      <c r="D53" s="508" t="s">
        <v>1641</v>
      </c>
      <c r="E53" s="145" t="str">
        <f t="shared" si="1"/>
        <v>02:00-11:00</v>
      </c>
    </row>
    <row r="58">
      <c r="A58" s="70" t="s">
        <v>165</v>
      </c>
    </row>
    <row r="59">
      <c r="A59" s="70" t="s">
        <v>245</v>
      </c>
    </row>
    <row r="60">
      <c r="A60" s="70" t="s">
        <v>169</v>
      </c>
    </row>
    <row r="61">
      <c r="A61" s="70" t="s">
        <v>170</v>
      </c>
    </row>
    <row r="62">
      <c r="A62" s="70" t="s">
        <v>171</v>
      </c>
    </row>
    <row r="63">
      <c r="A63" s="70" t="s">
        <v>167</v>
      </c>
    </row>
    <row r="64">
      <c r="A64" s="70">
        <v>4.0</v>
      </c>
    </row>
    <row r="65">
      <c r="A65" s="70">
        <v>8.0</v>
      </c>
    </row>
    <row r="66">
      <c r="A66" s="70">
        <v>9.0</v>
      </c>
    </row>
    <row r="67">
      <c r="A67" s="70">
        <v>10.0</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1642</v>
      </c>
    </row>
    <row r="2">
      <c r="A2" s="478" t="s">
        <v>1643</v>
      </c>
    </row>
    <row r="3">
      <c r="A3" s="510" t="s">
        <v>1644</v>
      </c>
    </row>
    <row r="4">
      <c r="A4" s="478" t="s">
        <v>1645</v>
      </c>
    </row>
    <row r="5">
      <c r="A5" s="478" t="s">
        <v>1646</v>
      </c>
    </row>
    <row r="6">
      <c r="A6" s="478" t="s">
        <v>558</v>
      </c>
    </row>
    <row r="7">
      <c r="A7" s="478" t="s">
        <v>551</v>
      </c>
    </row>
    <row r="8">
      <c r="A8" s="478" t="s">
        <v>570</v>
      </c>
    </row>
    <row r="9">
      <c r="A9" s="478" t="s">
        <v>588</v>
      </c>
    </row>
    <row r="10">
      <c r="A10" s="478" t="s">
        <v>575</v>
      </c>
    </row>
    <row r="11">
      <c r="A11" s="478" t="s">
        <v>583</v>
      </c>
    </row>
    <row r="12">
      <c r="A12" s="478" t="s">
        <v>579</v>
      </c>
    </row>
    <row r="13">
      <c r="A13" s="478" t="s">
        <v>565</v>
      </c>
    </row>
    <row r="14">
      <c r="A14" s="478" t="s">
        <v>544</v>
      </c>
    </row>
    <row r="15">
      <c r="A15" s="478" t="s">
        <v>595</v>
      </c>
    </row>
    <row r="16">
      <c r="A16" s="478" t="s">
        <v>538</v>
      </c>
    </row>
    <row r="17">
      <c r="A17" s="478" t="s">
        <v>531</v>
      </c>
    </row>
    <row r="18">
      <c r="A18" s="2" t="s">
        <v>605</v>
      </c>
    </row>
    <row r="19">
      <c r="A19" s="511"/>
    </row>
    <row r="20">
      <c r="A20" s="478" t="s">
        <v>1647</v>
      </c>
    </row>
  </sheetData>
  <hyperlinks>
    <hyperlink r:id="rId1" ref="A3"/>
  </hyperlinks>
  <drawing r:id="rId2"/>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29"/>
    <col customWidth="1" min="2" max="2" width="31.43"/>
  </cols>
  <sheetData>
    <row r="1">
      <c r="A1" s="1" t="s">
        <v>1648</v>
      </c>
      <c r="B1" s="1" t="s">
        <v>1649</v>
      </c>
    </row>
    <row r="2">
      <c r="B2" s="1" t="s">
        <v>1527</v>
      </c>
    </row>
    <row r="3">
      <c r="A3" s="1" t="s">
        <v>119</v>
      </c>
      <c r="B3" s="1" t="s">
        <v>555</v>
      </c>
    </row>
    <row r="4">
      <c r="A4" s="1" t="s">
        <v>110</v>
      </c>
      <c r="B4" s="1" t="s">
        <v>548</v>
      </c>
    </row>
    <row r="5">
      <c r="A5" s="1" t="s">
        <v>109</v>
      </c>
      <c r="B5" s="1" t="s">
        <v>567</v>
      </c>
    </row>
    <row r="6">
      <c r="A6" s="1" t="s">
        <v>112</v>
      </c>
      <c r="B6" s="1" t="s">
        <v>1650</v>
      </c>
    </row>
    <row r="7">
      <c r="A7" s="1" t="s">
        <v>1651</v>
      </c>
      <c r="B7" s="1" t="s">
        <v>415</v>
      </c>
    </row>
    <row r="8">
      <c r="A8" s="1" t="s">
        <v>1652</v>
      </c>
      <c r="B8" s="1" t="s">
        <v>580</v>
      </c>
    </row>
    <row r="9">
      <c r="A9" s="1" t="s">
        <v>1653</v>
      </c>
      <c r="B9" s="1" t="s">
        <v>461</v>
      </c>
    </row>
    <row r="10">
      <c r="A10" s="1" t="s">
        <v>1654</v>
      </c>
      <c r="B10" s="1" t="s">
        <v>562</v>
      </c>
    </row>
    <row r="11">
      <c r="A11" s="1" t="s">
        <v>118</v>
      </c>
      <c r="B11" s="1" t="s">
        <v>423</v>
      </c>
    </row>
    <row r="12">
      <c r="A12" s="1" t="s">
        <v>1655</v>
      </c>
      <c r="B12" s="1" t="s">
        <v>590</v>
      </c>
    </row>
    <row r="13">
      <c r="A13" s="1" t="s">
        <v>111</v>
      </c>
      <c r="B13" s="1" t="s">
        <v>535</v>
      </c>
    </row>
    <row r="14">
      <c r="A14" s="1" t="s">
        <v>1656</v>
      </c>
      <c r="B14" s="1" t="s">
        <v>1657</v>
      </c>
    </row>
    <row r="15">
      <c r="A15" s="1" t="s">
        <v>609</v>
      </c>
      <c r="B15" s="1" t="s">
        <v>610</v>
      </c>
    </row>
    <row r="16">
      <c r="A16" s="1" t="s">
        <v>601</v>
      </c>
      <c r="B16" s="1" t="s">
        <v>603</v>
      </c>
    </row>
    <row r="17">
      <c r="A17" s="1" t="s">
        <v>123</v>
      </c>
      <c r="B17" s="1" t="s">
        <v>418</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0"/>
    <col customWidth="1" min="2" max="2" width="31.43"/>
  </cols>
  <sheetData>
    <row r="1">
      <c r="A1" s="1" t="s">
        <v>1648</v>
      </c>
      <c r="B1" s="1" t="s">
        <v>1649</v>
      </c>
    </row>
    <row r="2">
      <c r="B2" s="1" t="s">
        <v>1527</v>
      </c>
      <c r="C2" s="145" t="b">
        <v>0</v>
      </c>
    </row>
    <row r="3">
      <c r="A3" s="1" t="s">
        <v>119</v>
      </c>
      <c r="B3" s="1" t="s">
        <v>555</v>
      </c>
      <c r="C3" s="145" t="b">
        <v>0</v>
      </c>
    </row>
    <row r="4">
      <c r="A4" s="1" t="s">
        <v>110</v>
      </c>
      <c r="B4" s="1" t="s">
        <v>548</v>
      </c>
      <c r="C4" s="1" t="b">
        <v>1</v>
      </c>
    </row>
    <row r="5">
      <c r="A5" s="1" t="s">
        <v>109</v>
      </c>
      <c r="B5" s="1" t="s">
        <v>567</v>
      </c>
      <c r="C5" s="1" t="b">
        <v>1</v>
      </c>
    </row>
    <row r="6">
      <c r="A6" s="1" t="s">
        <v>112</v>
      </c>
      <c r="B6" s="1" t="s">
        <v>1650</v>
      </c>
    </row>
    <row r="7">
      <c r="A7" s="1" t="s">
        <v>1651</v>
      </c>
      <c r="B7" s="1" t="s">
        <v>415</v>
      </c>
      <c r="C7" s="1" t="b">
        <v>1</v>
      </c>
    </row>
    <row r="8">
      <c r="A8" s="1" t="s">
        <v>1652</v>
      </c>
      <c r="B8" s="1" t="s">
        <v>462</v>
      </c>
      <c r="C8" s="1" t="b">
        <v>1</v>
      </c>
    </row>
    <row r="9">
      <c r="A9" s="1" t="s">
        <v>1653</v>
      </c>
      <c r="B9" s="1" t="s">
        <v>461</v>
      </c>
      <c r="C9" s="145" t="b">
        <v>0</v>
      </c>
    </row>
    <row r="10">
      <c r="A10" s="1" t="s">
        <v>1654</v>
      </c>
      <c r="B10" s="1" t="s">
        <v>562</v>
      </c>
      <c r="C10" s="145" t="b">
        <v>0</v>
      </c>
    </row>
    <row r="11">
      <c r="A11" s="1" t="s">
        <v>118</v>
      </c>
      <c r="B11" s="1" t="s">
        <v>423</v>
      </c>
      <c r="C11" s="145" t="b">
        <v>0</v>
      </c>
    </row>
    <row r="12">
      <c r="A12" s="1" t="s">
        <v>1655</v>
      </c>
      <c r="B12" s="1" t="s">
        <v>590</v>
      </c>
    </row>
    <row r="13">
      <c r="A13" s="1" t="s">
        <v>111</v>
      </c>
      <c r="B13" s="1" t="s">
        <v>535</v>
      </c>
    </row>
    <row r="14">
      <c r="A14" s="1" t="s">
        <v>1656</v>
      </c>
      <c r="B14" s="1" t="s">
        <v>1657</v>
      </c>
    </row>
    <row r="15">
      <c r="A15" s="1" t="s">
        <v>609</v>
      </c>
      <c r="B15" s="1" t="s">
        <v>610</v>
      </c>
      <c r="C15" s="1" t="b">
        <v>1</v>
      </c>
    </row>
    <row r="16">
      <c r="A16" s="1" t="s">
        <v>601</v>
      </c>
      <c r="B16" s="1" t="s">
        <v>602</v>
      </c>
    </row>
    <row r="17">
      <c r="A17" s="1" t="s">
        <v>123</v>
      </c>
      <c r="C17" s="1" t="b">
        <v>1</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D9D9"/>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2" max="2" width="14.14"/>
    <col customWidth="1" min="4" max="4" width="11.86"/>
  </cols>
  <sheetData>
    <row r="1">
      <c r="A1" s="512" t="s">
        <v>86</v>
      </c>
      <c r="B1" s="513"/>
    </row>
    <row r="2">
      <c r="A2" s="513"/>
      <c r="B2" s="514" t="s">
        <v>87</v>
      </c>
      <c r="C2" s="16" t="s">
        <v>88</v>
      </c>
      <c r="D2" s="1" t="s">
        <v>88</v>
      </c>
      <c r="E2" s="1" t="s">
        <v>88</v>
      </c>
      <c r="F2" s="1" t="s">
        <v>88</v>
      </c>
      <c r="G2" s="1" t="s">
        <v>88</v>
      </c>
      <c r="H2" s="1" t="s">
        <v>88</v>
      </c>
      <c r="I2" s="16" t="s">
        <v>88</v>
      </c>
      <c r="J2" s="1" t="s">
        <v>88</v>
      </c>
      <c r="K2" s="1" t="s">
        <v>88</v>
      </c>
      <c r="L2" s="1" t="s">
        <v>88</v>
      </c>
      <c r="M2" s="1" t="s">
        <v>88</v>
      </c>
      <c r="N2" s="1" t="s">
        <v>88</v>
      </c>
      <c r="O2" s="1" t="s">
        <v>88</v>
      </c>
      <c r="P2" s="514" t="s">
        <v>89</v>
      </c>
      <c r="Q2" s="514" t="s">
        <v>90</v>
      </c>
      <c r="R2" s="514" t="s">
        <v>89</v>
      </c>
      <c r="S2" s="514" t="s">
        <v>90</v>
      </c>
      <c r="T2" s="514" t="s">
        <v>637</v>
      </c>
      <c r="U2" s="514" t="s">
        <v>90</v>
      </c>
    </row>
    <row r="3">
      <c r="A3" s="513"/>
      <c r="B3" s="514" t="s">
        <v>96</v>
      </c>
      <c r="C3" s="16" t="s">
        <v>98</v>
      </c>
      <c r="D3" s="1" t="s">
        <v>98</v>
      </c>
      <c r="E3" s="1" t="s">
        <v>98</v>
      </c>
      <c r="F3" s="1" t="s">
        <v>98</v>
      </c>
      <c r="G3" s="1" t="s">
        <v>98</v>
      </c>
      <c r="H3" s="1" t="s">
        <v>98</v>
      </c>
      <c r="I3" s="16" t="s">
        <v>98</v>
      </c>
      <c r="J3" s="514" t="s">
        <v>97</v>
      </c>
      <c r="K3" s="514" t="s">
        <v>97</v>
      </c>
      <c r="L3" s="514" t="s">
        <v>97</v>
      </c>
      <c r="M3" s="514" t="s">
        <v>97</v>
      </c>
      <c r="N3" s="514" t="s">
        <v>97</v>
      </c>
      <c r="O3" s="514" t="s">
        <v>97</v>
      </c>
      <c r="P3" s="514" t="s">
        <v>98</v>
      </c>
      <c r="Q3" s="514" t="s">
        <v>98</v>
      </c>
      <c r="R3" s="514" t="s">
        <v>98</v>
      </c>
      <c r="S3" s="514" t="s">
        <v>98</v>
      </c>
      <c r="T3" s="514" t="s">
        <v>97</v>
      </c>
      <c r="U3" s="514" t="s">
        <v>97</v>
      </c>
    </row>
    <row r="4">
      <c r="A4" s="513"/>
      <c r="B4" s="514" t="s">
        <v>100</v>
      </c>
      <c r="C4" s="15"/>
      <c r="D4" s="514">
        <v>1.0</v>
      </c>
      <c r="E4" s="514">
        <v>2.0</v>
      </c>
      <c r="F4" s="514">
        <v>3.0</v>
      </c>
      <c r="G4" s="514">
        <v>1.0</v>
      </c>
      <c r="H4" s="514">
        <v>2.0</v>
      </c>
      <c r="I4" s="27">
        <v>3.0</v>
      </c>
      <c r="J4" s="514">
        <v>1.0</v>
      </c>
      <c r="K4" s="514">
        <v>2.0</v>
      </c>
      <c r="L4" s="514">
        <v>3.0</v>
      </c>
      <c r="M4" s="514">
        <v>1.0</v>
      </c>
      <c r="N4" s="514">
        <v>2.0</v>
      </c>
      <c r="O4" s="514">
        <v>3.0</v>
      </c>
      <c r="P4" s="514">
        <v>4.0</v>
      </c>
      <c r="Q4" s="514">
        <v>4.0</v>
      </c>
      <c r="R4" s="514">
        <v>1.0</v>
      </c>
      <c r="S4" s="514">
        <v>1.0</v>
      </c>
      <c r="T4" s="514">
        <v>4.0</v>
      </c>
      <c r="U4" s="514">
        <v>3.0</v>
      </c>
    </row>
    <row r="5">
      <c r="A5" s="513"/>
      <c r="B5" s="514" t="s">
        <v>1658</v>
      </c>
      <c r="C5" s="27" t="s">
        <v>102</v>
      </c>
      <c r="D5" s="513" t="str">
        <f>vlookup(D4,DATA!$A$49:$E$51,5,False)</f>
        <v>00:00-09:00</v>
      </c>
      <c r="E5" s="513" t="str">
        <f>vlookup(E4,DATA!$A$49:$E$51,5,False)</f>
        <v>08:00-17:00</v>
      </c>
      <c r="F5" s="513" t="str">
        <f>vlookup(F4,DATA!$A$49:$E$51,5,False)</f>
        <v>16:00-01:00</v>
      </c>
      <c r="G5" s="513" t="str">
        <f>vlookup(G4,DATA!$A$49:$E$51,5,False)</f>
        <v>00:00-09:00</v>
      </c>
      <c r="H5" s="513" t="str">
        <f>vlookup(H4,DATA!$A$49:$E$51,5,False)</f>
        <v>08:00-17:00</v>
      </c>
      <c r="I5" s="515" t="str">
        <f>vlookup(I4,DATA!$A$49:$E$51,5,False)</f>
        <v>16:00-01:00</v>
      </c>
      <c r="J5" s="513" t="str">
        <f>vlookup(J4,DATA!$A$49:$E$51,5,False)</f>
        <v>00:00-09:00</v>
      </c>
      <c r="K5" s="513" t="str">
        <f>vlookup(K4,DATA!$A$49:$E$51,5,False)</f>
        <v>08:00-17:00</v>
      </c>
      <c r="L5" s="513" t="str">
        <f>vlookup(L4,DATA!$A$49:$E$51,5,False)</f>
        <v>16:00-01:00</v>
      </c>
      <c r="M5" s="513" t="str">
        <f>vlookup(M4,DATA!$A$49:$E$51,5,False)</f>
        <v>00:00-09:00</v>
      </c>
      <c r="N5" s="513" t="str">
        <f>vlookup(N4,DATA!$A$49:$E$51,5,False)</f>
        <v>08:00-17:00</v>
      </c>
      <c r="O5" s="513" t="str">
        <f>vlookup(O4,DATA!$A$49:$E$51,5,False)</f>
        <v>16:00-01:00</v>
      </c>
      <c r="P5" s="513" t="str">
        <f>vlookup(P4,DATA!$A$49:$E$58,5,False)</f>
        <v>09:00-18:00</v>
      </c>
      <c r="Q5" s="513" t="str">
        <f>vlookup(Q4,DATA!$A$49:$E$58,5,False)</f>
        <v>09:00-18:00</v>
      </c>
      <c r="R5" s="513" t="str">
        <f>vlookup(R4,DATA!$A$49:$E$58,5,False)</f>
        <v>00:00-09:00</v>
      </c>
      <c r="S5" s="513" t="str">
        <f>vlookup(S4,DATA!$A$49:$E$58,5,False)</f>
        <v>00:00-09:00</v>
      </c>
      <c r="T5" s="513" t="str">
        <f>vlookup(T4,DATA!$A$49:$E$58,5,False)</f>
        <v>09:00-18:00</v>
      </c>
      <c r="U5" s="513" t="str">
        <f>vlookup(U4,DATA!$A$49:$E$58,5,False)</f>
        <v>16:00-01:00</v>
      </c>
    </row>
    <row r="6">
      <c r="A6" s="516" t="str">
        <f>IFERROR(__xludf.DUMMYFUNCTION("TRANSPOSE(query(DATA!A1:AF12,""Select * where A contains '""&amp;A1&amp;""'"",0))"),"March")</f>
        <v>March</v>
      </c>
      <c r="B6" s="517" t="s">
        <v>107</v>
      </c>
      <c r="C6" s="517" t="s">
        <v>109</v>
      </c>
      <c r="D6" s="517" t="s">
        <v>110</v>
      </c>
      <c r="E6" s="517" t="s">
        <v>111</v>
      </c>
      <c r="F6" s="517" t="s">
        <v>112</v>
      </c>
      <c r="G6" s="517" t="s">
        <v>1659</v>
      </c>
      <c r="H6" s="512" t="s">
        <v>114</v>
      </c>
      <c r="I6" s="517" t="s">
        <v>1660</v>
      </c>
      <c r="J6" s="518" t="s">
        <v>609</v>
      </c>
      <c r="K6" s="517" t="s">
        <v>116</v>
      </c>
      <c r="L6" s="517" t="s">
        <v>117</v>
      </c>
      <c r="M6" s="517" t="s">
        <v>118</v>
      </c>
      <c r="N6" s="517" t="s">
        <v>119</v>
      </c>
      <c r="O6" s="517" t="s">
        <v>120</v>
      </c>
      <c r="P6" s="519" t="s">
        <v>1661</v>
      </c>
      <c r="Q6" s="512" t="s">
        <v>123</v>
      </c>
      <c r="R6" s="512" t="s">
        <v>125</v>
      </c>
      <c r="S6" s="512" t="s">
        <v>126</v>
      </c>
      <c r="T6" s="512" t="s">
        <v>634</v>
      </c>
      <c r="U6" s="512" t="s">
        <v>135</v>
      </c>
    </row>
    <row r="7">
      <c r="A7" s="506">
        <f>IFERROR(__xludf.DUMMYFUNCTION("""COMPUTED_VALUE"""),44256.0)</f>
        <v>44256</v>
      </c>
      <c r="B7" s="458" t="str">
        <f>if(A7="","",Vlookup(weekday(A7,2),DATA!$O$14:$P$20,2))</f>
        <v>Monday</v>
      </c>
      <c r="C7" s="520">
        <v>8.0</v>
      </c>
      <c r="D7" s="520">
        <v>8.0</v>
      </c>
      <c r="E7" s="520">
        <v>8.0</v>
      </c>
      <c r="F7" s="520">
        <v>8.0</v>
      </c>
      <c r="G7" s="520">
        <v>8.0</v>
      </c>
      <c r="H7" s="520">
        <v>8.0</v>
      </c>
      <c r="I7" s="520">
        <v>8.0</v>
      </c>
      <c r="J7" s="521"/>
      <c r="K7" s="520">
        <v>5.0</v>
      </c>
      <c r="L7" s="520">
        <v>8.0</v>
      </c>
      <c r="M7" s="520">
        <v>8.0</v>
      </c>
      <c r="N7" s="520">
        <v>8.0</v>
      </c>
      <c r="O7" s="520">
        <v>8.0</v>
      </c>
      <c r="P7" s="521"/>
      <c r="Q7" s="521"/>
      <c r="R7" s="521"/>
      <c r="S7" s="521"/>
      <c r="T7" s="522"/>
      <c r="U7" s="522"/>
    </row>
    <row r="8">
      <c r="A8" s="506">
        <f>IFERROR(__xludf.DUMMYFUNCTION("""COMPUTED_VALUE"""),44257.0)</f>
        <v>44257</v>
      </c>
      <c r="B8" s="458" t="str">
        <f>if(A8="","",Vlookup(weekday(A8,2),DATA!$O$14:$P$20,2))</f>
        <v>Tuesday</v>
      </c>
      <c r="C8" s="520">
        <v>8.0</v>
      </c>
      <c r="D8" s="520">
        <v>8.0</v>
      </c>
      <c r="E8" s="520">
        <v>5.0</v>
      </c>
      <c r="F8" s="520">
        <v>8.0</v>
      </c>
      <c r="G8" s="520">
        <v>8.0</v>
      </c>
      <c r="H8" s="520">
        <v>3.0</v>
      </c>
      <c r="I8" s="520">
        <v>3.0</v>
      </c>
      <c r="J8" s="521"/>
      <c r="K8" s="520">
        <v>0.0</v>
      </c>
      <c r="L8" s="520">
        <v>6.0</v>
      </c>
      <c r="M8" s="520">
        <v>8.0</v>
      </c>
      <c r="N8" s="520">
        <v>8.0</v>
      </c>
      <c r="O8" s="520">
        <v>6.0</v>
      </c>
      <c r="P8" s="521"/>
      <c r="Q8" s="521"/>
      <c r="R8" s="521"/>
      <c r="S8" s="521"/>
      <c r="T8" s="522"/>
      <c r="U8" s="522"/>
    </row>
    <row r="9">
      <c r="A9" s="506">
        <f>IFERROR(__xludf.DUMMYFUNCTION("""COMPUTED_VALUE"""),44258.0)</f>
        <v>44258</v>
      </c>
      <c r="B9" s="458" t="str">
        <f>if(A9="","",Vlookup(weekday(A9,2),DATA!$O$14:$P$20,2))</f>
        <v>Wednesday</v>
      </c>
      <c r="C9" s="520">
        <v>8.0</v>
      </c>
      <c r="D9" s="520">
        <v>8.0</v>
      </c>
      <c r="E9" s="520">
        <v>8.0</v>
      </c>
      <c r="F9" s="520">
        <v>8.0</v>
      </c>
      <c r="G9" s="520">
        <v>8.0</v>
      </c>
      <c r="H9" s="520">
        <v>8.0</v>
      </c>
      <c r="I9" s="520">
        <v>8.0</v>
      </c>
      <c r="J9" s="521"/>
      <c r="K9" s="520">
        <v>3.0</v>
      </c>
      <c r="L9" s="520">
        <v>1.0</v>
      </c>
      <c r="M9" s="523"/>
      <c r="N9" s="520">
        <v>1.0</v>
      </c>
      <c r="O9" s="520">
        <v>1.0</v>
      </c>
      <c r="P9" s="521"/>
      <c r="Q9" s="521"/>
      <c r="R9" s="521"/>
      <c r="S9" s="521"/>
      <c r="T9" s="522"/>
      <c r="U9" s="522"/>
    </row>
    <row r="10">
      <c r="A10" s="506">
        <f>IFERROR(__xludf.DUMMYFUNCTION("""COMPUTED_VALUE"""),44259.0)</f>
        <v>44259</v>
      </c>
      <c r="B10" s="458" t="str">
        <f>if(A10="","",Vlookup(weekday(A10,2),DATA!$O$14:$P$20,2))</f>
        <v>Thursday</v>
      </c>
      <c r="C10" s="520">
        <v>8.0</v>
      </c>
      <c r="D10" s="520">
        <v>8.0</v>
      </c>
      <c r="E10" s="520">
        <v>8.0</v>
      </c>
      <c r="F10" s="520">
        <v>8.0</v>
      </c>
      <c r="G10" s="520">
        <v>8.0</v>
      </c>
      <c r="H10" s="520">
        <v>8.0</v>
      </c>
      <c r="I10" s="520">
        <v>8.0</v>
      </c>
      <c r="J10" s="521"/>
      <c r="K10" s="523"/>
      <c r="L10" s="520">
        <v>4.5</v>
      </c>
      <c r="M10" s="520">
        <v>4.5</v>
      </c>
      <c r="N10" s="520">
        <v>4.5</v>
      </c>
      <c r="O10" s="520">
        <v>4.5</v>
      </c>
      <c r="P10" s="521"/>
      <c r="Q10" s="521"/>
      <c r="R10" s="521"/>
      <c r="S10" s="521"/>
      <c r="T10" s="522"/>
      <c r="U10" s="522"/>
    </row>
    <row r="11">
      <c r="A11" s="506">
        <f>IFERROR(__xludf.DUMMYFUNCTION("""COMPUTED_VALUE"""),44260.0)</f>
        <v>44260</v>
      </c>
      <c r="B11" s="458" t="str">
        <f>if(A11="","",Vlookup(weekday(A11,2),DATA!$O$14:$P$20,2))</f>
        <v>Friday</v>
      </c>
      <c r="C11" s="520">
        <v>8.0</v>
      </c>
      <c r="D11" s="520">
        <v>8.0</v>
      </c>
      <c r="E11" s="520">
        <v>8.0</v>
      </c>
      <c r="F11" s="520">
        <v>8.0</v>
      </c>
      <c r="G11" s="520">
        <v>8.0</v>
      </c>
      <c r="H11" s="520">
        <v>8.0</v>
      </c>
      <c r="I11" s="520">
        <v>8.0</v>
      </c>
      <c r="J11" s="521"/>
      <c r="K11" s="523"/>
      <c r="L11" s="523"/>
      <c r="M11" s="523"/>
      <c r="N11" s="523"/>
      <c r="O11" s="523"/>
      <c r="P11" s="521"/>
      <c r="Q11" s="521"/>
      <c r="R11" s="521"/>
      <c r="S11" s="521"/>
      <c r="T11" s="522"/>
      <c r="U11" s="522"/>
    </row>
    <row r="12">
      <c r="A12" s="506">
        <f>IFERROR(__xludf.DUMMYFUNCTION("""COMPUTED_VALUE"""),44261.0)</f>
        <v>44261</v>
      </c>
      <c r="B12" s="458" t="str">
        <f>if(A12="","",Vlookup(weekday(A12,2),DATA!$O$14:$P$20,2))</f>
        <v>Saturday</v>
      </c>
      <c r="C12" s="520"/>
      <c r="D12" s="520"/>
      <c r="E12" s="520"/>
      <c r="F12" s="520"/>
      <c r="G12" s="520"/>
      <c r="H12" s="520"/>
      <c r="I12" s="520"/>
      <c r="J12" s="521"/>
      <c r="K12" s="523"/>
      <c r="L12" s="523"/>
      <c r="M12" s="523"/>
      <c r="N12" s="523"/>
      <c r="O12" s="523"/>
      <c r="P12" s="521"/>
      <c r="Q12" s="521"/>
      <c r="R12" s="521"/>
      <c r="S12" s="521"/>
      <c r="T12" s="522"/>
      <c r="U12" s="522"/>
    </row>
    <row r="13">
      <c r="A13" s="506">
        <f>IFERROR(__xludf.DUMMYFUNCTION("""COMPUTED_VALUE"""),44262.0)</f>
        <v>44262</v>
      </c>
      <c r="B13" s="458" t="str">
        <f>if(A13="","",Vlookup(weekday(A13,2),DATA!$O$14:$P$20,2))</f>
        <v>Sunday</v>
      </c>
      <c r="C13" s="520"/>
      <c r="D13" s="520"/>
      <c r="E13" s="520"/>
      <c r="F13" s="520"/>
      <c r="G13" s="520"/>
      <c r="H13" s="520"/>
      <c r="I13" s="520"/>
      <c r="J13" s="521"/>
      <c r="K13" s="523"/>
      <c r="L13" s="523"/>
      <c r="M13" s="523"/>
      <c r="N13" s="523"/>
      <c r="O13" s="523"/>
      <c r="P13" s="521"/>
      <c r="Q13" s="521"/>
      <c r="R13" s="521"/>
      <c r="S13" s="521"/>
      <c r="T13" s="522"/>
      <c r="U13" s="522"/>
    </row>
    <row r="14">
      <c r="A14" s="506">
        <f>IFERROR(__xludf.DUMMYFUNCTION("""COMPUTED_VALUE"""),44263.0)</f>
        <v>44263</v>
      </c>
      <c r="B14" s="458" t="str">
        <f>if(A14="","",Vlookup(weekday(A14,2),DATA!$O$14:$P$20,2))</f>
        <v>Monday</v>
      </c>
      <c r="C14" s="520">
        <v>8.0</v>
      </c>
      <c r="D14" s="520">
        <v>8.0</v>
      </c>
      <c r="E14" s="520">
        <v>8.0</v>
      </c>
      <c r="F14" s="520">
        <v>8.0</v>
      </c>
      <c r="G14" s="520">
        <v>8.0</v>
      </c>
      <c r="H14" s="520">
        <v>8.0</v>
      </c>
      <c r="I14" s="520">
        <v>8.0</v>
      </c>
      <c r="J14" s="520">
        <v>8.0</v>
      </c>
      <c r="K14" s="523"/>
      <c r="L14" s="520">
        <v>8.0</v>
      </c>
      <c r="M14" s="523"/>
      <c r="N14" s="523"/>
      <c r="O14" s="523"/>
      <c r="P14" s="520">
        <v>9.0</v>
      </c>
      <c r="Q14" s="520">
        <v>8.0</v>
      </c>
      <c r="R14" s="521"/>
      <c r="S14" s="521"/>
      <c r="T14" s="522"/>
      <c r="U14" s="522"/>
    </row>
    <row r="15">
      <c r="A15" s="506">
        <f>IFERROR(__xludf.DUMMYFUNCTION("""COMPUTED_VALUE"""),44264.0)</f>
        <v>44264</v>
      </c>
      <c r="B15" s="458" t="str">
        <f>if(A15="","",Vlookup(weekday(A15,2),DATA!$O$14:$P$20,2))</f>
        <v>Tuesday</v>
      </c>
      <c r="C15" s="520">
        <v>8.0</v>
      </c>
      <c r="D15" s="520">
        <v>5.0</v>
      </c>
      <c r="E15" s="520">
        <v>8.0</v>
      </c>
      <c r="F15" s="520">
        <v>8.0</v>
      </c>
      <c r="G15" s="520">
        <v>5.0</v>
      </c>
      <c r="H15" s="520">
        <v>8.0</v>
      </c>
      <c r="I15" s="520">
        <v>8.0</v>
      </c>
      <c r="J15" s="520">
        <v>8.0</v>
      </c>
      <c r="K15" s="523"/>
      <c r="L15" s="520">
        <v>7.0</v>
      </c>
      <c r="M15" s="523"/>
      <c r="N15" s="523"/>
      <c r="O15" s="523"/>
      <c r="P15" s="520">
        <v>8.0</v>
      </c>
      <c r="Q15" s="520">
        <v>8.0</v>
      </c>
      <c r="R15" s="521"/>
      <c r="S15" s="521"/>
      <c r="T15" s="522"/>
      <c r="U15" s="522"/>
    </row>
    <row r="16">
      <c r="A16" s="506">
        <f>IFERROR(__xludf.DUMMYFUNCTION("""COMPUTED_VALUE"""),44265.0)</f>
        <v>44265</v>
      </c>
      <c r="B16" s="458" t="str">
        <f>if(A16="","",Vlookup(weekday(A16,2),DATA!$O$14:$P$20,2))</f>
        <v>Wednesday</v>
      </c>
      <c r="C16" s="520">
        <v>8.0</v>
      </c>
      <c r="D16" s="520">
        <v>8.0</v>
      </c>
      <c r="E16" s="520">
        <v>8.0</v>
      </c>
      <c r="F16" s="520">
        <v>8.0</v>
      </c>
      <c r="G16" s="520">
        <v>8.0</v>
      </c>
      <c r="H16" s="520">
        <v>8.0</v>
      </c>
      <c r="I16" s="520">
        <v>8.0</v>
      </c>
      <c r="J16" s="520"/>
      <c r="K16" s="523"/>
      <c r="L16" s="520"/>
      <c r="M16" s="523"/>
      <c r="N16" s="523"/>
      <c r="O16" s="523"/>
      <c r="P16" s="520">
        <v>8.0</v>
      </c>
      <c r="Q16" s="520">
        <v>8.0</v>
      </c>
      <c r="R16" s="521"/>
      <c r="S16" s="521"/>
      <c r="T16" s="522"/>
      <c r="U16" s="522"/>
    </row>
    <row r="17">
      <c r="A17" s="506">
        <f>IFERROR(__xludf.DUMMYFUNCTION("""COMPUTED_VALUE"""),44266.0)</f>
        <v>44266</v>
      </c>
      <c r="B17" s="458" t="str">
        <f>if(A17="","",Vlookup(weekday(A17,2),DATA!$O$14:$P$20,2))</f>
        <v>Thursday</v>
      </c>
      <c r="C17" s="520">
        <v>8.0</v>
      </c>
      <c r="D17" s="520">
        <v>8.0</v>
      </c>
      <c r="E17" s="520"/>
      <c r="F17" s="520">
        <v>8.0</v>
      </c>
      <c r="G17" s="520">
        <v>8.5</v>
      </c>
      <c r="H17" s="520">
        <v>8.0</v>
      </c>
      <c r="I17" s="520">
        <v>8.0</v>
      </c>
      <c r="J17" s="520"/>
      <c r="K17" s="523"/>
      <c r="L17" s="520"/>
      <c r="M17" s="523"/>
      <c r="N17" s="523"/>
      <c r="O17" s="523"/>
      <c r="P17" s="520">
        <v>8.0</v>
      </c>
      <c r="Q17" s="520">
        <v>8.0</v>
      </c>
      <c r="R17" s="521"/>
      <c r="S17" s="521"/>
      <c r="T17" s="522"/>
      <c r="U17" s="522"/>
    </row>
    <row r="18">
      <c r="A18" s="506">
        <f>IFERROR(__xludf.DUMMYFUNCTION("""COMPUTED_VALUE"""),44267.0)</f>
        <v>44267</v>
      </c>
      <c r="B18" s="458" t="str">
        <f>if(A18="","",Vlookup(weekday(A18,2),DATA!$O$14:$P$20,2))</f>
        <v>Friday</v>
      </c>
      <c r="C18" s="520">
        <v>8.0</v>
      </c>
      <c r="D18" s="520">
        <v>9.0</v>
      </c>
      <c r="E18" s="520">
        <v>8.0</v>
      </c>
      <c r="F18" s="520">
        <v>8.0</v>
      </c>
      <c r="G18" s="520">
        <v>9.0</v>
      </c>
      <c r="H18" s="520">
        <v>8.0</v>
      </c>
      <c r="I18" s="520">
        <v>8.0</v>
      </c>
      <c r="J18" s="520"/>
      <c r="K18" s="523"/>
      <c r="L18" s="520"/>
      <c r="M18" s="523"/>
      <c r="N18" s="523"/>
      <c r="O18" s="523"/>
      <c r="P18" s="520">
        <v>8.0</v>
      </c>
      <c r="Q18" s="520">
        <v>8.0</v>
      </c>
      <c r="R18" s="521"/>
      <c r="S18" s="521"/>
      <c r="T18" s="522"/>
      <c r="U18" s="522"/>
    </row>
    <row r="19">
      <c r="A19" s="506">
        <f>IFERROR(__xludf.DUMMYFUNCTION("""COMPUTED_VALUE"""),44268.0)</f>
        <v>44268</v>
      </c>
      <c r="B19" s="458" t="str">
        <f>if(A19="","",Vlookup(weekday(A19,2),DATA!$O$14:$P$20,2))</f>
        <v>Saturday</v>
      </c>
      <c r="C19" s="520"/>
      <c r="D19" s="520"/>
      <c r="E19" s="520">
        <v>8.0</v>
      </c>
      <c r="F19" s="520"/>
      <c r="G19" s="520"/>
      <c r="H19" s="520"/>
      <c r="I19" s="520"/>
      <c r="J19" s="520">
        <v>8.0</v>
      </c>
      <c r="K19" s="523">
        <v>8.0</v>
      </c>
      <c r="L19" s="520">
        <v>8.0</v>
      </c>
      <c r="M19" s="523">
        <v>1.34</v>
      </c>
      <c r="N19" s="523">
        <v>8.0</v>
      </c>
      <c r="O19" s="523">
        <v>1.34</v>
      </c>
      <c r="P19" s="520" t="s">
        <v>166</v>
      </c>
      <c r="Q19" s="520"/>
      <c r="R19" s="521"/>
      <c r="S19" s="521"/>
      <c r="T19" s="522"/>
      <c r="U19" s="522"/>
    </row>
    <row r="20">
      <c r="A20" s="506">
        <f>IFERROR(__xludf.DUMMYFUNCTION("""COMPUTED_VALUE"""),44269.0)</f>
        <v>44269</v>
      </c>
      <c r="B20" s="458" t="str">
        <f>if(A20="","",Vlookup(weekday(A20,2),DATA!$O$14:$P$20,2))</f>
        <v>Sunday</v>
      </c>
      <c r="C20" s="520"/>
      <c r="D20" s="520"/>
      <c r="E20" s="520"/>
      <c r="F20" s="520"/>
      <c r="G20" s="520"/>
      <c r="H20" s="520"/>
      <c r="I20" s="520"/>
      <c r="J20" s="520">
        <v>8.0</v>
      </c>
      <c r="K20" s="523">
        <v>8.0</v>
      </c>
      <c r="L20" s="520">
        <v>8.0</v>
      </c>
      <c r="M20" s="523"/>
      <c r="N20" s="523"/>
      <c r="O20" s="523"/>
      <c r="P20" s="520" t="s">
        <v>166</v>
      </c>
      <c r="Q20" s="520"/>
      <c r="R20" s="521"/>
      <c r="S20" s="521"/>
      <c r="T20" s="522"/>
      <c r="U20" s="522"/>
    </row>
    <row r="21">
      <c r="A21" s="506">
        <f>IFERROR(__xludf.DUMMYFUNCTION("""COMPUTED_VALUE"""),44270.0)</f>
        <v>44270</v>
      </c>
      <c r="B21" s="458" t="str">
        <f>if(A21="","",Vlookup(weekday(A21,2),DATA!$O$14:$P$20,2))</f>
        <v>Monday</v>
      </c>
      <c r="C21" s="520">
        <v>8.0</v>
      </c>
      <c r="D21" s="520">
        <v>8.0</v>
      </c>
      <c r="E21" s="520">
        <v>8.0</v>
      </c>
      <c r="F21" s="520">
        <v>8.0</v>
      </c>
      <c r="G21" s="520">
        <v>8.5</v>
      </c>
      <c r="H21" s="520">
        <v>8.0</v>
      </c>
      <c r="I21" s="520">
        <v>8.0</v>
      </c>
      <c r="J21" s="520"/>
      <c r="K21" s="523"/>
      <c r="L21" s="520"/>
      <c r="M21" s="523"/>
      <c r="N21" s="523"/>
      <c r="O21" s="523"/>
      <c r="P21" s="520">
        <v>8.0</v>
      </c>
      <c r="Q21" s="520">
        <v>8.0</v>
      </c>
      <c r="R21" s="521"/>
      <c r="S21" s="521"/>
      <c r="T21" s="522"/>
      <c r="U21" s="522"/>
    </row>
    <row r="22">
      <c r="A22" s="506">
        <f>IFERROR(__xludf.DUMMYFUNCTION("""COMPUTED_VALUE"""),44271.0)</f>
        <v>44271</v>
      </c>
      <c r="B22" s="458" t="str">
        <f>if(A22="","",Vlookup(weekday(A22,2),DATA!$O$14:$P$20,2))</f>
        <v>Tuesday</v>
      </c>
      <c r="C22" s="520">
        <v>8.0</v>
      </c>
      <c r="D22" s="520">
        <v>9.0</v>
      </c>
      <c r="E22" s="520">
        <v>8.0</v>
      </c>
      <c r="F22" s="520">
        <v>8.0</v>
      </c>
      <c r="G22" s="520">
        <v>8.5</v>
      </c>
      <c r="H22" s="520">
        <v>8.0</v>
      </c>
      <c r="I22" s="520">
        <v>8.0</v>
      </c>
      <c r="J22" s="520"/>
      <c r="K22" s="523"/>
      <c r="L22" s="520"/>
      <c r="M22" s="520">
        <v>8.0</v>
      </c>
      <c r="N22" s="520">
        <v>8.0</v>
      </c>
      <c r="O22" s="520">
        <v>6.66</v>
      </c>
      <c r="P22" s="520">
        <v>8.0</v>
      </c>
      <c r="Q22" s="520">
        <v>8.0</v>
      </c>
      <c r="R22" s="521"/>
      <c r="S22" s="521"/>
      <c r="T22" s="522"/>
      <c r="U22" s="522"/>
    </row>
    <row r="23">
      <c r="A23" s="506">
        <f>IFERROR(__xludf.DUMMYFUNCTION("""COMPUTED_VALUE"""),44272.0)</f>
        <v>44272</v>
      </c>
      <c r="B23" s="458" t="str">
        <f>if(A23="","",Vlookup(weekday(A23,2),DATA!$O$14:$P$20,2))</f>
        <v>Wednesday</v>
      </c>
      <c r="C23" s="520">
        <v>8.0</v>
      </c>
      <c r="D23" s="520" t="s">
        <v>1662</v>
      </c>
      <c r="E23" s="520">
        <v>8.0</v>
      </c>
      <c r="F23" s="520">
        <v>8.0</v>
      </c>
      <c r="G23" s="520">
        <v>8.5</v>
      </c>
      <c r="H23" s="520">
        <v>8.0</v>
      </c>
      <c r="I23" s="520">
        <v>8.0</v>
      </c>
      <c r="J23" s="520"/>
      <c r="K23" s="523"/>
      <c r="L23" s="520"/>
      <c r="M23" s="520">
        <v>8.0</v>
      </c>
      <c r="N23" s="523"/>
      <c r="O23" s="520">
        <v>8.0</v>
      </c>
      <c r="P23" s="520">
        <v>8.0</v>
      </c>
      <c r="Q23" s="520">
        <v>8.0</v>
      </c>
      <c r="R23" s="521"/>
      <c r="S23" s="521"/>
      <c r="T23" s="522"/>
      <c r="U23" s="522"/>
    </row>
    <row r="24">
      <c r="A24" s="506">
        <f>IFERROR(__xludf.DUMMYFUNCTION("""COMPUTED_VALUE"""),44273.0)</f>
        <v>44273</v>
      </c>
      <c r="B24" s="458" t="str">
        <f>if(A24="","",Vlookup(weekday(A24,2),DATA!$O$14:$P$20,2))</f>
        <v>Thursday</v>
      </c>
      <c r="C24" s="520">
        <v>6.0</v>
      </c>
      <c r="D24" s="520">
        <v>8.0</v>
      </c>
      <c r="E24" s="520">
        <v>8.0</v>
      </c>
      <c r="F24" s="520">
        <v>8.0</v>
      </c>
      <c r="G24" s="520">
        <v>8.0</v>
      </c>
      <c r="H24" s="520">
        <v>8.0</v>
      </c>
      <c r="I24" s="520">
        <v>8.0</v>
      </c>
      <c r="J24" s="520"/>
      <c r="K24" s="523"/>
      <c r="L24" s="520"/>
      <c r="M24" s="523"/>
      <c r="N24" s="523"/>
      <c r="O24" s="523"/>
      <c r="P24" s="520">
        <v>8.0</v>
      </c>
      <c r="Q24" s="520">
        <v>8.0</v>
      </c>
      <c r="R24" s="521"/>
      <c r="S24" s="521"/>
      <c r="T24" s="522"/>
      <c r="U24" s="522"/>
    </row>
    <row r="25">
      <c r="A25" s="506">
        <f>IFERROR(__xludf.DUMMYFUNCTION("""COMPUTED_VALUE"""),44274.0)</f>
        <v>44274</v>
      </c>
      <c r="B25" s="458" t="str">
        <f>if(A25="","",Vlookup(weekday(A25,2),DATA!$O$14:$P$20,2))</f>
        <v>Friday</v>
      </c>
      <c r="C25" s="524">
        <v>10.0</v>
      </c>
      <c r="D25" s="525" t="s">
        <v>1662</v>
      </c>
      <c r="E25" s="525">
        <v>8.0</v>
      </c>
      <c r="F25" s="525">
        <v>8.0</v>
      </c>
      <c r="G25" s="525">
        <v>8.0</v>
      </c>
      <c r="H25" s="525" t="s">
        <v>166</v>
      </c>
      <c r="I25" s="525">
        <v>8.0</v>
      </c>
      <c r="J25" s="526"/>
      <c r="K25" s="526"/>
      <c r="L25" s="526"/>
      <c r="M25" s="526"/>
      <c r="N25" s="526"/>
      <c r="O25" s="526"/>
      <c r="P25" s="16">
        <v>7.0</v>
      </c>
      <c r="Q25" s="16">
        <v>8.0</v>
      </c>
      <c r="R25" s="527"/>
      <c r="S25" s="527"/>
      <c r="T25" s="528"/>
      <c r="U25" s="528"/>
    </row>
    <row r="26">
      <c r="A26" s="506">
        <f>IFERROR(__xludf.DUMMYFUNCTION("""COMPUTED_VALUE"""),44275.0)</f>
        <v>44275</v>
      </c>
      <c r="B26" s="458" t="str">
        <f>if(A26="","",Vlookup(weekday(A26,2),DATA!$O$14:$P$20,2))</f>
        <v>Saturday</v>
      </c>
      <c r="C26" s="526"/>
      <c r="D26" s="526"/>
      <c r="E26" s="526"/>
      <c r="F26" s="526"/>
      <c r="G26" s="526"/>
      <c r="H26" s="526"/>
      <c r="I26" s="526"/>
      <c r="J26" s="525">
        <v>8.0</v>
      </c>
      <c r="K26" s="525">
        <v>8.0</v>
      </c>
      <c r="L26" s="525">
        <v>8.0</v>
      </c>
      <c r="M26" s="525">
        <v>8.0</v>
      </c>
      <c r="N26" s="525">
        <v>8.0</v>
      </c>
      <c r="O26" s="525">
        <v>8.0</v>
      </c>
      <c r="P26" s="16" t="s">
        <v>166</v>
      </c>
      <c r="Q26" s="16" t="s">
        <v>166</v>
      </c>
      <c r="R26" s="527"/>
      <c r="S26" s="527"/>
      <c r="T26" s="528"/>
      <c r="U26" s="528"/>
    </row>
    <row r="27">
      <c r="A27" s="506">
        <f>IFERROR(__xludf.DUMMYFUNCTION("""COMPUTED_VALUE"""),44276.0)</f>
        <v>44276</v>
      </c>
      <c r="B27" s="458" t="str">
        <f>if(A27="","",Vlookup(weekday(A27,2),DATA!$O$14:$P$20,2))</f>
        <v>Sunday</v>
      </c>
      <c r="C27" s="526"/>
      <c r="D27" s="526"/>
      <c r="E27" s="526"/>
      <c r="F27" s="526"/>
      <c r="G27" s="526"/>
      <c r="H27" s="525">
        <v>8.0</v>
      </c>
      <c r="I27" s="526"/>
      <c r="J27" s="525">
        <v>8.0</v>
      </c>
      <c r="K27" s="525">
        <v>8.0</v>
      </c>
      <c r="L27" s="525">
        <v>8.0</v>
      </c>
      <c r="M27" s="525">
        <v>8.0</v>
      </c>
      <c r="N27" s="525">
        <v>8.0</v>
      </c>
      <c r="O27" s="525">
        <v>8.0</v>
      </c>
      <c r="P27" s="16" t="s">
        <v>166</v>
      </c>
      <c r="Q27" s="16" t="s">
        <v>166</v>
      </c>
      <c r="R27" s="527"/>
      <c r="S27" s="527"/>
      <c r="T27" s="528"/>
      <c r="U27" s="528"/>
    </row>
    <row r="28">
      <c r="A28" s="506">
        <f>IFERROR(__xludf.DUMMYFUNCTION("""COMPUTED_VALUE"""),44277.0)</f>
        <v>44277</v>
      </c>
      <c r="B28" s="458" t="str">
        <f>if(A28="","",Vlookup(weekday(A28,2),DATA!$O$14:$P$20,2))</f>
        <v>Monday</v>
      </c>
      <c r="C28" s="525">
        <v>8.0</v>
      </c>
      <c r="D28" s="525">
        <v>8.0</v>
      </c>
      <c r="E28" s="525">
        <v>8.0</v>
      </c>
      <c r="F28" s="525">
        <v>8.0</v>
      </c>
      <c r="G28" s="525">
        <v>8.0</v>
      </c>
      <c r="H28" s="525">
        <v>8.0</v>
      </c>
      <c r="I28" s="525">
        <v>8.0</v>
      </c>
      <c r="J28" s="526"/>
      <c r="K28" s="526"/>
      <c r="L28" s="526"/>
      <c r="M28" s="526"/>
      <c r="N28" s="526"/>
      <c r="O28" s="526"/>
      <c r="P28" s="16">
        <v>8.0</v>
      </c>
      <c r="Q28" s="16">
        <v>8.0</v>
      </c>
      <c r="R28" s="527"/>
      <c r="S28" s="527"/>
      <c r="T28" s="528"/>
      <c r="U28" s="528"/>
    </row>
    <row r="29">
      <c r="A29" s="506">
        <f>IFERROR(__xludf.DUMMYFUNCTION("""COMPUTED_VALUE"""),44278.0)</f>
        <v>44278</v>
      </c>
      <c r="B29" s="458" t="str">
        <f>if(A29="","",Vlookup(weekday(A29,2),DATA!$O$14:$P$20,2))</f>
        <v>Tuesday</v>
      </c>
      <c r="C29" s="525">
        <v>8.0</v>
      </c>
      <c r="D29" s="525">
        <v>8.0</v>
      </c>
      <c r="E29" s="525">
        <v>8.0</v>
      </c>
      <c r="F29" s="525">
        <v>8.0</v>
      </c>
      <c r="G29" s="525">
        <v>8.0</v>
      </c>
      <c r="H29" s="525" t="s">
        <v>166</v>
      </c>
      <c r="I29" s="525">
        <v>8.0</v>
      </c>
      <c r="J29" s="526"/>
      <c r="K29" s="526"/>
      <c r="L29" s="526"/>
      <c r="M29" s="526"/>
      <c r="N29" s="526"/>
      <c r="O29" s="526"/>
      <c r="P29" s="16">
        <v>8.0</v>
      </c>
      <c r="Q29" s="16">
        <v>8.0</v>
      </c>
      <c r="R29" s="527"/>
      <c r="S29" s="527"/>
      <c r="T29" s="528"/>
      <c r="U29" s="528"/>
    </row>
    <row r="30">
      <c r="A30" s="506">
        <f>IFERROR(__xludf.DUMMYFUNCTION("""COMPUTED_VALUE"""),44279.0)</f>
        <v>44279</v>
      </c>
      <c r="B30" s="458" t="str">
        <f>if(A30="","",Vlookup(weekday(A30,2),DATA!$O$14:$P$20,2))</f>
        <v>Wednesday</v>
      </c>
      <c r="C30" s="525">
        <v>8.0</v>
      </c>
      <c r="D30" s="525">
        <v>9.0</v>
      </c>
      <c r="E30" s="525">
        <v>8.0</v>
      </c>
      <c r="F30" s="525">
        <v>8.0</v>
      </c>
      <c r="G30" s="525">
        <v>8.0</v>
      </c>
      <c r="H30" s="525">
        <v>8.0</v>
      </c>
      <c r="I30" s="525">
        <v>8.0</v>
      </c>
      <c r="J30" s="526"/>
      <c r="K30" s="526"/>
      <c r="L30" s="526"/>
      <c r="M30" s="526"/>
      <c r="N30" s="526"/>
      <c r="O30" s="526"/>
      <c r="P30" s="526">
        <v>8.0</v>
      </c>
      <c r="Q30" s="526">
        <v>8.0</v>
      </c>
      <c r="R30" s="526">
        <v>8.0</v>
      </c>
      <c r="S30" s="526">
        <v>8.0</v>
      </c>
      <c r="T30" s="526">
        <v>8.0</v>
      </c>
      <c r="U30" s="526">
        <v>8.0</v>
      </c>
    </row>
    <row r="31">
      <c r="A31" s="506">
        <f>IFERROR(__xludf.DUMMYFUNCTION("""COMPUTED_VALUE"""),44280.0)</f>
        <v>44280</v>
      </c>
      <c r="B31" s="458" t="str">
        <f>if(A31="","",Vlookup(weekday(A31,2),DATA!$O$14:$P$20,2))</f>
        <v>Thursday</v>
      </c>
      <c r="C31" s="525">
        <v>8.0</v>
      </c>
      <c r="D31" s="525">
        <v>8.0</v>
      </c>
      <c r="E31" s="525">
        <v>8.0</v>
      </c>
      <c r="F31" s="525">
        <v>8.0</v>
      </c>
      <c r="G31" s="525">
        <v>8.0</v>
      </c>
      <c r="H31" s="525">
        <v>8.0</v>
      </c>
      <c r="I31" s="525">
        <v>8.0</v>
      </c>
      <c r="J31" s="526"/>
      <c r="K31" s="526"/>
      <c r="L31" s="526"/>
      <c r="M31" s="526"/>
      <c r="N31" s="526"/>
      <c r="O31" s="526"/>
      <c r="P31" s="526">
        <v>8.0</v>
      </c>
      <c r="Q31" s="526">
        <v>8.0</v>
      </c>
      <c r="R31" s="526">
        <v>8.0</v>
      </c>
      <c r="S31" s="526">
        <v>8.0</v>
      </c>
      <c r="T31" s="526">
        <v>8.0</v>
      </c>
      <c r="U31" s="526">
        <v>8.0</v>
      </c>
    </row>
    <row r="32">
      <c r="A32" s="506">
        <f>IFERROR(__xludf.DUMMYFUNCTION("""COMPUTED_VALUE"""),44281.0)</f>
        <v>44281</v>
      </c>
      <c r="B32" s="458" t="str">
        <f>if(A32="","",Vlookup(weekday(A32,2),DATA!$O$14:$P$20,2))</f>
        <v>Friday</v>
      </c>
      <c r="C32" s="525">
        <v>8.0</v>
      </c>
      <c r="D32" s="525">
        <v>8.0</v>
      </c>
      <c r="E32" s="525">
        <v>8.0</v>
      </c>
      <c r="F32" s="525">
        <v>8.0</v>
      </c>
      <c r="G32" s="525">
        <v>8.0</v>
      </c>
      <c r="H32" s="529" t="s">
        <v>166</v>
      </c>
      <c r="I32" s="525">
        <v>8.0</v>
      </c>
      <c r="J32" s="526"/>
      <c r="K32" s="526"/>
      <c r="L32" s="526"/>
      <c r="M32" s="526"/>
      <c r="N32" s="526"/>
      <c r="O32" s="526"/>
      <c r="P32" s="526">
        <v>7.0</v>
      </c>
      <c r="Q32" s="526">
        <v>8.0</v>
      </c>
      <c r="R32" s="526">
        <v>8.0</v>
      </c>
      <c r="S32" s="526">
        <v>8.0</v>
      </c>
      <c r="T32" s="526">
        <v>8.0</v>
      </c>
      <c r="U32" s="526">
        <v>8.0</v>
      </c>
    </row>
    <row r="33">
      <c r="A33" s="506">
        <f>IFERROR(__xludf.DUMMYFUNCTION("""COMPUTED_VALUE"""),44282.0)</f>
        <v>44282</v>
      </c>
      <c r="B33" s="458" t="str">
        <f>if(A33="","",Vlookup(weekday(A33,2),DATA!$O$14:$P$20,2))</f>
        <v>Saturday</v>
      </c>
      <c r="C33" s="526"/>
      <c r="D33" s="526"/>
      <c r="E33" s="526"/>
      <c r="F33" s="526"/>
      <c r="G33" s="526"/>
      <c r="H33" s="525">
        <v>8.0</v>
      </c>
      <c r="I33" s="526"/>
      <c r="J33" s="525">
        <v>8.0</v>
      </c>
      <c r="K33" s="525">
        <v>8.0</v>
      </c>
      <c r="L33" s="525">
        <v>8.0</v>
      </c>
      <c r="M33" s="525">
        <v>8.0</v>
      </c>
      <c r="N33" s="525">
        <v>8.0</v>
      </c>
      <c r="O33" s="525">
        <v>8.0</v>
      </c>
      <c r="P33" s="526" t="s">
        <v>166</v>
      </c>
      <c r="Q33" s="526" t="s">
        <v>166</v>
      </c>
      <c r="R33" s="526" t="s">
        <v>166</v>
      </c>
      <c r="S33" s="526"/>
      <c r="T33" s="526"/>
      <c r="U33" s="526"/>
    </row>
    <row r="34">
      <c r="A34" s="506">
        <f>IFERROR(__xludf.DUMMYFUNCTION("""COMPUTED_VALUE"""),44283.0)</f>
        <v>44283</v>
      </c>
      <c r="B34" s="458" t="str">
        <f>if(A34="","",Vlookup(weekday(A34,2),DATA!$O$14:$P$20,2))</f>
        <v>Sunday</v>
      </c>
      <c r="C34" s="526"/>
      <c r="D34" s="526"/>
      <c r="E34" s="526"/>
      <c r="F34" s="526"/>
      <c r="G34" s="526"/>
      <c r="H34" s="525">
        <v>8.0</v>
      </c>
      <c r="I34" s="526"/>
      <c r="J34" s="525">
        <v>8.0</v>
      </c>
      <c r="K34" s="525">
        <v>8.0</v>
      </c>
      <c r="L34" s="525">
        <v>8.0</v>
      </c>
      <c r="M34" s="525">
        <v>8.0</v>
      </c>
      <c r="N34" s="525">
        <v>8.0</v>
      </c>
      <c r="O34" s="525">
        <v>8.0</v>
      </c>
      <c r="P34" s="526" t="s">
        <v>166</v>
      </c>
      <c r="Q34" s="526" t="s">
        <v>166</v>
      </c>
      <c r="R34" s="526" t="s">
        <v>166</v>
      </c>
      <c r="S34" s="526"/>
      <c r="T34" s="526"/>
      <c r="U34" s="526">
        <v>8.0</v>
      </c>
    </row>
    <row r="35">
      <c r="A35" s="506">
        <f>IFERROR(__xludf.DUMMYFUNCTION("""COMPUTED_VALUE"""),44284.0)</f>
        <v>44284</v>
      </c>
      <c r="B35" s="458" t="str">
        <f>if(A35="","",Vlookup(weekday(A35,2),DATA!$O$14:$P$20,2))</f>
        <v>Monday</v>
      </c>
      <c r="C35" s="525">
        <v>8.0</v>
      </c>
      <c r="D35" s="525">
        <v>8.0</v>
      </c>
      <c r="E35" s="525">
        <v>8.0</v>
      </c>
      <c r="F35" s="525"/>
      <c r="G35" s="525">
        <v>8.0</v>
      </c>
      <c r="H35" s="525"/>
      <c r="I35" s="525">
        <v>8.0</v>
      </c>
      <c r="J35" s="526"/>
      <c r="K35" s="526"/>
      <c r="L35" s="526"/>
      <c r="M35" s="526"/>
      <c r="N35" s="526"/>
      <c r="O35" s="526"/>
      <c r="P35" s="526">
        <v>8.0</v>
      </c>
      <c r="Q35" s="526">
        <v>8.0</v>
      </c>
      <c r="R35" s="526">
        <v>8.0</v>
      </c>
      <c r="S35" s="526">
        <v>8.0</v>
      </c>
      <c r="T35" s="526">
        <v>0.0</v>
      </c>
      <c r="U35" s="526"/>
    </row>
    <row r="36">
      <c r="A36" s="506">
        <f>IFERROR(__xludf.DUMMYFUNCTION("""COMPUTED_VALUE"""),44285.0)</f>
        <v>44285</v>
      </c>
      <c r="B36" s="458" t="str">
        <f>if(A36="","",Vlookup(weekday(A36,2),DATA!$O$14:$P$20,2))</f>
        <v>Tuesday</v>
      </c>
      <c r="C36" s="525">
        <v>8.0</v>
      </c>
      <c r="D36" s="525">
        <v>8.0</v>
      </c>
      <c r="E36" s="525">
        <v>8.0</v>
      </c>
      <c r="F36" s="525"/>
      <c r="G36" s="525">
        <v>8.0</v>
      </c>
      <c r="H36" s="525"/>
      <c r="I36" s="525">
        <v>8.0</v>
      </c>
      <c r="J36" s="526"/>
      <c r="K36" s="526"/>
      <c r="L36" s="526"/>
      <c r="M36" s="526"/>
      <c r="N36" s="526"/>
      <c r="O36" s="526"/>
      <c r="P36" s="526">
        <v>8.0</v>
      </c>
      <c r="Q36" s="526">
        <v>8.0</v>
      </c>
      <c r="R36" s="526">
        <v>8.0</v>
      </c>
      <c r="S36" s="526"/>
      <c r="T36" s="526"/>
      <c r="U36" s="526"/>
    </row>
    <row r="37">
      <c r="A37" s="506">
        <f>IFERROR(__xludf.DUMMYFUNCTION("""COMPUTED_VALUE"""),44286.0)</f>
        <v>44286</v>
      </c>
      <c r="B37" s="458" t="str">
        <f>if(A37="","",Vlookup(weekday(A37,2),DATA!$O$14:$P$20,2))</f>
        <v>Wednesday</v>
      </c>
      <c r="C37" s="529">
        <v>8.0</v>
      </c>
      <c r="D37" s="525">
        <v>8.0</v>
      </c>
      <c r="E37" s="525">
        <v>8.0</v>
      </c>
      <c r="F37" s="525"/>
      <c r="G37" s="525">
        <v>8.0</v>
      </c>
      <c r="H37" s="525"/>
      <c r="I37" s="525">
        <v>8.0</v>
      </c>
      <c r="J37" s="526"/>
      <c r="K37" s="526"/>
      <c r="L37" s="526"/>
      <c r="M37" s="526"/>
      <c r="N37" s="526"/>
      <c r="O37" s="526"/>
      <c r="P37" s="526">
        <v>8.0</v>
      </c>
      <c r="Q37" s="526">
        <v>8.0</v>
      </c>
      <c r="R37" s="526">
        <v>8.0</v>
      </c>
      <c r="S37" s="526"/>
      <c r="T37" s="526"/>
      <c r="U37" s="526"/>
    </row>
    <row r="38">
      <c r="B38" s="458" t="s">
        <v>1663</v>
      </c>
      <c r="C38" s="530">
        <f t="shared" ref="C38:U38" si="1">sum(C7:C37)</f>
        <v>184</v>
      </c>
      <c r="D38" s="530">
        <f t="shared" si="1"/>
        <v>168</v>
      </c>
      <c r="E38" s="530">
        <f t="shared" si="1"/>
        <v>181</v>
      </c>
      <c r="F38" s="530">
        <f t="shared" si="1"/>
        <v>160</v>
      </c>
      <c r="G38" s="530">
        <f t="shared" si="1"/>
        <v>184</v>
      </c>
      <c r="H38" s="530">
        <f t="shared" si="1"/>
        <v>155</v>
      </c>
      <c r="I38" s="530">
        <f t="shared" si="1"/>
        <v>179</v>
      </c>
      <c r="J38" s="530">
        <f t="shared" si="1"/>
        <v>64</v>
      </c>
      <c r="K38" s="530">
        <f t="shared" si="1"/>
        <v>56</v>
      </c>
      <c r="L38" s="530">
        <f t="shared" si="1"/>
        <v>82.5</v>
      </c>
      <c r="M38" s="530">
        <f t="shared" si="1"/>
        <v>69.84</v>
      </c>
      <c r="N38" s="530">
        <f t="shared" si="1"/>
        <v>69.5</v>
      </c>
      <c r="O38" s="530">
        <f t="shared" si="1"/>
        <v>67.5</v>
      </c>
      <c r="P38" s="530">
        <f t="shared" si="1"/>
        <v>143</v>
      </c>
      <c r="Q38" s="530">
        <f t="shared" si="1"/>
        <v>144</v>
      </c>
      <c r="R38" s="530">
        <f t="shared" si="1"/>
        <v>48</v>
      </c>
      <c r="S38" s="530">
        <f t="shared" si="1"/>
        <v>32</v>
      </c>
      <c r="T38" s="530">
        <f t="shared" si="1"/>
        <v>24</v>
      </c>
      <c r="U38" s="530">
        <f t="shared" si="1"/>
        <v>32</v>
      </c>
    </row>
    <row r="39">
      <c r="B39" s="458" t="s">
        <v>1664</v>
      </c>
      <c r="C39" s="530">
        <f>sum(C38:U38)</f>
        <v>2043.34</v>
      </c>
      <c r="D39" s="530"/>
      <c r="E39" s="530"/>
      <c r="F39" s="530"/>
      <c r="G39" s="530"/>
      <c r="H39" s="530"/>
      <c r="I39" s="530"/>
      <c r="J39" s="530"/>
      <c r="K39" s="530"/>
      <c r="L39" s="530"/>
      <c r="M39" s="530"/>
      <c r="N39" s="530"/>
      <c r="O39" s="530"/>
      <c r="P39" s="530"/>
      <c r="Q39" s="530"/>
      <c r="R39" s="530"/>
      <c r="S39" s="530"/>
      <c r="T39" s="530"/>
      <c r="U39" s="530"/>
    </row>
  </sheetData>
  <autoFilter ref="$A$6:$U$37"/>
  <customSheetViews>
    <customSheetView guid="{43D71FAF-BDB2-40F3-B2C5-BAA41EF6C06F}" filter="1" showAutoFilter="1">
      <autoFilter ref="$J$12"/>
    </customSheetView>
    <customSheetView guid="{4D3C7CA0-ACCC-4F50-A3C6-515B47606797}" filter="1" showAutoFilter="1">
      <autoFilter ref="$A$1:$U$39"/>
    </customSheetView>
  </customSheetViews>
  <dataValidations>
    <dataValidation type="list" allowBlank="1" sqref="A1">
      <formula1>DATA!$A$1:$A$12</formula1>
    </dataValidation>
  </dataValidations>
  <drawing r:id="rId2"/>
  <legacyDrawing r:id="rId3"/>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71"/>
    <col customWidth="1" min="2" max="2" width="17.0"/>
  </cols>
  <sheetData>
    <row r="1">
      <c r="A1" s="531" t="s">
        <v>1521</v>
      </c>
      <c r="B1" s="531" t="s">
        <v>1665</v>
      </c>
      <c r="C1" s="531" t="s">
        <v>1666</v>
      </c>
      <c r="D1" s="531" t="s">
        <v>1667</v>
      </c>
      <c r="E1" s="531" t="s">
        <v>1668</v>
      </c>
      <c r="F1" s="531" t="s">
        <v>1669</v>
      </c>
      <c r="G1" s="531" t="s">
        <v>1670</v>
      </c>
    </row>
    <row r="2" ht="80.25" customHeight="1">
      <c r="A2" s="532" t="s">
        <v>1671</v>
      </c>
      <c r="B2" s="532" t="s">
        <v>1672</v>
      </c>
      <c r="C2" s="533"/>
      <c r="D2" s="534" t="s">
        <v>1673</v>
      </c>
      <c r="E2" s="532" t="s">
        <v>1674</v>
      </c>
      <c r="F2" s="532" t="s">
        <v>1675</v>
      </c>
      <c r="G2" s="533"/>
    </row>
    <row r="3" ht="80.25" customHeight="1">
      <c r="A3" s="532" t="s">
        <v>1676</v>
      </c>
      <c r="D3" s="535" t="s">
        <v>1677</v>
      </c>
    </row>
    <row r="4" ht="80.25" customHeight="1">
      <c r="A4" s="532" t="s">
        <v>1678</v>
      </c>
      <c r="D4" s="535" t="s">
        <v>1677</v>
      </c>
    </row>
    <row r="5">
      <c r="A5" s="536" t="s">
        <v>1679</v>
      </c>
      <c r="B5" s="536" t="s">
        <v>1680</v>
      </c>
      <c r="C5" s="536" t="s">
        <v>1681</v>
      </c>
      <c r="D5" s="537" t="s">
        <v>1682</v>
      </c>
      <c r="E5" s="538" t="s">
        <v>1683</v>
      </c>
      <c r="F5" s="532" t="s">
        <v>1675</v>
      </c>
      <c r="G5" s="536" t="s">
        <v>1684</v>
      </c>
    </row>
    <row r="6">
      <c r="A6" s="539"/>
      <c r="B6" s="539"/>
      <c r="C6" s="536"/>
      <c r="D6" s="539"/>
      <c r="E6" s="539"/>
      <c r="F6" s="539"/>
      <c r="G6" s="539"/>
    </row>
    <row r="7">
      <c r="A7" s="536" t="s">
        <v>1685</v>
      </c>
      <c r="B7" s="536" t="s">
        <v>1686</v>
      </c>
      <c r="C7" s="536" t="s">
        <v>1687</v>
      </c>
      <c r="D7" s="537" t="s">
        <v>1688</v>
      </c>
      <c r="E7" s="536" t="s">
        <v>1689</v>
      </c>
      <c r="F7" s="536" t="s">
        <v>1690</v>
      </c>
      <c r="G7" s="536" t="s">
        <v>1691</v>
      </c>
    </row>
    <row r="8">
      <c r="A8" s="539"/>
      <c r="B8" s="539"/>
      <c r="C8" s="539"/>
      <c r="D8" s="539"/>
      <c r="E8" s="539"/>
      <c r="F8" s="539"/>
      <c r="G8" s="539"/>
    </row>
    <row r="9">
      <c r="A9" s="539"/>
      <c r="B9" s="539"/>
      <c r="C9" s="539"/>
      <c r="D9" s="539"/>
      <c r="E9" s="539"/>
      <c r="F9" s="539"/>
      <c r="G9" s="539"/>
    </row>
    <row r="10">
      <c r="A10" s="539"/>
      <c r="B10" s="539"/>
      <c r="C10" s="539"/>
      <c r="D10" s="539"/>
      <c r="E10" s="539"/>
      <c r="F10" s="539"/>
      <c r="G10" s="539"/>
    </row>
    <row r="11">
      <c r="A11" s="539"/>
      <c r="B11" s="539"/>
      <c r="C11" s="539"/>
      <c r="D11" s="539"/>
      <c r="E11" s="539"/>
      <c r="F11" s="539"/>
      <c r="G11" s="539"/>
    </row>
    <row r="12">
      <c r="A12" s="539"/>
      <c r="B12" s="539"/>
      <c r="C12" s="539"/>
      <c r="D12" s="539"/>
      <c r="E12" s="539"/>
      <c r="F12" s="539"/>
      <c r="G12" s="539"/>
    </row>
    <row r="13">
      <c r="A13" s="539"/>
      <c r="B13" s="539"/>
      <c r="C13" s="539"/>
      <c r="D13" s="539"/>
      <c r="E13" s="539"/>
      <c r="F13" s="539"/>
      <c r="G13" s="539"/>
    </row>
    <row r="14">
      <c r="A14" s="539"/>
      <c r="B14" s="539"/>
      <c r="C14" s="539"/>
      <c r="D14" s="539"/>
      <c r="E14" s="539"/>
      <c r="F14" s="539"/>
      <c r="G14" s="539"/>
    </row>
    <row r="15">
      <c r="A15" s="539"/>
      <c r="B15" s="539"/>
      <c r="C15" s="539"/>
      <c r="D15" s="539"/>
      <c r="E15" s="539"/>
      <c r="F15" s="539"/>
      <c r="G15" s="539"/>
    </row>
    <row r="16">
      <c r="A16" s="539"/>
      <c r="B16" s="539"/>
      <c r="C16" s="539"/>
      <c r="D16" s="539"/>
      <c r="E16" s="539"/>
      <c r="F16" s="539"/>
      <c r="G16" s="539"/>
    </row>
    <row r="17">
      <c r="A17" s="539"/>
      <c r="B17" s="539"/>
      <c r="C17" s="539"/>
      <c r="D17" s="539"/>
      <c r="E17" s="539"/>
      <c r="F17" s="539"/>
      <c r="G17" s="539"/>
    </row>
    <row r="18">
      <c r="A18" s="539"/>
      <c r="B18" s="539"/>
      <c r="C18" s="539"/>
      <c r="D18" s="539"/>
      <c r="E18" s="539"/>
      <c r="F18" s="539"/>
      <c r="G18" s="539"/>
    </row>
    <row r="19">
      <c r="A19" s="539"/>
      <c r="B19" s="539"/>
      <c r="C19" s="539"/>
      <c r="D19" s="539"/>
      <c r="E19" s="539"/>
      <c r="F19" s="539"/>
      <c r="G19" s="539"/>
    </row>
    <row r="20">
      <c r="A20" s="513"/>
      <c r="B20" s="513"/>
      <c r="C20" s="513"/>
      <c r="D20" s="513"/>
      <c r="E20" s="513"/>
      <c r="F20" s="513"/>
      <c r="G20" s="513"/>
    </row>
    <row r="21">
      <c r="A21" s="513"/>
      <c r="B21" s="513"/>
      <c r="C21" s="513"/>
      <c r="D21" s="513"/>
      <c r="E21" s="513"/>
      <c r="F21" s="513"/>
      <c r="G21" s="513"/>
    </row>
    <row r="22">
      <c r="A22" s="513"/>
      <c r="B22" s="513"/>
      <c r="C22" s="513"/>
      <c r="D22" s="513"/>
      <c r="E22" s="513"/>
      <c r="F22" s="513"/>
      <c r="G22" s="513"/>
    </row>
    <row r="23">
      <c r="A23" s="513"/>
      <c r="B23" s="513"/>
      <c r="C23" s="513"/>
      <c r="D23" s="513"/>
      <c r="E23" s="513"/>
      <c r="F23" s="513"/>
      <c r="G23" s="513"/>
    </row>
    <row r="24">
      <c r="A24" s="513"/>
      <c r="B24" s="513"/>
      <c r="C24" s="513"/>
      <c r="D24" s="513"/>
      <c r="E24" s="513"/>
      <c r="F24" s="513"/>
      <c r="G24" s="513"/>
    </row>
    <row r="25">
      <c r="A25" s="513"/>
      <c r="B25" s="513"/>
      <c r="C25" s="513"/>
      <c r="D25" s="513"/>
      <c r="E25" s="513"/>
      <c r="F25" s="513"/>
      <c r="G25" s="513"/>
    </row>
    <row r="26">
      <c r="A26" s="513"/>
      <c r="B26" s="513"/>
      <c r="C26" s="513"/>
      <c r="D26" s="513"/>
      <c r="E26" s="513"/>
      <c r="F26" s="513"/>
      <c r="G26" s="513"/>
    </row>
    <row r="27">
      <c r="A27" s="513"/>
      <c r="B27" s="513"/>
      <c r="C27" s="513"/>
      <c r="D27" s="513"/>
      <c r="E27" s="513"/>
      <c r="F27" s="513"/>
      <c r="G27" s="513"/>
    </row>
    <row r="28">
      <c r="A28" s="513"/>
      <c r="B28" s="513"/>
      <c r="C28" s="513"/>
      <c r="D28" s="513"/>
      <c r="E28" s="513"/>
      <c r="F28" s="513"/>
      <c r="G28" s="513"/>
    </row>
    <row r="29">
      <c r="A29" s="513"/>
      <c r="B29" s="513"/>
      <c r="C29" s="513"/>
      <c r="D29" s="513"/>
      <c r="E29" s="513"/>
      <c r="F29" s="513"/>
      <c r="G29" s="513"/>
    </row>
    <row r="30">
      <c r="A30" s="513"/>
      <c r="B30" s="513"/>
      <c r="C30" s="513"/>
      <c r="D30" s="513"/>
      <c r="E30" s="513"/>
      <c r="F30" s="513"/>
      <c r="G30" s="513"/>
    </row>
    <row r="31">
      <c r="A31" s="513"/>
      <c r="B31" s="513"/>
      <c r="C31" s="513"/>
      <c r="D31" s="513"/>
      <c r="E31" s="513"/>
      <c r="F31" s="513"/>
      <c r="G31" s="513"/>
    </row>
    <row r="32">
      <c r="A32" s="513"/>
      <c r="B32" s="513"/>
      <c r="C32" s="513"/>
      <c r="D32" s="513"/>
      <c r="E32" s="513"/>
      <c r="F32" s="513"/>
      <c r="G32" s="513"/>
    </row>
    <row r="33">
      <c r="A33" s="513"/>
      <c r="B33" s="513"/>
      <c r="C33" s="513"/>
      <c r="D33" s="513"/>
      <c r="E33" s="513"/>
      <c r="F33" s="513"/>
      <c r="G33" s="513"/>
    </row>
    <row r="34">
      <c r="A34" s="513"/>
      <c r="B34" s="513"/>
      <c r="C34" s="513"/>
      <c r="D34" s="513"/>
      <c r="E34" s="513"/>
      <c r="F34" s="513"/>
      <c r="G34" s="513"/>
    </row>
    <row r="35">
      <c r="A35" s="513"/>
      <c r="B35" s="513"/>
      <c r="C35" s="513"/>
      <c r="D35" s="513"/>
      <c r="E35" s="513"/>
      <c r="F35" s="513"/>
      <c r="G35" s="513"/>
    </row>
    <row r="36">
      <c r="A36" s="513"/>
      <c r="B36" s="513"/>
      <c r="C36" s="513"/>
      <c r="D36" s="513"/>
      <c r="E36" s="513"/>
      <c r="F36" s="513"/>
      <c r="G36" s="513"/>
    </row>
    <row r="37">
      <c r="A37" s="513"/>
      <c r="B37" s="513"/>
      <c r="C37" s="513"/>
      <c r="D37" s="513"/>
      <c r="E37" s="513"/>
      <c r="F37" s="513"/>
      <c r="G37" s="513"/>
    </row>
    <row r="38">
      <c r="A38" s="513"/>
      <c r="B38" s="513"/>
      <c r="C38" s="513"/>
      <c r="D38" s="513"/>
      <c r="E38" s="513"/>
      <c r="F38" s="513"/>
      <c r="G38" s="513"/>
    </row>
    <row r="39">
      <c r="A39" s="513"/>
      <c r="B39" s="513"/>
      <c r="C39" s="513"/>
      <c r="D39" s="513"/>
      <c r="E39" s="513"/>
      <c r="F39" s="513"/>
      <c r="G39" s="513"/>
    </row>
    <row r="40">
      <c r="A40" s="513"/>
      <c r="B40" s="513"/>
      <c r="C40" s="513"/>
      <c r="D40" s="513"/>
      <c r="E40" s="513"/>
      <c r="F40" s="513"/>
      <c r="G40" s="513"/>
    </row>
    <row r="41">
      <c r="A41" s="513"/>
      <c r="B41" s="513"/>
      <c r="C41" s="513"/>
      <c r="D41" s="513"/>
      <c r="E41" s="513"/>
      <c r="F41" s="513"/>
      <c r="G41" s="513"/>
    </row>
    <row r="42">
      <c r="A42" s="513"/>
      <c r="B42" s="513"/>
      <c r="C42" s="513"/>
      <c r="D42" s="513"/>
      <c r="E42" s="513"/>
      <c r="F42" s="513"/>
      <c r="G42" s="513"/>
    </row>
    <row r="43">
      <c r="A43" s="513"/>
      <c r="B43" s="513"/>
      <c r="C43" s="513"/>
      <c r="D43" s="513"/>
      <c r="E43" s="513"/>
      <c r="F43" s="513"/>
      <c r="G43" s="513"/>
    </row>
    <row r="44">
      <c r="A44" s="513"/>
      <c r="B44" s="513"/>
      <c r="C44" s="513"/>
      <c r="D44" s="513"/>
      <c r="E44" s="513"/>
      <c r="F44" s="513"/>
      <c r="G44" s="513"/>
    </row>
    <row r="45">
      <c r="A45" s="513"/>
      <c r="B45" s="513"/>
      <c r="C45" s="513"/>
      <c r="D45" s="513"/>
      <c r="E45" s="513"/>
      <c r="F45" s="513"/>
      <c r="G45" s="513"/>
    </row>
    <row r="46">
      <c r="A46" s="513"/>
      <c r="B46" s="513"/>
      <c r="C46" s="513"/>
      <c r="D46" s="513"/>
      <c r="E46" s="513"/>
      <c r="F46" s="513"/>
      <c r="G46" s="513"/>
    </row>
    <row r="47">
      <c r="A47" s="513"/>
      <c r="B47" s="513"/>
      <c r="C47" s="513"/>
      <c r="D47" s="513"/>
      <c r="E47" s="513"/>
      <c r="F47" s="513"/>
      <c r="G47" s="513"/>
    </row>
    <row r="48">
      <c r="A48" s="513"/>
      <c r="B48" s="513"/>
      <c r="C48" s="513"/>
      <c r="D48" s="513"/>
      <c r="E48" s="513"/>
      <c r="F48" s="513"/>
      <c r="G48" s="513"/>
    </row>
    <row r="49">
      <c r="A49" s="513"/>
      <c r="B49" s="513"/>
      <c r="C49" s="513"/>
      <c r="D49" s="513"/>
      <c r="E49" s="513"/>
      <c r="F49" s="513"/>
      <c r="G49" s="513"/>
    </row>
    <row r="50">
      <c r="A50" s="513"/>
      <c r="B50" s="513"/>
      <c r="C50" s="513"/>
      <c r="D50" s="513"/>
      <c r="E50" s="513"/>
      <c r="F50" s="513"/>
      <c r="G50" s="513"/>
    </row>
    <row r="51">
      <c r="A51" s="513"/>
      <c r="B51" s="513"/>
      <c r="C51" s="513"/>
      <c r="D51" s="513"/>
      <c r="E51" s="513"/>
      <c r="F51" s="513"/>
      <c r="G51" s="513"/>
    </row>
    <row r="52">
      <c r="A52" s="513"/>
      <c r="B52" s="513"/>
      <c r="C52" s="513"/>
      <c r="D52" s="513"/>
      <c r="E52" s="513"/>
      <c r="F52" s="513"/>
      <c r="G52" s="513"/>
    </row>
    <row r="53">
      <c r="A53" s="513"/>
      <c r="B53" s="513"/>
      <c r="C53" s="513"/>
      <c r="D53" s="513"/>
      <c r="E53" s="513"/>
      <c r="F53" s="513"/>
      <c r="G53" s="513"/>
    </row>
    <row r="54">
      <c r="A54" s="513"/>
      <c r="B54" s="513"/>
      <c r="C54" s="513"/>
      <c r="D54" s="513"/>
      <c r="E54" s="513"/>
      <c r="F54" s="513"/>
      <c r="G54" s="513"/>
    </row>
    <row r="55">
      <c r="A55" s="513"/>
      <c r="B55" s="513"/>
      <c r="C55" s="513"/>
      <c r="D55" s="513"/>
      <c r="E55" s="513"/>
      <c r="F55" s="513"/>
      <c r="G55" s="513"/>
    </row>
    <row r="56">
      <c r="A56" s="513"/>
      <c r="B56" s="513"/>
      <c r="C56" s="513"/>
      <c r="D56" s="513"/>
      <c r="E56" s="513"/>
      <c r="F56" s="513"/>
      <c r="G56" s="513"/>
    </row>
    <row r="57">
      <c r="A57" s="513"/>
      <c r="B57" s="513"/>
      <c r="C57" s="513"/>
      <c r="D57" s="513"/>
      <c r="E57" s="513"/>
      <c r="F57" s="513"/>
      <c r="G57" s="513"/>
    </row>
    <row r="58">
      <c r="A58" s="513"/>
      <c r="B58" s="513"/>
      <c r="C58" s="513"/>
      <c r="D58" s="513"/>
      <c r="E58" s="513"/>
      <c r="F58" s="513"/>
      <c r="G58" s="513"/>
    </row>
    <row r="59">
      <c r="A59" s="513"/>
      <c r="B59" s="513"/>
      <c r="C59" s="513"/>
      <c r="D59" s="513"/>
      <c r="E59" s="513"/>
      <c r="F59" s="513"/>
      <c r="G59" s="513"/>
    </row>
    <row r="60">
      <c r="A60" s="513"/>
      <c r="B60" s="513"/>
      <c r="C60" s="513"/>
      <c r="D60" s="513"/>
      <c r="E60" s="513"/>
      <c r="F60" s="513"/>
      <c r="G60" s="513"/>
    </row>
    <row r="61">
      <c r="A61" s="513"/>
      <c r="B61" s="513"/>
      <c r="C61" s="513"/>
      <c r="D61" s="513"/>
      <c r="E61" s="513"/>
      <c r="F61" s="513"/>
      <c r="G61" s="513"/>
    </row>
    <row r="62">
      <c r="A62" s="513"/>
      <c r="B62" s="513"/>
      <c r="C62" s="513"/>
      <c r="D62" s="513"/>
      <c r="E62" s="513"/>
      <c r="F62" s="513"/>
      <c r="G62" s="513"/>
    </row>
    <row r="63">
      <c r="A63" s="513"/>
      <c r="B63" s="513"/>
      <c r="C63" s="513"/>
      <c r="D63" s="513"/>
      <c r="E63" s="513"/>
      <c r="F63" s="513"/>
      <c r="G63" s="513"/>
    </row>
    <row r="64">
      <c r="A64" s="513"/>
      <c r="B64" s="513"/>
      <c r="C64" s="513"/>
      <c r="D64" s="513"/>
      <c r="E64" s="513"/>
      <c r="F64" s="513"/>
      <c r="G64" s="513"/>
    </row>
    <row r="65">
      <c r="A65" s="513"/>
      <c r="B65" s="513"/>
      <c r="C65" s="513"/>
      <c r="D65" s="513"/>
      <c r="E65" s="513"/>
      <c r="F65" s="513"/>
      <c r="G65" s="513"/>
    </row>
    <row r="66">
      <c r="A66" s="513"/>
      <c r="B66" s="513"/>
      <c r="C66" s="513"/>
      <c r="D66" s="513"/>
      <c r="E66" s="513"/>
      <c r="F66" s="513"/>
      <c r="G66" s="513"/>
    </row>
    <row r="67">
      <c r="A67" s="513"/>
      <c r="B67" s="513"/>
      <c r="C67" s="513"/>
      <c r="D67" s="513"/>
      <c r="E67" s="513"/>
      <c r="F67" s="513"/>
      <c r="G67" s="513"/>
    </row>
    <row r="68">
      <c r="A68" s="513"/>
      <c r="B68" s="513"/>
      <c r="C68" s="513"/>
      <c r="D68" s="513"/>
      <c r="E68" s="513"/>
      <c r="F68" s="513"/>
      <c r="G68" s="513"/>
    </row>
    <row r="69">
      <c r="A69" s="513"/>
      <c r="B69" s="513"/>
      <c r="C69" s="513"/>
      <c r="D69" s="513"/>
      <c r="E69" s="513"/>
      <c r="F69" s="513"/>
      <c r="G69" s="513"/>
    </row>
    <row r="70">
      <c r="A70" s="513"/>
      <c r="B70" s="513"/>
      <c r="C70" s="513"/>
      <c r="D70" s="513"/>
      <c r="E70" s="513"/>
      <c r="F70" s="513"/>
      <c r="G70" s="513"/>
    </row>
    <row r="71">
      <c r="A71" s="513"/>
      <c r="B71" s="513"/>
      <c r="C71" s="513"/>
      <c r="D71" s="513"/>
      <c r="E71" s="513"/>
      <c r="F71" s="513"/>
      <c r="G71" s="513"/>
    </row>
    <row r="72">
      <c r="A72" s="513"/>
      <c r="B72" s="513"/>
      <c r="C72" s="513"/>
      <c r="D72" s="513"/>
      <c r="E72" s="513"/>
      <c r="F72" s="513"/>
      <c r="G72" s="513"/>
    </row>
    <row r="73">
      <c r="A73" s="513"/>
      <c r="B73" s="513"/>
      <c r="C73" s="513"/>
      <c r="D73" s="513"/>
      <c r="E73" s="513"/>
      <c r="F73" s="513"/>
      <c r="G73" s="513"/>
    </row>
    <row r="74">
      <c r="A74" s="513"/>
      <c r="B74" s="513"/>
      <c r="C74" s="513"/>
      <c r="D74" s="513"/>
      <c r="E74" s="513"/>
      <c r="F74" s="513"/>
      <c r="G74" s="513"/>
    </row>
    <row r="75">
      <c r="A75" s="513"/>
      <c r="B75" s="513"/>
      <c r="C75" s="513"/>
      <c r="D75" s="513"/>
      <c r="E75" s="513"/>
      <c r="F75" s="513"/>
      <c r="G75" s="513"/>
    </row>
    <row r="76">
      <c r="A76" s="513"/>
      <c r="B76" s="513"/>
      <c r="C76" s="513"/>
      <c r="D76" s="513"/>
      <c r="E76" s="513"/>
      <c r="F76" s="513"/>
      <c r="G76" s="513"/>
    </row>
    <row r="77">
      <c r="A77" s="513"/>
      <c r="B77" s="513"/>
      <c r="C77" s="513"/>
      <c r="D77" s="513"/>
      <c r="E77" s="513"/>
      <c r="F77" s="513"/>
      <c r="G77" s="513"/>
    </row>
    <row r="78">
      <c r="A78" s="513"/>
      <c r="B78" s="513"/>
      <c r="C78" s="513"/>
      <c r="D78" s="513"/>
      <c r="E78" s="513"/>
      <c r="F78" s="513"/>
      <c r="G78" s="513"/>
    </row>
    <row r="79">
      <c r="A79" s="513"/>
      <c r="B79" s="513"/>
      <c r="C79" s="513"/>
      <c r="D79" s="513"/>
      <c r="E79" s="513"/>
      <c r="F79" s="513"/>
      <c r="G79" s="513"/>
    </row>
    <row r="80">
      <c r="A80" s="513"/>
      <c r="B80" s="513"/>
      <c r="C80" s="513"/>
      <c r="D80" s="513"/>
      <c r="E80" s="513"/>
      <c r="F80" s="513"/>
      <c r="G80" s="513"/>
    </row>
    <row r="81">
      <c r="A81" s="513"/>
      <c r="B81" s="513"/>
      <c r="C81" s="513"/>
      <c r="D81" s="513"/>
      <c r="E81" s="513"/>
      <c r="F81" s="513"/>
      <c r="G81" s="513"/>
    </row>
    <row r="82">
      <c r="A82" s="513"/>
      <c r="B82" s="513"/>
      <c r="C82" s="513"/>
      <c r="D82" s="513"/>
      <c r="E82" s="513"/>
      <c r="F82" s="513"/>
      <c r="G82" s="513"/>
    </row>
    <row r="83">
      <c r="A83" s="513"/>
      <c r="B83" s="513"/>
      <c r="C83" s="513"/>
      <c r="D83" s="513"/>
      <c r="E83" s="513"/>
      <c r="F83" s="513"/>
      <c r="G83" s="513"/>
    </row>
    <row r="84">
      <c r="A84" s="513"/>
      <c r="B84" s="513"/>
      <c r="C84" s="513"/>
      <c r="D84" s="513"/>
      <c r="E84" s="513"/>
      <c r="F84" s="513"/>
      <c r="G84" s="513"/>
    </row>
    <row r="85">
      <c r="A85" s="513"/>
      <c r="B85" s="513"/>
      <c r="C85" s="513"/>
      <c r="D85" s="513"/>
      <c r="E85" s="513"/>
      <c r="F85" s="513"/>
      <c r="G85" s="513"/>
    </row>
    <row r="86">
      <c r="A86" s="513"/>
      <c r="B86" s="513"/>
      <c r="C86" s="513"/>
      <c r="D86" s="513"/>
      <c r="E86" s="513"/>
      <c r="F86" s="513"/>
      <c r="G86" s="513"/>
    </row>
    <row r="87">
      <c r="A87" s="513"/>
      <c r="B87" s="513"/>
      <c r="C87" s="513"/>
      <c r="D87" s="513"/>
      <c r="E87" s="513"/>
      <c r="F87" s="513"/>
      <c r="G87" s="513"/>
    </row>
    <row r="88">
      <c r="A88" s="513"/>
      <c r="B88" s="513"/>
      <c r="C88" s="513"/>
      <c r="D88" s="513"/>
      <c r="E88" s="513"/>
      <c r="F88" s="513"/>
      <c r="G88" s="513"/>
    </row>
    <row r="89">
      <c r="A89" s="513"/>
      <c r="B89" s="513"/>
      <c r="C89" s="513"/>
      <c r="D89" s="513"/>
      <c r="E89" s="513"/>
      <c r="F89" s="513"/>
      <c r="G89" s="513"/>
    </row>
    <row r="90">
      <c r="A90" s="513"/>
      <c r="B90" s="513"/>
      <c r="C90" s="513"/>
      <c r="D90" s="513"/>
      <c r="E90" s="513"/>
      <c r="F90" s="513"/>
      <c r="G90" s="513"/>
    </row>
    <row r="91">
      <c r="A91" s="513"/>
      <c r="B91" s="513"/>
      <c r="C91" s="513"/>
      <c r="D91" s="513"/>
      <c r="E91" s="513"/>
      <c r="F91" s="513"/>
      <c r="G91" s="513"/>
    </row>
    <row r="92">
      <c r="A92" s="513"/>
      <c r="B92" s="513"/>
      <c r="C92" s="513"/>
      <c r="D92" s="513"/>
      <c r="E92" s="513"/>
      <c r="F92" s="513"/>
      <c r="G92" s="513"/>
    </row>
    <row r="93">
      <c r="A93" s="513"/>
      <c r="B93" s="513"/>
      <c r="C93" s="513"/>
      <c r="D93" s="513"/>
      <c r="E93" s="513"/>
      <c r="F93" s="513"/>
      <c r="G93" s="513"/>
    </row>
    <row r="94">
      <c r="A94" s="513"/>
      <c r="B94" s="513"/>
      <c r="C94" s="513"/>
      <c r="D94" s="513"/>
      <c r="E94" s="513"/>
      <c r="F94" s="513"/>
      <c r="G94" s="513"/>
    </row>
    <row r="95">
      <c r="A95" s="513"/>
      <c r="B95" s="513"/>
      <c r="C95" s="513"/>
      <c r="D95" s="513"/>
      <c r="E95" s="513"/>
      <c r="F95" s="513"/>
      <c r="G95" s="513"/>
    </row>
    <row r="96">
      <c r="A96" s="513"/>
      <c r="B96" s="513"/>
      <c r="C96" s="513"/>
      <c r="D96" s="513"/>
      <c r="E96" s="513"/>
      <c r="F96" s="513"/>
      <c r="G96" s="513"/>
    </row>
    <row r="97">
      <c r="A97" s="513"/>
      <c r="B97" s="513"/>
      <c r="C97" s="513"/>
      <c r="D97" s="513"/>
      <c r="E97" s="513"/>
      <c r="F97" s="513"/>
      <c r="G97" s="513"/>
    </row>
    <row r="98">
      <c r="A98" s="513"/>
      <c r="B98" s="513"/>
      <c r="C98" s="513"/>
      <c r="D98" s="513"/>
      <c r="E98" s="513"/>
      <c r="F98" s="513"/>
      <c r="G98" s="513"/>
    </row>
    <row r="99">
      <c r="A99" s="513"/>
      <c r="B99" s="513"/>
      <c r="C99" s="513"/>
      <c r="D99" s="513"/>
      <c r="E99" s="513"/>
      <c r="F99" s="513"/>
      <c r="G99" s="513"/>
    </row>
    <row r="100">
      <c r="A100" s="513"/>
      <c r="B100" s="513"/>
      <c r="C100" s="513"/>
      <c r="D100" s="513"/>
      <c r="E100" s="513"/>
      <c r="F100" s="513"/>
      <c r="G100" s="513"/>
    </row>
    <row r="101">
      <c r="A101" s="513"/>
      <c r="B101" s="513"/>
      <c r="C101" s="513"/>
      <c r="D101" s="513"/>
      <c r="E101" s="513"/>
      <c r="F101" s="513"/>
      <c r="G101" s="513"/>
    </row>
    <row r="102">
      <c r="A102" s="513"/>
      <c r="B102" s="513"/>
      <c r="C102" s="513"/>
      <c r="D102" s="513"/>
      <c r="E102" s="513"/>
      <c r="F102" s="513"/>
      <c r="G102" s="513"/>
    </row>
    <row r="103">
      <c r="A103" s="513"/>
      <c r="B103" s="513"/>
      <c r="C103" s="513"/>
      <c r="D103" s="513"/>
      <c r="E103" s="513"/>
      <c r="F103" s="513"/>
      <c r="G103" s="513"/>
    </row>
    <row r="104">
      <c r="A104" s="513"/>
      <c r="B104" s="513"/>
      <c r="C104" s="513"/>
      <c r="D104" s="513"/>
      <c r="E104" s="513"/>
      <c r="F104" s="513"/>
      <c r="G104" s="513"/>
    </row>
    <row r="105">
      <c r="A105" s="513"/>
      <c r="B105" s="513"/>
      <c r="C105" s="513"/>
      <c r="D105" s="513"/>
      <c r="E105" s="513"/>
      <c r="F105" s="513"/>
      <c r="G105" s="513"/>
    </row>
    <row r="106">
      <c r="A106" s="513"/>
      <c r="B106" s="513"/>
      <c r="C106" s="513"/>
      <c r="D106" s="513"/>
      <c r="E106" s="513"/>
      <c r="F106" s="513"/>
      <c r="G106" s="513"/>
    </row>
    <row r="107">
      <c r="A107" s="513"/>
      <c r="B107" s="513"/>
      <c r="C107" s="513"/>
      <c r="D107" s="513"/>
      <c r="E107" s="513"/>
      <c r="F107" s="513"/>
      <c r="G107" s="513"/>
    </row>
    <row r="108">
      <c r="A108" s="513"/>
      <c r="B108" s="513"/>
      <c r="C108" s="513"/>
      <c r="D108" s="513"/>
      <c r="E108" s="513"/>
      <c r="F108" s="513"/>
      <c r="G108" s="513"/>
    </row>
    <row r="109">
      <c r="A109" s="513"/>
      <c r="B109" s="513"/>
      <c r="C109" s="513"/>
      <c r="D109" s="513"/>
      <c r="E109" s="513"/>
      <c r="F109" s="513"/>
      <c r="G109" s="513"/>
    </row>
    <row r="110">
      <c r="A110" s="513"/>
      <c r="B110" s="513"/>
      <c r="C110" s="513"/>
      <c r="D110" s="513"/>
      <c r="E110" s="513"/>
      <c r="F110" s="513"/>
      <c r="G110" s="513"/>
    </row>
    <row r="111">
      <c r="A111" s="513"/>
      <c r="B111" s="513"/>
      <c r="C111" s="513"/>
      <c r="D111" s="513"/>
      <c r="E111" s="513"/>
      <c r="F111" s="513"/>
      <c r="G111" s="513"/>
    </row>
    <row r="112">
      <c r="A112" s="513"/>
      <c r="B112" s="513"/>
      <c r="C112" s="513"/>
      <c r="D112" s="513"/>
      <c r="E112" s="513"/>
      <c r="F112" s="513"/>
      <c r="G112" s="513"/>
    </row>
    <row r="113">
      <c r="A113" s="513"/>
      <c r="B113" s="513"/>
      <c r="C113" s="513"/>
      <c r="D113" s="513"/>
      <c r="E113" s="513"/>
      <c r="F113" s="513"/>
      <c r="G113" s="513"/>
    </row>
    <row r="114">
      <c r="A114" s="513"/>
      <c r="B114" s="513"/>
      <c r="C114" s="513"/>
      <c r="D114" s="513"/>
      <c r="E114" s="513"/>
      <c r="F114" s="513"/>
      <c r="G114" s="513"/>
    </row>
    <row r="115">
      <c r="A115" s="513"/>
      <c r="B115" s="513"/>
      <c r="C115" s="513"/>
      <c r="D115" s="513"/>
      <c r="E115" s="513"/>
      <c r="F115" s="513"/>
      <c r="G115" s="513"/>
    </row>
    <row r="116">
      <c r="A116" s="513"/>
      <c r="B116" s="513"/>
      <c r="C116" s="513"/>
      <c r="D116" s="513"/>
      <c r="E116" s="513"/>
      <c r="F116" s="513"/>
      <c r="G116" s="513"/>
    </row>
    <row r="117">
      <c r="A117" s="513"/>
      <c r="B117" s="513"/>
      <c r="C117" s="513"/>
      <c r="D117" s="513"/>
      <c r="E117" s="513"/>
      <c r="F117" s="513"/>
      <c r="G117" s="513"/>
    </row>
    <row r="118">
      <c r="A118" s="513"/>
      <c r="B118" s="513"/>
      <c r="C118" s="513"/>
      <c r="D118" s="513"/>
      <c r="E118" s="513"/>
      <c r="F118" s="513"/>
      <c r="G118" s="513"/>
    </row>
    <row r="119">
      <c r="A119" s="513"/>
      <c r="B119" s="513"/>
      <c r="C119" s="513"/>
      <c r="D119" s="513"/>
      <c r="E119" s="513"/>
      <c r="F119" s="513"/>
      <c r="G119" s="513"/>
    </row>
    <row r="120">
      <c r="A120" s="513"/>
      <c r="B120" s="513"/>
      <c r="C120" s="513"/>
      <c r="D120" s="513"/>
      <c r="E120" s="513"/>
      <c r="F120" s="513"/>
      <c r="G120" s="513"/>
    </row>
    <row r="121">
      <c r="A121" s="513"/>
      <c r="B121" s="513"/>
      <c r="C121" s="513"/>
      <c r="D121" s="513"/>
      <c r="E121" s="513"/>
      <c r="F121" s="513"/>
      <c r="G121" s="513"/>
    </row>
    <row r="122">
      <c r="A122" s="513"/>
      <c r="B122" s="513"/>
      <c r="C122" s="513"/>
      <c r="D122" s="513"/>
      <c r="E122" s="513"/>
      <c r="F122" s="513"/>
      <c r="G122" s="513"/>
    </row>
    <row r="123">
      <c r="A123" s="513"/>
      <c r="B123" s="513"/>
      <c r="C123" s="513"/>
      <c r="D123" s="513"/>
      <c r="E123" s="513"/>
      <c r="F123" s="513"/>
      <c r="G123" s="513"/>
    </row>
    <row r="124">
      <c r="A124" s="513"/>
      <c r="B124" s="513"/>
      <c r="C124" s="513"/>
      <c r="D124" s="513"/>
      <c r="E124" s="513"/>
      <c r="F124" s="513"/>
      <c r="G124" s="513"/>
    </row>
    <row r="125">
      <c r="A125" s="513"/>
      <c r="B125" s="513"/>
      <c r="C125" s="513"/>
      <c r="D125" s="513"/>
      <c r="E125" s="513"/>
      <c r="F125" s="513"/>
      <c r="G125" s="513"/>
    </row>
    <row r="126">
      <c r="A126" s="513"/>
      <c r="B126" s="513"/>
      <c r="C126" s="513"/>
      <c r="D126" s="513"/>
      <c r="E126" s="513"/>
      <c r="F126" s="513"/>
      <c r="G126" s="513"/>
    </row>
    <row r="127">
      <c r="A127" s="513"/>
      <c r="B127" s="513"/>
      <c r="C127" s="513"/>
      <c r="D127" s="513"/>
      <c r="E127" s="513"/>
      <c r="F127" s="513"/>
      <c r="G127" s="513"/>
    </row>
    <row r="128">
      <c r="A128" s="513"/>
      <c r="B128" s="513"/>
      <c r="C128" s="513"/>
      <c r="D128" s="513"/>
      <c r="E128" s="513"/>
      <c r="F128" s="513"/>
      <c r="G128" s="513"/>
    </row>
    <row r="129">
      <c r="A129" s="513"/>
      <c r="B129" s="513"/>
      <c r="C129" s="513"/>
      <c r="D129" s="513"/>
      <c r="E129" s="513"/>
      <c r="F129" s="513"/>
      <c r="G129" s="513"/>
    </row>
    <row r="130">
      <c r="A130" s="513"/>
      <c r="B130" s="513"/>
      <c r="C130" s="513"/>
      <c r="D130" s="513"/>
      <c r="E130" s="513"/>
      <c r="F130" s="513"/>
      <c r="G130" s="513"/>
    </row>
    <row r="131">
      <c r="A131" s="513"/>
      <c r="B131" s="513"/>
      <c r="C131" s="513"/>
      <c r="D131" s="513"/>
      <c r="E131" s="513"/>
      <c r="F131" s="513"/>
      <c r="G131" s="513"/>
    </row>
    <row r="132">
      <c r="A132" s="513"/>
      <c r="B132" s="513"/>
      <c r="C132" s="513"/>
      <c r="D132" s="513"/>
      <c r="E132" s="513"/>
      <c r="F132" s="513"/>
      <c r="G132" s="513"/>
    </row>
    <row r="133">
      <c r="A133" s="513"/>
      <c r="B133" s="513"/>
      <c r="C133" s="513"/>
      <c r="D133" s="513"/>
      <c r="E133" s="513"/>
      <c r="F133" s="513"/>
      <c r="G133" s="513"/>
    </row>
    <row r="134">
      <c r="A134" s="513"/>
      <c r="B134" s="513"/>
      <c r="C134" s="513"/>
      <c r="D134" s="513"/>
      <c r="E134" s="513"/>
      <c r="F134" s="513"/>
      <c r="G134" s="513"/>
    </row>
    <row r="135">
      <c r="A135" s="513"/>
      <c r="B135" s="513"/>
      <c r="C135" s="513"/>
      <c r="D135" s="513"/>
      <c r="E135" s="513"/>
      <c r="F135" s="513"/>
      <c r="G135" s="513"/>
    </row>
    <row r="136">
      <c r="A136" s="513"/>
      <c r="B136" s="513"/>
      <c r="C136" s="513"/>
      <c r="D136" s="513"/>
      <c r="E136" s="513"/>
      <c r="F136" s="513"/>
      <c r="G136" s="513"/>
    </row>
    <row r="137">
      <c r="A137" s="513"/>
      <c r="B137" s="513"/>
      <c r="C137" s="513"/>
      <c r="D137" s="513"/>
      <c r="E137" s="513"/>
      <c r="F137" s="513"/>
      <c r="G137" s="513"/>
    </row>
    <row r="138">
      <c r="A138" s="513"/>
      <c r="B138" s="513"/>
      <c r="C138" s="513"/>
      <c r="D138" s="513"/>
      <c r="E138" s="513"/>
      <c r="F138" s="513"/>
      <c r="G138" s="513"/>
    </row>
    <row r="139">
      <c r="A139" s="513"/>
      <c r="B139" s="513"/>
      <c r="C139" s="513"/>
      <c r="D139" s="513"/>
      <c r="E139" s="513"/>
      <c r="F139" s="513"/>
      <c r="G139" s="513"/>
    </row>
    <row r="140">
      <c r="A140" s="513"/>
      <c r="B140" s="513"/>
      <c r="C140" s="513"/>
      <c r="D140" s="513"/>
      <c r="E140" s="513"/>
      <c r="F140" s="513"/>
      <c r="G140" s="513"/>
    </row>
    <row r="141">
      <c r="A141" s="513"/>
      <c r="B141" s="513"/>
      <c r="C141" s="513"/>
      <c r="D141" s="513"/>
      <c r="E141" s="513"/>
      <c r="F141" s="513"/>
      <c r="G141" s="513"/>
    </row>
    <row r="142">
      <c r="A142" s="513"/>
      <c r="B142" s="513"/>
      <c r="C142" s="513"/>
      <c r="D142" s="513"/>
      <c r="E142" s="513"/>
      <c r="F142" s="513"/>
      <c r="G142" s="513"/>
    </row>
    <row r="143">
      <c r="A143" s="513"/>
      <c r="B143" s="513"/>
      <c r="C143" s="513"/>
      <c r="D143" s="513"/>
      <c r="E143" s="513"/>
      <c r="F143" s="513"/>
      <c r="G143" s="513"/>
    </row>
    <row r="144">
      <c r="A144" s="513"/>
      <c r="B144" s="513"/>
      <c r="C144" s="513"/>
      <c r="D144" s="513"/>
      <c r="E144" s="513"/>
      <c r="F144" s="513"/>
      <c r="G144" s="513"/>
    </row>
    <row r="145">
      <c r="A145" s="513"/>
      <c r="B145" s="513"/>
      <c r="C145" s="513"/>
      <c r="D145" s="513"/>
      <c r="E145" s="513"/>
      <c r="F145" s="513"/>
      <c r="G145" s="513"/>
    </row>
    <row r="146">
      <c r="A146" s="513"/>
      <c r="B146" s="513"/>
      <c r="C146" s="513"/>
      <c r="D146" s="513"/>
      <c r="E146" s="513"/>
      <c r="F146" s="513"/>
      <c r="G146" s="513"/>
    </row>
    <row r="147">
      <c r="A147" s="513"/>
      <c r="B147" s="513"/>
      <c r="C147" s="513"/>
      <c r="D147" s="513"/>
      <c r="E147" s="513"/>
      <c r="F147" s="513"/>
      <c r="G147" s="513"/>
    </row>
    <row r="148">
      <c r="A148" s="513"/>
      <c r="B148" s="513"/>
      <c r="C148" s="513"/>
      <c r="D148" s="513"/>
      <c r="E148" s="513"/>
      <c r="F148" s="513"/>
      <c r="G148" s="513"/>
    </row>
    <row r="149">
      <c r="A149" s="513"/>
      <c r="B149" s="513"/>
      <c r="C149" s="513"/>
      <c r="D149" s="513"/>
      <c r="E149" s="513"/>
      <c r="F149" s="513"/>
      <c r="G149" s="513"/>
    </row>
    <row r="150">
      <c r="A150" s="513"/>
      <c r="B150" s="513"/>
      <c r="C150" s="513"/>
      <c r="D150" s="513"/>
      <c r="E150" s="513"/>
      <c r="F150" s="513"/>
      <c r="G150" s="513"/>
    </row>
    <row r="151">
      <c r="A151" s="513"/>
      <c r="B151" s="513"/>
      <c r="C151" s="513"/>
      <c r="D151" s="513"/>
      <c r="E151" s="513"/>
      <c r="F151" s="513"/>
      <c r="G151" s="513"/>
    </row>
    <row r="152">
      <c r="A152" s="513"/>
      <c r="B152" s="513"/>
      <c r="C152" s="513"/>
      <c r="D152" s="513"/>
      <c r="E152" s="513"/>
      <c r="F152" s="513"/>
      <c r="G152" s="513"/>
    </row>
    <row r="153">
      <c r="A153" s="513"/>
      <c r="B153" s="513"/>
      <c r="C153" s="513"/>
      <c r="D153" s="513"/>
      <c r="E153" s="513"/>
      <c r="F153" s="513"/>
      <c r="G153" s="513"/>
    </row>
    <row r="154">
      <c r="A154" s="513"/>
      <c r="B154" s="513"/>
      <c r="C154" s="513"/>
      <c r="D154" s="513"/>
      <c r="E154" s="513"/>
      <c r="F154" s="513"/>
      <c r="G154" s="513"/>
    </row>
    <row r="155">
      <c r="A155" s="513"/>
      <c r="B155" s="513"/>
      <c r="C155" s="513"/>
      <c r="D155" s="513"/>
      <c r="E155" s="513"/>
      <c r="F155" s="513"/>
      <c r="G155" s="513"/>
    </row>
    <row r="156">
      <c r="A156" s="513"/>
      <c r="B156" s="513"/>
      <c r="C156" s="513"/>
      <c r="D156" s="513"/>
      <c r="E156" s="513"/>
      <c r="F156" s="513"/>
      <c r="G156" s="513"/>
    </row>
    <row r="157">
      <c r="A157" s="513"/>
      <c r="B157" s="513"/>
      <c r="C157" s="513"/>
      <c r="D157" s="513"/>
      <c r="E157" s="513"/>
      <c r="F157" s="513"/>
      <c r="G157" s="513"/>
    </row>
    <row r="158">
      <c r="A158" s="513"/>
      <c r="B158" s="513"/>
      <c r="C158" s="513"/>
      <c r="D158" s="513"/>
      <c r="E158" s="513"/>
      <c r="F158" s="513"/>
      <c r="G158" s="513"/>
    </row>
    <row r="159">
      <c r="A159" s="513"/>
      <c r="B159" s="513"/>
      <c r="C159" s="513"/>
      <c r="D159" s="513"/>
      <c r="E159" s="513"/>
      <c r="F159" s="513"/>
      <c r="G159" s="513"/>
    </row>
    <row r="160">
      <c r="A160" s="513"/>
      <c r="B160" s="513"/>
      <c r="C160" s="513"/>
      <c r="D160" s="513"/>
      <c r="E160" s="513"/>
      <c r="F160" s="513"/>
      <c r="G160" s="513"/>
    </row>
    <row r="161">
      <c r="A161" s="513"/>
      <c r="B161" s="513"/>
      <c r="C161" s="513"/>
      <c r="D161" s="513"/>
      <c r="E161" s="513"/>
      <c r="F161" s="513"/>
      <c r="G161" s="513"/>
    </row>
    <row r="162">
      <c r="A162" s="513"/>
      <c r="B162" s="513"/>
      <c r="C162" s="513"/>
      <c r="D162" s="513"/>
      <c r="E162" s="513"/>
      <c r="F162" s="513"/>
      <c r="G162" s="513"/>
    </row>
    <row r="163">
      <c r="A163" s="513"/>
      <c r="B163" s="513"/>
      <c r="C163" s="513"/>
      <c r="D163" s="513"/>
      <c r="E163" s="513"/>
      <c r="F163" s="513"/>
      <c r="G163" s="513"/>
    </row>
    <row r="164">
      <c r="A164" s="513"/>
      <c r="B164" s="513"/>
      <c r="C164" s="513"/>
      <c r="D164" s="513"/>
      <c r="E164" s="513"/>
      <c r="F164" s="513"/>
      <c r="G164" s="513"/>
    </row>
    <row r="165">
      <c r="A165" s="513"/>
      <c r="B165" s="513"/>
      <c r="C165" s="513"/>
      <c r="D165" s="513"/>
      <c r="E165" s="513"/>
      <c r="F165" s="513"/>
      <c r="G165" s="513"/>
    </row>
    <row r="166">
      <c r="A166" s="513"/>
      <c r="B166" s="513"/>
      <c r="C166" s="513"/>
      <c r="D166" s="513"/>
      <c r="E166" s="513"/>
      <c r="F166" s="513"/>
      <c r="G166" s="513"/>
    </row>
    <row r="167">
      <c r="A167" s="513"/>
      <c r="B167" s="513"/>
      <c r="C167" s="513"/>
      <c r="D167" s="513"/>
      <c r="E167" s="513"/>
      <c r="F167" s="513"/>
      <c r="G167" s="513"/>
    </row>
    <row r="168">
      <c r="A168" s="513"/>
      <c r="B168" s="513"/>
      <c r="C168" s="513"/>
      <c r="D168" s="513"/>
      <c r="E168" s="513"/>
      <c r="F168" s="513"/>
      <c r="G168" s="513"/>
    </row>
    <row r="169">
      <c r="A169" s="513"/>
      <c r="B169" s="513"/>
      <c r="C169" s="513"/>
      <c r="D169" s="513"/>
      <c r="E169" s="513"/>
      <c r="F169" s="513"/>
      <c r="G169" s="513"/>
    </row>
    <row r="170">
      <c r="A170" s="513"/>
      <c r="B170" s="513"/>
      <c r="C170" s="513"/>
      <c r="D170" s="513"/>
      <c r="E170" s="513"/>
      <c r="F170" s="513"/>
      <c r="G170" s="513"/>
    </row>
    <row r="171">
      <c r="A171" s="513"/>
      <c r="B171" s="513"/>
      <c r="C171" s="513"/>
      <c r="D171" s="513"/>
      <c r="E171" s="513"/>
      <c r="F171" s="513"/>
      <c r="G171" s="513"/>
    </row>
    <row r="172">
      <c r="A172" s="513"/>
      <c r="B172" s="513"/>
      <c r="C172" s="513"/>
      <c r="D172" s="513"/>
      <c r="E172" s="513"/>
      <c r="F172" s="513"/>
      <c r="G172" s="513"/>
    </row>
    <row r="173">
      <c r="A173" s="513"/>
      <c r="B173" s="513"/>
      <c r="C173" s="513"/>
      <c r="D173" s="513"/>
      <c r="E173" s="513"/>
      <c r="F173" s="513"/>
      <c r="G173" s="513"/>
    </row>
    <row r="174">
      <c r="A174" s="513"/>
      <c r="B174" s="513"/>
      <c r="C174" s="513"/>
      <c r="D174" s="513"/>
      <c r="E174" s="513"/>
      <c r="F174" s="513"/>
      <c r="G174" s="513"/>
    </row>
    <row r="175">
      <c r="A175" s="513"/>
      <c r="B175" s="513"/>
      <c r="C175" s="513"/>
      <c r="D175" s="513"/>
      <c r="E175" s="513"/>
      <c r="F175" s="513"/>
      <c r="G175" s="513"/>
    </row>
    <row r="176">
      <c r="A176" s="513"/>
      <c r="B176" s="513"/>
      <c r="C176" s="513"/>
      <c r="D176" s="513"/>
      <c r="E176" s="513"/>
      <c r="F176" s="513"/>
      <c r="G176" s="513"/>
    </row>
    <row r="177">
      <c r="A177" s="513"/>
      <c r="B177" s="513"/>
      <c r="C177" s="513"/>
      <c r="D177" s="513"/>
      <c r="E177" s="513"/>
      <c r="F177" s="513"/>
      <c r="G177" s="513"/>
    </row>
    <row r="178">
      <c r="A178" s="513"/>
      <c r="B178" s="513"/>
      <c r="C178" s="513"/>
      <c r="D178" s="513"/>
      <c r="E178" s="513"/>
      <c r="F178" s="513"/>
      <c r="G178" s="513"/>
    </row>
    <row r="179">
      <c r="A179" s="513"/>
      <c r="B179" s="513"/>
      <c r="C179" s="513"/>
      <c r="D179" s="513"/>
      <c r="E179" s="513"/>
      <c r="F179" s="513"/>
      <c r="G179" s="513"/>
    </row>
    <row r="180">
      <c r="A180" s="513"/>
      <c r="B180" s="513"/>
      <c r="C180" s="513"/>
      <c r="D180" s="513"/>
      <c r="E180" s="513"/>
      <c r="F180" s="513"/>
      <c r="G180" s="513"/>
    </row>
    <row r="181">
      <c r="A181" s="513"/>
      <c r="B181" s="513"/>
      <c r="C181" s="513"/>
      <c r="D181" s="513"/>
      <c r="E181" s="513"/>
      <c r="F181" s="513"/>
      <c r="G181" s="513"/>
    </row>
    <row r="182">
      <c r="A182" s="513"/>
      <c r="B182" s="513"/>
      <c r="C182" s="513"/>
      <c r="D182" s="513"/>
      <c r="E182" s="513"/>
      <c r="F182" s="513"/>
      <c r="G182" s="513"/>
    </row>
    <row r="183">
      <c r="A183" s="513"/>
      <c r="B183" s="513"/>
      <c r="C183" s="513"/>
      <c r="D183" s="513"/>
      <c r="E183" s="513"/>
      <c r="F183" s="513"/>
      <c r="G183" s="513"/>
    </row>
    <row r="184">
      <c r="A184" s="513"/>
      <c r="B184" s="513"/>
      <c r="C184" s="513"/>
      <c r="D184" s="513"/>
      <c r="E184" s="513"/>
      <c r="F184" s="513"/>
      <c r="G184" s="513"/>
    </row>
    <row r="185">
      <c r="A185" s="513"/>
      <c r="B185" s="513"/>
      <c r="C185" s="513"/>
      <c r="D185" s="513"/>
      <c r="E185" s="513"/>
      <c r="F185" s="513"/>
      <c r="G185" s="513"/>
    </row>
    <row r="186">
      <c r="A186" s="513"/>
      <c r="B186" s="513"/>
      <c r="C186" s="513"/>
      <c r="D186" s="513"/>
      <c r="E186" s="513"/>
      <c r="F186" s="513"/>
      <c r="G186" s="513"/>
    </row>
    <row r="187">
      <c r="A187" s="513"/>
      <c r="B187" s="513"/>
      <c r="C187" s="513"/>
      <c r="D187" s="513"/>
      <c r="E187" s="513"/>
      <c r="F187" s="513"/>
      <c r="G187" s="513"/>
    </row>
    <row r="188">
      <c r="A188" s="513"/>
      <c r="B188" s="513"/>
      <c r="C188" s="513"/>
      <c r="D188" s="513"/>
      <c r="E188" s="513"/>
      <c r="F188" s="513"/>
      <c r="G188" s="513"/>
    </row>
    <row r="189">
      <c r="A189" s="513"/>
      <c r="B189" s="513"/>
      <c r="C189" s="513"/>
      <c r="D189" s="513"/>
      <c r="E189" s="513"/>
      <c r="F189" s="513"/>
      <c r="G189" s="513"/>
    </row>
    <row r="190">
      <c r="A190" s="513"/>
      <c r="B190" s="513"/>
      <c r="C190" s="513"/>
      <c r="D190" s="513"/>
      <c r="E190" s="513"/>
      <c r="F190" s="513"/>
      <c r="G190" s="513"/>
    </row>
    <row r="191">
      <c r="A191" s="513"/>
      <c r="B191" s="513"/>
      <c r="C191" s="513"/>
      <c r="D191" s="513"/>
      <c r="E191" s="513"/>
      <c r="F191" s="513"/>
      <c r="G191" s="513"/>
    </row>
    <row r="192">
      <c r="A192" s="513"/>
      <c r="B192" s="513"/>
      <c r="C192" s="513"/>
      <c r="D192" s="513"/>
      <c r="E192" s="513"/>
      <c r="F192" s="513"/>
      <c r="G192" s="513"/>
    </row>
    <row r="193">
      <c r="A193" s="513"/>
      <c r="B193" s="513"/>
      <c r="C193" s="513"/>
      <c r="D193" s="513"/>
      <c r="E193" s="513"/>
      <c r="F193" s="513"/>
      <c r="G193" s="513"/>
    </row>
    <row r="194">
      <c r="A194" s="513"/>
      <c r="B194" s="513"/>
      <c r="C194" s="513"/>
      <c r="D194" s="513"/>
      <c r="E194" s="513"/>
      <c r="F194" s="513"/>
      <c r="G194" s="513"/>
    </row>
    <row r="195">
      <c r="A195" s="513"/>
      <c r="B195" s="513"/>
      <c r="C195" s="513"/>
      <c r="D195" s="513"/>
      <c r="E195" s="513"/>
      <c r="F195" s="513"/>
      <c r="G195" s="513"/>
    </row>
    <row r="196">
      <c r="A196" s="513"/>
      <c r="B196" s="513"/>
      <c r="C196" s="513"/>
      <c r="D196" s="513"/>
      <c r="E196" s="513"/>
      <c r="F196" s="513"/>
      <c r="G196" s="513"/>
    </row>
    <row r="197">
      <c r="A197" s="513"/>
      <c r="B197" s="513"/>
      <c r="C197" s="513"/>
      <c r="D197" s="513"/>
      <c r="E197" s="513"/>
      <c r="F197" s="513"/>
      <c r="G197" s="513"/>
    </row>
    <row r="198">
      <c r="A198" s="513"/>
      <c r="B198" s="513"/>
      <c r="C198" s="513"/>
      <c r="D198" s="513"/>
      <c r="E198" s="513"/>
      <c r="F198" s="513"/>
      <c r="G198" s="513"/>
    </row>
    <row r="199">
      <c r="A199" s="513"/>
      <c r="B199" s="513"/>
      <c r="C199" s="513"/>
      <c r="D199" s="513"/>
      <c r="E199" s="513"/>
      <c r="F199" s="513"/>
      <c r="G199" s="513"/>
    </row>
    <row r="200">
      <c r="A200" s="513"/>
      <c r="B200" s="513"/>
      <c r="C200" s="513"/>
      <c r="D200" s="513"/>
      <c r="E200" s="513"/>
      <c r="F200" s="513"/>
      <c r="G200" s="513"/>
    </row>
    <row r="201">
      <c r="A201" s="513"/>
      <c r="B201" s="513"/>
      <c r="C201" s="513"/>
      <c r="D201" s="513"/>
      <c r="E201" s="513"/>
      <c r="F201" s="513"/>
      <c r="G201" s="513"/>
    </row>
    <row r="202">
      <c r="A202" s="513"/>
      <c r="B202" s="513"/>
      <c r="C202" s="513"/>
      <c r="D202" s="513"/>
      <c r="E202" s="513"/>
      <c r="F202" s="513"/>
      <c r="G202" s="513"/>
    </row>
    <row r="203">
      <c r="A203" s="513"/>
      <c r="B203" s="513"/>
      <c r="C203" s="513"/>
      <c r="D203" s="513"/>
      <c r="E203" s="513"/>
      <c r="F203" s="513"/>
      <c r="G203" s="513"/>
    </row>
    <row r="204">
      <c r="A204" s="513"/>
      <c r="B204" s="513"/>
      <c r="C204" s="513"/>
      <c r="D204" s="513"/>
      <c r="E204" s="513"/>
      <c r="F204" s="513"/>
      <c r="G204" s="513"/>
    </row>
    <row r="205">
      <c r="A205" s="513"/>
      <c r="B205" s="513"/>
      <c r="C205" s="513"/>
      <c r="D205" s="513"/>
      <c r="E205" s="513"/>
      <c r="F205" s="513"/>
      <c r="G205" s="513"/>
    </row>
    <row r="206">
      <c r="A206" s="513"/>
      <c r="B206" s="513"/>
      <c r="C206" s="513"/>
      <c r="D206" s="513"/>
      <c r="E206" s="513"/>
      <c r="F206" s="513"/>
      <c r="G206" s="513"/>
    </row>
    <row r="207">
      <c r="A207" s="513"/>
      <c r="B207" s="513"/>
      <c r="C207" s="513"/>
      <c r="D207" s="513"/>
      <c r="E207" s="513"/>
      <c r="F207" s="513"/>
      <c r="G207" s="513"/>
    </row>
    <row r="208">
      <c r="A208" s="513"/>
      <c r="B208" s="513"/>
      <c r="C208" s="513"/>
      <c r="D208" s="513"/>
      <c r="E208" s="513"/>
      <c r="F208" s="513"/>
      <c r="G208" s="513"/>
    </row>
    <row r="209">
      <c r="A209" s="513"/>
      <c r="B209" s="513"/>
      <c r="C209" s="513"/>
      <c r="D209" s="513"/>
      <c r="E209" s="513"/>
      <c r="F209" s="513"/>
      <c r="G209" s="513"/>
    </row>
    <row r="210">
      <c r="A210" s="513"/>
      <c r="B210" s="513"/>
      <c r="C210" s="513"/>
      <c r="D210" s="513"/>
      <c r="E210" s="513"/>
      <c r="F210" s="513"/>
      <c r="G210" s="513"/>
    </row>
    <row r="211">
      <c r="A211" s="513"/>
      <c r="B211" s="513"/>
      <c r="C211" s="513"/>
      <c r="D211" s="513"/>
      <c r="E211" s="513"/>
      <c r="F211" s="513"/>
      <c r="G211" s="513"/>
    </row>
    <row r="212">
      <c r="A212" s="513"/>
      <c r="B212" s="513"/>
      <c r="C212" s="513"/>
      <c r="D212" s="513"/>
      <c r="E212" s="513"/>
      <c r="F212" s="513"/>
      <c r="G212" s="513"/>
    </row>
    <row r="213">
      <c r="A213" s="513"/>
      <c r="B213" s="513"/>
      <c r="C213" s="513"/>
      <c r="D213" s="513"/>
      <c r="E213" s="513"/>
      <c r="F213" s="513"/>
      <c r="G213" s="513"/>
    </row>
    <row r="214">
      <c r="A214" s="513"/>
      <c r="B214" s="513"/>
      <c r="C214" s="513"/>
      <c r="D214" s="513"/>
      <c r="E214" s="513"/>
      <c r="F214" s="513"/>
      <c r="G214" s="513"/>
    </row>
    <row r="215">
      <c r="A215" s="513"/>
      <c r="B215" s="513"/>
      <c r="C215" s="513"/>
      <c r="D215" s="513"/>
      <c r="E215" s="513"/>
      <c r="F215" s="513"/>
      <c r="G215" s="513"/>
    </row>
    <row r="216">
      <c r="A216" s="513"/>
      <c r="B216" s="513"/>
      <c r="C216" s="513"/>
      <c r="D216" s="513"/>
      <c r="E216" s="513"/>
      <c r="F216" s="513"/>
      <c r="G216" s="513"/>
    </row>
    <row r="217">
      <c r="A217" s="513"/>
      <c r="B217" s="513"/>
      <c r="C217" s="513"/>
      <c r="D217" s="513"/>
      <c r="E217" s="513"/>
      <c r="F217" s="513"/>
      <c r="G217" s="513"/>
    </row>
    <row r="218">
      <c r="A218" s="513"/>
      <c r="B218" s="513"/>
      <c r="C218" s="513"/>
      <c r="D218" s="513"/>
      <c r="E218" s="513"/>
      <c r="F218" s="513"/>
      <c r="G218" s="513"/>
    </row>
    <row r="219">
      <c r="A219" s="513"/>
      <c r="B219" s="513"/>
      <c r="C219" s="513"/>
      <c r="D219" s="513"/>
      <c r="E219" s="513"/>
      <c r="F219" s="513"/>
      <c r="G219" s="513"/>
    </row>
    <row r="220">
      <c r="A220" s="513"/>
      <c r="B220" s="513"/>
      <c r="C220" s="513"/>
      <c r="D220" s="513"/>
      <c r="E220" s="513"/>
      <c r="F220" s="513"/>
      <c r="G220" s="513"/>
    </row>
    <row r="221">
      <c r="A221" s="513"/>
      <c r="B221" s="513"/>
      <c r="C221" s="513"/>
      <c r="D221" s="513"/>
      <c r="E221" s="513"/>
      <c r="F221" s="513"/>
      <c r="G221" s="513"/>
    </row>
    <row r="222">
      <c r="A222" s="513"/>
      <c r="B222" s="513"/>
      <c r="C222" s="513"/>
      <c r="D222" s="513"/>
      <c r="E222" s="513"/>
      <c r="F222" s="513"/>
      <c r="G222" s="513"/>
    </row>
    <row r="223">
      <c r="A223" s="513"/>
      <c r="B223" s="513"/>
      <c r="C223" s="513"/>
      <c r="D223" s="513"/>
      <c r="E223" s="513"/>
      <c r="F223" s="513"/>
      <c r="G223" s="513"/>
    </row>
    <row r="224">
      <c r="A224" s="513"/>
      <c r="B224" s="513"/>
      <c r="C224" s="513"/>
      <c r="D224" s="513"/>
      <c r="E224" s="513"/>
      <c r="F224" s="513"/>
      <c r="G224" s="513"/>
    </row>
    <row r="225">
      <c r="A225" s="513"/>
      <c r="B225" s="513"/>
      <c r="C225" s="513"/>
      <c r="D225" s="513"/>
      <c r="E225" s="513"/>
      <c r="F225" s="513"/>
      <c r="G225" s="513"/>
    </row>
    <row r="226">
      <c r="A226" s="513"/>
      <c r="B226" s="513"/>
      <c r="C226" s="513"/>
      <c r="D226" s="513"/>
      <c r="E226" s="513"/>
      <c r="F226" s="513"/>
      <c r="G226" s="513"/>
    </row>
    <row r="227">
      <c r="A227" s="513"/>
      <c r="B227" s="513"/>
      <c r="C227" s="513"/>
      <c r="D227" s="513"/>
      <c r="E227" s="513"/>
      <c r="F227" s="513"/>
      <c r="G227" s="513"/>
    </row>
    <row r="228">
      <c r="A228" s="513"/>
      <c r="B228" s="513"/>
      <c r="C228" s="513"/>
      <c r="D228" s="513"/>
      <c r="E228" s="513"/>
      <c r="F228" s="513"/>
      <c r="G228" s="513"/>
    </row>
    <row r="229">
      <c r="A229" s="513"/>
      <c r="B229" s="513"/>
      <c r="C229" s="513"/>
      <c r="D229" s="513"/>
      <c r="E229" s="513"/>
      <c r="F229" s="513"/>
      <c r="G229" s="513"/>
    </row>
    <row r="230">
      <c r="A230" s="513"/>
      <c r="B230" s="513"/>
      <c r="C230" s="513"/>
      <c r="D230" s="513"/>
      <c r="E230" s="513"/>
      <c r="F230" s="513"/>
      <c r="G230" s="513"/>
    </row>
    <row r="231">
      <c r="A231" s="513"/>
      <c r="B231" s="513"/>
      <c r="C231" s="513"/>
      <c r="D231" s="513"/>
      <c r="E231" s="513"/>
      <c r="F231" s="513"/>
      <c r="G231" s="513"/>
    </row>
    <row r="232">
      <c r="A232" s="513"/>
      <c r="B232" s="513"/>
      <c r="C232" s="513"/>
      <c r="D232" s="513"/>
      <c r="E232" s="513"/>
      <c r="F232" s="513"/>
      <c r="G232" s="513"/>
    </row>
    <row r="233">
      <c r="A233" s="513"/>
      <c r="B233" s="513"/>
      <c r="C233" s="513"/>
      <c r="D233" s="513"/>
      <c r="E233" s="513"/>
      <c r="F233" s="513"/>
      <c r="G233" s="513"/>
    </row>
    <row r="234">
      <c r="A234" s="513"/>
      <c r="B234" s="513"/>
      <c r="C234" s="513"/>
      <c r="D234" s="513"/>
      <c r="E234" s="513"/>
      <c r="F234" s="513"/>
      <c r="G234" s="513"/>
    </row>
    <row r="235">
      <c r="A235" s="513"/>
      <c r="B235" s="513"/>
      <c r="C235" s="513"/>
      <c r="D235" s="513"/>
      <c r="E235" s="513"/>
      <c r="F235" s="513"/>
      <c r="G235" s="513"/>
    </row>
    <row r="236">
      <c r="A236" s="513"/>
      <c r="B236" s="513"/>
      <c r="C236" s="513"/>
      <c r="D236" s="513"/>
      <c r="E236" s="513"/>
      <c r="F236" s="513"/>
      <c r="G236" s="513"/>
    </row>
    <row r="237">
      <c r="A237" s="513"/>
      <c r="B237" s="513"/>
      <c r="C237" s="513"/>
      <c r="D237" s="513"/>
      <c r="E237" s="513"/>
      <c r="F237" s="513"/>
      <c r="G237" s="513"/>
    </row>
    <row r="238">
      <c r="A238" s="513"/>
      <c r="B238" s="513"/>
      <c r="C238" s="513"/>
      <c r="D238" s="513"/>
      <c r="E238" s="513"/>
      <c r="F238" s="513"/>
      <c r="G238" s="513"/>
    </row>
    <row r="239">
      <c r="A239" s="513"/>
      <c r="B239" s="513"/>
      <c r="C239" s="513"/>
      <c r="D239" s="513"/>
      <c r="E239" s="513"/>
      <c r="F239" s="513"/>
      <c r="G239" s="513"/>
    </row>
    <row r="240">
      <c r="A240" s="513"/>
      <c r="B240" s="513"/>
      <c r="C240" s="513"/>
      <c r="D240" s="513"/>
      <c r="E240" s="513"/>
      <c r="F240" s="513"/>
      <c r="G240" s="513"/>
    </row>
    <row r="241">
      <c r="A241" s="513"/>
      <c r="B241" s="513"/>
      <c r="C241" s="513"/>
      <c r="D241" s="513"/>
      <c r="E241" s="513"/>
      <c r="F241" s="513"/>
      <c r="G241" s="513"/>
    </row>
    <row r="242">
      <c r="A242" s="513"/>
      <c r="B242" s="513"/>
      <c r="C242" s="513"/>
      <c r="D242" s="513"/>
      <c r="E242" s="513"/>
      <c r="F242" s="513"/>
      <c r="G242" s="513"/>
    </row>
    <row r="243">
      <c r="A243" s="513"/>
      <c r="B243" s="513"/>
      <c r="C243" s="513"/>
      <c r="D243" s="513"/>
      <c r="E243" s="513"/>
      <c r="F243" s="513"/>
      <c r="G243" s="513"/>
    </row>
    <row r="244">
      <c r="A244" s="513"/>
      <c r="B244" s="513"/>
      <c r="C244" s="513"/>
      <c r="D244" s="513"/>
      <c r="E244" s="513"/>
      <c r="F244" s="513"/>
      <c r="G244" s="513"/>
    </row>
    <row r="245">
      <c r="A245" s="513"/>
      <c r="B245" s="513"/>
      <c r="C245" s="513"/>
      <c r="D245" s="513"/>
      <c r="E245" s="513"/>
      <c r="F245" s="513"/>
      <c r="G245" s="513"/>
    </row>
    <row r="246">
      <c r="A246" s="513"/>
      <c r="B246" s="513"/>
      <c r="C246" s="513"/>
      <c r="D246" s="513"/>
      <c r="E246" s="513"/>
      <c r="F246" s="513"/>
      <c r="G246" s="513"/>
    </row>
    <row r="247">
      <c r="A247" s="513"/>
      <c r="B247" s="513"/>
      <c r="C247" s="513"/>
      <c r="D247" s="513"/>
      <c r="E247" s="513"/>
      <c r="F247" s="513"/>
      <c r="G247" s="513"/>
    </row>
    <row r="248">
      <c r="A248" s="513"/>
      <c r="B248" s="513"/>
      <c r="C248" s="513"/>
      <c r="D248" s="513"/>
      <c r="E248" s="513"/>
      <c r="F248" s="513"/>
      <c r="G248" s="513"/>
    </row>
    <row r="249">
      <c r="A249" s="513"/>
      <c r="B249" s="513"/>
      <c r="C249" s="513"/>
      <c r="D249" s="513"/>
      <c r="E249" s="513"/>
      <c r="F249" s="513"/>
      <c r="G249" s="513"/>
    </row>
    <row r="250">
      <c r="A250" s="513"/>
      <c r="B250" s="513"/>
      <c r="C250" s="513"/>
      <c r="D250" s="513"/>
      <c r="E250" s="513"/>
      <c r="F250" s="513"/>
      <c r="G250" s="513"/>
    </row>
    <row r="251">
      <c r="A251" s="513"/>
      <c r="B251" s="513"/>
      <c r="C251" s="513"/>
      <c r="D251" s="513"/>
      <c r="E251" s="513"/>
      <c r="F251" s="513"/>
      <c r="G251" s="513"/>
    </row>
    <row r="252">
      <c r="A252" s="513"/>
      <c r="B252" s="513"/>
      <c r="C252" s="513"/>
      <c r="D252" s="513"/>
      <c r="E252" s="513"/>
      <c r="F252" s="513"/>
      <c r="G252" s="513"/>
    </row>
    <row r="253">
      <c r="A253" s="513"/>
      <c r="B253" s="513"/>
      <c r="C253" s="513"/>
      <c r="D253" s="513"/>
      <c r="E253" s="513"/>
      <c r="F253" s="513"/>
      <c r="G253" s="513"/>
    </row>
    <row r="254">
      <c r="A254" s="513"/>
      <c r="B254" s="513"/>
      <c r="C254" s="513"/>
      <c r="D254" s="513"/>
      <c r="E254" s="513"/>
      <c r="F254" s="513"/>
      <c r="G254" s="513"/>
    </row>
    <row r="255">
      <c r="A255" s="513"/>
      <c r="B255" s="513"/>
      <c r="C255" s="513"/>
      <c r="D255" s="513"/>
      <c r="E255" s="513"/>
      <c r="F255" s="513"/>
      <c r="G255" s="513"/>
    </row>
    <row r="256">
      <c r="A256" s="513"/>
      <c r="B256" s="513"/>
      <c r="C256" s="513"/>
      <c r="D256" s="513"/>
      <c r="E256" s="513"/>
      <c r="F256" s="513"/>
      <c r="G256" s="513"/>
    </row>
    <row r="257">
      <c r="A257" s="513"/>
      <c r="B257" s="513"/>
      <c r="C257" s="513"/>
      <c r="D257" s="513"/>
      <c r="E257" s="513"/>
      <c r="F257" s="513"/>
      <c r="G257" s="513"/>
    </row>
    <row r="258">
      <c r="A258" s="513"/>
      <c r="B258" s="513"/>
      <c r="C258" s="513"/>
      <c r="D258" s="513"/>
      <c r="E258" s="513"/>
      <c r="F258" s="513"/>
      <c r="G258" s="513"/>
    </row>
    <row r="259">
      <c r="A259" s="513"/>
      <c r="B259" s="513"/>
      <c r="C259" s="513"/>
      <c r="D259" s="513"/>
      <c r="E259" s="513"/>
      <c r="F259" s="513"/>
      <c r="G259" s="513"/>
    </row>
    <row r="260">
      <c r="A260" s="513"/>
      <c r="B260" s="513"/>
      <c r="C260" s="513"/>
      <c r="D260" s="513"/>
      <c r="E260" s="513"/>
      <c r="F260" s="513"/>
      <c r="G260" s="513"/>
    </row>
    <row r="261">
      <c r="A261" s="513"/>
      <c r="B261" s="513"/>
      <c r="C261" s="513"/>
      <c r="D261" s="513"/>
      <c r="E261" s="513"/>
      <c r="F261" s="513"/>
      <c r="G261" s="513"/>
    </row>
    <row r="262">
      <c r="A262" s="513"/>
      <c r="B262" s="513"/>
      <c r="C262" s="513"/>
      <c r="D262" s="513"/>
      <c r="E262" s="513"/>
      <c r="F262" s="513"/>
      <c r="G262" s="513"/>
    </row>
    <row r="263">
      <c r="A263" s="513"/>
      <c r="B263" s="513"/>
      <c r="C263" s="513"/>
      <c r="D263" s="513"/>
      <c r="E263" s="513"/>
      <c r="F263" s="513"/>
      <c r="G263" s="513"/>
    </row>
    <row r="264">
      <c r="A264" s="513"/>
      <c r="B264" s="513"/>
      <c r="C264" s="513"/>
      <c r="D264" s="513"/>
      <c r="E264" s="513"/>
      <c r="F264" s="513"/>
      <c r="G264" s="513"/>
    </row>
    <row r="265">
      <c r="A265" s="513"/>
      <c r="B265" s="513"/>
      <c r="C265" s="513"/>
      <c r="D265" s="513"/>
      <c r="E265" s="513"/>
      <c r="F265" s="513"/>
      <c r="G265" s="513"/>
    </row>
    <row r="266">
      <c r="A266" s="513"/>
      <c r="B266" s="513"/>
      <c r="C266" s="513"/>
      <c r="D266" s="513"/>
      <c r="E266" s="513"/>
      <c r="F266" s="513"/>
      <c r="G266" s="513"/>
    </row>
    <row r="267">
      <c r="A267" s="513"/>
      <c r="B267" s="513"/>
      <c r="C267" s="513"/>
      <c r="D267" s="513"/>
      <c r="E267" s="513"/>
      <c r="F267" s="513"/>
      <c r="G267" s="513"/>
    </row>
    <row r="268">
      <c r="A268" s="513"/>
      <c r="B268" s="513"/>
      <c r="C268" s="513"/>
      <c r="D268" s="513"/>
      <c r="E268" s="513"/>
      <c r="F268" s="513"/>
      <c r="G268" s="513"/>
    </row>
    <row r="269">
      <c r="A269" s="513"/>
      <c r="B269" s="513"/>
      <c r="C269" s="513"/>
      <c r="D269" s="513"/>
      <c r="E269" s="513"/>
      <c r="F269" s="513"/>
      <c r="G269" s="513"/>
    </row>
    <row r="270">
      <c r="A270" s="513"/>
      <c r="B270" s="513"/>
      <c r="C270" s="513"/>
      <c r="D270" s="513"/>
      <c r="E270" s="513"/>
      <c r="F270" s="513"/>
      <c r="G270" s="513"/>
    </row>
    <row r="271">
      <c r="A271" s="513"/>
      <c r="B271" s="513"/>
      <c r="C271" s="513"/>
      <c r="D271" s="513"/>
      <c r="E271" s="513"/>
      <c r="F271" s="513"/>
      <c r="G271" s="513"/>
    </row>
    <row r="272">
      <c r="A272" s="513"/>
      <c r="B272" s="513"/>
      <c r="C272" s="513"/>
      <c r="D272" s="513"/>
      <c r="E272" s="513"/>
      <c r="F272" s="513"/>
      <c r="G272" s="513"/>
    </row>
    <row r="273">
      <c r="A273" s="513"/>
      <c r="B273" s="513"/>
      <c r="C273" s="513"/>
      <c r="D273" s="513"/>
      <c r="E273" s="513"/>
      <c r="F273" s="513"/>
      <c r="G273" s="513"/>
    </row>
    <row r="274">
      <c r="A274" s="513"/>
      <c r="B274" s="513"/>
      <c r="C274" s="513"/>
      <c r="D274" s="513"/>
      <c r="E274" s="513"/>
      <c r="F274" s="513"/>
      <c r="G274" s="513"/>
    </row>
    <row r="275">
      <c r="A275" s="513"/>
      <c r="B275" s="513"/>
      <c r="C275" s="513"/>
      <c r="D275" s="513"/>
      <c r="E275" s="513"/>
      <c r="F275" s="513"/>
      <c r="G275" s="513"/>
    </row>
    <row r="276">
      <c r="A276" s="513"/>
      <c r="B276" s="513"/>
      <c r="C276" s="513"/>
      <c r="D276" s="513"/>
      <c r="E276" s="513"/>
      <c r="F276" s="513"/>
      <c r="G276" s="513"/>
    </row>
    <row r="277">
      <c r="A277" s="513"/>
      <c r="B277" s="513"/>
      <c r="C277" s="513"/>
      <c r="D277" s="513"/>
      <c r="E277" s="513"/>
      <c r="F277" s="513"/>
      <c r="G277" s="513"/>
    </row>
    <row r="278">
      <c r="A278" s="513"/>
      <c r="B278" s="513"/>
      <c r="C278" s="513"/>
      <c r="D278" s="513"/>
      <c r="E278" s="513"/>
      <c r="F278" s="513"/>
      <c r="G278" s="513"/>
    </row>
    <row r="279">
      <c r="A279" s="513"/>
      <c r="B279" s="513"/>
      <c r="C279" s="513"/>
      <c r="D279" s="513"/>
      <c r="E279" s="513"/>
      <c r="F279" s="513"/>
      <c r="G279" s="513"/>
    </row>
    <row r="280">
      <c r="A280" s="513"/>
      <c r="B280" s="513"/>
      <c r="C280" s="513"/>
      <c r="D280" s="513"/>
      <c r="E280" s="513"/>
      <c r="F280" s="513"/>
      <c r="G280" s="513"/>
    </row>
    <row r="281">
      <c r="A281" s="513"/>
      <c r="B281" s="513"/>
      <c r="C281" s="513"/>
      <c r="D281" s="513"/>
      <c r="E281" s="513"/>
      <c r="F281" s="513"/>
      <c r="G281" s="513"/>
    </row>
    <row r="282">
      <c r="A282" s="513"/>
      <c r="B282" s="513"/>
      <c r="C282" s="513"/>
      <c r="D282" s="513"/>
      <c r="E282" s="513"/>
      <c r="F282" s="513"/>
      <c r="G282" s="513"/>
    </row>
    <row r="283">
      <c r="A283" s="513"/>
      <c r="B283" s="513"/>
      <c r="C283" s="513"/>
      <c r="D283" s="513"/>
      <c r="E283" s="513"/>
      <c r="F283" s="513"/>
      <c r="G283" s="513"/>
    </row>
    <row r="284">
      <c r="A284" s="513"/>
      <c r="B284" s="513"/>
      <c r="C284" s="513"/>
      <c r="D284" s="513"/>
      <c r="E284" s="513"/>
      <c r="F284" s="513"/>
      <c r="G284" s="513"/>
    </row>
    <row r="285">
      <c r="A285" s="513"/>
      <c r="B285" s="513"/>
      <c r="C285" s="513"/>
      <c r="D285" s="513"/>
      <c r="E285" s="513"/>
      <c r="F285" s="513"/>
      <c r="G285" s="513"/>
    </row>
    <row r="286">
      <c r="A286" s="513"/>
      <c r="B286" s="513"/>
      <c r="C286" s="513"/>
      <c r="D286" s="513"/>
      <c r="E286" s="513"/>
      <c r="F286" s="513"/>
      <c r="G286" s="513"/>
    </row>
    <row r="287">
      <c r="A287" s="513"/>
      <c r="B287" s="513"/>
      <c r="C287" s="513"/>
      <c r="D287" s="513"/>
      <c r="E287" s="513"/>
      <c r="F287" s="513"/>
      <c r="G287" s="513"/>
    </row>
    <row r="288">
      <c r="A288" s="513"/>
      <c r="B288" s="513"/>
      <c r="C288" s="513"/>
      <c r="D288" s="513"/>
      <c r="E288" s="513"/>
      <c r="F288" s="513"/>
      <c r="G288" s="513"/>
    </row>
    <row r="289">
      <c r="A289" s="513"/>
      <c r="B289" s="513"/>
      <c r="C289" s="513"/>
      <c r="D289" s="513"/>
      <c r="E289" s="513"/>
      <c r="F289" s="513"/>
      <c r="G289" s="513"/>
    </row>
    <row r="290">
      <c r="A290" s="513"/>
      <c r="B290" s="513"/>
      <c r="C290" s="513"/>
      <c r="D290" s="513"/>
      <c r="E290" s="513"/>
      <c r="F290" s="513"/>
      <c r="G290" s="513"/>
    </row>
    <row r="291">
      <c r="A291" s="513"/>
      <c r="B291" s="513"/>
      <c r="C291" s="513"/>
      <c r="D291" s="513"/>
      <c r="E291" s="513"/>
      <c r="F291" s="513"/>
      <c r="G291" s="513"/>
    </row>
    <row r="292">
      <c r="A292" s="513"/>
      <c r="B292" s="513"/>
      <c r="C292" s="513"/>
      <c r="D292" s="513"/>
      <c r="E292" s="513"/>
      <c r="F292" s="513"/>
      <c r="G292" s="513"/>
    </row>
    <row r="293">
      <c r="A293" s="513"/>
      <c r="B293" s="513"/>
      <c r="C293" s="513"/>
      <c r="D293" s="513"/>
      <c r="E293" s="513"/>
      <c r="F293" s="513"/>
      <c r="G293" s="513"/>
    </row>
    <row r="294">
      <c r="A294" s="513"/>
      <c r="B294" s="513"/>
      <c r="C294" s="513"/>
      <c r="D294" s="513"/>
      <c r="E294" s="513"/>
      <c r="F294" s="513"/>
      <c r="G294" s="513"/>
    </row>
    <row r="295">
      <c r="A295" s="513"/>
      <c r="B295" s="513"/>
      <c r="C295" s="513"/>
      <c r="D295" s="513"/>
      <c r="E295" s="513"/>
      <c r="F295" s="513"/>
      <c r="G295" s="513"/>
    </row>
    <row r="296">
      <c r="A296" s="513"/>
      <c r="B296" s="513"/>
      <c r="C296" s="513"/>
      <c r="D296" s="513"/>
      <c r="E296" s="513"/>
      <c r="F296" s="513"/>
      <c r="G296" s="513"/>
    </row>
    <row r="297">
      <c r="A297" s="513"/>
      <c r="B297" s="513"/>
      <c r="C297" s="513"/>
      <c r="D297" s="513"/>
      <c r="E297" s="513"/>
      <c r="F297" s="513"/>
      <c r="G297" s="513"/>
    </row>
    <row r="298">
      <c r="A298" s="513"/>
      <c r="B298" s="513"/>
      <c r="C298" s="513"/>
      <c r="D298" s="513"/>
      <c r="E298" s="513"/>
      <c r="F298" s="513"/>
      <c r="G298" s="513"/>
    </row>
    <row r="299">
      <c r="A299" s="513"/>
      <c r="B299" s="513"/>
      <c r="C299" s="513"/>
      <c r="D299" s="513"/>
      <c r="E299" s="513"/>
      <c r="F299" s="513"/>
      <c r="G299" s="513"/>
    </row>
    <row r="300">
      <c r="A300" s="513"/>
      <c r="B300" s="513"/>
      <c r="C300" s="513"/>
      <c r="D300" s="513"/>
      <c r="E300" s="513"/>
      <c r="F300" s="513"/>
      <c r="G300" s="513"/>
    </row>
    <row r="301">
      <c r="A301" s="513"/>
      <c r="B301" s="513"/>
      <c r="C301" s="513"/>
      <c r="D301" s="513"/>
      <c r="E301" s="513"/>
      <c r="F301" s="513"/>
      <c r="G301" s="513"/>
    </row>
    <row r="302">
      <c r="A302" s="513"/>
      <c r="B302" s="513"/>
      <c r="C302" s="513"/>
      <c r="D302" s="513"/>
      <c r="E302" s="513"/>
      <c r="F302" s="513"/>
      <c r="G302" s="513"/>
    </row>
    <row r="303">
      <c r="A303" s="513"/>
      <c r="B303" s="513"/>
      <c r="C303" s="513"/>
      <c r="D303" s="513"/>
      <c r="E303" s="513"/>
      <c r="F303" s="513"/>
      <c r="G303" s="513"/>
    </row>
    <row r="304">
      <c r="A304" s="513"/>
      <c r="B304" s="513"/>
      <c r="C304" s="513"/>
      <c r="D304" s="513"/>
      <c r="E304" s="513"/>
      <c r="F304" s="513"/>
      <c r="G304" s="513"/>
    </row>
    <row r="305">
      <c r="A305" s="513"/>
      <c r="B305" s="513"/>
      <c r="C305" s="513"/>
      <c r="D305" s="513"/>
      <c r="E305" s="513"/>
      <c r="F305" s="513"/>
      <c r="G305" s="513"/>
    </row>
    <row r="306">
      <c r="A306" s="513"/>
      <c r="B306" s="513"/>
      <c r="C306" s="513"/>
      <c r="D306" s="513"/>
      <c r="E306" s="513"/>
      <c r="F306" s="513"/>
      <c r="G306" s="513"/>
    </row>
    <row r="307">
      <c r="A307" s="513"/>
      <c r="B307" s="513"/>
      <c r="C307" s="513"/>
      <c r="D307" s="513"/>
      <c r="E307" s="513"/>
      <c r="F307" s="513"/>
      <c r="G307" s="513"/>
    </row>
    <row r="308">
      <c r="A308" s="513"/>
      <c r="B308" s="513"/>
      <c r="C308" s="513"/>
      <c r="D308" s="513"/>
      <c r="E308" s="513"/>
      <c r="F308" s="513"/>
      <c r="G308" s="513"/>
    </row>
    <row r="309">
      <c r="A309" s="513"/>
      <c r="B309" s="513"/>
      <c r="C309" s="513"/>
      <c r="D309" s="513"/>
      <c r="E309" s="513"/>
      <c r="F309" s="513"/>
      <c r="G309" s="513"/>
    </row>
    <row r="310">
      <c r="A310" s="513"/>
      <c r="B310" s="513"/>
      <c r="C310" s="513"/>
      <c r="D310" s="513"/>
      <c r="E310" s="513"/>
      <c r="F310" s="513"/>
      <c r="G310" s="513"/>
    </row>
    <row r="311">
      <c r="A311" s="513"/>
      <c r="B311" s="513"/>
      <c r="C311" s="513"/>
      <c r="D311" s="513"/>
      <c r="E311" s="513"/>
      <c r="F311" s="513"/>
      <c r="G311" s="513"/>
    </row>
    <row r="312">
      <c r="A312" s="513"/>
      <c r="B312" s="513"/>
      <c r="C312" s="513"/>
      <c r="D312" s="513"/>
      <c r="E312" s="513"/>
      <c r="F312" s="513"/>
      <c r="G312" s="513"/>
    </row>
    <row r="313">
      <c r="A313" s="513"/>
      <c r="B313" s="513"/>
      <c r="C313" s="513"/>
      <c r="D313" s="513"/>
      <c r="E313" s="513"/>
      <c r="F313" s="513"/>
      <c r="G313" s="513"/>
    </row>
    <row r="314">
      <c r="A314" s="513"/>
      <c r="B314" s="513"/>
      <c r="C314" s="513"/>
      <c r="D314" s="513"/>
      <c r="E314" s="513"/>
      <c r="F314" s="513"/>
      <c r="G314" s="513"/>
    </row>
    <row r="315">
      <c r="A315" s="513"/>
      <c r="B315" s="513"/>
      <c r="C315" s="513"/>
      <c r="D315" s="513"/>
      <c r="E315" s="513"/>
      <c r="F315" s="513"/>
      <c r="G315" s="513"/>
    </row>
    <row r="316">
      <c r="A316" s="513"/>
      <c r="B316" s="513"/>
      <c r="C316" s="513"/>
      <c r="D316" s="513"/>
      <c r="E316" s="513"/>
      <c r="F316" s="513"/>
      <c r="G316" s="513"/>
    </row>
    <row r="317">
      <c r="A317" s="513"/>
      <c r="B317" s="513"/>
      <c r="C317" s="513"/>
      <c r="D317" s="513"/>
      <c r="E317" s="513"/>
      <c r="F317" s="513"/>
      <c r="G317" s="513"/>
    </row>
    <row r="318">
      <c r="A318" s="513"/>
      <c r="B318" s="513"/>
      <c r="C318" s="513"/>
      <c r="D318" s="513"/>
      <c r="E318" s="513"/>
      <c r="F318" s="513"/>
      <c r="G318" s="513"/>
    </row>
    <row r="319">
      <c r="A319" s="513"/>
      <c r="B319" s="513"/>
      <c r="C319" s="513"/>
      <c r="D319" s="513"/>
      <c r="E319" s="513"/>
      <c r="F319" s="513"/>
      <c r="G319" s="513"/>
    </row>
    <row r="320">
      <c r="A320" s="513"/>
      <c r="B320" s="513"/>
      <c r="C320" s="513"/>
      <c r="D320" s="513"/>
      <c r="E320" s="513"/>
      <c r="F320" s="513"/>
      <c r="G320" s="513"/>
    </row>
    <row r="321">
      <c r="A321" s="513"/>
      <c r="B321" s="513"/>
      <c r="C321" s="513"/>
      <c r="D321" s="513"/>
      <c r="E321" s="513"/>
      <c r="F321" s="513"/>
      <c r="G321" s="513"/>
    </row>
    <row r="322">
      <c r="A322" s="513"/>
      <c r="B322" s="513"/>
      <c r="C322" s="513"/>
      <c r="D322" s="513"/>
      <c r="E322" s="513"/>
      <c r="F322" s="513"/>
      <c r="G322" s="513"/>
    </row>
    <row r="323">
      <c r="A323" s="513"/>
      <c r="B323" s="513"/>
      <c r="C323" s="513"/>
      <c r="D323" s="513"/>
      <c r="E323" s="513"/>
      <c r="F323" s="513"/>
      <c r="G323" s="513"/>
    </row>
    <row r="324">
      <c r="A324" s="513"/>
      <c r="B324" s="513"/>
      <c r="C324" s="513"/>
      <c r="D324" s="513"/>
      <c r="E324" s="513"/>
      <c r="F324" s="513"/>
      <c r="G324" s="513"/>
    </row>
    <row r="325">
      <c r="A325" s="513"/>
      <c r="B325" s="513"/>
      <c r="C325" s="513"/>
      <c r="D325" s="513"/>
      <c r="E325" s="513"/>
      <c r="F325" s="513"/>
      <c r="G325" s="513"/>
    </row>
    <row r="326">
      <c r="A326" s="513"/>
      <c r="B326" s="513"/>
      <c r="C326" s="513"/>
      <c r="D326" s="513"/>
      <c r="E326" s="513"/>
      <c r="F326" s="513"/>
      <c r="G326" s="513"/>
    </row>
    <row r="327">
      <c r="A327" s="513"/>
      <c r="B327" s="513"/>
      <c r="C327" s="513"/>
      <c r="D327" s="513"/>
      <c r="E327" s="513"/>
      <c r="F327" s="513"/>
      <c r="G327" s="513"/>
    </row>
    <row r="328">
      <c r="A328" s="513"/>
      <c r="B328" s="513"/>
      <c r="C328" s="513"/>
      <c r="D328" s="513"/>
      <c r="E328" s="513"/>
      <c r="F328" s="513"/>
      <c r="G328" s="513"/>
    </row>
    <row r="329">
      <c r="A329" s="513"/>
      <c r="B329" s="513"/>
      <c r="C329" s="513"/>
      <c r="D329" s="513"/>
      <c r="E329" s="513"/>
      <c r="F329" s="513"/>
      <c r="G329" s="513"/>
    </row>
    <row r="330">
      <c r="A330" s="513"/>
      <c r="B330" s="513"/>
      <c r="C330" s="513"/>
      <c r="D330" s="513"/>
      <c r="E330" s="513"/>
      <c r="F330" s="513"/>
      <c r="G330" s="513"/>
    </row>
    <row r="331">
      <c r="A331" s="513"/>
      <c r="B331" s="513"/>
      <c r="C331" s="513"/>
      <c r="D331" s="513"/>
      <c r="E331" s="513"/>
      <c r="F331" s="513"/>
      <c r="G331" s="513"/>
    </row>
    <row r="332">
      <c r="A332" s="513"/>
      <c r="B332" s="513"/>
      <c r="C332" s="513"/>
      <c r="D332" s="513"/>
      <c r="E332" s="513"/>
      <c r="F332" s="513"/>
      <c r="G332" s="513"/>
    </row>
    <row r="333">
      <c r="A333" s="513"/>
      <c r="B333" s="513"/>
      <c r="C333" s="513"/>
      <c r="D333" s="513"/>
      <c r="E333" s="513"/>
      <c r="F333" s="513"/>
      <c r="G333" s="513"/>
    </row>
    <row r="334">
      <c r="A334" s="513"/>
      <c r="B334" s="513"/>
      <c r="C334" s="513"/>
      <c r="D334" s="513"/>
      <c r="E334" s="513"/>
      <c r="F334" s="513"/>
      <c r="G334" s="513"/>
    </row>
    <row r="335">
      <c r="A335" s="513"/>
      <c r="B335" s="513"/>
      <c r="C335" s="513"/>
      <c r="D335" s="513"/>
      <c r="E335" s="513"/>
      <c r="F335" s="513"/>
      <c r="G335" s="513"/>
    </row>
    <row r="336">
      <c r="A336" s="513"/>
      <c r="B336" s="513"/>
      <c r="C336" s="513"/>
      <c r="D336" s="513"/>
      <c r="E336" s="513"/>
      <c r="F336" s="513"/>
      <c r="G336" s="513"/>
    </row>
    <row r="337">
      <c r="A337" s="513"/>
      <c r="B337" s="513"/>
      <c r="C337" s="513"/>
      <c r="D337" s="513"/>
      <c r="E337" s="513"/>
      <c r="F337" s="513"/>
      <c r="G337" s="513"/>
    </row>
    <row r="338">
      <c r="A338" s="513"/>
      <c r="B338" s="513"/>
      <c r="C338" s="513"/>
      <c r="D338" s="513"/>
      <c r="E338" s="513"/>
      <c r="F338" s="513"/>
      <c r="G338" s="513"/>
    </row>
    <row r="339">
      <c r="A339" s="513"/>
      <c r="B339" s="513"/>
      <c r="C339" s="513"/>
      <c r="D339" s="513"/>
      <c r="E339" s="513"/>
      <c r="F339" s="513"/>
      <c r="G339" s="513"/>
    </row>
    <row r="340">
      <c r="A340" s="513"/>
      <c r="B340" s="513"/>
      <c r="C340" s="513"/>
      <c r="D340" s="513"/>
      <c r="E340" s="513"/>
      <c r="F340" s="513"/>
      <c r="G340" s="513"/>
    </row>
    <row r="341">
      <c r="A341" s="513"/>
      <c r="B341" s="513"/>
      <c r="C341" s="513"/>
      <c r="D341" s="513"/>
      <c r="E341" s="513"/>
      <c r="F341" s="513"/>
      <c r="G341" s="513"/>
    </row>
    <row r="342">
      <c r="A342" s="513"/>
      <c r="B342" s="513"/>
      <c r="C342" s="513"/>
      <c r="D342" s="513"/>
      <c r="E342" s="513"/>
      <c r="F342" s="513"/>
      <c r="G342" s="513"/>
    </row>
    <row r="343">
      <c r="A343" s="513"/>
      <c r="B343" s="513"/>
      <c r="C343" s="513"/>
      <c r="D343" s="513"/>
      <c r="E343" s="513"/>
      <c r="F343" s="513"/>
      <c r="G343" s="513"/>
    </row>
    <row r="344">
      <c r="A344" s="513"/>
      <c r="B344" s="513"/>
      <c r="C344" s="513"/>
      <c r="D344" s="513"/>
      <c r="E344" s="513"/>
      <c r="F344" s="513"/>
      <c r="G344" s="513"/>
    </row>
    <row r="345">
      <c r="A345" s="513"/>
      <c r="B345" s="513"/>
      <c r="C345" s="513"/>
      <c r="D345" s="513"/>
      <c r="E345" s="513"/>
      <c r="F345" s="513"/>
      <c r="G345" s="513"/>
    </row>
    <row r="346">
      <c r="A346" s="513"/>
      <c r="B346" s="513"/>
      <c r="C346" s="513"/>
      <c r="D346" s="513"/>
      <c r="E346" s="513"/>
      <c r="F346" s="513"/>
      <c r="G346" s="513"/>
    </row>
    <row r="347">
      <c r="A347" s="513"/>
      <c r="B347" s="513"/>
      <c r="C347" s="513"/>
      <c r="D347" s="513"/>
      <c r="E347" s="513"/>
      <c r="F347" s="513"/>
      <c r="G347" s="513"/>
    </row>
    <row r="348">
      <c r="A348" s="513"/>
      <c r="B348" s="513"/>
      <c r="C348" s="513"/>
      <c r="D348" s="513"/>
      <c r="E348" s="513"/>
      <c r="F348" s="513"/>
      <c r="G348" s="513"/>
    </row>
    <row r="349">
      <c r="A349" s="513"/>
      <c r="B349" s="513"/>
      <c r="C349" s="513"/>
      <c r="D349" s="513"/>
      <c r="E349" s="513"/>
      <c r="F349" s="513"/>
      <c r="G349" s="513"/>
    </row>
    <row r="350">
      <c r="A350" s="513"/>
      <c r="B350" s="513"/>
      <c r="C350" s="513"/>
      <c r="D350" s="513"/>
      <c r="E350" s="513"/>
      <c r="F350" s="513"/>
      <c r="G350" s="513"/>
    </row>
    <row r="351">
      <c r="A351" s="513"/>
      <c r="B351" s="513"/>
      <c r="C351" s="513"/>
      <c r="D351" s="513"/>
      <c r="E351" s="513"/>
      <c r="F351" s="513"/>
      <c r="G351" s="513"/>
    </row>
    <row r="352">
      <c r="A352" s="513"/>
      <c r="B352" s="513"/>
      <c r="C352" s="513"/>
      <c r="D352" s="513"/>
      <c r="E352" s="513"/>
      <c r="F352" s="513"/>
      <c r="G352" s="513"/>
    </row>
    <row r="353">
      <c r="A353" s="513"/>
      <c r="B353" s="513"/>
      <c r="C353" s="513"/>
      <c r="D353" s="513"/>
      <c r="E353" s="513"/>
      <c r="F353" s="513"/>
      <c r="G353" s="513"/>
    </row>
    <row r="354">
      <c r="A354" s="513"/>
      <c r="B354" s="513"/>
      <c r="C354" s="513"/>
      <c r="D354" s="513"/>
      <c r="E354" s="513"/>
      <c r="F354" s="513"/>
      <c r="G354" s="513"/>
    </row>
    <row r="355">
      <c r="A355" s="513"/>
      <c r="B355" s="513"/>
      <c r="C355" s="513"/>
      <c r="D355" s="513"/>
      <c r="E355" s="513"/>
      <c r="F355" s="513"/>
      <c r="G355" s="513"/>
    </row>
    <row r="356">
      <c r="A356" s="513"/>
      <c r="B356" s="513"/>
      <c r="C356" s="513"/>
      <c r="D356" s="513"/>
      <c r="E356" s="513"/>
      <c r="F356" s="513"/>
      <c r="G356" s="513"/>
    </row>
    <row r="357">
      <c r="A357" s="513"/>
      <c r="B357" s="513"/>
      <c r="C357" s="513"/>
      <c r="D357" s="513"/>
      <c r="E357" s="513"/>
      <c r="F357" s="513"/>
      <c r="G357" s="513"/>
    </row>
    <row r="358">
      <c r="A358" s="513"/>
      <c r="B358" s="513"/>
      <c r="C358" s="513"/>
      <c r="D358" s="513"/>
      <c r="E358" s="513"/>
      <c r="F358" s="513"/>
      <c r="G358" s="513"/>
    </row>
    <row r="359">
      <c r="A359" s="513"/>
      <c r="B359" s="513"/>
      <c r="C359" s="513"/>
      <c r="D359" s="513"/>
      <c r="E359" s="513"/>
      <c r="F359" s="513"/>
      <c r="G359" s="513"/>
    </row>
    <row r="360">
      <c r="A360" s="513"/>
      <c r="B360" s="513"/>
      <c r="C360" s="513"/>
      <c r="D360" s="513"/>
      <c r="E360" s="513"/>
      <c r="F360" s="513"/>
      <c r="G360" s="513"/>
    </row>
    <row r="361">
      <c r="A361" s="513"/>
      <c r="B361" s="513"/>
      <c r="C361" s="513"/>
      <c r="D361" s="513"/>
      <c r="E361" s="513"/>
      <c r="F361" s="513"/>
      <c r="G361" s="513"/>
    </row>
    <row r="362">
      <c r="A362" s="513"/>
      <c r="B362" s="513"/>
      <c r="C362" s="513"/>
      <c r="D362" s="513"/>
      <c r="E362" s="513"/>
      <c r="F362" s="513"/>
      <c r="G362" s="513"/>
    </row>
    <row r="363">
      <c r="A363" s="513"/>
      <c r="B363" s="513"/>
      <c r="C363" s="513"/>
      <c r="D363" s="513"/>
      <c r="E363" s="513"/>
      <c r="F363" s="513"/>
      <c r="G363" s="513"/>
    </row>
    <row r="364">
      <c r="A364" s="513"/>
      <c r="B364" s="513"/>
      <c r="C364" s="513"/>
      <c r="D364" s="513"/>
      <c r="E364" s="513"/>
      <c r="F364" s="513"/>
      <c r="G364" s="513"/>
    </row>
    <row r="365">
      <c r="A365" s="513"/>
      <c r="B365" s="513"/>
      <c r="C365" s="513"/>
      <c r="D365" s="513"/>
      <c r="E365" s="513"/>
      <c r="F365" s="513"/>
      <c r="G365" s="513"/>
    </row>
    <row r="366">
      <c r="A366" s="513"/>
      <c r="B366" s="513"/>
      <c r="C366" s="513"/>
      <c r="D366" s="513"/>
      <c r="E366" s="513"/>
      <c r="F366" s="513"/>
      <c r="G366" s="513"/>
    </row>
    <row r="367">
      <c r="A367" s="513"/>
      <c r="B367" s="513"/>
      <c r="C367" s="513"/>
      <c r="D367" s="513"/>
      <c r="E367" s="513"/>
      <c r="F367" s="513"/>
      <c r="G367" s="513"/>
    </row>
    <row r="368">
      <c r="A368" s="513"/>
      <c r="B368" s="513"/>
      <c r="C368" s="513"/>
      <c r="D368" s="513"/>
      <c r="E368" s="513"/>
      <c r="F368" s="513"/>
      <c r="G368" s="513"/>
    </row>
    <row r="369">
      <c r="A369" s="513"/>
      <c r="B369" s="513"/>
      <c r="C369" s="513"/>
      <c r="D369" s="513"/>
      <c r="E369" s="513"/>
      <c r="F369" s="513"/>
      <c r="G369" s="513"/>
    </row>
    <row r="370">
      <c r="A370" s="513"/>
      <c r="B370" s="513"/>
      <c r="C370" s="513"/>
      <c r="D370" s="513"/>
      <c r="E370" s="513"/>
      <c r="F370" s="513"/>
      <c r="G370" s="513"/>
    </row>
    <row r="371">
      <c r="A371" s="513"/>
      <c r="B371" s="513"/>
      <c r="C371" s="513"/>
      <c r="D371" s="513"/>
      <c r="E371" s="513"/>
      <c r="F371" s="513"/>
      <c r="G371" s="513"/>
    </row>
    <row r="372">
      <c r="A372" s="513"/>
      <c r="B372" s="513"/>
      <c r="C372" s="513"/>
      <c r="D372" s="513"/>
      <c r="E372" s="513"/>
      <c r="F372" s="513"/>
      <c r="G372" s="513"/>
    </row>
    <row r="373">
      <c r="A373" s="513"/>
      <c r="B373" s="513"/>
      <c r="C373" s="513"/>
      <c r="D373" s="513"/>
      <c r="E373" s="513"/>
      <c r="F373" s="513"/>
      <c r="G373" s="513"/>
    </row>
    <row r="374">
      <c r="A374" s="513"/>
      <c r="B374" s="513"/>
      <c r="C374" s="513"/>
      <c r="D374" s="513"/>
      <c r="E374" s="513"/>
      <c r="F374" s="513"/>
      <c r="G374" s="513"/>
    </row>
    <row r="375">
      <c r="A375" s="513"/>
      <c r="B375" s="513"/>
      <c r="C375" s="513"/>
      <c r="D375" s="513"/>
      <c r="E375" s="513"/>
      <c r="F375" s="513"/>
      <c r="G375" s="513"/>
    </row>
    <row r="376">
      <c r="A376" s="513"/>
      <c r="B376" s="513"/>
      <c r="C376" s="513"/>
      <c r="D376" s="513"/>
      <c r="E376" s="513"/>
      <c r="F376" s="513"/>
      <c r="G376" s="513"/>
    </row>
    <row r="377">
      <c r="A377" s="513"/>
      <c r="B377" s="513"/>
      <c r="C377" s="513"/>
      <c r="D377" s="513"/>
      <c r="E377" s="513"/>
      <c r="F377" s="513"/>
      <c r="G377" s="513"/>
    </row>
    <row r="378">
      <c r="A378" s="513"/>
      <c r="B378" s="513"/>
      <c r="C378" s="513"/>
      <c r="D378" s="513"/>
      <c r="E378" s="513"/>
      <c r="F378" s="513"/>
      <c r="G378" s="513"/>
    </row>
    <row r="379">
      <c r="A379" s="513"/>
      <c r="B379" s="513"/>
      <c r="C379" s="513"/>
      <c r="D379" s="513"/>
      <c r="E379" s="513"/>
      <c r="F379" s="513"/>
      <c r="G379" s="513"/>
    </row>
    <row r="380">
      <c r="A380" s="513"/>
      <c r="B380" s="513"/>
      <c r="C380" s="513"/>
      <c r="D380" s="513"/>
      <c r="E380" s="513"/>
      <c r="F380" s="513"/>
      <c r="G380" s="513"/>
    </row>
    <row r="381">
      <c r="A381" s="513"/>
      <c r="B381" s="513"/>
      <c r="C381" s="513"/>
      <c r="D381" s="513"/>
      <c r="E381" s="513"/>
      <c r="F381" s="513"/>
      <c r="G381" s="513"/>
    </row>
    <row r="382">
      <c r="A382" s="513"/>
      <c r="B382" s="513"/>
      <c r="C382" s="513"/>
      <c r="D382" s="513"/>
      <c r="E382" s="513"/>
      <c r="F382" s="513"/>
      <c r="G382" s="513"/>
    </row>
    <row r="383">
      <c r="A383" s="513"/>
      <c r="B383" s="513"/>
      <c r="C383" s="513"/>
      <c r="D383" s="513"/>
      <c r="E383" s="513"/>
      <c r="F383" s="513"/>
      <c r="G383" s="513"/>
    </row>
    <row r="384">
      <c r="A384" s="513"/>
      <c r="B384" s="513"/>
      <c r="C384" s="513"/>
      <c r="D384" s="513"/>
      <c r="E384" s="513"/>
      <c r="F384" s="513"/>
      <c r="G384" s="513"/>
    </row>
    <row r="385">
      <c r="A385" s="513"/>
      <c r="B385" s="513"/>
      <c r="C385" s="513"/>
      <c r="D385" s="513"/>
      <c r="E385" s="513"/>
      <c r="F385" s="513"/>
      <c r="G385" s="513"/>
    </row>
    <row r="386">
      <c r="A386" s="513"/>
      <c r="B386" s="513"/>
      <c r="C386" s="513"/>
      <c r="D386" s="513"/>
      <c r="E386" s="513"/>
      <c r="F386" s="513"/>
      <c r="G386" s="513"/>
    </row>
    <row r="387">
      <c r="A387" s="513"/>
      <c r="B387" s="513"/>
      <c r="C387" s="513"/>
      <c r="D387" s="513"/>
      <c r="E387" s="513"/>
      <c r="F387" s="513"/>
      <c r="G387" s="513"/>
    </row>
    <row r="388">
      <c r="A388" s="513"/>
      <c r="B388" s="513"/>
      <c r="C388" s="513"/>
      <c r="D388" s="513"/>
      <c r="E388" s="513"/>
      <c r="F388" s="513"/>
      <c r="G388" s="513"/>
    </row>
    <row r="389">
      <c r="A389" s="513"/>
      <c r="B389" s="513"/>
      <c r="C389" s="513"/>
      <c r="D389" s="513"/>
      <c r="E389" s="513"/>
      <c r="F389" s="513"/>
      <c r="G389" s="513"/>
    </row>
    <row r="390">
      <c r="A390" s="513"/>
      <c r="B390" s="513"/>
      <c r="C390" s="513"/>
      <c r="D390" s="513"/>
      <c r="E390" s="513"/>
      <c r="F390" s="513"/>
      <c r="G390" s="513"/>
    </row>
    <row r="391">
      <c r="A391" s="513"/>
      <c r="B391" s="513"/>
      <c r="C391" s="513"/>
      <c r="D391" s="513"/>
      <c r="E391" s="513"/>
      <c r="F391" s="513"/>
      <c r="G391" s="513"/>
    </row>
    <row r="392">
      <c r="A392" s="513"/>
      <c r="B392" s="513"/>
      <c r="C392" s="513"/>
      <c r="D392" s="513"/>
      <c r="E392" s="513"/>
      <c r="F392" s="513"/>
      <c r="G392" s="513"/>
    </row>
    <row r="393">
      <c r="A393" s="513"/>
      <c r="B393" s="513"/>
      <c r="C393" s="513"/>
      <c r="D393" s="513"/>
      <c r="E393" s="513"/>
      <c r="F393" s="513"/>
      <c r="G393" s="513"/>
    </row>
    <row r="394">
      <c r="A394" s="513"/>
      <c r="B394" s="513"/>
      <c r="C394" s="513"/>
      <c r="D394" s="513"/>
      <c r="E394" s="513"/>
      <c r="F394" s="513"/>
      <c r="G394" s="513"/>
    </row>
    <row r="395">
      <c r="A395" s="513"/>
      <c r="B395" s="513"/>
      <c r="C395" s="513"/>
      <c r="D395" s="513"/>
      <c r="E395" s="513"/>
      <c r="F395" s="513"/>
      <c r="G395" s="513"/>
    </row>
    <row r="396">
      <c r="A396" s="513"/>
      <c r="B396" s="513"/>
      <c r="C396" s="513"/>
      <c r="D396" s="513"/>
      <c r="E396" s="513"/>
      <c r="F396" s="513"/>
      <c r="G396" s="513"/>
    </row>
    <row r="397">
      <c r="A397" s="513"/>
      <c r="B397" s="513"/>
      <c r="C397" s="513"/>
      <c r="D397" s="513"/>
      <c r="E397" s="513"/>
      <c r="F397" s="513"/>
      <c r="G397" s="513"/>
    </row>
    <row r="398">
      <c r="A398" s="513"/>
      <c r="B398" s="513"/>
      <c r="C398" s="513"/>
      <c r="D398" s="513"/>
      <c r="E398" s="513"/>
      <c r="F398" s="513"/>
      <c r="G398" s="513"/>
    </row>
    <row r="399">
      <c r="A399" s="513"/>
      <c r="B399" s="513"/>
      <c r="C399" s="513"/>
      <c r="D399" s="513"/>
      <c r="E399" s="513"/>
      <c r="F399" s="513"/>
      <c r="G399" s="513"/>
    </row>
    <row r="400">
      <c r="A400" s="513"/>
      <c r="B400" s="513"/>
      <c r="C400" s="513"/>
      <c r="D400" s="513"/>
      <c r="E400" s="513"/>
      <c r="F400" s="513"/>
      <c r="G400" s="513"/>
    </row>
    <row r="401">
      <c r="A401" s="513"/>
      <c r="B401" s="513"/>
      <c r="C401" s="513"/>
      <c r="D401" s="513"/>
      <c r="E401" s="513"/>
      <c r="F401" s="513"/>
      <c r="G401" s="513"/>
    </row>
    <row r="402">
      <c r="A402" s="513"/>
      <c r="B402" s="513"/>
      <c r="C402" s="513"/>
      <c r="D402" s="513"/>
      <c r="E402" s="513"/>
      <c r="F402" s="513"/>
      <c r="G402" s="513"/>
    </row>
    <row r="403">
      <c r="A403" s="513"/>
      <c r="B403" s="513"/>
      <c r="C403" s="513"/>
      <c r="D403" s="513"/>
      <c r="E403" s="513"/>
      <c r="F403" s="513"/>
      <c r="G403" s="513"/>
    </row>
    <row r="404">
      <c r="A404" s="513"/>
      <c r="B404" s="513"/>
      <c r="C404" s="513"/>
      <c r="D404" s="513"/>
      <c r="E404" s="513"/>
      <c r="F404" s="513"/>
      <c r="G404" s="513"/>
    </row>
    <row r="405">
      <c r="A405" s="513"/>
      <c r="B405" s="513"/>
      <c r="C405" s="513"/>
      <c r="D405" s="513"/>
      <c r="E405" s="513"/>
      <c r="F405" s="513"/>
      <c r="G405" s="513"/>
    </row>
    <row r="406">
      <c r="A406" s="513"/>
      <c r="B406" s="513"/>
      <c r="C406" s="513"/>
      <c r="D406" s="513"/>
      <c r="E406" s="513"/>
      <c r="F406" s="513"/>
      <c r="G406" s="513"/>
    </row>
    <row r="407">
      <c r="A407" s="513"/>
      <c r="B407" s="513"/>
      <c r="C407" s="513"/>
      <c r="D407" s="513"/>
      <c r="E407" s="513"/>
      <c r="F407" s="513"/>
      <c r="G407" s="513"/>
    </row>
    <row r="408">
      <c r="A408" s="513"/>
      <c r="B408" s="513"/>
      <c r="C408" s="513"/>
      <c r="D408" s="513"/>
      <c r="E408" s="513"/>
      <c r="F408" s="513"/>
      <c r="G408" s="513"/>
    </row>
    <row r="409">
      <c r="A409" s="513"/>
      <c r="B409" s="513"/>
      <c r="C409" s="513"/>
      <c r="D409" s="513"/>
      <c r="E409" s="513"/>
      <c r="F409" s="513"/>
      <c r="G409" s="513"/>
    </row>
    <row r="410">
      <c r="A410" s="513"/>
      <c r="B410" s="513"/>
      <c r="C410" s="513"/>
      <c r="D410" s="513"/>
      <c r="E410" s="513"/>
      <c r="F410" s="513"/>
      <c r="G410" s="513"/>
    </row>
    <row r="411">
      <c r="A411" s="513"/>
      <c r="B411" s="513"/>
      <c r="C411" s="513"/>
      <c r="D411" s="513"/>
      <c r="E411" s="513"/>
      <c r="F411" s="513"/>
      <c r="G411" s="513"/>
    </row>
    <row r="412">
      <c r="A412" s="513"/>
      <c r="B412" s="513"/>
      <c r="C412" s="513"/>
      <c r="D412" s="513"/>
      <c r="E412" s="513"/>
      <c r="F412" s="513"/>
      <c r="G412" s="513"/>
    </row>
    <row r="413">
      <c r="A413" s="513"/>
      <c r="B413" s="513"/>
      <c r="C413" s="513"/>
      <c r="D413" s="513"/>
      <c r="E413" s="513"/>
      <c r="F413" s="513"/>
      <c r="G413" s="513"/>
    </row>
    <row r="414">
      <c r="A414" s="513"/>
      <c r="B414" s="513"/>
      <c r="C414" s="513"/>
      <c r="D414" s="513"/>
      <c r="E414" s="513"/>
      <c r="F414" s="513"/>
      <c r="G414" s="513"/>
    </row>
    <row r="415">
      <c r="A415" s="513"/>
      <c r="B415" s="513"/>
      <c r="C415" s="513"/>
      <c r="D415" s="513"/>
      <c r="E415" s="513"/>
      <c r="F415" s="513"/>
      <c r="G415" s="513"/>
    </row>
    <row r="416">
      <c r="A416" s="513"/>
      <c r="B416" s="513"/>
      <c r="C416" s="513"/>
      <c r="D416" s="513"/>
      <c r="E416" s="513"/>
      <c r="F416" s="513"/>
      <c r="G416" s="513"/>
    </row>
    <row r="417">
      <c r="A417" s="513"/>
      <c r="B417" s="513"/>
      <c r="C417" s="513"/>
      <c r="D417" s="513"/>
      <c r="E417" s="513"/>
      <c r="F417" s="513"/>
      <c r="G417" s="513"/>
    </row>
    <row r="418">
      <c r="A418" s="513"/>
      <c r="B418" s="513"/>
      <c r="C418" s="513"/>
      <c r="D418" s="513"/>
      <c r="E418" s="513"/>
      <c r="F418" s="513"/>
      <c r="G418" s="513"/>
    </row>
    <row r="419">
      <c r="A419" s="513"/>
      <c r="B419" s="513"/>
      <c r="C419" s="513"/>
      <c r="D419" s="513"/>
      <c r="E419" s="513"/>
      <c r="F419" s="513"/>
      <c r="G419" s="513"/>
    </row>
    <row r="420">
      <c r="A420" s="513"/>
      <c r="B420" s="513"/>
      <c r="C420" s="513"/>
      <c r="D420" s="513"/>
      <c r="E420" s="513"/>
      <c r="F420" s="513"/>
      <c r="G420" s="513"/>
    </row>
    <row r="421">
      <c r="A421" s="513"/>
      <c r="B421" s="513"/>
      <c r="C421" s="513"/>
      <c r="D421" s="513"/>
      <c r="E421" s="513"/>
      <c r="F421" s="513"/>
      <c r="G421" s="513"/>
    </row>
    <row r="422">
      <c r="A422" s="513"/>
      <c r="B422" s="513"/>
      <c r="C422" s="513"/>
      <c r="D422" s="513"/>
      <c r="E422" s="513"/>
      <c r="F422" s="513"/>
      <c r="G422" s="513"/>
    </row>
    <row r="423">
      <c r="A423" s="513"/>
      <c r="B423" s="513"/>
      <c r="C423" s="513"/>
      <c r="D423" s="513"/>
      <c r="E423" s="513"/>
      <c r="F423" s="513"/>
      <c r="G423" s="513"/>
    </row>
    <row r="424">
      <c r="A424" s="513"/>
      <c r="B424" s="513"/>
      <c r="C424" s="513"/>
      <c r="D424" s="513"/>
      <c r="E424" s="513"/>
      <c r="F424" s="513"/>
      <c r="G424" s="513"/>
    </row>
    <row r="425">
      <c r="A425" s="513"/>
      <c r="B425" s="513"/>
      <c r="C425" s="513"/>
      <c r="D425" s="513"/>
      <c r="E425" s="513"/>
      <c r="F425" s="513"/>
      <c r="G425" s="513"/>
    </row>
    <row r="426">
      <c r="A426" s="513"/>
      <c r="B426" s="513"/>
      <c r="C426" s="513"/>
      <c r="D426" s="513"/>
      <c r="E426" s="513"/>
      <c r="F426" s="513"/>
      <c r="G426" s="513"/>
    </row>
    <row r="427">
      <c r="A427" s="513"/>
      <c r="B427" s="513"/>
      <c r="C427" s="513"/>
      <c r="D427" s="513"/>
      <c r="E427" s="513"/>
      <c r="F427" s="513"/>
      <c r="G427" s="513"/>
    </row>
    <row r="428">
      <c r="A428" s="513"/>
      <c r="B428" s="513"/>
      <c r="C428" s="513"/>
      <c r="D428" s="513"/>
      <c r="E428" s="513"/>
      <c r="F428" s="513"/>
      <c r="G428" s="513"/>
    </row>
    <row r="429">
      <c r="A429" s="513"/>
      <c r="B429" s="513"/>
      <c r="C429" s="513"/>
      <c r="D429" s="513"/>
      <c r="E429" s="513"/>
      <c r="F429" s="513"/>
      <c r="G429" s="513"/>
    </row>
    <row r="430">
      <c r="A430" s="513"/>
      <c r="B430" s="513"/>
      <c r="C430" s="513"/>
      <c r="D430" s="513"/>
      <c r="E430" s="513"/>
      <c r="F430" s="513"/>
      <c r="G430" s="513"/>
    </row>
    <row r="431">
      <c r="A431" s="513"/>
      <c r="B431" s="513"/>
      <c r="C431" s="513"/>
      <c r="D431" s="513"/>
      <c r="E431" s="513"/>
      <c r="F431" s="513"/>
      <c r="G431" s="513"/>
    </row>
    <row r="432">
      <c r="A432" s="513"/>
      <c r="B432" s="513"/>
      <c r="C432" s="513"/>
      <c r="D432" s="513"/>
      <c r="E432" s="513"/>
      <c r="F432" s="513"/>
      <c r="G432" s="513"/>
    </row>
    <row r="433">
      <c r="A433" s="513"/>
      <c r="B433" s="513"/>
      <c r="C433" s="513"/>
      <c r="D433" s="513"/>
      <c r="E433" s="513"/>
      <c r="F433" s="513"/>
      <c r="G433" s="513"/>
    </row>
    <row r="434">
      <c r="A434" s="513"/>
      <c r="B434" s="513"/>
      <c r="C434" s="513"/>
      <c r="D434" s="513"/>
      <c r="E434" s="513"/>
      <c r="F434" s="513"/>
      <c r="G434" s="513"/>
    </row>
    <row r="435">
      <c r="A435" s="513"/>
      <c r="B435" s="513"/>
      <c r="C435" s="513"/>
      <c r="D435" s="513"/>
      <c r="E435" s="513"/>
      <c r="F435" s="513"/>
      <c r="G435" s="513"/>
    </row>
    <row r="436">
      <c r="A436" s="513"/>
      <c r="B436" s="513"/>
      <c r="C436" s="513"/>
      <c r="D436" s="513"/>
      <c r="E436" s="513"/>
      <c r="F436" s="513"/>
      <c r="G436" s="513"/>
    </row>
    <row r="437">
      <c r="A437" s="513"/>
      <c r="B437" s="513"/>
      <c r="C437" s="513"/>
      <c r="D437" s="513"/>
      <c r="E437" s="513"/>
      <c r="F437" s="513"/>
      <c r="G437" s="513"/>
    </row>
    <row r="438">
      <c r="A438" s="513"/>
      <c r="B438" s="513"/>
      <c r="C438" s="513"/>
      <c r="D438" s="513"/>
      <c r="E438" s="513"/>
      <c r="F438" s="513"/>
      <c r="G438" s="513"/>
    </row>
    <row r="439">
      <c r="A439" s="513"/>
      <c r="B439" s="513"/>
      <c r="C439" s="513"/>
      <c r="D439" s="513"/>
      <c r="E439" s="513"/>
      <c r="F439" s="513"/>
      <c r="G439" s="513"/>
    </row>
    <row r="440">
      <c r="A440" s="513"/>
      <c r="B440" s="513"/>
      <c r="C440" s="513"/>
      <c r="D440" s="513"/>
      <c r="E440" s="513"/>
      <c r="F440" s="513"/>
      <c r="G440" s="513"/>
    </row>
    <row r="441">
      <c r="A441" s="513"/>
      <c r="B441" s="513"/>
      <c r="C441" s="513"/>
      <c r="D441" s="513"/>
      <c r="E441" s="513"/>
      <c r="F441" s="513"/>
      <c r="G441" s="513"/>
    </row>
    <row r="442">
      <c r="A442" s="513"/>
      <c r="B442" s="513"/>
      <c r="C442" s="513"/>
      <c r="D442" s="513"/>
      <c r="E442" s="513"/>
      <c r="F442" s="513"/>
      <c r="G442" s="513"/>
    </row>
    <row r="443">
      <c r="A443" s="513"/>
      <c r="B443" s="513"/>
      <c r="C443" s="513"/>
      <c r="D443" s="513"/>
      <c r="E443" s="513"/>
      <c r="F443" s="513"/>
      <c r="G443" s="513"/>
    </row>
    <row r="444">
      <c r="A444" s="513"/>
      <c r="B444" s="513"/>
      <c r="C444" s="513"/>
      <c r="D444" s="513"/>
      <c r="E444" s="513"/>
      <c r="F444" s="513"/>
      <c r="G444" s="513"/>
    </row>
    <row r="445">
      <c r="A445" s="513"/>
      <c r="B445" s="513"/>
      <c r="C445" s="513"/>
      <c r="D445" s="513"/>
      <c r="E445" s="513"/>
      <c r="F445" s="513"/>
      <c r="G445" s="513"/>
    </row>
    <row r="446">
      <c r="A446" s="513"/>
      <c r="B446" s="513"/>
      <c r="C446" s="513"/>
      <c r="D446" s="513"/>
      <c r="E446" s="513"/>
      <c r="F446" s="513"/>
      <c r="G446" s="513"/>
    </row>
    <row r="447">
      <c r="A447" s="513"/>
      <c r="B447" s="513"/>
      <c r="C447" s="513"/>
      <c r="D447" s="513"/>
      <c r="E447" s="513"/>
      <c r="F447" s="513"/>
      <c r="G447" s="513"/>
    </row>
    <row r="448">
      <c r="A448" s="513"/>
      <c r="B448" s="513"/>
      <c r="C448" s="513"/>
      <c r="D448" s="513"/>
      <c r="E448" s="513"/>
      <c r="F448" s="513"/>
      <c r="G448" s="513"/>
    </row>
    <row r="449">
      <c r="A449" s="513"/>
      <c r="B449" s="513"/>
      <c r="C449" s="513"/>
      <c r="D449" s="513"/>
      <c r="E449" s="513"/>
      <c r="F449" s="513"/>
      <c r="G449" s="513"/>
    </row>
    <row r="450">
      <c r="A450" s="513"/>
      <c r="B450" s="513"/>
      <c r="C450" s="513"/>
      <c r="D450" s="513"/>
      <c r="E450" s="513"/>
      <c r="F450" s="513"/>
      <c r="G450" s="513"/>
    </row>
    <row r="451">
      <c r="A451" s="513"/>
      <c r="B451" s="513"/>
      <c r="C451" s="513"/>
      <c r="D451" s="513"/>
      <c r="E451" s="513"/>
      <c r="F451" s="513"/>
      <c r="G451" s="513"/>
    </row>
    <row r="452">
      <c r="A452" s="513"/>
      <c r="B452" s="513"/>
      <c r="C452" s="513"/>
      <c r="D452" s="513"/>
      <c r="E452" s="513"/>
      <c r="F452" s="513"/>
      <c r="G452" s="513"/>
    </row>
    <row r="453">
      <c r="A453" s="513"/>
      <c r="B453" s="513"/>
      <c r="C453" s="513"/>
      <c r="D453" s="513"/>
      <c r="E453" s="513"/>
      <c r="F453" s="513"/>
      <c r="G453" s="513"/>
    </row>
    <row r="454">
      <c r="A454" s="513"/>
      <c r="B454" s="513"/>
      <c r="C454" s="513"/>
      <c r="D454" s="513"/>
      <c r="E454" s="513"/>
      <c r="F454" s="513"/>
      <c r="G454" s="513"/>
    </row>
    <row r="455">
      <c r="A455" s="513"/>
      <c r="B455" s="513"/>
      <c r="C455" s="513"/>
      <c r="D455" s="513"/>
      <c r="E455" s="513"/>
      <c r="F455" s="513"/>
      <c r="G455" s="513"/>
    </row>
    <row r="456">
      <c r="A456" s="513"/>
      <c r="B456" s="513"/>
      <c r="C456" s="513"/>
      <c r="D456" s="513"/>
      <c r="E456" s="513"/>
      <c r="F456" s="513"/>
      <c r="G456" s="513"/>
    </row>
    <row r="457">
      <c r="A457" s="513"/>
      <c r="B457" s="513"/>
      <c r="C457" s="513"/>
      <c r="D457" s="513"/>
      <c r="E457" s="513"/>
      <c r="F457" s="513"/>
      <c r="G457" s="513"/>
    </row>
    <row r="458">
      <c r="A458" s="513"/>
      <c r="B458" s="513"/>
      <c r="C458" s="513"/>
      <c r="D458" s="513"/>
      <c r="E458" s="513"/>
      <c r="F458" s="513"/>
      <c r="G458" s="513"/>
    </row>
    <row r="459">
      <c r="A459" s="513"/>
      <c r="B459" s="513"/>
      <c r="C459" s="513"/>
      <c r="D459" s="513"/>
      <c r="E459" s="513"/>
      <c r="F459" s="513"/>
      <c r="G459" s="513"/>
    </row>
    <row r="460">
      <c r="A460" s="513"/>
      <c r="B460" s="513"/>
      <c r="C460" s="513"/>
      <c r="D460" s="513"/>
      <c r="E460" s="513"/>
      <c r="F460" s="513"/>
      <c r="G460" s="513"/>
    </row>
    <row r="461">
      <c r="A461" s="513"/>
      <c r="B461" s="513"/>
      <c r="C461" s="513"/>
      <c r="D461" s="513"/>
      <c r="E461" s="513"/>
      <c r="F461" s="513"/>
      <c r="G461" s="513"/>
    </row>
    <row r="462">
      <c r="A462" s="513"/>
      <c r="B462" s="513"/>
      <c r="C462" s="513"/>
      <c r="D462" s="513"/>
      <c r="E462" s="513"/>
      <c r="F462" s="513"/>
      <c r="G462" s="513"/>
    </row>
    <row r="463">
      <c r="A463" s="513"/>
      <c r="B463" s="513"/>
      <c r="C463" s="513"/>
      <c r="D463" s="513"/>
      <c r="E463" s="513"/>
      <c r="F463" s="513"/>
      <c r="G463" s="513"/>
    </row>
    <row r="464">
      <c r="A464" s="513"/>
      <c r="B464" s="513"/>
      <c r="C464" s="513"/>
      <c r="D464" s="513"/>
      <c r="E464" s="513"/>
      <c r="F464" s="513"/>
      <c r="G464" s="513"/>
    </row>
    <row r="465">
      <c r="A465" s="513"/>
      <c r="B465" s="513"/>
      <c r="C465" s="513"/>
      <c r="D465" s="513"/>
      <c r="E465" s="513"/>
      <c r="F465" s="513"/>
      <c r="G465" s="513"/>
    </row>
    <row r="466">
      <c r="A466" s="513"/>
      <c r="B466" s="513"/>
      <c r="C466" s="513"/>
      <c r="D466" s="513"/>
      <c r="E466" s="513"/>
      <c r="F466" s="513"/>
      <c r="G466" s="513"/>
    </row>
    <row r="467">
      <c r="A467" s="513"/>
      <c r="B467" s="513"/>
      <c r="C467" s="513"/>
      <c r="D467" s="513"/>
      <c r="E467" s="513"/>
      <c r="F467" s="513"/>
      <c r="G467" s="513"/>
    </row>
    <row r="468">
      <c r="A468" s="513"/>
      <c r="B468" s="513"/>
      <c r="C468" s="513"/>
      <c r="D468" s="513"/>
      <c r="E468" s="513"/>
      <c r="F468" s="513"/>
      <c r="G468" s="513"/>
    </row>
    <row r="469">
      <c r="A469" s="513"/>
      <c r="B469" s="513"/>
      <c r="C469" s="513"/>
      <c r="D469" s="513"/>
      <c r="E469" s="513"/>
      <c r="F469" s="513"/>
      <c r="G469" s="513"/>
    </row>
    <row r="470">
      <c r="A470" s="513"/>
      <c r="B470" s="513"/>
      <c r="C470" s="513"/>
      <c r="D470" s="513"/>
      <c r="E470" s="513"/>
      <c r="F470" s="513"/>
      <c r="G470" s="513"/>
    </row>
    <row r="471">
      <c r="A471" s="513"/>
      <c r="B471" s="513"/>
      <c r="C471" s="513"/>
      <c r="D471" s="513"/>
      <c r="E471" s="513"/>
      <c r="F471" s="513"/>
      <c r="G471" s="513"/>
    </row>
    <row r="472">
      <c r="A472" s="513"/>
      <c r="B472" s="513"/>
      <c r="C472" s="513"/>
      <c r="D472" s="513"/>
      <c r="E472" s="513"/>
      <c r="F472" s="513"/>
      <c r="G472" s="513"/>
    </row>
    <row r="473">
      <c r="A473" s="513"/>
      <c r="B473" s="513"/>
      <c r="C473" s="513"/>
      <c r="D473" s="513"/>
      <c r="E473" s="513"/>
      <c r="F473" s="513"/>
      <c r="G473" s="513"/>
    </row>
    <row r="474">
      <c r="A474" s="513"/>
      <c r="B474" s="513"/>
      <c r="C474" s="513"/>
      <c r="D474" s="513"/>
      <c r="E474" s="513"/>
      <c r="F474" s="513"/>
      <c r="G474" s="513"/>
    </row>
    <row r="475">
      <c r="A475" s="513"/>
      <c r="B475" s="513"/>
      <c r="C475" s="513"/>
      <c r="D475" s="513"/>
      <c r="E475" s="513"/>
      <c r="F475" s="513"/>
      <c r="G475" s="513"/>
    </row>
    <row r="476">
      <c r="A476" s="513"/>
      <c r="B476" s="513"/>
      <c r="C476" s="513"/>
      <c r="D476" s="513"/>
      <c r="E476" s="513"/>
      <c r="F476" s="513"/>
      <c r="G476" s="513"/>
    </row>
    <row r="477">
      <c r="A477" s="513"/>
      <c r="B477" s="513"/>
      <c r="C477" s="513"/>
      <c r="D477" s="513"/>
      <c r="E477" s="513"/>
      <c r="F477" s="513"/>
      <c r="G477" s="513"/>
    </row>
    <row r="478">
      <c r="A478" s="513"/>
      <c r="B478" s="513"/>
      <c r="C478" s="513"/>
      <c r="D478" s="513"/>
      <c r="E478" s="513"/>
      <c r="F478" s="513"/>
      <c r="G478" s="513"/>
    </row>
    <row r="479">
      <c r="A479" s="513"/>
      <c r="B479" s="513"/>
      <c r="C479" s="513"/>
      <c r="D479" s="513"/>
      <c r="E479" s="513"/>
      <c r="F479" s="513"/>
      <c r="G479" s="513"/>
    </row>
    <row r="480">
      <c r="A480" s="513"/>
      <c r="B480" s="513"/>
      <c r="C480" s="513"/>
      <c r="D480" s="513"/>
      <c r="E480" s="513"/>
      <c r="F480" s="513"/>
      <c r="G480" s="513"/>
    </row>
    <row r="481">
      <c r="A481" s="513"/>
      <c r="B481" s="513"/>
      <c r="C481" s="513"/>
      <c r="D481" s="513"/>
      <c r="E481" s="513"/>
      <c r="F481" s="513"/>
      <c r="G481" s="513"/>
    </row>
    <row r="482">
      <c r="A482" s="513"/>
      <c r="B482" s="513"/>
      <c r="C482" s="513"/>
      <c r="D482" s="513"/>
      <c r="E482" s="513"/>
      <c r="F482" s="513"/>
      <c r="G482" s="513"/>
    </row>
    <row r="483">
      <c r="A483" s="513"/>
      <c r="B483" s="513"/>
      <c r="C483" s="513"/>
      <c r="D483" s="513"/>
      <c r="E483" s="513"/>
      <c r="F483" s="513"/>
      <c r="G483" s="513"/>
    </row>
    <row r="484">
      <c r="A484" s="513"/>
      <c r="B484" s="513"/>
      <c r="C484" s="513"/>
      <c r="D484" s="513"/>
      <c r="E484" s="513"/>
      <c r="F484" s="513"/>
      <c r="G484" s="513"/>
    </row>
    <row r="485">
      <c r="A485" s="513"/>
      <c r="B485" s="513"/>
      <c r="C485" s="513"/>
      <c r="D485" s="513"/>
      <c r="E485" s="513"/>
      <c r="F485" s="513"/>
      <c r="G485" s="513"/>
    </row>
    <row r="486">
      <c r="A486" s="513"/>
      <c r="B486" s="513"/>
      <c r="C486" s="513"/>
      <c r="D486" s="513"/>
      <c r="E486" s="513"/>
      <c r="F486" s="513"/>
      <c r="G486" s="513"/>
    </row>
    <row r="487">
      <c r="A487" s="513"/>
      <c r="B487" s="513"/>
      <c r="C487" s="513"/>
      <c r="D487" s="513"/>
      <c r="E487" s="513"/>
      <c r="F487" s="513"/>
      <c r="G487" s="513"/>
    </row>
    <row r="488">
      <c r="A488" s="513"/>
      <c r="B488" s="513"/>
      <c r="C488" s="513"/>
      <c r="D488" s="513"/>
      <c r="E488" s="513"/>
      <c r="F488" s="513"/>
      <c r="G488" s="513"/>
    </row>
    <row r="489">
      <c r="A489" s="513"/>
      <c r="B489" s="513"/>
      <c r="C489" s="513"/>
      <c r="D489" s="513"/>
      <c r="E489" s="513"/>
      <c r="F489" s="513"/>
      <c r="G489" s="513"/>
    </row>
    <row r="490">
      <c r="A490" s="513"/>
      <c r="B490" s="513"/>
      <c r="C490" s="513"/>
      <c r="D490" s="513"/>
      <c r="E490" s="513"/>
      <c r="F490" s="513"/>
      <c r="G490" s="513"/>
    </row>
    <row r="491">
      <c r="A491" s="513"/>
      <c r="B491" s="513"/>
      <c r="C491" s="513"/>
      <c r="D491" s="513"/>
      <c r="E491" s="513"/>
      <c r="F491" s="513"/>
      <c r="G491" s="513"/>
    </row>
    <row r="492">
      <c r="A492" s="513"/>
      <c r="B492" s="513"/>
      <c r="C492" s="513"/>
      <c r="D492" s="513"/>
      <c r="E492" s="513"/>
      <c r="F492" s="513"/>
      <c r="G492" s="513"/>
    </row>
    <row r="493">
      <c r="A493" s="513"/>
      <c r="B493" s="513"/>
      <c r="C493" s="513"/>
      <c r="D493" s="513"/>
      <c r="E493" s="513"/>
      <c r="F493" s="513"/>
      <c r="G493" s="513"/>
    </row>
    <row r="494">
      <c r="A494" s="513"/>
      <c r="B494" s="513"/>
      <c r="C494" s="513"/>
      <c r="D494" s="513"/>
      <c r="E494" s="513"/>
      <c r="F494" s="513"/>
      <c r="G494" s="513"/>
    </row>
    <row r="495">
      <c r="A495" s="513"/>
      <c r="B495" s="513"/>
      <c r="C495" s="513"/>
      <c r="D495" s="513"/>
      <c r="E495" s="513"/>
      <c r="F495" s="513"/>
      <c r="G495" s="513"/>
    </row>
    <row r="496">
      <c r="A496" s="513"/>
      <c r="B496" s="513"/>
      <c r="C496" s="513"/>
      <c r="D496" s="513"/>
      <c r="E496" s="513"/>
      <c r="F496" s="513"/>
      <c r="G496" s="513"/>
    </row>
    <row r="497">
      <c r="A497" s="513"/>
      <c r="B497" s="513"/>
      <c r="C497" s="513"/>
      <c r="D497" s="513"/>
      <c r="E497" s="513"/>
      <c r="F497" s="513"/>
      <c r="G497" s="513"/>
    </row>
    <row r="498">
      <c r="A498" s="513"/>
      <c r="B498" s="513"/>
      <c r="C498" s="513"/>
      <c r="D498" s="513"/>
      <c r="E498" s="513"/>
      <c r="F498" s="513"/>
      <c r="G498" s="513"/>
    </row>
    <row r="499">
      <c r="A499" s="513"/>
      <c r="B499" s="513"/>
      <c r="C499" s="513"/>
      <c r="D499" s="513"/>
      <c r="E499" s="513"/>
      <c r="F499" s="513"/>
      <c r="G499" s="513"/>
    </row>
    <row r="500">
      <c r="A500" s="513"/>
      <c r="B500" s="513"/>
      <c r="C500" s="513"/>
      <c r="D500" s="513"/>
      <c r="E500" s="513"/>
      <c r="F500" s="513"/>
      <c r="G500" s="513"/>
    </row>
    <row r="501">
      <c r="A501" s="513"/>
      <c r="B501" s="513"/>
      <c r="C501" s="513"/>
      <c r="D501" s="513"/>
      <c r="E501" s="513"/>
      <c r="F501" s="513"/>
      <c r="G501" s="513"/>
    </row>
    <row r="502">
      <c r="A502" s="513"/>
      <c r="B502" s="513"/>
      <c r="C502" s="513"/>
      <c r="D502" s="513"/>
      <c r="E502" s="513"/>
      <c r="F502" s="513"/>
      <c r="G502" s="513"/>
    </row>
    <row r="503">
      <c r="A503" s="513"/>
      <c r="B503" s="513"/>
      <c r="C503" s="513"/>
      <c r="D503" s="513"/>
      <c r="E503" s="513"/>
      <c r="F503" s="513"/>
      <c r="G503" s="513"/>
    </row>
    <row r="504">
      <c r="A504" s="513"/>
      <c r="B504" s="513"/>
      <c r="C504" s="513"/>
      <c r="D504" s="513"/>
      <c r="E504" s="513"/>
      <c r="F504" s="513"/>
      <c r="G504" s="513"/>
    </row>
    <row r="505">
      <c r="A505" s="513"/>
      <c r="B505" s="513"/>
      <c r="C505" s="513"/>
      <c r="D505" s="513"/>
      <c r="E505" s="513"/>
      <c r="F505" s="513"/>
      <c r="G505" s="513"/>
    </row>
    <row r="506">
      <c r="A506" s="513"/>
      <c r="B506" s="513"/>
      <c r="C506" s="513"/>
      <c r="D506" s="513"/>
      <c r="E506" s="513"/>
      <c r="F506" s="513"/>
      <c r="G506" s="513"/>
    </row>
    <row r="507">
      <c r="A507" s="513"/>
      <c r="B507" s="513"/>
      <c r="C507" s="513"/>
      <c r="D507" s="513"/>
      <c r="E507" s="513"/>
      <c r="F507" s="513"/>
      <c r="G507" s="513"/>
    </row>
    <row r="508">
      <c r="A508" s="513"/>
      <c r="B508" s="513"/>
      <c r="C508" s="513"/>
      <c r="D508" s="513"/>
      <c r="E508" s="513"/>
      <c r="F508" s="513"/>
      <c r="G508" s="513"/>
    </row>
    <row r="509">
      <c r="A509" s="513"/>
      <c r="B509" s="513"/>
      <c r="C509" s="513"/>
      <c r="D509" s="513"/>
      <c r="E509" s="513"/>
      <c r="F509" s="513"/>
      <c r="G509" s="513"/>
    </row>
    <row r="510">
      <c r="A510" s="513"/>
      <c r="B510" s="513"/>
      <c r="C510" s="513"/>
      <c r="D510" s="513"/>
      <c r="E510" s="513"/>
      <c r="F510" s="513"/>
      <c r="G510" s="513"/>
    </row>
    <row r="511">
      <c r="A511" s="513"/>
      <c r="B511" s="513"/>
      <c r="C511" s="513"/>
      <c r="D511" s="513"/>
      <c r="E511" s="513"/>
      <c r="F511" s="513"/>
      <c r="G511" s="513"/>
    </row>
    <row r="512">
      <c r="A512" s="513"/>
      <c r="B512" s="513"/>
      <c r="C512" s="513"/>
      <c r="D512" s="513"/>
      <c r="E512" s="513"/>
      <c r="F512" s="513"/>
      <c r="G512" s="513"/>
    </row>
    <row r="513">
      <c r="A513" s="513"/>
      <c r="B513" s="513"/>
      <c r="C513" s="513"/>
      <c r="D513" s="513"/>
      <c r="E513" s="513"/>
      <c r="F513" s="513"/>
      <c r="G513" s="513"/>
    </row>
    <row r="514">
      <c r="A514" s="513"/>
      <c r="B514" s="513"/>
      <c r="C514" s="513"/>
      <c r="D514" s="513"/>
      <c r="E514" s="513"/>
      <c r="F514" s="513"/>
      <c r="G514" s="513"/>
    </row>
    <row r="515">
      <c r="A515" s="513"/>
      <c r="B515" s="513"/>
      <c r="C515" s="513"/>
      <c r="D515" s="513"/>
      <c r="E515" s="513"/>
      <c r="F515" s="513"/>
      <c r="G515" s="513"/>
    </row>
    <row r="516">
      <c r="A516" s="513"/>
      <c r="B516" s="513"/>
      <c r="C516" s="513"/>
      <c r="D516" s="513"/>
      <c r="E516" s="513"/>
      <c r="F516" s="513"/>
      <c r="G516" s="513"/>
    </row>
    <row r="517">
      <c r="A517" s="513"/>
      <c r="B517" s="513"/>
      <c r="C517" s="513"/>
      <c r="D517" s="513"/>
      <c r="E517" s="513"/>
      <c r="F517" s="513"/>
      <c r="G517" s="513"/>
    </row>
    <row r="518">
      <c r="A518" s="513"/>
      <c r="B518" s="513"/>
      <c r="C518" s="513"/>
      <c r="D518" s="513"/>
      <c r="E518" s="513"/>
      <c r="F518" s="513"/>
      <c r="G518" s="513"/>
    </row>
    <row r="519">
      <c r="A519" s="513"/>
      <c r="B519" s="513"/>
      <c r="C519" s="513"/>
      <c r="D519" s="513"/>
      <c r="E519" s="513"/>
      <c r="F519" s="513"/>
      <c r="G519" s="513"/>
    </row>
    <row r="520">
      <c r="A520" s="513"/>
      <c r="B520" s="513"/>
      <c r="C520" s="513"/>
      <c r="D520" s="513"/>
      <c r="E520" s="513"/>
      <c r="F520" s="513"/>
      <c r="G520" s="513"/>
    </row>
    <row r="521">
      <c r="A521" s="513"/>
      <c r="B521" s="513"/>
      <c r="C521" s="513"/>
      <c r="D521" s="513"/>
      <c r="E521" s="513"/>
      <c r="F521" s="513"/>
      <c r="G521" s="513"/>
    </row>
    <row r="522">
      <c r="A522" s="513"/>
      <c r="B522" s="513"/>
      <c r="C522" s="513"/>
      <c r="D522" s="513"/>
      <c r="E522" s="513"/>
      <c r="F522" s="513"/>
      <c r="G522" s="513"/>
    </row>
    <row r="523">
      <c r="A523" s="513"/>
      <c r="B523" s="513"/>
      <c r="C523" s="513"/>
      <c r="D523" s="513"/>
      <c r="E523" s="513"/>
      <c r="F523" s="513"/>
      <c r="G523" s="513"/>
    </row>
    <row r="524">
      <c r="A524" s="513"/>
      <c r="B524" s="513"/>
      <c r="C524" s="513"/>
      <c r="D524" s="513"/>
      <c r="E524" s="513"/>
      <c r="F524" s="513"/>
      <c r="G524" s="513"/>
    </row>
    <row r="525">
      <c r="A525" s="513"/>
      <c r="B525" s="513"/>
      <c r="C525" s="513"/>
      <c r="D525" s="513"/>
      <c r="E525" s="513"/>
      <c r="F525" s="513"/>
      <c r="G525" s="513"/>
    </row>
    <row r="526">
      <c r="A526" s="513"/>
      <c r="B526" s="513"/>
      <c r="C526" s="513"/>
      <c r="D526" s="513"/>
      <c r="E526" s="513"/>
      <c r="F526" s="513"/>
      <c r="G526" s="513"/>
    </row>
    <row r="527">
      <c r="A527" s="513"/>
      <c r="B527" s="513"/>
      <c r="C527" s="513"/>
      <c r="D527" s="513"/>
      <c r="E527" s="513"/>
      <c r="F527" s="513"/>
      <c r="G527" s="513"/>
    </row>
    <row r="528">
      <c r="A528" s="513"/>
      <c r="B528" s="513"/>
      <c r="C528" s="513"/>
      <c r="D528" s="513"/>
      <c r="E528" s="513"/>
      <c r="F528" s="513"/>
      <c r="G528" s="513"/>
    </row>
    <row r="529">
      <c r="A529" s="513"/>
      <c r="B529" s="513"/>
      <c r="C529" s="513"/>
      <c r="D529" s="513"/>
      <c r="E529" s="513"/>
      <c r="F529" s="513"/>
      <c r="G529" s="513"/>
    </row>
    <row r="530">
      <c r="A530" s="513"/>
      <c r="B530" s="513"/>
      <c r="C530" s="513"/>
      <c r="D530" s="513"/>
      <c r="E530" s="513"/>
      <c r="F530" s="513"/>
      <c r="G530" s="513"/>
    </row>
    <row r="531">
      <c r="A531" s="513"/>
      <c r="B531" s="513"/>
      <c r="C531" s="513"/>
      <c r="D531" s="513"/>
      <c r="E531" s="513"/>
      <c r="F531" s="513"/>
      <c r="G531" s="513"/>
    </row>
    <row r="532">
      <c r="A532" s="513"/>
      <c r="B532" s="513"/>
      <c r="C532" s="513"/>
      <c r="D532" s="513"/>
      <c r="E532" s="513"/>
      <c r="F532" s="513"/>
      <c r="G532" s="513"/>
    </row>
    <row r="533">
      <c r="A533" s="513"/>
      <c r="B533" s="513"/>
      <c r="C533" s="513"/>
      <c r="D533" s="513"/>
      <c r="E533" s="513"/>
      <c r="F533" s="513"/>
      <c r="G533" s="513"/>
    </row>
    <row r="534">
      <c r="A534" s="513"/>
      <c r="B534" s="513"/>
      <c r="C534" s="513"/>
      <c r="D534" s="513"/>
      <c r="E534" s="513"/>
      <c r="F534" s="513"/>
      <c r="G534" s="513"/>
    </row>
    <row r="535">
      <c r="A535" s="513"/>
      <c r="B535" s="513"/>
      <c r="C535" s="513"/>
      <c r="D535" s="513"/>
      <c r="E535" s="513"/>
      <c r="F535" s="513"/>
      <c r="G535" s="513"/>
    </row>
    <row r="536">
      <c r="A536" s="513"/>
      <c r="B536" s="513"/>
      <c r="C536" s="513"/>
      <c r="D536" s="513"/>
      <c r="E536" s="513"/>
      <c r="F536" s="513"/>
      <c r="G536" s="513"/>
    </row>
    <row r="537">
      <c r="A537" s="513"/>
      <c r="B537" s="513"/>
      <c r="C537" s="513"/>
      <c r="D537" s="513"/>
      <c r="E537" s="513"/>
      <c r="F537" s="513"/>
      <c r="G537" s="513"/>
    </row>
    <row r="538">
      <c r="A538" s="513"/>
      <c r="B538" s="513"/>
      <c r="C538" s="513"/>
      <c r="D538" s="513"/>
      <c r="E538" s="513"/>
      <c r="F538" s="513"/>
      <c r="G538" s="513"/>
    </row>
    <row r="539">
      <c r="A539" s="513"/>
      <c r="B539" s="513"/>
      <c r="C539" s="513"/>
      <c r="D539" s="513"/>
      <c r="E539" s="513"/>
      <c r="F539" s="513"/>
      <c r="G539" s="513"/>
    </row>
    <row r="540">
      <c r="A540" s="513"/>
      <c r="B540" s="513"/>
      <c r="C540" s="513"/>
      <c r="D540" s="513"/>
      <c r="E540" s="513"/>
      <c r="F540" s="513"/>
      <c r="G540" s="513"/>
    </row>
    <row r="541">
      <c r="A541" s="513"/>
      <c r="B541" s="513"/>
      <c r="C541" s="513"/>
      <c r="D541" s="513"/>
      <c r="E541" s="513"/>
      <c r="F541" s="513"/>
      <c r="G541" s="513"/>
    </row>
    <row r="542">
      <c r="A542" s="513"/>
      <c r="B542" s="513"/>
      <c r="C542" s="513"/>
      <c r="D542" s="513"/>
      <c r="E542" s="513"/>
      <c r="F542" s="513"/>
      <c r="G542" s="513"/>
    </row>
    <row r="543">
      <c r="A543" s="513"/>
      <c r="B543" s="513"/>
      <c r="C543" s="513"/>
      <c r="D543" s="513"/>
      <c r="E543" s="513"/>
      <c r="F543" s="513"/>
      <c r="G543" s="513"/>
    </row>
    <row r="544">
      <c r="A544" s="513"/>
      <c r="B544" s="513"/>
      <c r="C544" s="513"/>
      <c r="D544" s="513"/>
      <c r="E544" s="513"/>
      <c r="F544" s="513"/>
      <c r="G544" s="513"/>
    </row>
    <row r="545">
      <c r="A545" s="513"/>
      <c r="B545" s="513"/>
      <c r="C545" s="513"/>
      <c r="D545" s="513"/>
      <c r="E545" s="513"/>
      <c r="F545" s="513"/>
      <c r="G545" s="513"/>
    </row>
    <row r="546">
      <c r="A546" s="513"/>
      <c r="B546" s="513"/>
      <c r="C546" s="513"/>
      <c r="D546" s="513"/>
      <c r="E546" s="513"/>
      <c r="F546" s="513"/>
      <c r="G546" s="513"/>
    </row>
    <row r="547">
      <c r="A547" s="513"/>
      <c r="B547" s="513"/>
      <c r="C547" s="513"/>
      <c r="D547" s="513"/>
      <c r="E547" s="513"/>
      <c r="F547" s="513"/>
      <c r="G547" s="513"/>
    </row>
    <row r="548">
      <c r="A548" s="513"/>
      <c r="B548" s="513"/>
      <c r="C548" s="513"/>
      <c r="D548" s="513"/>
      <c r="E548" s="513"/>
      <c r="F548" s="513"/>
      <c r="G548" s="513"/>
    </row>
    <row r="549">
      <c r="A549" s="513"/>
      <c r="B549" s="513"/>
      <c r="C549" s="513"/>
      <c r="D549" s="513"/>
      <c r="E549" s="513"/>
      <c r="F549" s="513"/>
      <c r="G549" s="513"/>
    </row>
    <row r="550">
      <c r="A550" s="513"/>
      <c r="B550" s="513"/>
      <c r="C550" s="513"/>
      <c r="D550" s="513"/>
      <c r="E550" s="513"/>
      <c r="F550" s="513"/>
      <c r="G550" s="513"/>
    </row>
    <row r="551">
      <c r="A551" s="513"/>
      <c r="B551" s="513"/>
      <c r="C551" s="513"/>
      <c r="D551" s="513"/>
      <c r="E551" s="513"/>
      <c r="F551" s="513"/>
      <c r="G551" s="513"/>
    </row>
    <row r="552">
      <c r="A552" s="513"/>
      <c r="B552" s="513"/>
      <c r="C552" s="513"/>
      <c r="D552" s="513"/>
      <c r="E552" s="513"/>
      <c r="F552" s="513"/>
      <c r="G552" s="513"/>
    </row>
    <row r="553">
      <c r="A553" s="513"/>
      <c r="B553" s="513"/>
      <c r="C553" s="513"/>
      <c r="D553" s="513"/>
      <c r="E553" s="513"/>
      <c r="F553" s="513"/>
      <c r="G553" s="513"/>
    </row>
    <row r="554">
      <c r="A554" s="513"/>
      <c r="B554" s="513"/>
      <c r="C554" s="513"/>
      <c r="D554" s="513"/>
      <c r="E554" s="513"/>
      <c r="F554" s="513"/>
      <c r="G554" s="513"/>
    </row>
    <row r="555">
      <c r="A555" s="513"/>
      <c r="B555" s="513"/>
      <c r="C555" s="513"/>
      <c r="D555" s="513"/>
      <c r="E555" s="513"/>
      <c r="F555" s="513"/>
      <c r="G555" s="513"/>
    </row>
    <row r="556">
      <c r="A556" s="513"/>
      <c r="B556" s="513"/>
      <c r="C556" s="513"/>
      <c r="D556" s="513"/>
      <c r="E556" s="513"/>
      <c r="F556" s="513"/>
      <c r="G556" s="513"/>
    </row>
    <row r="557">
      <c r="A557" s="513"/>
      <c r="B557" s="513"/>
      <c r="C557" s="513"/>
      <c r="D557" s="513"/>
      <c r="E557" s="513"/>
      <c r="F557" s="513"/>
      <c r="G557" s="513"/>
    </row>
    <row r="558">
      <c r="A558" s="513"/>
      <c r="B558" s="513"/>
      <c r="C558" s="513"/>
      <c r="D558" s="513"/>
      <c r="E558" s="513"/>
      <c r="F558" s="513"/>
      <c r="G558" s="513"/>
    </row>
    <row r="559">
      <c r="A559" s="513"/>
      <c r="B559" s="513"/>
      <c r="C559" s="513"/>
      <c r="D559" s="513"/>
      <c r="E559" s="513"/>
      <c r="F559" s="513"/>
      <c r="G559" s="513"/>
    </row>
    <row r="560">
      <c r="A560" s="513"/>
      <c r="B560" s="513"/>
      <c r="C560" s="513"/>
      <c r="D560" s="513"/>
      <c r="E560" s="513"/>
      <c r="F560" s="513"/>
      <c r="G560" s="513"/>
    </row>
    <row r="561">
      <c r="A561" s="513"/>
      <c r="B561" s="513"/>
      <c r="C561" s="513"/>
      <c r="D561" s="513"/>
      <c r="E561" s="513"/>
      <c r="F561" s="513"/>
      <c r="G561" s="513"/>
    </row>
    <row r="562">
      <c r="A562" s="513"/>
      <c r="B562" s="513"/>
      <c r="C562" s="513"/>
      <c r="D562" s="513"/>
      <c r="E562" s="513"/>
      <c r="F562" s="513"/>
      <c r="G562" s="513"/>
    </row>
    <row r="563">
      <c r="A563" s="513"/>
      <c r="B563" s="513"/>
      <c r="C563" s="513"/>
      <c r="D563" s="513"/>
      <c r="E563" s="513"/>
      <c r="F563" s="513"/>
      <c r="G563" s="513"/>
    </row>
    <row r="564">
      <c r="A564" s="513"/>
      <c r="B564" s="513"/>
      <c r="C564" s="513"/>
      <c r="D564" s="513"/>
      <c r="E564" s="513"/>
      <c r="F564" s="513"/>
      <c r="G564" s="513"/>
    </row>
    <row r="565">
      <c r="A565" s="513"/>
      <c r="B565" s="513"/>
      <c r="C565" s="513"/>
      <c r="D565" s="513"/>
      <c r="E565" s="513"/>
      <c r="F565" s="513"/>
      <c r="G565" s="513"/>
    </row>
    <row r="566">
      <c r="A566" s="513"/>
      <c r="B566" s="513"/>
      <c r="C566" s="513"/>
      <c r="D566" s="513"/>
      <c r="E566" s="513"/>
      <c r="F566" s="513"/>
      <c r="G566" s="513"/>
    </row>
    <row r="567">
      <c r="A567" s="513"/>
      <c r="B567" s="513"/>
      <c r="C567" s="513"/>
      <c r="D567" s="513"/>
      <c r="E567" s="513"/>
      <c r="F567" s="513"/>
      <c r="G567" s="513"/>
    </row>
    <row r="568">
      <c r="A568" s="513"/>
      <c r="B568" s="513"/>
      <c r="C568" s="513"/>
      <c r="D568" s="513"/>
      <c r="E568" s="513"/>
      <c r="F568" s="513"/>
      <c r="G568" s="513"/>
    </row>
    <row r="569">
      <c r="A569" s="513"/>
      <c r="B569" s="513"/>
      <c r="C569" s="513"/>
      <c r="D569" s="513"/>
      <c r="E569" s="513"/>
      <c r="F569" s="513"/>
      <c r="G569" s="513"/>
    </row>
    <row r="570">
      <c r="A570" s="513"/>
      <c r="B570" s="513"/>
      <c r="C570" s="513"/>
      <c r="D570" s="513"/>
      <c r="E570" s="513"/>
      <c r="F570" s="513"/>
      <c r="G570" s="513"/>
    </row>
    <row r="571">
      <c r="A571" s="513"/>
      <c r="B571" s="513"/>
      <c r="C571" s="513"/>
      <c r="D571" s="513"/>
      <c r="E571" s="513"/>
      <c r="F571" s="513"/>
      <c r="G571" s="513"/>
    </row>
    <row r="572">
      <c r="A572" s="513"/>
      <c r="B572" s="513"/>
      <c r="C572" s="513"/>
      <c r="D572" s="513"/>
      <c r="E572" s="513"/>
      <c r="F572" s="513"/>
      <c r="G572" s="513"/>
    </row>
    <row r="573">
      <c r="A573" s="513"/>
      <c r="B573" s="513"/>
      <c r="C573" s="513"/>
      <c r="D573" s="513"/>
      <c r="E573" s="513"/>
      <c r="F573" s="513"/>
      <c r="G573" s="513"/>
    </row>
    <row r="574">
      <c r="A574" s="513"/>
      <c r="B574" s="513"/>
      <c r="C574" s="513"/>
      <c r="D574" s="513"/>
      <c r="E574" s="513"/>
      <c r="F574" s="513"/>
      <c r="G574" s="513"/>
    </row>
    <row r="575">
      <c r="A575" s="513"/>
      <c r="B575" s="513"/>
      <c r="C575" s="513"/>
      <c r="D575" s="513"/>
      <c r="E575" s="513"/>
      <c r="F575" s="513"/>
      <c r="G575" s="513"/>
    </row>
    <row r="576">
      <c r="A576" s="513"/>
      <c r="B576" s="513"/>
      <c r="C576" s="513"/>
      <c r="D576" s="513"/>
      <c r="E576" s="513"/>
      <c r="F576" s="513"/>
      <c r="G576" s="513"/>
    </row>
    <row r="577">
      <c r="A577" s="513"/>
      <c r="B577" s="513"/>
      <c r="C577" s="513"/>
      <c r="D577" s="513"/>
      <c r="E577" s="513"/>
      <c r="F577" s="513"/>
      <c r="G577" s="513"/>
    </row>
    <row r="578">
      <c r="A578" s="513"/>
      <c r="B578" s="513"/>
      <c r="C578" s="513"/>
      <c r="D578" s="513"/>
      <c r="E578" s="513"/>
      <c r="F578" s="513"/>
      <c r="G578" s="513"/>
    </row>
    <row r="579">
      <c r="A579" s="513"/>
      <c r="B579" s="513"/>
      <c r="C579" s="513"/>
      <c r="D579" s="513"/>
      <c r="E579" s="513"/>
      <c r="F579" s="513"/>
      <c r="G579" s="513"/>
    </row>
    <row r="580">
      <c r="A580" s="513"/>
      <c r="B580" s="513"/>
      <c r="C580" s="513"/>
      <c r="D580" s="513"/>
      <c r="E580" s="513"/>
      <c r="F580" s="513"/>
      <c r="G580" s="513"/>
    </row>
    <row r="581">
      <c r="A581" s="513"/>
      <c r="B581" s="513"/>
      <c r="C581" s="513"/>
      <c r="D581" s="513"/>
      <c r="E581" s="513"/>
      <c r="F581" s="513"/>
      <c r="G581" s="513"/>
    </row>
    <row r="582">
      <c r="A582" s="513"/>
      <c r="B582" s="513"/>
      <c r="C582" s="513"/>
      <c r="D582" s="513"/>
      <c r="E582" s="513"/>
      <c r="F582" s="513"/>
      <c r="G582" s="513"/>
    </row>
    <row r="583">
      <c r="A583" s="513"/>
      <c r="B583" s="513"/>
      <c r="C583" s="513"/>
      <c r="D583" s="513"/>
      <c r="E583" s="513"/>
      <c r="F583" s="513"/>
      <c r="G583" s="513"/>
    </row>
    <row r="584">
      <c r="A584" s="513"/>
      <c r="B584" s="513"/>
      <c r="C584" s="513"/>
      <c r="D584" s="513"/>
      <c r="E584" s="513"/>
      <c r="F584" s="513"/>
      <c r="G584" s="513"/>
    </row>
    <row r="585">
      <c r="A585" s="513"/>
      <c r="B585" s="513"/>
      <c r="C585" s="513"/>
      <c r="D585" s="513"/>
      <c r="E585" s="513"/>
      <c r="F585" s="513"/>
      <c r="G585" s="513"/>
    </row>
    <row r="586">
      <c r="A586" s="513"/>
      <c r="B586" s="513"/>
      <c r="C586" s="513"/>
      <c r="D586" s="513"/>
      <c r="E586" s="513"/>
      <c r="F586" s="513"/>
      <c r="G586" s="513"/>
    </row>
    <row r="587">
      <c r="A587" s="513"/>
      <c r="B587" s="513"/>
      <c r="C587" s="513"/>
      <c r="D587" s="513"/>
      <c r="E587" s="513"/>
      <c r="F587" s="513"/>
      <c r="G587" s="513"/>
    </row>
    <row r="588">
      <c r="A588" s="513"/>
      <c r="B588" s="513"/>
      <c r="C588" s="513"/>
      <c r="D588" s="513"/>
      <c r="E588" s="513"/>
      <c r="F588" s="513"/>
      <c r="G588" s="513"/>
    </row>
    <row r="589">
      <c r="A589" s="513"/>
      <c r="B589" s="513"/>
      <c r="C589" s="513"/>
      <c r="D589" s="513"/>
      <c r="E589" s="513"/>
      <c r="F589" s="513"/>
      <c r="G589" s="513"/>
    </row>
    <row r="590">
      <c r="A590" s="513"/>
      <c r="B590" s="513"/>
      <c r="C590" s="513"/>
      <c r="D590" s="513"/>
      <c r="E590" s="513"/>
      <c r="F590" s="513"/>
      <c r="G590" s="513"/>
    </row>
    <row r="591">
      <c r="A591" s="513"/>
      <c r="B591" s="513"/>
      <c r="C591" s="513"/>
      <c r="D591" s="513"/>
      <c r="E591" s="513"/>
      <c r="F591" s="513"/>
      <c r="G591" s="513"/>
    </row>
    <row r="592">
      <c r="A592" s="513"/>
      <c r="B592" s="513"/>
      <c r="C592" s="513"/>
      <c r="D592" s="513"/>
      <c r="E592" s="513"/>
      <c r="F592" s="513"/>
      <c r="G592" s="513"/>
    </row>
    <row r="593">
      <c r="A593" s="513"/>
      <c r="B593" s="513"/>
      <c r="C593" s="513"/>
      <c r="D593" s="513"/>
      <c r="E593" s="513"/>
      <c r="F593" s="513"/>
      <c r="G593" s="513"/>
    </row>
    <row r="594">
      <c r="A594" s="513"/>
      <c r="B594" s="513"/>
      <c r="C594" s="513"/>
      <c r="D594" s="513"/>
      <c r="E594" s="513"/>
      <c r="F594" s="513"/>
      <c r="G594" s="513"/>
    </row>
    <row r="595">
      <c r="A595" s="513"/>
      <c r="B595" s="513"/>
      <c r="C595" s="513"/>
      <c r="D595" s="513"/>
      <c r="E595" s="513"/>
      <c r="F595" s="513"/>
      <c r="G595" s="513"/>
    </row>
    <row r="596">
      <c r="A596" s="513"/>
      <c r="B596" s="513"/>
      <c r="C596" s="513"/>
      <c r="D596" s="513"/>
      <c r="E596" s="513"/>
      <c r="F596" s="513"/>
      <c r="G596" s="513"/>
    </row>
    <row r="597">
      <c r="A597" s="513"/>
      <c r="B597" s="513"/>
      <c r="C597" s="513"/>
      <c r="D597" s="513"/>
      <c r="E597" s="513"/>
      <c r="F597" s="513"/>
      <c r="G597" s="513"/>
    </row>
    <row r="598">
      <c r="A598" s="513"/>
      <c r="B598" s="513"/>
      <c r="C598" s="513"/>
      <c r="D598" s="513"/>
      <c r="E598" s="513"/>
      <c r="F598" s="513"/>
      <c r="G598" s="513"/>
    </row>
    <row r="599">
      <c r="A599" s="513"/>
      <c r="B599" s="513"/>
      <c r="C599" s="513"/>
      <c r="D599" s="513"/>
      <c r="E599" s="513"/>
      <c r="F599" s="513"/>
      <c r="G599" s="513"/>
    </row>
    <row r="600">
      <c r="A600" s="513"/>
      <c r="B600" s="513"/>
      <c r="C600" s="513"/>
      <c r="D600" s="513"/>
      <c r="E600" s="513"/>
      <c r="F600" s="513"/>
      <c r="G600" s="513"/>
    </row>
    <row r="601">
      <c r="A601" s="513"/>
      <c r="B601" s="513"/>
      <c r="C601" s="513"/>
      <c r="D601" s="513"/>
      <c r="E601" s="513"/>
      <c r="F601" s="513"/>
      <c r="G601" s="513"/>
    </row>
    <row r="602">
      <c r="A602" s="513"/>
      <c r="B602" s="513"/>
      <c r="C602" s="513"/>
      <c r="D602" s="513"/>
      <c r="E602" s="513"/>
      <c r="F602" s="513"/>
      <c r="G602" s="513"/>
    </row>
    <row r="603">
      <c r="A603" s="513"/>
      <c r="B603" s="513"/>
      <c r="C603" s="513"/>
      <c r="D603" s="513"/>
      <c r="E603" s="513"/>
      <c r="F603" s="513"/>
      <c r="G603" s="513"/>
    </row>
    <row r="604">
      <c r="A604" s="513"/>
      <c r="B604" s="513"/>
      <c r="C604" s="513"/>
      <c r="D604" s="513"/>
      <c r="E604" s="513"/>
      <c r="F604" s="513"/>
      <c r="G604" s="513"/>
    </row>
    <row r="605">
      <c r="A605" s="513"/>
      <c r="B605" s="513"/>
      <c r="C605" s="513"/>
      <c r="D605" s="513"/>
      <c r="E605" s="513"/>
      <c r="F605" s="513"/>
      <c r="G605" s="513"/>
    </row>
    <row r="606">
      <c r="A606" s="513"/>
      <c r="B606" s="513"/>
      <c r="C606" s="513"/>
      <c r="D606" s="513"/>
      <c r="E606" s="513"/>
      <c r="F606" s="513"/>
      <c r="G606" s="513"/>
    </row>
    <row r="607">
      <c r="A607" s="513"/>
      <c r="B607" s="513"/>
      <c r="C607" s="513"/>
      <c r="D607" s="513"/>
      <c r="E607" s="513"/>
      <c r="F607" s="513"/>
      <c r="G607" s="513"/>
    </row>
    <row r="608">
      <c r="A608" s="513"/>
      <c r="B608" s="513"/>
      <c r="C608" s="513"/>
      <c r="D608" s="513"/>
      <c r="E608" s="513"/>
      <c r="F608" s="513"/>
      <c r="G608" s="513"/>
    </row>
    <row r="609">
      <c r="A609" s="513"/>
      <c r="B609" s="513"/>
      <c r="C609" s="513"/>
      <c r="D609" s="513"/>
      <c r="E609" s="513"/>
      <c r="F609" s="513"/>
      <c r="G609" s="513"/>
    </row>
    <row r="610">
      <c r="A610" s="513"/>
      <c r="B610" s="513"/>
      <c r="C610" s="513"/>
      <c r="D610" s="513"/>
      <c r="E610" s="513"/>
      <c r="F610" s="513"/>
      <c r="G610" s="513"/>
    </row>
    <row r="611">
      <c r="A611" s="513"/>
      <c r="B611" s="513"/>
      <c r="C611" s="513"/>
      <c r="D611" s="513"/>
      <c r="E611" s="513"/>
      <c r="F611" s="513"/>
      <c r="G611" s="513"/>
    </row>
    <row r="612">
      <c r="A612" s="513"/>
      <c r="B612" s="513"/>
      <c r="C612" s="513"/>
      <c r="D612" s="513"/>
      <c r="E612" s="513"/>
      <c r="F612" s="513"/>
      <c r="G612" s="513"/>
    </row>
    <row r="613">
      <c r="A613" s="513"/>
      <c r="B613" s="513"/>
      <c r="C613" s="513"/>
      <c r="D613" s="513"/>
      <c r="E613" s="513"/>
      <c r="F613" s="513"/>
      <c r="G613" s="513"/>
    </row>
    <row r="614">
      <c r="A614" s="513"/>
      <c r="B614" s="513"/>
      <c r="C614" s="513"/>
      <c r="D614" s="513"/>
      <c r="E614" s="513"/>
      <c r="F614" s="513"/>
      <c r="G614" s="513"/>
    </row>
    <row r="615">
      <c r="A615" s="513"/>
      <c r="B615" s="513"/>
      <c r="C615" s="513"/>
      <c r="D615" s="513"/>
      <c r="E615" s="513"/>
      <c r="F615" s="513"/>
      <c r="G615" s="513"/>
    </row>
    <row r="616">
      <c r="A616" s="513"/>
      <c r="B616" s="513"/>
      <c r="C616" s="513"/>
      <c r="D616" s="513"/>
      <c r="E616" s="513"/>
      <c r="F616" s="513"/>
      <c r="G616" s="513"/>
    </row>
    <row r="617">
      <c r="A617" s="513"/>
      <c r="B617" s="513"/>
      <c r="C617" s="513"/>
      <c r="D617" s="513"/>
      <c r="E617" s="513"/>
      <c r="F617" s="513"/>
      <c r="G617" s="513"/>
    </row>
    <row r="618">
      <c r="A618" s="513"/>
      <c r="B618" s="513"/>
      <c r="C618" s="513"/>
      <c r="D618" s="513"/>
      <c r="E618" s="513"/>
      <c r="F618" s="513"/>
      <c r="G618" s="513"/>
    </row>
    <row r="619">
      <c r="A619" s="513"/>
      <c r="B619" s="513"/>
      <c r="C619" s="513"/>
      <c r="D619" s="513"/>
      <c r="E619" s="513"/>
      <c r="F619" s="513"/>
      <c r="G619" s="513"/>
    </row>
    <row r="620">
      <c r="A620" s="513"/>
      <c r="B620" s="513"/>
      <c r="C620" s="513"/>
      <c r="D620" s="513"/>
      <c r="E620" s="513"/>
      <c r="F620" s="513"/>
      <c r="G620" s="513"/>
    </row>
    <row r="621">
      <c r="A621" s="513"/>
      <c r="B621" s="513"/>
      <c r="C621" s="513"/>
      <c r="D621" s="513"/>
      <c r="E621" s="513"/>
      <c r="F621" s="513"/>
      <c r="G621" s="513"/>
    </row>
    <row r="622">
      <c r="A622" s="513"/>
      <c r="B622" s="513"/>
      <c r="C622" s="513"/>
      <c r="D622" s="513"/>
      <c r="E622" s="513"/>
      <c r="F622" s="513"/>
      <c r="G622" s="513"/>
    </row>
    <row r="623">
      <c r="A623" s="513"/>
      <c r="B623" s="513"/>
      <c r="C623" s="513"/>
      <c r="D623" s="513"/>
      <c r="E623" s="513"/>
      <c r="F623" s="513"/>
      <c r="G623" s="513"/>
    </row>
    <row r="624">
      <c r="A624" s="513"/>
      <c r="B624" s="513"/>
      <c r="C624" s="513"/>
      <c r="D624" s="513"/>
      <c r="E624" s="513"/>
      <c r="F624" s="513"/>
      <c r="G624" s="513"/>
    </row>
    <row r="625">
      <c r="A625" s="513"/>
      <c r="B625" s="513"/>
      <c r="C625" s="513"/>
      <c r="D625" s="513"/>
      <c r="E625" s="513"/>
      <c r="F625" s="513"/>
      <c r="G625" s="513"/>
    </row>
    <row r="626">
      <c r="A626" s="513"/>
      <c r="B626" s="513"/>
      <c r="C626" s="513"/>
      <c r="D626" s="513"/>
      <c r="E626" s="513"/>
      <c r="F626" s="513"/>
      <c r="G626" s="513"/>
    </row>
    <row r="627">
      <c r="A627" s="513"/>
      <c r="B627" s="513"/>
      <c r="C627" s="513"/>
      <c r="D627" s="513"/>
      <c r="E627" s="513"/>
      <c r="F627" s="513"/>
      <c r="G627" s="513"/>
    </row>
    <row r="628">
      <c r="A628" s="513"/>
      <c r="B628" s="513"/>
      <c r="C628" s="513"/>
      <c r="D628" s="513"/>
      <c r="E628" s="513"/>
      <c r="F628" s="513"/>
      <c r="G628" s="513"/>
    </row>
    <row r="629">
      <c r="A629" s="513"/>
      <c r="B629" s="513"/>
      <c r="C629" s="513"/>
      <c r="D629" s="513"/>
      <c r="E629" s="513"/>
      <c r="F629" s="513"/>
      <c r="G629" s="513"/>
    </row>
    <row r="630">
      <c r="A630" s="513"/>
      <c r="B630" s="513"/>
      <c r="C630" s="513"/>
      <c r="D630" s="513"/>
      <c r="E630" s="513"/>
      <c r="F630" s="513"/>
      <c r="G630" s="513"/>
    </row>
    <row r="631">
      <c r="A631" s="513"/>
      <c r="B631" s="513"/>
      <c r="C631" s="513"/>
      <c r="D631" s="513"/>
      <c r="E631" s="513"/>
      <c r="F631" s="513"/>
      <c r="G631" s="513"/>
    </row>
    <row r="632">
      <c r="A632" s="513"/>
      <c r="B632" s="513"/>
      <c r="C632" s="513"/>
      <c r="D632" s="513"/>
      <c r="E632" s="513"/>
      <c r="F632" s="513"/>
      <c r="G632" s="513"/>
    </row>
    <row r="633">
      <c r="A633" s="513"/>
      <c r="B633" s="513"/>
      <c r="C633" s="513"/>
      <c r="D633" s="513"/>
      <c r="E633" s="513"/>
      <c r="F633" s="513"/>
      <c r="G633" s="513"/>
    </row>
    <row r="634">
      <c r="A634" s="513"/>
      <c r="B634" s="513"/>
      <c r="C634" s="513"/>
      <c r="D634" s="513"/>
      <c r="E634" s="513"/>
      <c r="F634" s="513"/>
      <c r="G634" s="513"/>
    </row>
    <row r="635">
      <c r="A635" s="513"/>
      <c r="B635" s="513"/>
      <c r="C635" s="513"/>
      <c r="D635" s="513"/>
      <c r="E635" s="513"/>
      <c r="F635" s="513"/>
      <c r="G635" s="513"/>
    </row>
    <row r="636">
      <c r="A636" s="513"/>
      <c r="B636" s="513"/>
      <c r="C636" s="513"/>
      <c r="D636" s="513"/>
      <c r="E636" s="513"/>
      <c r="F636" s="513"/>
      <c r="G636" s="513"/>
    </row>
    <row r="637">
      <c r="A637" s="513"/>
      <c r="B637" s="513"/>
      <c r="C637" s="513"/>
      <c r="D637" s="513"/>
      <c r="E637" s="513"/>
      <c r="F637" s="513"/>
      <c r="G637" s="513"/>
    </row>
    <row r="638">
      <c r="A638" s="513"/>
      <c r="B638" s="513"/>
      <c r="C638" s="513"/>
      <c r="D638" s="513"/>
      <c r="E638" s="513"/>
      <c r="F638" s="513"/>
      <c r="G638" s="513"/>
    </row>
    <row r="639">
      <c r="A639" s="513"/>
      <c r="B639" s="513"/>
      <c r="C639" s="513"/>
      <c r="D639" s="513"/>
      <c r="E639" s="513"/>
      <c r="F639" s="513"/>
      <c r="G639" s="513"/>
    </row>
    <row r="640">
      <c r="A640" s="513"/>
      <c r="B640" s="513"/>
      <c r="C640" s="513"/>
      <c r="D640" s="513"/>
      <c r="E640" s="513"/>
      <c r="F640" s="513"/>
      <c r="G640" s="513"/>
    </row>
    <row r="641">
      <c r="A641" s="513"/>
      <c r="B641" s="513"/>
      <c r="C641" s="513"/>
      <c r="D641" s="513"/>
      <c r="E641" s="513"/>
      <c r="F641" s="513"/>
      <c r="G641" s="513"/>
    </row>
    <row r="642">
      <c r="A642" s="513"/>
      <c r="B642" s="513"/>
      <c r="C642" s="513"/>
      <c r="D642" s="513"/>
      <c r="E642" s="513"/>
      <c r="F642" s="513"/>
      <c r="G642" s="513"/>
    </row>
    <row r="643">
      <c r="A643" s="513"/>
      <c r="B643" s="513"/>
      <c r="C643" s="513"/>
      <c r="D643" s="513"/>
      <c r="E643" s="513"/>
      <c r="F643" s="513"/>
      <c r="G643" s="513"/>
    </row>
    <row r="644">
      <c r="A644" s="513"/>
      <c r="B644" s="513"/>
      <c r="C644" s="513"/>
      <c r="D644" s="513"/>
      <c r="E644" s="513"/>
      <c r="F644" s="513"/>
      <c r="G644" s="513"/>
    </row>
    <row r="645">
      <c r="A645" s="513"/>
      <c r="B645" s="513"/>
      <c r="C645" s="513"/>
      <c r="D645" s="513"/>
      <c r="E645" s="513"/>
      <c r="F645" s="513"/>
      <c r="G645" s="513"/>
    </row>
    <row r="646">
      <c r="A646" s="513"/>
      <c r="B646" s="513"/>
      <c r="C646" s="513"/>
      <c r="D646" s="513"/>
      <c r="E646" s="513"/>
      <c r="F646" s="513"/>
      <c r="G646" s="513"/>
    </row>
    <row r="647">
      <c r="A647" s="513"/>
      <c r="B647" s="513"/>
      <c r="C647" s="513"/>
      <c r="D647" s="513"/>
      <c r="E647" s="513"/>
      <c r="F647" s="513"/>
      <c r="G647" s="513"/>
    </row>
    <row r="648">
      <c r="A648" s="513"/>
      <c r="B648" s="513"/>
      <c r="C648" s="513"/>
      <c r="D648" s="513"/>
      <c r="E648" s="513"/>
      <c r="F648" s="513"/>
      <c r="G648" s="513"/>
    </row>
    <row r="649">
      <c r="A649" s="513"/>
      <c r="B649" s="513"/>
      <c r="C649" s="513"/>
      <c r="D649" s="513"/>
      <c r="E649" s="513"/>
      <c r="F649" s="513"/>
      <c r="G649" s="513"/>
    </row>
    <row r="650">
      <c r="A650" s="513"/>
      <c r="B650" s="513"/>
      <c r="C650" s="513"/>
      <c r="D650" s="513"/>
      <c r="E650" s="513"/>
      <c r="F650" s="513"/>
      <c r="G650" s="513"/>
    </row>
    <row r="651">
      <c r="A651" s="513"/>
      <c r="B651" s="513"/>
      <c r="C651" s="513"/>
      <c r="D651" s="513"/>
      <c r="E651" s="513"/>
      <c r="F651" s="513"/>
      <c r="G651" s="513"/>
    </row>
    <row r="652">
      <c r="A652" s="513"/>
      <c r="B652" s="513"/>
      <c r="C652" s="513"/>
      <c r="D652" s="513"/>
      <c r="E652" s="513"/>
      <c r="F652" s="513"/>
      <c r="G652" s="513"/>
    </row>
    <row r="653">
      <c r="A653" s="513"/>
      <c r="B653" s="513"/>
      <c r="C653" s="513"/>
      <c r="D653" s="513"/>
      <c r="E653" s="513"/>
      <c r="F653" s="513"/>
      <c r="G653" s="513"/>
    </row>
    <row r="654">
      <c r="A654" s="513"/>
      <c r="B654" s="513"/>
      <c r="C654" s="513"/>
      <c r="D654" s="513"/>
      <c r="E654" s="513"/>
      <c r="F654" s="513"/>
      <c r="G654" s="513"/>
    </row>
    <row r="655">
      <c r="A655" s="513"/>
      <c r="B655" s="513"/>
      <c r="C655" s="513"/>
      <c r="D655" s="513"/>
      <c r="E655" s="513"/>
      <c r="F655" s="513"/>
      <c r="G655" s="513"/>
    </row>
    <row r="656">
      <c r="A656" s="513"/>
      <c r="B656" s="513"/>
      <c r="C656" s="513"/>
      <c r="D656" s="513"/>
      <c r="E656" s="513"/>
      <c r="F656" s="513"/>
      <c r="G656" s="513"/>
    </row>
    <row r="657">
      <c r="A657" s="513"/>
      <c r="B657" s="513"/>
      <c r="C657" s="513"/>
      <c r="D657" s="513"/>
      <c r="E657" s="513"/>
      <c r="F657" s="513"/>
      <c r="G657" s="513"/>
    </row>
    <row r="658">
      <c r="A658" s="513"/>
      <c r="B658" s="513"/>
      <c r="C658" s="513"/>
      <c r="D658" s="513"/>
      <c r="E658" s="513"/>
      <c r="F658" s="513"/>
      <c r="G658" s="513"/>
    </row>
    <row r="659">
      <c r="A659" s="513"/>
      <c r="B659" s="513"/>
      <c r="C659" s="513"/>
      <c r="D659" s="513"/>
      <c r="E659" s="513"/>
      <c r="F659" s="513"/>
      <c r="G659" s="513"/>
    </row>
    <row r="660">
      <c r="A660" s="513"/>
      <c r="B660" s="513"/>
      <c r="C660" s="513"/>
      <c r="D660" s="513"/>
      <c r="E660" s="513"/>
      <c r="F660" s="513"/>
      <c r="G660" s="513"/>
    </row>
    <row r="661">
      <c r="A661" s="513"/>
      <c r="B661" s="513"/>
      <c r="C661" s="513"/>
      <c r="D661" s="513"/>
      <c r="E661" s="513"/>
      <c r="F661" s="513"/>
      <c r="G661" s="513"/>
    </row>
    <row r="662">
      <c r="A662" s="513"/>
      <c r="B662" s="513"/>
      <c r="C662" s="513"/>
      <c r="D662" s="513"/>
      <c r="E662" s="513"/>
      <c r="F662" s="513"/>
      <c r="G662" s="513"/>
    </row>
    <row r="663">
      <c r="A663" s="513"/>
      <c r="B663" s="513"/>
      <c r="C663" s="513"/>
      <c r="D663" s="513"/>
      <c r="E663" s="513"/>
      <c r="F663" s="513"/>
      <c r="G663" s="513"/>
    </row>
    <row r="664">
      <c r="A664" s="513"/>
      <c r="B664" s="513"/>
      <c r="C664" s="513"/>
      <c r="D664" s="513"/>
      <c r="E664" s="513"/>
      <c r="F664" s="513"/>
      <c r="G664" s="513"/>
    </row>
    <row r="665">
      <c r="A665" s="513"/>
      <c r="B665" s="513"/>
      <c r="C665" s="513"/>
      <c r="D665" s="513"/>
      <c r="E665" s="513"/>
      <c r="F665" s="513"/>
      <c r="G665" s="513"/>
    </row>
    <row r="666">
      <c r="A666" s="513"/>
      <c r="B666" s="513"/>
      <c r="C666" s="513"/>
      <c r="D666" s="513"/>
      <c r="E666" s="513"/>
      <c r="F666" s="513"/>
      <c r="G666" s="513"/>
    </row>
    <row r="667">
      <c r="A667" s="513"/>
      <c r="B667" s="513"/>
      <c r="C667" s="513"/>
      <c r="D667" s="513"/>
      <c r="E667" s="513"/>
      <c r="F667" s="513"/>
      <c r="G667" s="513"/>
    </row>
    <row r="668">
      <c r="A668" s="513"/>
      <c r="B668" s="513"/>
      <c r="C668" s="513"/>
      <c r="D668" s="513"/>
      <c r="E668" s="513"/>
      <c r="F668" s="513"/>
      <c r="G668" s="513"/>
    </row>
    <row r="669">
      <c r="A669" s="513"/>
      <c r="B669" s="513"/>
      <c r="C669" s="513"/>
      <c r="D669" s="513"/>
      <c r="E669" s="513"/>
      <c r="F669" s="513"/>
      <c r="G669" s="513"/>
    </row>
    <row r="670">
      <c r="A670" s="513"/>
      <c r="B670" s="513"/>
      <c r="C670" s="513"/>
      <c r="D670" s="513"/>
      <c r="E670" s="513"/>
      <c r="F670" s="513"/>
      <c r="G670" s="513"/>
    </row>
    <row r="671">
      <c r="A671" s="513"/>
      <c r="B671" s="513"/>
      <c r="C671" s="513"/>
      <c r="D671" s="513"/>
      <c r="E671" s="513"/>
      <c r="F671" s="513"/>
      <c r="G671" s="513"/>
    </row>
    <row r="672">
      <c r="A672" s="513"/>
      <c r="B672" s="513"/>
      <c r="C672" s="513"/>
      <c r="D672" s="513"/>
      <c r="E672" s="513"/>
      <c r="F672" s="513"/>
      <c r="G672" s="513"/>
    </row>
    <row r="673">
      <c r="A673" s="513"/>
      <c r="B673" s="513"/>
      <c r="C673" s="513"/>
      <c r="D673" s="513"/>
      <c r="E673" s="513"/>
      <c r="F673" s="513"/>
      <c r="G673" s="513"/>
    </row>
    <row r="674">
      <c r="A674" s="513"/>
      <c r="B674" s="513"/>
      <c r="C674" s="513"/>
      <c r="D674" s="513"/>
      <c r="E674" s="513"/>
      <c r="F674" s="513"/>
      <c r="G674" s="513"/>
    </row>
    <row r="675">
      <c r="A675" s="513"/>
      <c r="B675" s="513"/>
      <c r="C675" s="513"/>
      <c r="D675" s="513"/>
      <c r="E675" s="513"/>
      <c r="F675" s="513"/>
      <c r="G675" s="513"/>
    </row>
    <row r="676">
      <c r="A676" s="513"/>
      <c r="B676" s="513"/>
      <c r="C676" s="513"/>
      <c r="D676" s="513"/>
      <c r="E676" s="513"/>
      <c r="F676" s="513"/>
      <c r="G676" s="513"/>
    </row>
    <row r="677">
      <c r="A677" s="513"/>
      <c r="B677" s="513"/>
      <c r="C677" s="513"/>
      <c r="D677" s="513"/>
      <c r="E677" s="513"/>
      <c r="F677" s="513"/>
      <c r="G677" s="513"/>
    </row>
    <row r="678">
      <c r="A678" s="513"/>
      <c r="B678" s="513"/>
      <c r="C678" s="513"/>
      <c r="D678" s="513"/>
      <c r="E678" s="513"/>
      <c r="F678" s="513"/>
      <c r="G678" s="513"/>
    </row>
    <row r="679">
      <c r="A679" s="513"/>
      <c r="B679" s="513"/>
      <c r="C679" s="513"/>
      <c r="D679" s="513"/>
      <c r="E679" s="513"/>
      <c r="F679" s="513"/>
      <c r="G679" s="513"/>
    </row>
    <row r="680">
      <c r="A680" s="513"/>
      <c r="B680" s="513"/>
      <c r="C680" s="513"/>
      <c r="D680" s="513"/>
      <c r="E680" s="513"/>
      <c r="F680" s="513"/>
      <c r="G680" s="513"/>
    </row>
    <row r="681">
      <c r="A681" s="513"/>
      <c r="B681" s="513"/>
      <c r="C681" s="513"/>
      <c r="D681" s="513"/>
      <c r="E681" s="513"/>
      <c r="F681" s="513"/>
      <c r="G681" s="513"/>
    </row>
    <row r="682">
      <c r="A682" s="513"/>
      <c r="B682" s="513"/>
      <c r="C682" s="513"/>
      <c r="D682" s="513"/>
      <c r="E682" s="513"/>
      <c r="F682" s="513"/>
      <c r="G682" s="513"/>
    </row>
    <row r="683">
      <c r="A683" s="513"/>
      <c r="B683" s="513"/>
      <c r="C683" s="513"/>
      <c r="D683" s="513"/>
      <c r="E683" s="513"/>
      <c r="F683" s="513"/>
      <c r="G683" s="513"/>
    </row>
    <row r="684">
      <c r="A684" s="513"/>
      <c r="B684" s="513"/>
      <c r="C684" s="513"/>
      <c r="D684" s="513"/>
      <c r="E684" s="513"/>
      <c r="F684" s="513"/>
      <c r="G684" s="513"/>
    </row>
    <row r="685">
      <c r="A685" s="513"/>
      <c r="B685" s="513"/>
      <c r="C685" s="513"/>
      <c r="D685" s="513"/>
      <c r="E685" s="513"/>
      <c r="F685" s="513"/>
      <c r="G685" s="513"/>
    </row>
    <row r="686">
      <c r="A686" s="513"/>
      <c r="B686" s="513"/>
      <c r="C686" s="513"/>
      <c r="D686" s="513"/>
      <c r="E686" s="513"/>
      <c r="F686" s="513"/>
      <c r="G686" s="513"/>
    </row>
    <row r="687">
      <c r="A687" s="513"/>
      <c r="B687" s="513"/>
      <c r="C687" s="513"/>
      <c r="D687" s="513"/>
      <c r="E687" s="513"/>
      <c r="F687" s="513"/>
      <c r="G687" s="513"/>
    </row>
    <row r="688">
      <c r="A688" s="513"/>
      <c r="B688" s="513"/>
      <c r="C688" s="513"/>
      <c r="D688" s="513"/>
      <c r="E688" s="513"/>
      <c r="F688" s="513"/>
      <c r="G688" s="513"/>
    </row>
    <row r="689">
      <c r="A689" s="513"/>
      <c r="B689" s="513"/>
      <c r="C689" s="513"/>
      <c r="D689" s="513"/>
      <c r="E689" s="513"/>
      <c r="F689" s="513"/>
      <c r="G689" s="513"/>
    </row>
    <row r="690">
      <c r="A690" s="513"/>
      <c r="B690" s="513"/>
      <c r="C690" s="513"/>
      <c r="D690" s="513"/>
      <c r="E690" s="513"/>
      <c r="F690" s="513"/>
      <c r="G690" s="513"/>
    </row>
    <row r="691">
      <c r="A691" s="513"/>
      <c r="B691" s="513"/>
      <c r="C691" s="513"/>
      <c r="D691" s="513"/>
      <c r="E691" s="513"/>
      <c r="F691" s="513"/>
      <c r="G691" s="513"/>
    </row>
    <row r="692">
      <c r="A692" s="513"/>
      <c r="B692" s="513"/>
      <c r="C692" s="513"/>
      <c r="D692" s="513"/>
      <c r="E692" s="513"/>
      <c r="F692" s="513"/>
      <c r="G692" s="513"/>
    </row>
    <row r="693">
      <c r="A693" s="513"/>
      <c r="B693" s="513"/>
      <c r="C693" s="513"/>
      <c r="D693" s="513"/>
      <c r="E693" s="513"/>
      <c r="F693" s="513"/>
      <c r="G693" s="513"/>
    </row>
    <row r="694">
      <c r="A694" s="513"/>
      <c r="B694" s="513"/>
      <c r="C694" s="513"/>
      <c r="D694" s="513"/>
      <c r="E694" s="513"/>
      <c r="F694" s="513"/>
      <c r="G694" s="513"/>
    </row>
    <row r="695">
      <c r="A695" s="513"/>
      <c r="B695" s="513"/>
      <c r="C695" s="513"/>
      <c r="D695" s="513"/>
      <c r="E695" s="513"/>
      <c r="F695" s="513"/>
      <c r="G695" s="513"/>
    </row>
    <row r="696">
      <c r="A696" s="513"/>
      <c r="B696" s="513"/>
      <c r="C696" s="513"/>
      <c r="D696" s="513"/>
      <c r="E696" s="513"/>
      <c r="F696" s="513"/>
      <c r="G696" s="513"/>
    </row>
    <row r="697">
      <c r="A697" s="513"/>
      <c r="B697" s="513"/>
      <c r="C697" s="513"/>
      <c r="D697" s="513"/>
      <c r="E697" s="513"/>
      <c r="F697" s="513"/>
      <c r="G697" s="513"/>
    </row>
    <row r="698">
      <c r="A698" s="513"/>
      <c r="B698" s="513"/>
      <c r="C698" s="513"/>
      <c r="D698" s="513"/>
      <c r="E698" s="513"/>
      <c r="F698" s="513"/>
      <c r="G698" s="513"/>
    </row>
    <row r="699">
      <c r="A699" s="513"/>
      <c r="B699" s="513"/>
      <c r="C699" s="513"/>
      <c r="D699" s="513"/>
      <c r="E699" s="513"/>
      <c r="F699" s="513"/>
      <c r="G699" s="513"/>
    </row>
    <row r="700">
      <c r="A700" s="513"/>
      <c r="B700" s="513"/>
      <c r="C700" s="513"/>
      <c r="D700" s="513"/>
      <c r="E700" s="513"/>
      <c r="F700" s="513"/>
      <c r="G700" s="513"/>
    </row>
    <row r="701">
      <c r="A701" s="513"/>
      <c r="B701" s="513"/>
      <c r="C701" s="513"/>
      <c r="D701" s="513"/>
      <c r="E701" s="513"/>
      <c r="F701" s="513"/>
      <c r="G701" s="513"/>
    </row>
    <row r="702">
      <c r="A702" s="513"/>
      <c r="B702" s="513"/>
      <c r="C702" s="513"/>
      <c r="D702" s="513"/>
      <c r="E702" s="513"/>
      <c r="F702" s="513"/>
      <c r="G702" s="513"/>
    </row>
    <row r="703">
      <c r="A703" s="513"/>
      <c r="B703" s="513"/>
      <c r="C703" s="513"/>
      <c r="D703" s="513"/>
      <c r="E703" s="513"/>
      <c r="F703" s="513"/>
      <c r="G703" s="513"/>
    </row>
    <row r="704">
      <c r="A704" s="513"/>
      <c r="B704" s="513"/>
      <c r="C704" s="513"/>
      <c r="D704" s="513"/>
      <c r="E704" s="513"/>
      <c r="F704" s="513"/>
      <c r="G704" s="513"/>
    </row>
    <row r="705">
      <c r="A705" s="513"/>
      <c r="B705" s="513"/>
      <c r="C705" s="513"/>
      <c r="D705" s="513"/>
      <c r="E705" s="513"/>
      <c r="F705" s="513"/>
      <c r="G705" s="513"/>
    </row>
    <row r="706">
      <c r="A706" s="513"/>
      <c r="B706" s="513"/>
      <c r="C706" s="513"/>
      <c r="D706" s="513"/>
      <c r="E706" s="513"/>
      <c r="F706" s="513"/>
      <c r="G706" s="513"/>
    </row>
    <row r="707">
      <c r="A707" s="513"/>
      <c r="B707" s="513"/>
      <c r="C707" s="513"/>
      <c r="D707" s="513"/>
      <c r="E707" s="513"/>
      <c r="F707" s="513"/>
      <c r="G707" s="513"/>
    </row>
    <row r="708">
      <c r="A708" s="513"/>
      <c r="B708" s="513"/>
      <c r="C708" s="513"/>
      <c r="D708" s="513"/>
      <c r="E708" s="513"/>
      <c r="F708" s="513"/>
      <c r="G708" s="513"/>
    </row>
    <row r="709">
      <c r="A709" s="513"/>
      <c r="B709" s="513"/>
      <c r="C709" s="513"/>
      <c r="D709" s="513"/>
      <c r="E709" s="513"/>
      <c r="F709" s="513"/>
      <c r="G709" s="513"/>
    </row>
    <row r="710">
      <c r="A710" s="513"/>
      <c r="B710" s="513"/>
      <c r="C710" s="513"/>
      <c r="D710" s="513"/>
      <c r="E710" s="513"/>
      <c r="F710" s="513"/>
      <c r="G710" s="513"/>
    </row>
    <row r="711">
      <c r="A711" s="513"/>
      <c r="B711" s="513"/>
      <c r="C711" s="513"/>
      <c r="D711" s="513"/>
      <c r="E711" s="513"/>
      <c r="F711" s="513"/>
      <c r="G711" s="513"/>
    </row>
    <row r="712">
      <c r="A712" s="513"/>
      <c r="B712" s="513"/>
      <c r="C712" s="513"/>
      <c r="D712" s="513"/>
      <c r="E712" s="513"/>
      <c r="F712" s="513"/>
      <c r="G712" s="513"/>
    </row>
    <row r="713">
      <c r="A713" s="513"/>
      <c r="B713" s="513"/>
      <c r="C713" s="513"/>
      <c r="D713" s="513"/>
      <c r="E713" s="513"/>
      <c r="F713" s="513"/>
      <c r="G713" s="513"/>
    </row>
    <row r="714">
      <c r="A714" s="513"/>
      <c r="B714" s="513"/>
      <c r="C714" s="513"/>
      <c r="D714" s="513"/>
      <c r="E714" s="513"/>
      <c r="F714" s="513"/>
      <c r="G714" s="513"/>
    </row>
    <row r="715">
      <c r="A715" s="513"/>
      <c r="B715" s="513"/>
      <c r="C715" s="513"/>
      <c r="D715" s="513"/>
      <c r="E715" s="513"/>
      <c r="F715" s="513"/>
      <c r="G715" s="513"/>
    </row>
    <row r="716">
      <c r="A716" s="513"/>
      <c r="B716" s="513"/>
      <c r="C716" s="513"/>
      <c r="D716" s="513"/>
      <c r="E716" s="513"/>
      <c r="F716" s="513"/>
      <c r="G716" s="513"/>
    </row>
    <row r="717">
      <c r="A717" s="513"/>
      <c r="B717" s="513"/>
      <c r="C717" s="513"/>
      <c r="D717" s="513"/>
      <c r="E717" s="513"/>
      <c r="F717" s="513"/>
      <c r="G717" s="513"/>
    </row>
    <row r="718">
      <c r="A718" s="513"/>
      <c r="B718" s="513"/>
      <c r="C718" s="513"/>
      <c r="D718" s="513"/>
      <c r="E718" s="513"/>
      <c r="F718" s="513"/>
      <c r="G718" s="513"/>
    </row>
    <row r="719">
      <c r="A719" s="513"/>
      <c r="B719" s="513"/>
      <c r="C719" s="513"/>
      <c r="D719" s="513"/>
      <c r="E719" s="513"/>
      <c r="F719" s="513"/>
      <c r="G719" s="513"/>
    </row>
    <row r="720">
      <c r="A720" s="513"/>
      <c r="B720" s="513"/>
      <c r="C720" s="513"/>
      <c r="D720" s="513"/>
      <c r="E720" s="513"/>
      <c r="F720" s="513"/>
      <c r="G720" s="513"/>
    </row>
    <row r="721">
      <c r="A721" s="513"/>
      <c r="B721" s="513"/>
      <c r="C721" s="513"/>
      <c r="D721" s="513"/>
      <c r="E721" s="513"/>
      <c r="F721" s="513"/>
      <c r="G721" s="513"/>
    </row>
    <row r="722">
      <c r="A722" s="513"/>
      <c r="B722" s="513"/>
      <c r="C722" s="513"/>
      <c r="D722" s="513"/>
      <c r="E722" s="513"/>
      <c r="F722" s="513"/>
      <c r="G722" s="513"/>
    </row>
    <row r="723">
      <c r="A723" s="513"/>
      <c r="B723" s="513"/>
      <c r="C723" s="513"/>
      <c r="D723" s="513"/>
      <c r="E723" s="513"/>
      <c r="F723" s="513"/>
      <c r="G723" s="513"/>
    </row>
    <row r="724">
      <c r="A724" s="513"/>
      <c r="B724" s="513"/>
      <c r="C724" s="513"/>
      <c r="D724" s="513"/>
      <c r="E724" s="513"/>
      <c r="F724" s="513"/>
      <c r="G724" s="513"/>
    </row>
    <row r="725">
      <c r="A725" s="513"/>
      <c r="B725" s="513"/>
      <c r="C725" s="513"/>
      <c r="D725" s="513"/>
      <c r="E725" s="513"/>
      <c r="F725" s="513"/>
      <c r="G725" s="513"/>
    </row>
    <row r="726">
      <c r="A726" s="513"/>
      <c r="B726" s="513"/>
      <c r="C726" s="513"/>
      <c r="D726" s="513"/>
      <c r="E726" s="513"/>
      <c r="F726" s="513"/>
      <c r="G726" s="513"/>
    </row>
    <row r="727">
      <c r="A727" s="513"/>
      <c r="B727" s="513"/>
      <c r="C727" s="513"/>
      <c r="D727" s="513"/>
      <c r="E727" s="513"/>
      <c r="F727" s="513"/>
      <c r="G727" s="513"/>
    </row>
    <row r="728">
      <c r="A728" s="513"/>
      <c r="B728" s="513"/>
      <c r="C728" s="513"/>
      <c r="D728" s="513"/>
      <c r="E728" s="513"/>
      <c r="F728" s="513"/>
      <c r="G728" s="513"/>
    </row>
    <row r="729">
      <c r="A729" s="513"/>
      <c r="B729" s="513"/>
      <c r="C729" s="513"/>
      <c r="D729" s="513"/>
      <c r="E729" s="513"/>
      <c r="F729" s="513"/>
      <c r="G729" s="513"/>
    </row>
    <row r="730">
      <c r="A730" s="513"/>
      <c r="B730" s="513"/>
      <c r="C730" s="513"/>
      <c r="D730" s="513"/>
      <c r="E730" s="513"/>
      <c r="F730" s="513"/>
      <c r="G730" s="513"/>
    </row>
    <row r="731">
      <c r="A731" s="513"/>
      <c r="B731" s="513"/>
      <c r="C731" s="513"/>
      <c r="D731" s="513"/>
      <c r="E731" s="513"/>
      <c r="F731" s="513"/>
      <c r="G731" s="513"/>
    </row>
    <row r="732">
      <c r="A732" s="513"/>
      <c r="B732" s="513"/>
      <c r="C732" s="513"/>
      <c r="D732" s="513"/>
      <c r="E732" s="513"/>
      <c r="F732" s="513"/>
      <c r="G732" s="513"/>
    </row>
    <row r="733">
      <c r="A733" s="513"/>
      <c r="B733" s="513"/>
      <c r="C733" s="513"/>
      <c r="D733" s="513"/>
      <c r="E733" s="513"/>
      <c r="F733" s="513"/>
      <c r="G733" s="513"/>
    </row>
    <row r="734">
      <c r="A734" s="513"/>
      <c r="B734" s="513"/>
      <c r="C734" s="513"/>
      <c r="D734" s="513"/>
      <c r="E734" s="513"/>
      <c r="F734" s="513"/>
      <c r="G734" s="513"/>
    </row>
    <row r="735">
      <c r="A735" s="513"/>
      <c r="B735" s="513"/>
      <c r="C735" s="513"/>
      <c r="D735" s="513"/>
      <c r="E735" s="513"/>
      <c r="F735" s="513"/>
      <c r="G735" s="513"/>
    </row>
    <row r="736">
      <c r="A736" s="513"/>
      <c r="B736" s="513"/>
      <c r="C736" s="513"/>
      <c r="D736" s="513"/>
      <c r="E736" s="513"/>
      <c r="F736" s="513"/>
      <c r="G736" s="513"/>
    </row>
    <row r="737">
      <c r="A737" s="513"/>
      <c r="B737" s="513"/>
      <c r="C737" s="513"/>
      <c r="D737" s="513"/>
      <c r="E737" s="513"/>
      <c r="F737" s="513"/>
      <c r="G737" s="513"/>
    </row>
    <row r="738">
      <c r="A738" s="513"/>
      <c r="B738" s="513"/>
      <c r="C738" s="513"/>
      <c r="D738" s="513"/>
      <c r="E738" s="513"/>
      <c r="F738" s="513"/>
      <c r="G738" s="513"/>
    </row>
    <row r="739">
      <c r="A739" s="513"/>
      <c r="B739" s="513"/>
      <c r="C739" s="513"/>
      <c r="D739" s="513"/>
      <c r="E739" s="513"/>
      <c r="F739" s="513"/>
      <c r="G739" s="513"/>
    </row>
    <row r="740">
      <c r="A740" s="513"/>
      <c r="B740" s="513"/>
      <c r="C740" s="513"/>
      <c r="D740" s="513"/>
      <c r="E740" s="513"/>
      <c r="F740" s="513"/>
      <c r="G740" s="513"/>
    </row>
    <row r="741">
      <c r="A741" s="513"/>
      <c r="B741" s="513"/>
      <c r="C741" s="513"/>
      <c r="D741" s="513"/>
      <c r="E741" s="513"/>
      <c r="F741" s="513"/>
      <c r="G741" s="513"/>
    </row>
    <row r="742">
      <c r="A742" s="513"/>
      <c r="B742" s="513"/>
      <c r="C742" s="513"/>
      <c r="D742" s="513"/>
      <c r="E742" s="513"/>
      <c r="F742" s="513"/>
      <c r="G742" s="513"/>
    </row>
    <row r="743">
      <c r="A743" s="513"/>
      <c r="B743" s="513"/>
      <c r="C743" s="513"/>
      <c r="D743" s="513"/>
      <c r="E743" s="513"/>
      <c r="F743" s="513"/>
      <c r="G743" s="513"/>
    </row>
    <row r="744">
      <c r="A744" s="513"/>
      <c r="B744" s="513"/>
      <c r="C744" s="513"/>
      <c r="D744" s="513"/>
      <c r="E744" s="513"/>
      <c r="F744" s="513"/>
      <c r="G744" s="513"/>
    </row>
    <row r="745">
      <c r="A745" s="513"/>
      <c r="B745" s="513"/>
      <c r="C745" s="513"/>
      <c r="D745" s="513"/>
      <c r="E745" s="513"/>
      <c r="F745" s="513"/>
      <c r="G745" s="513"/>
    </row>
    <row r="746">
      <c r="A746" s="513"/>
      <c r="B746" s="513"/>
      <c r="C746" s="513"/>
      <c r="D746" s="513"/>
      <c r="E746" s="513"/>
      <c r="F746" s="513"/>
      <c r="G746" s="513"/>
    </row>
    <row r="747">
      <c r="A747" s="513"/>
      <c r="B747" s="513"/>
      <c r="C747" s="513"/>
      <c r="D747" s="513"/>
      <c r="E747" s="513"/>
      <c r="F747" s="513"/>
      <c r="G747" s="513"/>
    </row>
    <row r="748">
      <c r="A748" s="513"/>
      <c r="B748" s="513"/>
      <c r="C748" s="513"/>
      <c r="D748" s="513"/>
      <c r="E748" s="513"/>
      <c r="F748" s="513"/>
      <c r="G748" s="513"/>
    </row>
    <row r="749">
      <c r="A749" s="513"/>
      <c r="B749" s="513"/>
      <c r="C749" s="513"/>
      <c r="D749" s="513"/>
      <c r="E749" s="513"/>
      <c r="F749" s="513"/>
      <c r="G749" s="513"/>
    </row>
    <row r="750">
      <c r="A750" s="513"/>
      <c r="B750" s="513"/>
      <c r="C750" s="513"/>
      <c r="D750" s="513"/>
      <c r="E750" s="513"/>
      <c r="F750" s="513"/>
      <c r="G750" s="513"/>
    </row>
    <row r="751">
      <c r="A751" s="513"/>
      <c r="B751" s="513"/>
      <c r="C751" s="513"/>
      <c r="D751" s="513"/>
      <c r="E751" s="513"/>
      <c r="F751" s="513"/>
      <c r="G751" s="513"/>
    </row>
    <row r="752">
      <c r="A752" s="513"/>
      <c r="B752" s="513"/>
      <c r="C752" s="513"/>
      <c r="D752" s="513"/>
      <c r="E752" s="513"/>
      <c r="F752" s="513"/>
      <c r="G752" s="513"/>
    </row>
    <row r="753">
      <c r="A753" s="513"/>
      <c r="B753" s="513"/>
      <c r="C753" s="513"/>
      <c r="D753" s="513"/>
      <c r="E753" s="513"/>
      <c r="F753" s="513"/>
      <c r="G753" s="513"/>
    </row>
    <row r="754">
      <c r="A754" s="513"/>
      <c r="B754" s="513"/>
      <c r="C754" s="513"/>
      <c r="D754" s="513"/>
      <c r="E754" s="513"/>
      <c r="F754" s="513"/>
      <c r="G754" s="513"/>
    </row>
    <row r="755">
      <c r="A755" s="513"/>
      <c r="B755" s="513"/>
      <c r="C755" s="513"/>
      <c r="D755" s="513"/>
      <c r="E755" s="513"/>
      <c r="F755" s="513"/>
      <c r="G755" s="513"/>
    </row>
    <row r="756">
      <c r="A756" s="513"/>
      <c r="B756" s="513"/>
      <c r="C756" s="513"/>
      <c r="D756" s="513"/>
      <c r="E756" s="513"/>
      <c r="F756" s="513"/>
      <c r="G756" s="513"/>
    </row>
    <row r="757">
      <c r="A757" s="513"/>
      <c r="B757" s="513"/>
      <c r="C757" s="513"/>
      <c r="D757" s="513"/>
      <c r="E757" s="513"/>
      <c r="F757" s="513"/>
      <c r="G757" s="513"/>
    </row>
    <row r="758">
      <c r="A758" s="513"/>
      <c r="B758" s="513"/>
      <c r="C758" s="513"/>
      <c r="D758" s="513"/>
      <c r="E758" s="513"/>
      <c r="F758" s="513"/>
      <c r="G758" s="513"/>
    </row>
    <row r="759">
      <c r="A759" s="513"/>
      <c r="B759" s="513"/>
      <c r="C759" s="513"/>
      <c r="D759" s="513"/>
      <c r="E759" s="513"/>
      <c r="F759" s="513"/>
      <c r="G759" s="513"/>
    </row>
    <row r="760">
      <c r="A760" s="513"/>
      <c r="B760" s="513"/>
      <c r="C760" s="513"/>
      <c r="D760" s="513"/>
      <c r="E760" s="513"/>
      <c r="F760" s="513"/>
      <c r="G760" s="513"/>
    </row>
    <row r="761">
      <c r="A761" s="513"/>
      <c r="B761" s="513"/>
      <c r="C761" s="513"/>
      <c r="D761" s="513"/>
      <c r="E761" s="513"/>
      <c r="F761" s="513"/>
      <c r="G761" s="513"/>
    </row>
    <row r="762">
      <c r="A762" s="513"/>
      <c r="B762" s="513"/>
      <c r="C762" s="513"/>
      <c r="D762" s="513"/>
      <c r="E762" s="513"/>
      <c r="F762" s="513"/>
      <c r="G762" s="513"/>
    </row>
    <row r="763">
      <c r="A763" s="513"/>
      <c r="B763" s="513"/>
      <c r="C763" s="513"/>
      <c r="D763" s="513"/>
      <c r="E763" s="513"/>
      <c r="F763" s="513"/>
      <c r="G763" s="513"/>
    </row>
    <row r="764">
      <c r="A764" s="513"/>
      <c r="B764" s="513"/>
      <c r="C764" s="513"/>
      <c r="D764" s="513"/>
      <c r="E764" s="513"/>
      <c r="F764" s="513"/>
      <c r="G764" s="513"/>
    </row>
    <row r="765">
      <c r="A765" s="513"/>
      <c r="B765" s="513"/>
      <c r="C765" s="513"/>
      <c r="D765" s="513"/>
      <c r="E765" s="513"/>
      <c r="F765" s="513"/>
      <c r="G765" s="513"/>
    </row>
    <row r="766">
      <c r="A766" s="513"/>
      <c r="B766" s="513"/>
      <c r="C766" s="513"/>
      <c r="D766" s="513"/>
      <c r="E766" s="513"/>
      <c r="F766" s="513"/>
      <c r="G766" s="513"/>
    </row>
    <row r="767">
      <c r="A767" s="513"/>
      <c r="B767" s="513"/>
      <c r="C767" s="513"/>
      <c r="D767" s="513"/>
      <c r="E767" s="513"/>
      <c r="F767" s="513"/>
      <c r="G767" s="513"/>
    </row>
    <row r="768">
      <c r="A768" s="513"/>
      <c r="B768" s="513"/>
      <c r="C768" s="513"/>
      <c r="D768" s="513"/>
      <c r="E768" s="513"/>
      <c r="F768" s="513"/>
      <c r="G768" s="513"/>
    </row>
    <row r="769">
      <c r="A769" s="513"/>
      <c r="B769" s="513"/>
      <c r="C769" s="513"/>
      <c r="D769" s="513"/>
      <c r="E769" s="513"/>
      <c r="F769" s="513"/>
      <c r="G769" s="513"/>
    </row>
    <row r="770">
      <c r="A770" s="513"/>
      <c r="B770" s="513"/>
      <c r="C770" s="513"/>
      <c r="D770" s="513"/>
      <c r="E770" s="513"/>
      <c r="F770" s="513"/>
      <c r="G770" s="513"/>
    </row>
    <row r="771">
      <c r="A771" s="513"/>
      <c r="B771" s="513"/>
      <c r="C771" s="513"/>
      <c r="D771" s="513"/>
      <c r="E771" s="513"/>
      <c r="F771" s="513"/>
      <c r="G771" s="513"/>
    </row>
    <row r="772">
      <c r="A772" s="513"/>
      <c r="B772" s="513"/>
      <c r="C772" s="513"/>
      <c r="D772" s="513"/>
      <c r="E772" s="513"/>
      <c r="F772" s="513"/>
      <c r="G772" s="513"/>
    </row>
    <row r="773">
      <c r="A773" s="513"/>
      <c r="B773" s="513"/>
      <c r="C773" s="513"/>
      <c r="D773" s="513"/>
      <c r="E773" s="513"/>
      <c r="F773" s="513"/>
      <c r="G773" s="513"/>
    </row>
    <row r="774">
      <c r="A774" s="513"/>
      <c r="B774" s="513"/>
      <c r="C774" s="513"/>
      <c r="D774" s="513"/>
      <c r="E774" s="513"/>
      <c r="F774" s="513"/>
      <c r="G774" s="513"/>
    </row>
    <row r="775">
      <c r="A775" s="513"/>
      <c r="B775" s="513"/>
      <c r="C775" s="513"/>
      <c r="D775" s="513"/>
      <c r="E775" s="513"/>
      <c r="F775" s="513"/>
      <c r="G775" s="513"/>
    </row>
    <row r="776">
      <c r="A776" s="513"/>
      <c r="B776" s="513"/>
      <c r="C776" s="513"/>
      <c r="D776" s="513"/>
      <c r="E776" s="513"/>
      <c r="F776" s="513"/>
      <c r="G776" s="513"/>
    </row>
    <row r="777">
      <c r="A777" s="513"/>
      <c r="B777" s="513"/>
      <c r="C777" s="513"/>
      <c r="D777" s="513"/>
      <c r="E777" s="513"/>
      <c r="F777" s="513"/>
      <c r="G777" s="513"/>
    </row>
    <row r="778">
      <c r="A778" s="513"/>
      <c r="B778" s="513"/>
      <c r="C778" s="513"/>
      <c r="D778" s="513"/>
      <c r="E778" s="513"/>
      <c r="F778" s="513"/>
      <c r="G778" s="513"/>
    </row>
    <row r="779">
      <c r="A779" s="513"/>
      <c r="B779" s="513"/>
      <c r="C779" s="513"/>
      <c r="D779" s="513"/>
      <c r="E779" s="513"/>
      <c r="F779" s="513"/>
      <c r="G779" s="513"/>
    </row>
    <row r="780">
      <c r="A780" s="513"/>
      <c r="B780" s="513"/>
      <c r="C780" s="513"/>
      <c r="D780" s="513"/>
      <c r="E780" s="513"/>
      <c r="F780" s="513"/>
      <c r="G780" s="513"/>
    </row>
    <row r="781">
      <c r="A781" s="513"/>
      <c r="B781" s="513"/>
      <c r="C781" s="513"/>
      <c r="D781" s="513"/>
      <c r="E781" s="513"/>
      <c r="F781" s="513"/>
      <c r="G781" s="513"/>
    </row>
    <row r="782">
      <c r="A782" s="513"/>
      <c r="B782" s="513"/>
      <c r="C782" s="513"/>
      <c r="D782" s="513"/>
      <c r="E782" s="513"/>
      <c r="F782" s="513"/>
      <c r="G782" s="513"/>
    </row>
    <row r="783">
      <c r="A783" s="513"/>
      <c r="B783" s="513"/>
      <c r="C783" s="513"/>
      <c r="D783" s="513"/>
      <c r="E783" s="513"/>
      <c r="F783" s="513"/>
      <c r="G783" s="513"/>
    </row>
    <row r="784">
      <c r="A784" s="513"/>
      <c r="B784" s="513"/>
      <c r="C784" s="513"/>
      <c r="D784" s="513"/>
      <c r="E784" s="513"/>
      <c r="F784" s="513"/>
      <c r="G784" s="513"/>
    </row>
    <row r="785">
      <c r="A785" s="513"/>
      <c r="B785" s="513"/>
      <c r="C785" s="513"/>
      <c r="D785" s="513"/>
      <c r="E785" s="513"/>
      <c r="F785" s="513"/>
      <c r="G785" s="513"/>
    </row>
    <row r="786">
      <c r="A786" s="513"/>
      <c r="B786" s="513"/>
      <c r="C786" s="513"/>
      <c r="D786" s="513"/>
      <c r="E786" s="513"/>
      <c r="F786" s="513"/>
      <c r="G786" s="513"/>
    </row>
    <row r="787">
      <c r="A787" s="513"/>
      <c r="B787" s="513"/>
      <c r="C787" s="513"/>
      <c r="D787" s="513"/>
      <c r="E787" s="513"/>
      <c r="F787" s="513"/>
      <c r="G787" s="513"/>
    </row>
    <row r="788">
      <c r="A788" s="513"/>
      <c r="B788" s="513"/>
      <c r="C788" s="513"/>
      <c r="D788" s="513"/>
      <c r="E788" s="513"/>
      <c r="F788" s="513"/>
      <c r="G788" s="513"/>
    </row>
    <row r="789">
      <c r="A789" s="513"/>
      <c r="B789" s="513"/>
      <c r="C789" s="513"/>
      <c r="D789" s="513"/>
      <c r="E789" s="513"/>
      <c r="F789" s="513"/>
      <c r="G789" s="513"/>
    </row>
    <row r="790">
      <c r="A790" s="513"/>
      <c r="B790" s="513"/>
      <c r="C790" s="513"/>
      <c r="D790" s="513"/>
      <c r="E790" s="513"/>
      <c r="F790" s="513"/>
      <c r="G790" s="513"/>
    </row>
    <row r="791">
      <c r="A791" s="513"/>
      <c r="B791" s="513"/>
      <c r="C791" s="513"/>
      <c r="D791" s="513"/>
      <c r="E791" s="513"/>
      <c r="F791" s="513"/>
      <c r="G791" s="513"/>
    </row>
    <row r="792">
      <c r="A792" s="513"/>
      <c r="B792" s="513"/>
      <c r="C792" s="513"/>
      <c r="D792" s="513"/>
      <c r="E792" s="513"/>
      <c r="F792" s="513"/>
      <c r="G792" s="513"/>
    </row>
    <row r="793">
      <c r="A793" s="513"/>
      <c r="B793" s="513"/>
      <c r="C793" s="513"/>
      <c r="D793" s="513"/>
      <c r="E793" s="513"/>
      <c r="F793" s="513"/>
      <c r="G793" s="513"/>
    </row>
    <row r="794">
      <c r="A794" s="513"/>
      <c r="B794" s="513"/>
      <c r="C794" s="513"/>
      <c r="D794" s="513"/>
      <c r="E794" s="513"/>
      <c r="F794" s="513"/>
      <c r="G794" s="513"/>
    </row>
    <row r="795">
      <c r="A795" s="513"/>
      <c r="B795" s="513"/>
      <c r="C795" s="513"/>
      <c r="D795" s="513"/>
      <c r="E795" s="513"/>
      <c r="F795" s="513"/>
      <c r="G795" s="513"/>
    </row>
    <row r="796">
      <c r="A796" s="513"/>
      <c r="B796" s="513"/>
      <c r="C796" s="513"/>
      <c r="D796" s="513"/>
      <c r="E796" s="513"/>
      <c r="F796" s="513"/>
      <c r="G796" s="513"/>
    </row>
    <row r="797">
      <c r="A797" s="513"/>
      <c r="B797" s="513"/>
      <c r="C797" s="513"/>
      <c r="D797" s="513"/>
      <c r="E797" s="513"/>
      <c r="F797" s="513"/>
      <c r="G797" s="513"/>
    </row>
    <row r="798">
      <c r="A798" s="513"/>
      <c r="B798" s="513"/>
      <c r="C798" s="513"/>
      <c r="D798" s="513"/>
      <c r="E798" s="513"/>
      <c r="F798" s="513"/>
      <c r="G798" s="513"/>
    </row>
    <row r="799">
      <c r="A799" s="513"/>
      <c r="B799" s="513"/>
      <c r="C799" s="513"/>
      <c r="D799" s="513"/>
      <c r="E799" s="513"/>
      <c r="F799" s="513"/>
      <c r="G799" s="513"/>
    </row>
    <row r="800">
      <c r="A800" s="513"/>
      <c r="B800" s="513"/>
      <c r="C800" s="513"/>
      <c r="D800" s="513"/>
      <c r="E800" s="513"/>
      <c r="F800" s="513"/>
      <c r="G800" s="513"/>
    </row>
    <row r="801">
      <c r="A801" s="513"/>
      <c r="B801" s="513"/>
      <c r="C801" s="513"/>
      <c r="D801" s="513"/>
      <c r="E801" s="513"/>
      <c r="F801" s="513"/>
      <c r="G801" s="513"/>
    </row>
    <row r="802">
      <c r="A802" s="513"/>
      <c r="B802" s="513"/>
      <c r="C802" s="513"/>
      <c r="D802" s="513"/>
      <c r="E802" s="513"/>
      <c r="F802" s="513"/>
      <c r="G802" s="513"/>
    </row>
    <row r="803">
      <c r="A803" s="513"/>
      <c r="B803" s="513"/>
      <c r="C803" s="513"/>
      <c r="D803" s="513"/>
      <c r="E803" s="513"/>
      <c r="F803" s="513"/>
      <c r="G803" s="513"/>
    </row>
    <row r="804">
      <c r="A804" s="513"/>
      <c r="B804" s="513"/>
      <c r="C804" s="513"/>
      <c r="D804" s="513"/>
      <c r="E804" s="513"/>
      <c r="F804" s="513"/>
      <c r="G804" s="513"/>
    </row>
    <row r="805">
      <c r="A805" s="513"/>
      <c r="B805" s="513"/>
      <c r="C805" s="513"/>
      <c r="D805" s="513"/>
      <c r="E805" s="513"/>
      <c r="F805" s="513"/>
      <c r="G805" s="513"/>
    </row>
    <row r="806">
      <c r="A806" s="513"/>
      <c r="B806" s="513"/>
      <c r="C806" s="513"/>
      <c r="D806" s="513"/>
      <c r="E806" s="513"/>
      <c r="F806" s="513"/>
      <c r="G806" s="513"/>
    </row>
    <row r="807">
      <c r="A807" s="513"/>
      <c r="B807" s="513"/>
      <c r="C807" s="513"/>
      <c r="D807" s="513"/>
      <c r="E807" s="513"/>
      <c r="F807" s="513"/>
      <c r="G807" s="513"/>
    </row>
    <row r="808">
      <c r="A808" s="513"/>
      <c r="B808" s="513"/>
      <c r="C808" s="513"/>
      <c r="D808" s="513"/>
      <c r="E808" s="513"/>
      <c r="F808" s="513"/>
      <c r="G808" s="513"/>
    </row>
    <row r="809">
      <c r="A809" s="513"/>
      <c r="B809" s="513"/>
      <c r="C809" s="513"/>
      <c r="D809" s="513"/>
      <c r="E809" s="513"/>
      <c r="F809" s="513"/>
      <c r="G809" s="513"/>
    </row>
    <row r="810">
      <c r="A810" s="513"/>
      <c r="B810" s="513"/>
      <c r="C810" s="513"/>
      <c r="D810" s="513"/>
      <c r="E810" s="513"/>
      <c r="F810" s="513"/>
      <c r="G810" s="513"/>
    </row>
    <row r="811">
      <c r="A811" s="513"/>
      <c r="B811" s="513"/>
      <c r="C811" s="513"/>
      <c r="D811" s="513"/>
      <c r="E811" s="513"/>
      <c r="F811" s="513"/>
      <c r="G811" s="513"/>
    </row>
    <row r="812">
      <c r="A812" s="513"/>
      <c r="B812" s="513"/>
      <c r="C812" s="513"/>
      <c r="D812" s="513"/>
      <c r="E812" s="513"/>
      <c r="F812" s="513"/>
      <c r="G812" s="513"/>
    </row>
    <row r="813">
      <c r="A813" s="513"/>
      <c r="B813" s="513"/>
      <c r="C813" s="513"/>
      <c r="D813" s="513"/>
      <c r="E813" s="513"/>
      <c r="F813" s="513"/>
      <c r="G813" s="513"/>
    </row>
    <row r="814">
      <c r="A814" s="513"/>
      <c r="B814" s="513"/>
      <c r="C814" s="513"/>
      <c r="D814" s="513"/>
      <c r="E814" s="513"/>
      <c r="F814" s="513"/>
      <c r="G814" s="513"/>
    </row>
    <row r="815">
      <c r="A815" s="513"/>
      <c r="B815" s="513"/>
      <c r="C815" s="513"/>
      <c r="D815" s="513"/>
      <c r="E815" s="513"/>
      <c r="F815" s="513"/>
      <c r="G815" s="513"/>
    </row>
    <row r="816">
      <c r="A816" s="513"/>
      <c r="B816" s="513"/>
      <c r="C816" s="513"/>
      <c r="D816" s="513"/>
      <c r="E816" s="513"/>
      <c r="F816" s="513"/>
      <c r="G816" s="513"/>
    </row>
    <row r="817">
      <c r="A817" s="513"/>
      <c r="B817" s="513"/>
      <c r="C817" s="513"/>
      <c r="D817" s="513"/>
      <c r="E817" s="513"/>
      <c r="F817" s="513"/>
      <c r="G817" s="513"/>
    </row>
    <row r="818">
      <c r="A818" s="513"/>
      <c r="B818" s="513"/>
      <c r="C818" s="513"/>
      <c r="D818" s="513"/>
      <c r="E818" s="513"/>
      <c r="F818" s="513"/>
      <c r="G818" s="513"/>
    </row>
    <row r="819">
      <c r="A819" s="513"/>
      <c r="B819" s="513"/>
      <c r="C819" s="513"/>
      <c r="D819" s="513"/>
      <c r="E819" s="513"/>
      <c r="F819" s="513"/>
      <c r="G819" s="513"/>
    </row>
    <row r="820">
      <c r="A820" s="513"/>
      <c r="B820" s="513"/>
      <c r="C820" s="513"/>
      <c r="D820" s="513"/>
      <c r="E820" s="513"/>
      <c r="F820" s="513"/>
      <c r="G820" s="513"/>
    </row>
    <row r="821">
      <c r="A821" s="513"/>
      <c r="B821" s="513"/>
      <c r="C821" s="513"/>
      <c r="D821" s="513"/>
      <c r="E821" s="513"/>
      <c r="F821" s="513"/>
      <c r="G821" s="513"/>
    </row>
    <row r="822">
      <c r="A822" s="513"/>
      <c r="B822" s="513"/>
      <c r="C822" s="513"/>
      <c r="D822" s="513"/>
      <c r="E822" s="513"/>
      <c r="F822" s="513"/>
      <c r="G822" s="513"/>
    </row>
    <row r="823">
      <c r="A823" s="513"/>
      <c r="B823" s="513"/>
      <c r="C823" s="513"/>
      <c r="D823" s="513"/>
      <c r="E823" s="513"/>
      <c r="F823" s="513"/>
      <c r="G823" s="513"/>
    </row>
    <row r="824">
      <c r="A824" s="513"/>
      <c r="B824" s="513"/>
      <c r="C824" s="513"/>
      <c r="D824" s="513"/>
      <c r="E824" s="513"/>
      <c r="F824" s="513"/>
      <c r="G824" s="513"/>
    </row>
    <row r="825">
      <c r="A825" s="513"/>
      <c r="B825" s="513"/>
      <c r="C825" s="513"/>
      <c r="D825" s="513"/>
      <c r="E825" s="513"/>
      <c r="F825" s="513"/>
      <c r="G825" s="513"/>
    </row>
    <row r="826">
      <c r="A826" s="513"/>
      <c r="B826" s="513"/>
      <c r="C826" s="513"/>
      <c r="D826" s="513"/>
      <c r="E826" s="513"/>
      <c r="F826" s="513"/>
      <c r="G826" s="513"/>
    </row>
    <row r="827">
      <c r="A827" s="513"/>
      <c r="B827" s="513"/>
      <c r="C827" s="513"/>
      <c r="D827" s="513"/>
      <c r="E827" s="513"/>
      <c r="F827" s="513"/>
      <c r="G827" s="513"/>
    </row>
    <row r="828">
      <c r="A828" s="513"/>
      <c r="B828" s="513"/>
      <c r="C828" s="513"/>
      <c r="D828" s="513"/>
      <c r="E828" s="513"/>
      <c r="F828" s="513"/>
      <c r="G828" s="513"/>
    </row>
    <row r="829">
      <c r="A829" s="513"/>
      <c r="B829" s="513"/>
      <c r="C829" s="513"/>
      <c r="D829" s="513"/>
      <c r="E829" s="513"/>
      <c r="F829" s="513"/>
      <c r="G829" s="513"/>
    </row>
    <row r="830">
      <c r="A830" s="513"/>
      <c r="B830" s="513"/>
      <c r="C830" s="513"/>
      <c r="D830" s="513"/>
      <c r="E830" s="513"/>
      <c r="F830" s="513"/>
      <c r="G830" s="513"/>
    </row>
    <row r="831">
      <c r="A831" s="513"/>
      <c r="B831" s="513"/>
      <c r="C831" s="513"/>
      <c r="D831" s="513"/>
      <c r="E831" s="513"/>
      <c r="F831" s="513"/>
      <c r="G831" s="513"/>
    </row>
    <row r="832">
      <c r="A832" s="513"/>
      <c r="B832" s="513"/>
      <c r="C832" s="513"/>
      <c r="D832" s="513"/>
      <c r="E832" s="513"/>
      <c r="F832" s="513"/>
      <c r="G832" s="513"/>
    </row>
    <row r="833">
      <c r="A833" s="513"/>
      <c r="B833" s="513"/>
      <c r="C833" s="513"/>
      <c r="D833" s="513"/>
      <c r="E833" s="513"/>
      <c r="F833" s="513"/>
      <c r="G833" s="513"/>
    </row>
    <row r="834">
      <c r="A834" s="513"/>
      <c r="B834" s="513"/>
      <c r="C834" s="513"/>
      <c r="D834" s="513"/>
      <c r="E834" s="513"/>
      <c r="F834" s="513"/>
      <c r="G834" s="513"/>
    </row>
    <row r="835">
      <c r="A835" s="513"/>
      <c r="B835" s="513"/>
      <c r="C835" s="513"/>
      <c r="D835" s="513"/>
      <c r="E835" s="513"/>
      <c r="F835" s="513"/>
      <c r="G835" s="513"/>
    </row>
    <row r="836">
      <c r="A836" s="513"/>
      <c r="B836" s="513"/>
      <c r="C836" s="513"/>
      <c r="D836" s="513"/>
      <c r="E836" s="513"/>
      <c r="F836" s="513"/>
      <c r="G836" s="513"/>
    </row>
    <row r="837">
      <c r="A837" s="513"/>
      <c r="B837" s="513"/>
      <c r="C837" s="513"/>
      <c r="D837" s="513"/>
      <c r="E837" s="513"/>
      <c r="F837" s="513"/>
      <c r="G837" s="513"/>
    </row>
    <row r="838">
      <c r="A838" s="513"/>
      <c r="B838" s="513"/>
      <c r="C838" s="513"/>
      <c r="D838" s="513"/>
      <c r="E838" s="513"/>
      <c r="F838" s="513"/>
      <c r="G838" s="513"/>
    </row>
    <row r="839">
      <c r="A839" s="513"/>
      <c r="B839" s="513"/>
      <c r="C839" s="513"/>
      <c r="D839" s="513"/>
      <c r="E839" s="513"/>
      <c r="F839" s="513"/>
      <c r="G839" s="513"/>
    </row>
    <row r="840">
      <c r="A840" s="513"/>
      <c r="B840" s="513"/>
      <c r="C840" s="513"/>
      <c r="D840" s="513"/>
      <c r="E840" s="513"/>
      <c r="F840" s="513"/>
      <c r="G840" s="513"/>
    </row>
    <row r="841">
      <c r="A841" s="513"/>
      <c r="B841" s="513"/>
      <c r="C841" s="513"/>
      <c r="D841" s="513"/>
      <c r="E841" s="513"/>
      <c r="F841" s="513"/>
      <c r="G841" s="513"/>
    </row>
    <row r="842">
      <c r="A842" s="513"/>
      <c r="B842" s="513"/>
      <c r="C842" s="513"/>
      <c r="D842" s="513"/>
      <c r="E842" s="513"/>
      <c r="F842" s="513"/>
      <c r="G842" s="513"/>
    </row>
    <row r="843">
      <c r="A843" s="513"/>
      <c r="B843" s="513"/>
      <c r="C843" s="513"/>
      <c r="D843" s="513"/>
      <c r="E843" s="513"/>
      <c r="F843" s="513"/>
      <c r="G843" s="513"/>
    </row>
    <row r="844">
      <c r="A844" s="513"/>
      <c r="B844" s="513"/>
      <c r="C844" s="513"/>
      <c r="D844" s="513"/>
      <c r="E844" s="513"/>
      <c r="F844" s="513"/>
      <c r="G844" s="513"/>
    </row>
    <row r="845">
      <c r="A845" s="513"/>
      <c r="B845" s="513"/>
      <c r="C845" s="513"/>
      <c r="D845" s="513"/>
      <c r="E845" s="513"/>
      <c r="F845" s="513"/>
      <c r="G845" s="513"/>
    </row>
    <row r="846">
      <c r="A846" s="513"/>
      <c r="B846" s="513"/>
      <c r="C846" s="513"/>
      <c r="D846" s="513"/>
      <c r="E846" s="513"/>
      <c r="F846" s="513"/>
      <c r="G846" s="513"/>
    </row>
    <row r="847">
      <c r="A847" s="513"/>
      <c r="B847" s="513"/>
      <c r="C847" s="513"/>
      <c r="D847" s="513"/>
      <c r="E847" s="513"/>
      <c r="F847" s="513"/>
      <c r="G847" s="513"/>
    </row>
    <row r="848">
      <c r="A848" s="513"/>
      <c r="B848" s="513"/>
      <c r="C848" s="513"/>
      <c r="D848" s="513"/>
      <c r="E848" s="513"/>
      <c r="F848" s="513"/>
      <c r="G848" s="513"/>
    </row>
    <row r="849">
      <c r="A849" s="513"/>
      <c r="B849" s="513"/>
      <c r="C849" s="513"/>
      <c r="D849" s="513"/>
      <c r="E849" s="513"/>
      <c r="F849" s="513"/>
      <c r="G849" s="513"/>
    </row>
    <row r="850">
      <c r="A850" s="513"/>
      <c r="B850" s="513"/>
      <c r="C850" s="513"/>
      <c r="D850" s="513"/>
      <c r="E850" s="513"/>
      <c r="F850" s="513"/>
      <c r="G850" s="513"/>
    </row>
    <row r="851">
      <c r="A851" s="513"/>
      <c r="B851" s="513"/>
      <c r="C851" s="513"/>
      <c r="D851" s="513"/>
      <c r="E851" s="513"/>
      <c r="F851" s="513"/>
      <c r="G851" s="513"/>
    </row>
    <row r="852">
      <c r="A852" s="513"/>
      <c r="B852" s="513"/>
      <c r="C852" s="513"/>
      <c r="D852" s="513"/>
      <c r="E852" s="513"/>
      <c r="F852" s="513"/>
      <c r="G852" s="513"/>
    </row>
    <row r="853">
      <c r="A853" s="513"/>
      <c r="B853" s="513"/>
      <c r="C853" s="513"/>
      <c r="D853" s="513"/>
      <c r="E853" s="513"/>
      <c r="F853" s="513"/>
      <c r="G853" s="513"/>
    </row>
    <row r="854">
      <c r="A854" s="513"/>
      <c r="B854" s="513"/>
      <c r="C854" s="513"/>
      <c r="D854" s="513"/>
      <c r="E854" s="513"/>
      <c r="F854" s="513"/>
      <c r="G854" s="513"/>
    </row>
    <row r="855">
      <c r="A855" s="513"/>
      <c r="B855" s="513"/>
      <c r="C855" s="513"/>
      <c r="D855" s="513"/>
      <c r="E855" s="513"/>
      <c r="F855" s="513"/>
      <c r="G855" s="513"/>
    </row>
    <row r="856">
      <c r="A856" s="513"/>
      <c r="B856" s="513"/>
      <c r="C856" s="513"/>
      <c r="D856" s="513"/>
      <c r="E856" s="513"/>
      <c r="F856" s="513"/>
      <c r="G856" s="513"/>
    </row>
    <row r="857">
      <c r="A857" s="513"/>
      <c r="B857" s="513"/>
      <c r="C857" s="513"/>
      <c r="D857" s="513"/>
      <c r="E857" s="513"/>
      <c r="F857" s="513"/>
      <c r="G857" s="513"/>
    </row>
    <row r="858">
      <c r="A858" s="513"/>
      <c r="B858" s="513"/>
      <c r="C858" s="513"/>
      <c r="D858" s="513"/>
      <c r="E858" s="513"/>
      <c r="F858" s="513"/>
      <c r="G858" s="513"/>
    </row>
    <row r="859">
      <c r="A859" s="513"/>
      <c r="B859" s="513"/>
      <c r="C859" s="513"/>
      <c r="D859" s="513"/>
      <c r="E859" s="513"/>
      <c r="F859" s="513"/>
      <c r="G859" s="513"/>
    </row>
    <row r="860">
      <c r="A860" s="513"/>
      <c r="B860" s="513"/>
      <c r="C860" s="513"/>
      <c r="D860" s="513"/>
      <c r="E860" s="513"/>
      <c r="F860" s="513"/>
      <c r="G860" s="513"/>
    </row>
    <row r="861">
      <c r="A861" s="513"/>
      <c r="B861" s="513"/>
      <c r="C861" s="513"/>
      <c r="D861" s="513"/>
      <c r="E861" s="513"/>
      <c r="F861" s="513"/>
      <c r="G861" s="513"/>
    </row>
    <row r="862">
      <c r="A862" s="513"/>
      <c r="B862" s="513"/>
      <c r="C862" s="513"/>
      <c r="D862" s="513"/>
      <c r="E862" s="513"/>
      <c r="F862" s="513"/>
      <c r="G862" s="513"/>
    </row>
    <row r="863">
      <c r="A863" s="513"/>
      <c r="B863" s="513"/>
      <c r="C863" s="513"/>
      <c r="D863" s="513"/>
      <c r="E863" s="513"/>
      <c r="F863" s="513"/>
      <c r="G863" s="513"/>
    </row>
    <row r="864">
      <c r="A864" s="513"/>
      <c r="B864" s="513"/>
      <c r="C864" s="513"/>
      <c r="D864" s="513"/>
      <c r="E864" s="513"/>
      <c r="F864" s="513"/>
      <c r="G864" s="513"/>
    </row>
    <row r="865">
      <c r="A865" s="513"/>
      <c r="B865" s="513"/>
      <c r="C865" s="513"/>
      <c r="D865" s="513"/>
      <c r="E865" s="513"/>
      <c r="F865" s="513"/>
      <c r="G865" s="513"/>
    </row>
    <row r="866">
      <c r="A866" s="513"/>
      <c r="B866" s="513"/>
      <c r="C866" s="513"/>
      <c r="D866" s="513"/>
      <c r="E866" s="513"/>
      <c r="F866" s="513"/>
      <c r="G866" s="513"/>
    </row>
    <row r="867">
      <c r="A867" s="513"/>
      <c r="B867" s="513"/>
      <c r="C867" s="513"/>
      <c r="D867" s="513"/>
      <c r="E867" s="513"/>
      <c r="F867" s="513"/>
      <c r="G867" s="513"/>
    </row>
    <row r="868">
      <c r="A868" s="513"/>
      <c r="B868" s="513"/>
      <c r="C868" s="513"/>
      <c r="D868" s="513"/>
      <c r="E868" s="513"/>
      <c r="F868" s="513"/>
      <c r="G868" s="513"/>
    </row>
    <row r="869">
      <c r="A869" s="513"/>
      <c r="B869" s="513"/>
      <c r="C869" s="513"/>
      <c r="D869" s="513"/>
      <c r="E869" s="513"/>
      <c r="F869" s="513"/>
      <c r="G869" s="513"/>
    </row>
    <row r="870">
      <c r="A870" s="513"/>
      <c r="B870" s="513"/>
      <c r="C870" s="513"/>
      <c r="D870" s="513"/>
      <c r="E870" s="513"/>
      <c r="F870" s="513"/>
      <c r="G870" s="513"/>
    </row>
    <row r="871">
      <c r="A871" s="513"/>
      <c r="B871" s="513"/>
      <c r="C871" s="513"/>
      <c r="D871" s="513"/>
      <c r="E871" s="513"/>
      <c r="F871" s="513"/>
      <c r="G871" s="513"/>
    </row>
    <row r="872">
      <c r="A872" s="513"/>
      <c r="B872" s="513"/>
      <c r="C872" s="513"/>
      <c r="D872" s="513"/>
      <c r="E872" s="513"/>
      <c r="F872" s="513"/>
      <c r="G872" s="513"/>
    </row>
    <row r="873">
      <c r="A873" s="513"/>
      <c r="B873" s="513"/>
      <c r="C873" s="513"/>
      <c r="D873" s="513"/>
      <c r="E873" s="513"/>
      <c r="F873" s="513"/>
      <c r="G873" s="513"/>
    </row>
    <row r="874">
      <c r="A874" s="513"/>
      <c r="B874" s="513"/>
      <c r="C874" s="513"/>
      <c r="D874" s="513"/>
      <c r="E874" s="513"/>
      <c r="F874" s="513"/>
      <c r="G874" s="513"/>
    </row>
    <row r="875">
      <c r="A875" s="513"/>
      <c r="B875" s="513"/>
      <c r="C875" s="513"/>
      <c r="D875" s="513"/>
      <c r="E875" s="513"/>
      <c r="F875" s="513"/>
      <c r="G875" s="513"/>
    </row>
    <row r="876">
      <c r="A876" s="513"/>
      <c r="B876" s="513"/>
      <c r="C876" s="513"/>
      <c r="D876" s="513"/>
      <c r="E876" s="513"/>
      <c r="F876" s="513"/>
      <c r="G876" s="513"/>
    </row>
    <row r="877">
      <c r="A877" s="513"/>
      <c r="B877" s="513"/>
      <c r="C877" s="513"/>
      <c r="D877" s="513"/>
      <c r="E877" s="513"/>
      <c r="F877" s="513"/>
      <c r="G877" s="513"/>
    </row>
    <row r="878">
      <c r="A878" s="513"/>
      <c r="B878" s="513"/>
      <c r="C878" s="513"/>
      <c r="D878" s="513"/>
      <c r="E878" s="513"/>
      <c r="F878" s="513"/>
      <c r="G878" s="513"/>
    </row>
    <row r="879">
      <c r="A879" s="513"/>
      <c r="B879" s="513"/>
      <c r="C879" s="513"/>
      <c r="D879" s="513"/>
      <c r="E879" s="513"/>
      <c r="F879" s="513"/>
      <c r="G879" s="513"/>
    </row>
    <row r="880">
      <c r="A880" s="513"/>
      <c r="B880" s="513"/>
      <c r="C880" s="513"/>
      <c r="D880" s="513"/>
      <c r="E880" s="513"/>
      <c r="F880" s="513"/>
      <c r="G880" s="513"/>
    </row>
    <row r="881">
      <c r="A881" s="513"/>
      <c r="B881" s="513"/>
      <c r="C881" s="513"/>
      <c r="D881" s="513"/>
      <c r="E881" s="513"/>
      <c r="F881" s="513"/>
      <c r="G881" s="513"/>
    </row>
    <row r="882">
      <c r="A882" s="513"/>
      <c r="B882" s="513"/>
      <c r="C882" s="513"/>
      <c r="D882" s="513"/>
      <c r="E882" s="513"/>
      <c r="F882" s="513"/>
      <c r="G882" s="513"/>
    </row>
    <row r="883">
      <c r="A883" s="513"/>
      <c r="B883" s="513"/>
      <c r="C883" s="513"/>
      <c r="D883" s="513"/>
      <c r="E883" s="513"/>
      <c r="F883" s="513"/>
      <c r="G883" s="513"/>
    </row>
    <row r="884">
      <c r="A884" s="513"/>
      <c r="B884" s="513"/>
      <c r="C884" s="513"/>
      <c r="D884" s="513"/>
      <c r="E884" s="513"/>
      <c r="F884" s="513"/>
      <c r="G884" s="513"/>
    </row>
    <row r="885">
      <c r="A885" s="513"/>
      <c r="B885" s="513"/>
      <c r="C885" s="513"/>
      <c r="D885" s="513"/>
      <c r="E885" s="513"/>
      <c r="F885" s="513"/>
      <c r="G885" s="513"/>
    </row>
    <row r="886">
      <c r="A886" s="513"/>
      <c r="B886" s="513"/>
      <c r="C886" s="513"/>
      <c r="D886" s="513"/>
      <c r="E886" s="513"/>
      <c r="F886" s="513"/>
      <c r="G886" s="513"/>
    </row>
    <row r="887">
      <c r="A887" s="513"/>
      <c r="B887" s="513"/>
      <c r="C887" s="513"/>
      <c r="D887" s="513"/>
      <c r="E887" s="513"/>
      <c r="F887" s="513"/>
      <c r="G887" s="513"/>
    </row>
    <row r="888">
      <c r="A888" s="513"/>
      <c r="B888" s="513"/>
      <c r="C888" s="513"/>
      <c r="D888" s="513"/>
      <c r="E888" s="513"/>
      <c r="F888" s="513"/>
      <c r="G888" s="513"/>
    </row>
    <row r="889">
      <c r="A889" s="513"/>
      <c r="B889" s="513"/>
      <c r="C889" s="513"/>
      <c r="D889" s="513"/>
      <c r="E889" s="513"/>
      <c r="F889" s="513"/>
      <c r="G889" s="513"/>
    </row>
    <row r="890">
      <c r="A890" s="513"/>
      <c r="B890" s="513"/>
      <c r="C890" s="513"/>
      <c r="D890" s="513"/>
      <c r="E890" s="513"/>
      <c r="F890" s="513"/>
      <c r="G890" s="513"/>
    </row>
    <row r="891">
      <c r="A891" s="513"/>
      <c r="B891" s="513"/>
      <c r="C891" s="513"/>
      <c r="D891" s="513"/>
      <c r="E891" s="513"/>
      <c r="F891" s="513"/>
      <c r="G891" s="513"/>
    </row>
    <row r="892">
      <c r="A892" s="513"/>
      <c r="B892" s="513"/>
      <c r="C892" s="513"/>
      <c r="D892" s="513"/>
      <c r="E892" s="513"/>
      <c r="F892" s="513"/>
      <c r="G892" s="513"/>
    </row>
    <row r="893">
      <c r="A893" s="513"/>
      <c r="B893" s="513"/>
      <c r="C893" s="513"/>
      <c r="D893" s="513"/>
      <c r="E893" s="513"/>
      <c r="F893" s="513"/>
      <c r="G893" s="513"/>
    </row>
    <row r="894">
      <c r="A894" s="513"/>
      <c r="B894" s="513"/>
      <c r="C894" s="513"/>
      <c r="D894" s="513"/>
      <c r="E894" s="513"/>
      <c r="F894" s="513"/>
      <c r="G894" s="513"/>
    </row>
    <row r="895">
      <c r="A895" s="513"/>
      <c r="B895" s="513"/>
      <c r="C895" s="513"/>
      <c r="D895" s="513"/>
      <c r="E895" s="513"/>
      <c r="F895" s="513"/>
      <c r="G895" s="513"/>
    </row>
    <row r="896">
      <c r="A896" s="513"/>
      <c r="B896" s="513"/>
      <c r="C896" s="513"/>
      <c r="D896" s="513"/>
      <c r="E896" s="513"/>
      <c r="F896" s="513"/>
      <c r="G896" s="513"/>
    </row>
    <row r="897">
      <c r="A897" s="513"/>
      <c r="B897" s="513"/>
      <c r="C897" s="513"/>
      <c r="D897" s="513"/>
      <c r="E897" s="513"/>
      <c r="F897" s="513"/>
      <c r="G897" s="513"/>
    </row>
    <row r="898">
      <c r="A898" s="513"/>
      <c r="B898" s="513"/>
      <c r="C898" s="513"/>
      <c r="D898" s="513"/>
      <c r="E898" s="513"/>
      <c r="F898" s="513"/>
      <c r="G898" s="513"/>
    </row>
    <row r="899">
      <c r="A899" s="513"/>
      <c r="B899" s="513"/>
      <c r="C899" s="513"/>
      <c r="D899" s="513"/>
      <c r="E899" s="513"/>
      <c r="F899" s="513"/>
      <c r="G899" s="513"/>
    </row>
    <row r="900">
      <c r="A900" s="513"/>
      <c r="B900" s="513"/>
      <c r="C900" s="513"/>
      <c r="D900" s="513"/>
      <c r="E900" s="513"/>
      <c r="F900" s="513"/>
      <c r="G900" s="513"/>
    </row>
    <row r="901">
      <c r="A901" s="513"/>
      <c r="B901" s="513"/>
      <c r="C901" s="513"/>
      <c r="D901" s="513"/>
      <c r="E901" s="513"/>
      <c r="F901" s="513"/>
      <c r="G901" s="513"/>
    </row>
    <row r="902">
      <c r="A902" s="513"/>
      <c r="B902" s="513"/>
      <c r="C902" s="513"/>
      <c r="D902" s="513"/>
      <c r="E902" s="513"/>
      <c r="F902" s="513"/>
      <c r="G902" s="513"/>
    </row>
    <row r="903">
      <c r="A903" s="513"/>
      <c r="B903" s="513"/>
      <c r="C903" s="513"/>
      <c r="D903" s="513"/>
      <c r="E903" s="513"/>
      <c r="F903" s="513"/>
      <c r="G903" s="513"/>
    </row>
    <row r="904">
      <c r="A904" s="513"/>
      <c r="B904" s="513"/>
      <c r="C904" s="513"/>
      <c r="D904" s="513"/>
      <c r="E904" s="513"/>
      <c r="F904" s="513"/>
      <c r="G904" s="513"/>
    </row>
    <row r="905">
      <c r="A905" s="513"/>
      <c r="B905" s="513"/>
      <c r="C905" s="513"/>
      <c r="D905" s="513"/>
      <c r="E905" s="513"/>
      <c r="F905" s="513"/>
      <c r="G905" s="513"/>
    </row>
    <row r="906">
      <c r="A906" s="513"/>
      <c r="B906" s="513"/>
      <c r="C906" s="513"/>
      <c r="D906" s="513"/>
      <c r="E906" s="513"/>
      <c r="F906" s="513"/>
      <c r="G906" s="513"/>
    </row>
    <row r="907">
      <c r="A907" s="513"/>
      <c r="B907" s="513"/>
      <c r="C907" s="513"/>
      <c r="D907" s="513"/>
      <c r="E907" s="513"/>
      <c r="F907" s="513"/>
      <c r="G907" s="513"/>
    </row>
    <row r="908">
      <c r="A908" s="513"/>
      <c r="B908" s="513"/>
      <c r="C908" s="513"/>
      <c r="D908" s="513"/>
      <c r="E908" s="513"/>
      <c r="F908" s="513"/>
      <c r="G908" s="513"/>
    </row>
    <row r="909">
      <c r="A909" s="513"/>
      <c r="B909" s="513"/>
      <c r="C909" s="513"/>
      <c r="D909" s="513"/>
      <c r="E909" s="513"/>
      <c r="F909" s="513"/>
      <c r="G909" s="513"/>
    </row>
    <row r="910">
      <c r="A910" s="513"/>
      <c r="B910" s="513"/>
      <c r="C910" s="513"/>
      <c r="D910" s="513"/>
      <c r="E910" s="513"/>
      <c r="F910" s="513"/>
      <c r="G910" s="513"/>
    </row>
    <row r="911">
      <c r="A911" s="513"/>
      <c r="B911" s="513"/>
      <c r="C911" s="513"/>
      <c r="D911" s="513"/>
      <c r="E911" s="513"/>
      <c r="F911" s="513"/>
      <c r="G911" s="513"/>
    </row>
    <row r="912">
      <c r="A912" s="513"/>
      <c r="B912" s="513"/>
      <c r="C912" s="513"/>
      <c r="D912" s="513"/>
      <c r="E912" s="513"/>
      <c r="F912" s="513"/>
      <c r="G912" s="513"/>
    </row>
    <row r="913">
      <c r="A913" s="513"/>
      <c r="B913" s="513"/>
      <c r="C913" s="513"/>
      <c r="D913" s="513"/>
      <c r="E913" s="513"/>
      <c r="F913" s="513"/>
      <c r="G913" s="513"/>
    </row>
    <row r="914">
      <c r="A914" s="513"/>
      <c r="B914" s="513"/>
      <c r="C914" s="513"/>
      <c r="D914" s="513"/>
      <c r="E914" s="513"/>
      <c r="F914" s="513"/>
      <c r="G914" s="513"/>
    </row>
    <row r="915">
      <c r="A915" s="513"/>
      <c r="B915" s="513"/>
      <c r="C915" s="513"/>
      <c r="D915" s="513"/>
      <c r="E915" s="513"/>
      <c r="F915" s="513"/>
      <c r="G915" s="513"/>
    </row>
    <row r="916">
      <c r="A916" s="513"/>
      <c r="B916" s="513"/>
      <c r="C916" s="513"/>
      <c r="D916" s="513"/>
      <c r="E916" s="513"/>
      <c r="F916" s="513"/>
      <c r="G916" s="513"/>
    </row>
    <row r="917">
      <c r="A917" s="513"/>
      <c r="B917" s="513"/>
      <c r="C917" s="513"/>
      <c r="D917" s="513"/>
      <c r="E917" s="513"/>
      <c r="F917" s="513"/>
      <c r="G917" s="513"/>
    </row>
    <row r="918">
      <c r="A918" s="513"/>
      <c r="B918" s="513"/>
      <c r="C918" s="513"/>
      <c r="D918" s="513"/>
      <c r="E918" s="513"/>
      <c r="F918" s="513"/>
      <c r="G918" s="513"/>
    </row>
    <row r="919">
      <c r="A919" s="513"/>
      <c r="B919" s="513"/>
      <c r="C919" s="513"/>
      <c r="D919" s="513"/>
      <c r="E919" s="513"/>
      <c r="F919" s="513"/>
      <c r="G919" s="513"/>
    </row>
    <row r="920">
      <c r="A920" s="513"/>
      <c r="B920" s="513"/>
      <c r="C920" s="513"/>
      <c r="D920" s="513"/>
      <c r="E920" s="513"/>
      <c r="F920" s="513"/>
      <c r="G920" s="513"/>
    </row>
    <row r="921">
      <c r="A921" s="513"/>
      <c r="B921" s="513"/>
      <c r="C921" s="513"/>
      <c r="D921" s="513"/>
      <c r="E921" s="513"/>
      <c r="F921" s="513"/>
      <c r="G921" s="513"/>
    </row>
    <row r="922">
      <c r="A922" s="513"/>
      <c r="B922" s="513"/>
      <c r="C922" s="513"/>
      <c r="D922" s="513"/>
      <c r="E922" s="513"/>
      <c r="F922" s="513"/>
      <c r="G922" s="513"/>
    </row>
    <row r="923">
      <c r="A923" s="513"/>
      <c r="B923" s="513"/>
      <c r="C923" s="513"/>
      <c r="D923" s="513"/>
      <c r="E923" s="513"/>
      <c r="F923" s="513"/>
      <c r="G923" s="513"/>
    </row>
    <row r="924">
      <c r="A924" s="513"/>
      <c r="B924" s="513"/>
      <c r="C924" s="513"/>
      <c r="D924" s="513"/>
      <c r="E924" s="513"/>
      <c r="F924" s="513"/>
      <c r="G924" s="513"/>
    </row>
    <row r="925">
      <c r="A925" s="513"/>
      <c r="B925" s="513"/>
      <c r="C925" s="513"/>
      <c r="D925" s="513"/>
      <c r="E925" s="513"/>
      <c r="F925" s="513"/>
      <c r="G925" s="513"/>
    </row>
    <row r="926">
      <c r="A926" s="513"/>
      <c r="B926" s="513"/>
      <c r="C926" s="513"/>
      <c r="D926" s="513"/>
      <c r="E926" s="513"/>
      <c r="F926" s="513"/>
      <c r="G926" s="513"/>
    </row>
    <row r="927">
      <c r="A927" s="513"/>
      <c r="B927" s="513"/>
      <c r="C927" s="513"/>
      <c r="D927" s="513"/>
      <c r="E927" s="513"/>
      <c r="F927" s="513"/>
      <c r="G927" s="513"/>
    </row>
    <row r="928">
      <c r="A928" s="513"/>
      <c r="B928" s="513"/>
      <c r="C928" s="513"/>
      <c r="D928" s="513"/>
      <c r="E928" s="513"/>
      <c r="F928" s="513"/>
      <c r="G928" s="513"/>
    </row>
    <row r="929">
      <c r="A929" s="513"/>
      <c r="B929" s="513"/>
      <c r="C929" s="513"/>
      <c r="D929" s="513"/>
      <c r="E929" s="513"/>
      <c r="F929" s="513"/>
      <c r="G929" s="513"/>
    </row>
    <row r="930">
      <c r="A930" s="513"/>
      <c r="B930" s="513"/>
      <c r="C930" s="513"/>
      <c r="D930" s="513"/>
      <c r="E930" s="513"/>
      <c r="F930" s="513"/>
      <c r="G930" s="513"/>
    </row>
    <row r="931">
      <c r="A931" s="513"/>
      <c r="B931" s="513"/>
      <c r="C931" s="513"/>
      <c r="D931" s="513"/>
      <c r="E931" s="513"/>
      <c r="F931" s="513"/>
      <c r="G931" s="513"/>
    </row>
    <row r="932">
      <c r="A932" s="513"/>
      <c r="B932" s="513"/>
      <c r="C932" s="513"/>
      <c r="D932" s="513"/>
      <c r="E932" s="513"/>
      <c r="F932" s="513"/>
      <c r="G932" s="513"/>
    </row>
    <row r="933">
      <c r="A933" s="513"/>
      <c r="B933" s="513"/>
      <c r="C933" s="513"/>
      <c r="D933" s="513"/>
      <c r="E933" s="513"/>
      <c r="F933" s="513"/>
      <c r="G933" s="513"/>
    </row>
    <row r="934">
      <c r="A934" s="513"/>
      <c r="B934" s="513"/>
      <c r="C934" s="513"/>
      <c r="D934" s="513"/>
      <c r="E934" s="513"/>
      <c r="F934" s="513"/>
      <c r="G934" s="513"/>
    </row>
    <row r="935">
      <c r="A935" s="513"/>
      <c r="B935" s="513"/>
      <c r="C935" s="513"/>
      <c r="D935" s="513"/>
      <c r="E935" s="513"/>
      <c r="F935" s="513"/>
      <c r="G935" s="513"/>
    </row>
    <row r="936">
      <c r="A936" s="513"/>
      <c r="B936" s="513"/>
      <c r="C936" s="513"/>
      <c r="D936" s="513"/>
      <c r="E936" s="513"/>
      <c r="F936" s="513"/>
      <c r="G936" s="513"/>
    </row>
    <row r="937">
      <c r="A937" s="513"/>
      <c r="B937" s="513"/>
      <c r="C937" s="513"/>
      <c r="D937" s="513"/>
      <c r="E937" s="513"/>
      <c r="F937" s="513"/>
      <c r="G937" s="513"/>
    </row>
    <row r="938">
      <c r="A938" s="513"/>
      <c r="B938" s="513"/>
      <c r="C938" s="513"/>
      <c r="D938" s="513"/>
      <c r="E938" s="513"/>
      <c r="F938" s="513"/>
      <c r="G938" s="513"/>
    </row>
    <row r="939">
      <c r="A939" s="513"/>
      <c r="B939" s="513"/>
      <c r="C939" s="513"/>
      <c r="D939" s="513"/>
      <c r="E939" s="513"/>
      <c r="F939" s="513"/>
      <c r="G939" s="513"/>
    </row>
    <row r="940">
      <c r="A940" s="513"/>
      <c r="B940" s="513"/>
      <c r="C940" s="513"/>
      <c r="D940" s="513"/>
      <c r="E940" s="513"/>
      <c r="F940" s="513"/>
      <c r="G940" s="513"/>
    </row>
    <row r="941">
      <c r="A941" s="513"/>
      <c r="B941" s="513"/>
      <c r="C941" s="513"/>
      <c r="D941" s="513"/>
      <c r="E941" s="513"/>
      <c r="F941" s="513"/>
      <c r="G941" s="513"/>
    </row>
    <row r="942">
      <c r="A942" s="513"/>
      <c r="B942" s="513"/>
      <c r="C942" s="513"/>
      <c r="D942" s="513"/>
      <c r="E942" s="513"/>
      <c r="F942" s="513"/>
      <c r="G942" s="513"/>
    </row>
    <row r="943">
      <c r="A943" s="513"/>
      <c r="B943" s="513"/>
      <c r="C943" s="513"/>
      <c r="D943" s="513"/>
      <c r="E943" s="513"/>
      <c r="F943" s="513"/>
      <c r="G943" s="513"/>
    </row>
    <row r="944">
      <c r="A944" s="513"/>
      <c r="B944" s="513"/>
      <c r="C944" s="513"/>
      <c r="D944" s="513"/>
      <c r="E944" s="513"/>
      <c r="F944" s="513"/>
      <c r="G944" s="513"/>
    </row>
    <row r="945">
      <c r="A945" s="513"/>
      <c r="B945" s="513"/>
      <c r="C945" s="513"/>
      <c r="D945" s="513"/>
      <c r="E945" s="513"/>
      <c r="F945" s="513"/>
      <c r="G945" s="513"/>
    </row>
    <row r="946">
      <c r="A946" s="513"/>
      <c r="B946" s="513"/>
      <c r="C946" s="513"/>
      <c r="D946" s="513"/>
      <c r="E946" s="513"/>
      <c r="F946" s="513"/>
      <c r="G946" s="513"/>
    </row>
    <row r="947">
      <c r="A947" s="513"/>
      <c r="B947" s="513"/>
      <c r="C947" s="513"/>
      <c r="D947" s="513"/>
      <c r="E947" s="513"/>
      <c r="F947" s="513"/>
      <c r="G947" s="513"/>
    </row>
    <row r="948">
      <c r="A948" s="513"/>
      <c r="B948" s="513"/>
      <c r="C948" s="513"/>
      <c r="D948" s="513"/>
      <c r="E948" s="513"/>
      <c r="F948" s="513"/>
      <c r="G948" s="513"/>
    </row>
    <row r="949">
      <c r="A949" s="513"/>
      <c r="B949" s="513"/>
      <c r="C949" s="513"/>
      <c r="D949" s="513"/>
      <c r="E949" s="513"/>
      <c r="F949" s="513"/>
      <c r="G949" s="513"/>
    </row>
    <row r="950">
      <c r="A950" s="513"/>
      <c r="B950" s="513"/>
      <c r="C950" s="513"/>
      <c r="D950" s="513"/>
      <c r="E950" s="513"/>
      <c r="F950" s="513"/>
      <c r="G950" s="513"/>
    </row>
    <row r="951">
      <c r="A951" s="513"/>
      <c r="B951" s="513"/>
      <c r="C951" s="513"/>
      <c r="D951" s="513"/>
      <c r="E951" s="513"/>
      <c r="F951" s="513"/>
      <c r="G951" s="513"/>
    </row>
    <row r="952">
      <c r="A952" s="513"/>
      <c r="B952" s="513"/>
      <c r="C952" s="513"/>
      <c r="D952" s="513"/>
      <c r="E952" s="513"/>
      <c r="F952" s="513"/>
      <c r="G952" s="513"/>
    </row>
    <row r="953">
      <c r="A953" s="513"/>
      <c r="B953" s="513"/>
      <c r="C953" s="513"/>
      <c r="D953" s="513"/>
      <c r="E953" s="513"/>
      <c r="F953" s="513"/>
      <c r="G953" s="513"/>
    </row>
    <row r="954">
      <c r="A954" s="513"/>
      <c r="B954" s="513"/>
      <c r="C954" s="513"/>
      <c r="D954" s="513"/>
      <c r="E954" s="513"/>
      <c r="F954" s="513"/>
      <c r="G954" s="513"/>
    </row>
    <row r="955">
      <c r="A955" s="513"/>
      <c r="B955" s="513"/>
      <c r="C955" s="513"/>
      <c r="D955" s="513"/>
      <c r="E955" s="513"/>
      <c r="F955" s="513"/>
      <c r="G955" s="513"/>
    </row>
    <row r="956">
      <c r="A956" s="513"/>
      <c r="B956" s="513"/>
      <c r="C956" s="513"/>
      <c r="D956" s="513"/>
      <c r="E956" s="513"/>
      <c r="F956" s="513"/>
      <c r="G956" s="513"/>
    </row>
    <row r="957">
      <c r="A957" s="513"/>
      <c r="B957" s="513"/>
      <c r="C957" s="513"/>
      <c r="D957" s="513"/>
      <c r="E957" s="513"/>
      <c r="F957" s="513"/>
      <c r="G957" s="513"/>
    </row>
    <row r="958">
      <c r="A958" s="513"/>
      <c r="B958" s="513"/>
      <c r="C958" s="513"/>
      <c r="D958" s="513"/>
      <c r="E958" s="513"/>
      <c r="F958" s="513"/>
      <c r="G958" s="513"/>
    </row>
    <row r="959">
      <c r="A959" s="513"/>
      <c r="B959" s="513"/>
      <c r="C959" s="513"/>
      <c r="D959" s="513"/>
      <c r="E959" s="513"/>
      <c r="F959" s="513"/>
      <c r="G959" s="513"/>
    </row>
    <row r="960">
      <c r="A960" s="513"/>
      <c r="B960" s="513"/>
      <c r="C960" s="513"/>
      <c r="D960" s="513"/>
      <c r="E960" s="513"/>
      <c r="F960" s="513"/>
      <c r="G960" s="513"/>
    </row>
    <row r="961">
      <c r="A961" s="513"/>
      <c r="B961" s="513"/>
      <c r="C961" s="513"/>
      <c r="D961" s="513"/>
      <c r="E961" s="513"/>
      <c r="F961" s="513"/>
      <c r="G961" s="513"/>
    </row>
    <row r="962">
      <c r="A962" s="513"/>
      <c r="B962" s="513"/>
      <c r="C962" s="513"/>
      <c r="D962" s="513"/>
      <c r="E962" s="513"/>
      <c r="F962" s="513"/>
      <c r="G962" s="513"/>
    </row>
    <row r="963">
      <c r="A963" s="513"/>
      <c r="B963" s="513"/>
      <c r="C963" s="513"/>
      <c r="D963" s="513"/>
      <c r="E963" s="513"/>
      <c r="F963" s="513"/>
      <c r="G963" s="513"/>
    </row>
    <row r="964">
      <c r="A964" s="513"/>
      <c r="B964" s="513"/>
      <c r="C964" s="513"/>
      <c r="D964" s="513"/>
      <c r="E964" s="513"/>
      <c r="F964" s="513"/>
      <c r="G964" s="513"/>
    </row>
    <row r="965">
      <c r="A965" s="513"/>
      <c r="B965" s="513"/>
      <c r="C965" s="513"/>
      <c r="D965" s="513"/>
      <c r="E965" s="513"/>
      <c r="F965" s="513"/>
      <c r="G965" s="513"/>
    </row>
    <row r="966">
      <c r="A966" s="513"/>
      <c r="B966" s="513"/>
      <c r="C966" s="513"/>
      <c r="D966" s="513"/>
      <c r="E966" s="513"/>
      <c r="F966" s="513"/>
      <c r="G966" s="513"/>
    </row>
    <row r="967">
      <c r="A967" s="513"/>
      <c r="B967" s="513"/>
      <c r="C967" s="513"/>
      <c r="D967" s="513"/>
      <c r="E967" s="513"/>
      <c r="F967" s="513"/>
      <c r="G967" s="513"/>
    </row>
    <row r="968">
      <c r="A968" s="513"/>
      <c r="B968" s="513"/>
      <c r="C968" s="513"/>
      <c r="D968" s="513"/>
      <c r="E968" s="513"/>
      <c r="F968" s="513"/>
      <c r="G968" s="513"/>
    </row>
    <row r="969">
      <c r="A969" s="513"/>
      <c r="B969" s="513"/>
      <c r="C969" s="513"/>
      <c r="D969" s="513"/>
      <c r="E969" s="513"/>
      <c r="F969" s="513"/>
      <c r="G969" s="513"/>
    </row>
    <row r="970">
      <c r="A970" s="513"/>
      <c r="B970" s="513"/>
      <c r="C970" s="513"/>
      <c r="D970" s="513"/>
      <c r="E970" s="513"/>
      <c r="F970" s="513"/>
      <c r="G970" s="513"/>
    </row>
    <row r="971">
      <c r="A971" s="513"/>
      <c r="B971" s="513"/>
      <c r="C971" s="513"/>
      <c r="D971" s="513"/>
      <c r="E971" s="513"/>
      <c r="F971" s="513"/>
      <c r="G971" s="513"/>
    </row>
    <row r="972">
      <c r="A972" s="513"/>
      <c r="B972" s="513"/>
      <c r="C972" s="513"/>
      <c r="D972" s="513"/>
      <c r="E972" s="513"/>
      <c r="F972" s="513"/>
      <c r="G972" s="513"/>
    </row>
    <row r="973">
      <c r="A973" s="513"/>
      <c r="B973" s="513"/>
      <c r="C973" s="513"/>
      <c r="D973" s="513"/>
      <c r="E973" s="513"/>
      <c r="F973" s="513"/>
      <c r="G973" s="513"/>
    </row>
    <row r="974">
      <c r="A974" s="513"/>
      <c r="B974" s="513"/>
      <c r="C974" s="513"/>
      <c r="D974" s="513"/>
      <c r="E974" s="513"/>
      <c r="F974" s="513"/>
      <c r="G974" s="513"/>
    </row>
    <row r="975">
      <c r="A975" s="513"/>
      <c r="B975" s="513"/>
      <c r="C975" s="513"/>
      <c r="D975" s="513"/>
      <c r="E975" s="513"/>
      <c r="F975" s="513"/>
      <c r="G975" s="513"/>
    </row>
    <row r="976">
      <c r="A976" s="513"/>
      <c r="B976" s="513"/>
      <c r="C976" s="513"/>
      <c r="D976" s="513"/>
      <c r="E976" s="513"/>
      <c r="F976" s="513"/>
      <c r="G976" s="513"/>
    </row>
    <row r="977">
      <c r="A977" s="513"/>
      <c r="B977" s="513"/>
      <c r="C977" s="513"/>
      <c r="D977" s="513"/>
      <c r="E977" s="513"/>
      <c r="F977" s="513"/>
      <c r="G977" s="513"/>
    </row>
    <row r="978">
      <c r="A978" s="513"/>
      <c r="B978" s="513"/>
      <c r="C978" s="513"/>
      <c r="D978" s="513"/>
      <c r="E978" s="513"/>
      <c r="F978" s="513"/>
      <c r="G978" s="513"/>
    </row>
    <row r="979">
      <c r="A979" s="513"/>
      <c r="B979" s="513"/>
      <c r="C979" s="513"/>
      <c r="D979" s="513"/>
      <c r="E979" s="513"/>
      <c r="F979" s="513"/>
      <c r="G979" s="513"/>
    </row>
    <row r="980">
      <c r="A980" s="513"/>
      <c r="B980" s="513"/>
      <c r="C980" s="513"/>
      <c r="D980" s="513"/>
      <c r="E980" s="513"/>
      <c r="F980" s="513"/>
      <c r="G980" s="513"/>
    </row>
    <row r="981">
      <c r="A981" s="513"/>
      <c r="B981" s="513"/>
      <c r="C981" s="513"/>
      <c r="D981" s="513"/>
      <c r="E981" s="513"/>
      <c r="F981" s="513"/>
      <c r="G981" s="513"/>
    </row>
    <row r="982">
      <c r="A982" s="513"/>
      <c r="B982" s="513"/>
      <c r="C982" s="513"/>
      <c r="D982" s="513"/>
      <c r="E982" s="513"/>
      <c r="F982" s="513"/>
      <c r="G982" s="513"/>
    </row>
    <row r="983">
      <c r="A983" s="513"/>
      <c r="B983" s="513"/>
      <c r="C983" s="513"/>
      <c r="D983" s="513"/>
      <c r="E983" s="513"/>
      <c r="F983" s="513"/>
      <c r="G983" s="513"/>
    </row>
    <row r="984">
      <c r="A984" s="513"/>
      <c r="B984" s="513"/>
      <c r="C984" s="513"/>
      <c r="D984" s="513"/>
      <c r="E984" s="513"/>
      <c r="F984" s="513"/>
      <c r="G984" s="513"/>
    </row>
    <row r="985">
      <c r="A985" s="513"/>
      <c r="B985" s="513"/>
      <c r="C985" s="513"/>
      <c r="D985" s="513"/>
      <c r="E985" s="513"/>
      <c r="F985" s="513"/>
      <c r="G985" s="513"/>
    </row>
    <row r="986">
      <c r="A986" s="513"/>
      <c r="B986" s="513"/>
      <c r="C986" s="513"/>
      <c r="D986" s="513"/>
      <c r="E986" s="513"/>
      <c r="F986" s="513"/>
      <c r="G986" s="513"/>
    </row>
    <row r="987">
      <c r="A987" s="513"/>
      <c r="B987" s="513"/>
      <c r="C987" s="513"/>
      <c r="D987" s="513"/>
      <c r="E987" s="513"/>
      <c r="F987" s="513"/>
      <c r="G987" s="513"/>
    </row>
    <row r="988">
      <c r="A988" s="513"/>
      <c r="B988" s="513"/>
      <c r="C988" s="513"/>
      <c r="D988" s="513"/>
      <c r="E988" s="513"/>
      <c r="F988" s="513"/>
      <c r="G988" s="513"/>
    </row>
    <row r="989">
      <c r="A989" s="513"/>
      <c r="B989" s="513"/>
      <c r="C989" s="513"/>
      <c r="D989" s="513"/>
      <c r="E989" s="513"/>
      <c r="F989" s="513"/>
      <c r="G989" s="513"/>
    </row>
    <row r="990">
      <c r="A990" s="513"/>
      <c r="B990" s="513"/>
      <c r="C990" s="513"/>
      <c r="D990" s="513"/>
      <c r="E990" s="513"/>
      <c r="F990" s="513"/>
      <c r="G990" s="513"/>
    </row>
    <row r="991">
      <c r="A991" s="513"/>
      <c r="B991" s="513"/>
      <c r="C991" s="513"/>
      <c r="D991" s="513"/>
      <c r="E991" s="513"/>
      <c r="F991" s="513"/>
      <c r="G991" s="513"/>
    </row>
    <row r="992">
      <c r="A992" s="513"/>
      <c r="B992" s="513"/>
      <c r="C992" s="513"/>
      <c r="D992" s="513"/>
      <c r="E992" s="513"/>
      <c r="F992" s="513"/>
      <c r="G992" s="513"/>
    </row>
    <row r="993">
      <c r="A993" s="513"/>
      <c r="B993" s="513"/>
      <c r="C993" s="513"/>
      <c r="D993" s="513"/>
      <c r="E993" s="513"/>
      <c r="F993" s="513"/>
      <c r="G993" s="513"/>
    </row>
    <row r="994">
      <c r="A994" s="513"/>
      <c r="B994" s="513"/>
      <c r="C994" s="513"/>
      <c r="D994" s="513"/>
      <c r="E994" s="513"/>
      <c r="F994" s="513"/>
      <c r="G994" s="513"/>
    </row>
    <row r="995">
      <c r="A995" s="513"/>
      <c r="B995" s="513"/>
      <c r="C995" s="513"/>
      <c r="D995" s="513"/>
      <c r="E995" s="513"/>
      <c r="F995" s="513"/>
      <c r="G995" s="513"/>
    </row>
    <row r="996">
      <c r="A996" s="513"/>
      <c r="B996" s="513"/>
      <c r="C996" s="513"/>
      <c r="D996" s="513"/>
      <c r="E996" s="513"/>
      <c r="F996" s="513"/>
      <c r="G996" s="513"/>
    </row>
    <row r="997">
      <c r="A997" s="513"/>
      <c r="B997" s="513"/>
      <c r="C997" s="513"/>
      <c r="D997" s="513"/>
      <c r="E997" s="513"/>
      <c r="F997" s="513"/>
      <c r="G997" s="513"/>
    </row>
    <row r="998">
      <c r="A998" s="513"/>
      <c r="B998" s="513"/>
      <c r="C998" s="513"/>
      <c r="D998" s="513"/>
      <c r="E998" s="513"/>
      <c r="F998" s="513"/>
      <c r="G998" s="513"/>
    </row>
    <row r="999">
      <c r="A999" s="513"/>
      <c r="B999" s="513"/>
      <c r="C999" s="513"/>
      <c r="D999" s="513"/>
      <c r="E999" s="513"/>
      <c r="F999" s="513"/>
      <c r="G999" s="513"/>
    </row>
    <row r="1000">
      <c r="A1000" s="513"/>
      <c r="B1000" s="513"/>
      <c r="C1000" s="513"/>
      <c r="D1000" s="513"/>
      <c r="E1000" s="513"/>
      <c r="F1000" s="513"/>
      <c r="G1000" s="513"/>
    </row>
  </sheetData>
  <mergeCells count="5">
    <mergeCell ref="B2:B4"/>
    <mergeCell ref="C2:C4"/>
    <mergeCell ref="E2:E4"/>
    <mergeCell ref="F2:F4"/>
    <mergeCell ref="G2:G4"/>
  </mergeCells>
  <hyperlinks>
    <hyperlink r:id="rId1" ref="D2"/>
    <hyperlink r:id="rId2" ref="D3"/>
    <hyperlink r:id="rId3" ref="D4"/>
    <hyperlink r:id="rId4" ref="D5"/>
    <hyperlink r:id="rId5" ref="D7"/>
  </hyperlinks>
  <drawing r:id="rId6"/>
</worksheet>
</file>