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<sst xmlns="http://schemas.openxmlformats.org/spreadsheetml/2006/main" count="157" uniqueCount="84">
  <si>
    <t xml:space="preserve">CALCULATION OF VALIDATION OF Imidocarb Dipropionate in Imidofarm  </t>
  </si>
  <si>
    <t xml:space="preserve">Degredation </t>
  </si>
  <si>
    <t>Zero time</t>
  </si>
  <si>
    <t>Stability time</t>
  </si>
  <si>
    <t>(8:38:32 AM)</t>
  </si>
  <si>
    <t>Difference</t>
  </si>
  <si>
    <t>Area of acitive in acid</t>
  </si>
  <si>
    <t>Area of acitive in base</t>
  </si>
  <si>
    <t>Area of acitive in oxidation</t>
  </si>
  <si>
    <t>Area</t>
  </si>
  <si>
    <t>ST-50</t>
  </si>
  <si>
    <t>ST-80</t>
  </si>
  <si>
    <t>ST-100</t>
  </si>
  <si>
    <t>ST-160</t>
  </si>
  <si>
    <t>ST-200</t>
  </si>
  <si>
    <t>Result of active</t>
  </si>
  <si>
    <t>results of Degredation</t>
  </si>
  <si>
    <r>
      <rPr>
        <rFont val="Arial"/>
        <b/>
        <color theme="1"/>
        <sz val="10.0"/>
      </rPr>
      <t>CONC(</t>
    </r>
    <r>
      <rPr>
        <rFont val="Arial"/>
        <b/>
        <color theme="1"/>
        <sz val="10.0"/>
      </rPr>
      <t>µg/ml</t>
    </r>
    <r>
      <rPr>
        <rFont val="Arial"/>
        <b/>
        <color theme="1"/>
        <sz val="10.0"/>
      </rPr>
      <t>)</t>
    </r>
  </si>
  <si>
    <t>ABS(AVG)</t>
  </si>
  <si>
    <t>LOD</t>
  </si>
  <si>
    <t>ST50%</t>
  </si>
  <si>
    <t>1#</t>
  </si>
  <si>
    <t>ST80%</t>
  </si>
  <si>
    <t>2#</t>
  </si>
  <si>
    <t>ST 100%</t>
  </si>
  <si>
    <t>3#</t>
  </si>
  <si>
    <t>ST 160%</t>
  </si>
  <si>
    <t>AVG</t>
  </si>
  <si>
    <t>average</t>
  </si>
  <si>
    <t>ST 200%</t>
  </si>
  <si>
    <t>CONC</t>
  </si>
  <si>
    <t>SD</t>
  </si>
  <si>
    <t>SLOPE</t>
  </si>
  <si>
    <t>RSD</t>
  </si>
  <si>
    <t>I</t>
  </si>
  <si>
    <t>R</t>
  </si>
  <si>
    <t>LOQ</t>
  </si>
  <si>
    <t>t80</t>
  </si>
  <si>
    <t>t100</t>
  </si>
  <si>
    <t>t160</t>
  </si>
  <si>
    <t>theo(w conc)</t>
  </si>
  <si>
    <t>beak area</t>
  </si>
  <si>
    <t>found conc</t>
  </si>
  <si>
    <t>recovery</t>
  </si>
  <si>
    <t>T80%</t>
  </si>
  <si>
    <t>T100%</t>
  </si>
  <si>
    <t>T160%</t>
  </si>
  <si>
    <t>analyst</t>
  </si>
  <si>
    <t>flow</t>
  </si>
  <si>
    <t>st 100%</t>
  </si>
  <si>
    <t>analyst 2</t>
  </si>
  <si>
    <t>FLOW 1</t>
  </si>
  <si>
    <t>ST100%</t>
  </si>
  <si>
    <t>FLOW 2</t>
  </si>
  <si>
    <t>Min</t>
  </si>
  <si>
    <t>Max</t>
  </si>
  <si>
    <t>4#</t>
  </si>
  <si>
    <t>5#</t>
  </si>
  <si>
    <t>6#</t>
  </si>
  <si>
    <t>POOLED AVG</t>
  </si>
  <si>
    <t>POOLED SD</t>
  </si>
  <si>
    <t>POOLED RSD</t>
  </si>
  <si>
    <t>MOBILE</t>
  </si>
  <si>
    <t>MOBILE 1</t>
  </si>
  <si>
    <t>MOBILE 2</t>
  </si>
  <si>
    <t>COLUMN</t>
  </si>
  <si>
    <t>COLUMN 2</t>
  </si>
  <si>
    <t>STABILITY</t>
  </si>
  <si>
    <t>SECOND DAY</t>
  </si>
  <si>
    <t>St 100%</t>
  </si>
  <si>
    <t>Test 100%</t>
  </si>
  <si>
    <t>Average</t>
  </si>
  <si>
    <t>System precision</t>
  </si>
  <si>
    <t>r</t>
  </si>
  <si>
    <t>Method precision</t>
  </si>
  <si>
    <t>Analyst</t>
  </si>
  <si>
    <t>Day</t>
  </si>
  <si>
    <t>Column</t>
  </si>
  <si>
    <t>Stability</t>
  </si>
  <si>
    <t>Slope</t>
  </si>
  <si>
    <t>Intercept</t>
  </si>
  <si>
    <t>T 100%</t>
  </si>
  <si>
    <t>Found conc.</t>
  </si>
  <si>
    <t>Recovery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</si>
</sst>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00]h:mm:ss\ AM/PM"/>
    <numFmt numFmtId="165" formatCode="0.00000"/>
    <numFmt numFmtId="166" formatCode="0.0000"/>
  </numFmts>
  <fonts count="21">
    <font>
      <sz val="10.0"/>
      <color rgb="FF000000"/>
      <name val="Arial"/>
      <scheme val="minor"/>
    </font>
    <font>
      <b/>
      <sz val="10.0"/>
      <color theme="1"/>
      <name val="Arial"/>
    </font>
    <font>
      <b/>
      <sz val="16.0"/>
      <color theme="1"/>
      <name val="Arial"/>
    </font>
    <font>
      <b/>
      <sz val="14.0"/>
      <color theme="1"/>
      <name val="Bahnschrift"/>
    </font>
    <font>
      <b/>
      <sz val="14.0"/>
      <color theme="1"/>
      <name val="Times New Roman"/>
    </font>
    <font>
      <b/>
      <sz val="14.0"/>
      <color theme="1"/>
      <name val="Arial"/>
    </font>
    <font>
      <b/>
      <sz val="14.0"/>
      <color rgb="FF0000FF"/>
      <name val="Arial"/>
    </font>
    <font/>
    <font>
      <sz val="12.0"/>
      <color theme="1"/>
      <name val="Times New Roman"/>
    </font>
    <font>
      <sz val="12.0"/>
      <color theme="1"/>
      <name val="Lustria"/>
    </font>
    <font>
      <b/>
      <sz val="12.0"/>
      <color theme="1"/>
      <name val="Times New Roman"/>
    </font>
    <font>
      <b/>
      <sz val="10.0"/>
      <color rgb="FFFF0000"/>
      <name val="Arial"/>
    </font>
    <font>
      <b/>
      <sz val="12.0"/>
      <color rgb="FFFF0000"/>
      <name val="Times New Roman"/>
    </font>
    <font>
      <b/>
      <sz val="10.0"/>
      <color rgb="FF000000"/>
      <name val="Arial"/>
    </font>
    <font>
      <sz val="14.0"/>
      <color theme="1"/>
      <name val="Times New Roman"/>
    </font>
    <font>
      <b/>
      <sz val="12.0"/>
      <color theme="1"/>
      <name val="Arial"/>
    </font>
    <font>
      <b/>
      <sz val="12.0"/>
      <color rgb="FF008000"/>
      <name val="Arial"/>
    </font>
    <font>
      <b/>
      <sz val="10.0"/>
      <color rgb="FF0000FF"/>
      <name val="Arial"/>
    </font>
    <font>
      <b/>
      <sz val="8.0"/>
      <color theme="1"/>
      <name val="Arial"/>
    </font>
    <font>
      <b/>
      <sz val="10.0"/>
      <color theme="1"/>
      <name val="Times New Roman"/>
    </font>
    <font>
      <b/>
      <sz val="16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993366"/>
        <bgColor rgb="FF993366"/>
      </patternFill>
    </fill>
    <fill>
      <patternFill patternType="solid">
        <fgColor rgb="FFFBD4B4"/>
        <bgColor rgb="FFFBD4B4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</fills>
  <borders count="9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FF"/>
      </left>
      <right style="medium">
        <color rgb="FFFF9900"/>
      </right>
      <top style="thick">
        <color rgb="FF0000FF"/>
      </top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FF"/>
      </left>
      <right style="medium">
        <color rgb="FFFF9900"/>
      </right>
    </border>
    <border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FF"/>
      </left>
      <right style="thick">
        <color rgb="FF000000"/>
      </right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</border>
    <border>
      <left style="medium">
        <color rgb="FF0000FF"/>
      </left>
    </border>
    <border>
      <left style="thick">
        <color rgb="FF0000FF"/>
      </left>
      <right style="medium">
        <color rgb="FFFF9900"/>
      </right>
      <bottom style="medium">
        <color rgb="FFFF9900"/>
      </bottom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</border>
    <border>
      <left style="medium">
        <color rgb="FFFF9900"/>
      </left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right style="thick">
        <color rgb="FF0000FF"/>
      </right>
      <top style="medium">
        <color rgb="FFFF99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FF"/>
      </top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 style="medium">
        <color rgb="FFFF9900"/>
      </left>
      <bottom style="thick">
        <color rgb="FF0000FF"/>
      </bottom>
    </border>
    <border>
      <right style="medium">
        <color rgb="FFFF9900"/>
      </right>
      <bottom style="thick">
        <color rgb="FF0000FF"/>
      </bottom>
    </border>
    <border>
      <top style="medium">
        <color rgb="FFFF9900"/>
      </top>
      <bottom style="medium">
        <color rgb="FF0000FF"/>
      </bottom>
    </border>
    <border>
      <right style="thick">
        <color rgb="FF0000FF"/>
      </right>
      <bottom style="thick">
        <color rgb="FF0000FF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FF9900"/>
      </left>
      <right style="medium">
        <color rgb="FFFF9900"/>
      </right>
      <top style="medium">
        <color rgb="FFFF9900"/>
      </top>
    </border>
    <border>
      <left style="medium">
        <color rgb="FFFF9900"/>
      </left>
      <right style="thick">
        <color rgb="FF0000FF"/>
      </right>
      <top style="medium">
        <color rgb="FFFF9900"/>
      </top>
    </border>
    <border>
      <left style="medium">
        <color rgb="FFFF9900"/>
      </left>
      <right style="medium">
        <color rgb="FFFF9900"/>
      </right>
      <bottom style="thick">
        <color rgb="FF0000FF"/>
      </bottom>
    </border>
    <border>
      <left style="medium">
        <color rgb="FFFF9900"/>
      </left>
      <right style="thick">
        <color rgb="FF0000FF"/>
      </right>
      <bottom style="thick">
        <color rgb="FF0000FF"/>
      </bottom>
    </border>
    <border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FF"/>
      </left>
      <right style="thick">
        <color rgb="FF0000FF"/>
      </right>
      <top style="thick">
        <color rgb="FF0000FF"/>
      </top>
      <bottom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</border>
    <border>
      <left style="medium">
        <color rgb="FF0000FF"/>
      </left>
      <right style="thick">
        <color rgb="FF0000FF"/>
      </right>
    </border>
    <border>
      <left style="medium">
        <color rgb="FFFF9900"/>
      </left>
      <top style="medium">
        <color rgb="FFFF9900"/>
      </top>
      <bottom style="medium">
        <color rgb="FFFF9900"/>
      </bottom>
    </border>
    <border>
      <right style="medium">
        <color rgb="FF0000FF"/>
      </right>
      <top style="medium">
        <color rgb="FFFF9900"/>
      </top>
      <bottom style="medium">
        <color rgb="FFFF9900"/>
      </bottom>
    </border>
    <border>
      <right style="thick">
        <color rgb="FF0000FF"/>
      </right>
      <top style="medium">
        <color rgb="FFFF9900"/>
      </top>
      <bottom style="medium">
        <color rgb="FFFF9900"/>
      </bottom>
    </border>
    <border>
      <left style="medium">
        <color rgb="FFFF9900"/>
      </left>
      <top style="medium">
        <color rgb="FFFF9900"/>
      </top>
      <bottom style="medium">
        <color rgb="FF0000FF"/>
      </bottom>
    </border>
    <border>
      <right style="medium">
        <color rgb="FF0000FF"/>
      </right>
      <top style="medium">
        <color rgb="FFFF9900"/>
      </top>
      <bottom style="medium">
        <color rgb="FF0000FF"/>
      </bottom>
    </border>
    <border>
      <right style="thick">
        <color rgb="FF0000FF"/>
      </right>
      <top style="medium">
        <color rgb="FFFF9900"/>
      </top>
      <bottom style="medium">
        <color rgb="FF0000FF"/>
      </bottom>
    </border>
    <border>
      <right style="medium">
        <color rgb="FF0000FF"/>
      </right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/>
      <right/>
      <top style="medium">
        <color rgb="FF0000FF"/>
      </top>
      <bottom style="thick">
        <color rgb="FF0000FF"/>
      </bottom>
    </border>
    <border>
      <left style="thick">
        <color rgb="FF0000FF"/>
      </left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0000FF"/>
      </left>
      <top style="thick">
        <color rgb="FF0000FF"/>
      </top>
      <bottom style="medium">
        <color rgb="FFFF9900"/>
      </bottom>
    </border>
    <border>
      <top style="thick">
        <color rgb="FF0000FF"/>
      </top>
      <bottom style="medium">
        <color rgb="FFFF9900"/>
      </bottom>
    </border>
    <border>
      <right style="thick">
        <color rgb="FF0000FF"/>
      </right>
      <top style="thick">
        <color rgb="FF0000FF"/>
      </top>
      <bottom style="medium">
        <color rgb="FFFF9900"/>
      </bottom>
    </border>
    <border>
      <left style="thick">
        <color rgb="FF0000FF"/>
      </left>
      <bottom style="medium">
        <color rgb="FFFF9900"/>
      </bottom>
    </border>
    <border>
      <right style="thick">
        <color rgb="FF0000FF"/>
      </right>
      <bottom style="medium">
        <color rgb="FFFF9900"/>
      </bottom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/>
      <bottom style="double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2" fillId="3" fontId="4" numFmtId="164" xfId="0" applyAlignment="1" applyBorder="1" applyFill="1" applyFont="1" applyNumberFormat="1">
      <alignment shrinkToFit="0" vertical="bottom" wrapText="0"/>
    </xf>
    <xf borderId="2" fillId="3" fontId="4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4" fillId="4" fontId="5" numFmtId="0" xfId="0" applyAlignment="1" applyBorder="1" applyFill="1" applyFont="1">
      <alignment shrinkToFit="0" vertical="bottom" wrapText="0"/>
    </xf>
    <xf borderId="5" fillId="4" fontId="5" numFmtId="0" xfId="0" applyAlignment="1" applyBorder="1" applyFont="1">
      <alignment shrinkToFit="0" vertical="bottom" wrapText="0"/>
    </xf>
    <xf borderId="6" fillId="4" fontId="5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10" fillId="5" fontId="6" numFmtId="0" xfId="0" applyAlignment="1" applyBorder="1" applyFill="1" applyFont="1">
      <alignment shrinkToFit="0" vertical="bottom" wrapText="0"/>
    </xf>
    <xf borderId="11" fillId="5" fontId="6" numFmtId="0" xfId="0" applyAlignment="1" applyBorder="1" applyFont="1">
      <alignment shrinkToFit="0" vertical="bottom" wrapText="0"/>
    </xf>
    <xf borderId="12" fillId="5" fontId="6" numFmtId="0" xfId="0" applyAlignment="1" applyBorder="1" applyFont="1">
      <alignment shrinkToFit="0" vertical="bottom" wrapText="0"/>
    </xf>
    <xf borderId="13" fillId="0" fontId="7" numFmtId="0" xfId="0" applyBorder="1" applyFont="1"/>
    <xf borderId="10" fillId="0" fontId="8" numFmtId="0" xfId="0" applyAlignment="1" applyBorder="1" applyFont="1">
      <alignment horizontal="center" shrinkToFit="0" vertical="bottom" wrapText="0"/>
    </xf>
    <xf borderId="14" fillId="0" fontId="8" numFmtId="0" xfId="0" applyAlignment="1" applyBorder="1" applyFont="1">
      <alignment horizontal="center" shrinkToFit="0" vertical="bottom" wrapText="0"/>
    </xf>
    <xf borderId="15" fillId="0" fontId="8" numFmtId="0" xfId="0" applyAlignment="1" applyBorder="1" applyFont="1">
      <alignment horizontal="center" shrinkToFit="0" vertical="bottom" wrapText="0"/>
    </xf>
    <xf borderId="16" fillId="0" fontId="1" numFmtId="0" xfId="0" applyAlignment="1" applyBorder="1" applyFont="1">
      <alignment horizontal="center" shrinkToFit="0" vertical="bottom" wrapText="0"/>
    </xf>
    <xf borderId="17" fillId="5" fontId="1" numFmtId="0" xfId="0" applyAlignment="1" applyBorder="1" applyFont="1">
      <alignment horizontal="center" shrinkToFit="0" vertical="bottom" wrapText="0"/>
    </xf>
    <xf borderId="18" fillId="5" fontId="1" numFmtId="0" xfId="0" applyAlignment="1" applyBorder="1" applyFont="1">
      <alignment horizontal="center" shrinkToFit="0" vertical="bottom" wrapText="0"/>
    </xf>
    <xf borderId="19" fillId="5" fontId="1" numFmtId="0" xfId="0" applyAlignment="1" applyBorder="1" applyFont="1">
      <alignment horizontal="center" shrinkToFit="0" vertical="bottom" wrapText="0"/>
    </xf>
    <xf borderId="20" fillId="0" fontId="7" numFmtId="0" xfId="0" applyBorder="1" applyFont="1"/>
    <xf borderId="21" fillId="6" fontId="1" numFmtId="0" xfId="0" applyAlignment="1" applyBorder="1" applyFill="1" applyFont="1">
      <alignment horizontal="center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22" fillId="0" fontId="8" numFmtId="0" xfId="0" applyAlignment="1" applyBorder="1" applyFont="1">
      <alignment horizontal="center" shrinkToFit="0" vertical="bottom" wrapText="0"/>
    </xf>
    <xf borderId="23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0" fontId="8" numFmtId="0" xfId="0" applyAlignment="1" applyBorder="1" applyFont="1">
      <alignment horizontal="center" shrinkToFit="0" vertical="bottom" wrapText="0"/>
    </xf>
    <xf borderId="26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27" fillId="0" fontId="7" numFmtId="0" xfId="0" applyBorder="1" applyFont="1"/>
    <xf borderId="28" fillId="6" fontId="1" numFmtId="0" xfId="0" applyAlignment="1" applyBorder="1" applyFont="1">
      <alignment shrinkToFit="0" vertical="bottom" wrapText="0"/>
    </xf>
    <xf borderId="10" fillId="0" fontId="10" numFmtId="0" xfId="0" applyAlignment="1" applyBorder="1" applyFont="1">
      <alignment horizontal="center" shrinkToFit="0" vertical="bottom" wrapText="0"/>
    </xf>
    <xf borderId="29" fillId="0" fontId="8" numFmtId="2" xfId="0" applyAlignment="1" applyBorder="1" applyFont="1" applyNumberFormat="1">
      <alignment horizontal="center" shrinkToFit="0" vertical="bottom" wrapText="0"/>
    </xf>
    <xf borderId="30" fillId="0" fontId="11" numFmtId="0" xfId="0" applyAlignment="1" applyBorder="1" applyFont="1">
      <alignment horizontal="center" shrinkToFit="0" vertical="bottom" wrapText="0"/>
    </xf>
    <xf borderId="31" fillId="0" fontId="7" numFmtId="0" xfId="0" applyBorder="1" applyFont="1"/>
    <xf borderId="14" fillId="0" fontId="10" numFmtId="2" xfId="0" applyAlignment="1" applyBorder="1" applyFont="1" applyNumberFormat="1">
      <alignment horizontal="center" shrinkToFit="0" vertical="bottom" wrapText="0"/>
    </xf>
    <xf borderId="32" fillId="0" fontId="7" numFmtId="0" xfId="0" applyBorder="1" applyFont="1"/>
    <xf borderId="21" fillId="6" fontId="12" numFmtId="0" xfId="0" applyAlignment="1" applyBorder="1" applyFont="1">
      <alignment horizontal="center" shrinkToFit="0" vertical="bottom" wrapText="0"/>
    </xf>
    <xf borderId="33" fillId="0" fontId="10" numFmtId="2" xfId="0" applyAlignment="1" applyBorder="1" applyFont="1" applyNumberFormat="1">
      <alignment horizontal="center"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6" fontId="1" numFmtId="0" xfId="0" applyAlignment="1" applyBorder="1" applyFont="1">
      <alignment shrinkToFit="0" vertical="bottom" wrapText="0"/>
    </xf>
    <xf borderId="36" fillId="0" fontId="7" numFmtId="0" xfId="0" applyBorder="1" applyFont="1"/>
    <xf borderId="37" fillId="0" fontId="7" numFmtId="0" xfId="0" applyBorder="1" applyFont="1"/>
    <xf borderId="38" fillId="0" fontId="10" numFmtId="2" xfId="0" applyAlignment="1" applyBorder="1" applyFont="1" applyNumberFormat="1">
      <alignment horizontal="center" shrinkToFit="0" vertical="bottom" wrapText="0"/>
    </xf>
    <xf borderId="39" fillId="0" fontId="7" numFmtId="0" xfId="0" applyBorder="1" applyFont="1"/>
    <xf borderId="0" fillId="0" fontId="11" numFmtId="0" xfId="0" applyAlignment="1" applyFont="1">
      <alignment shrinkToFit="0" vertical="bottom" wrapText="0"/>
    </xf>
    <xf borderId="34" fillId="0" fontId="11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40" fillId="6" fontId="12" numFmtId="0" xfId="0" applyAlignment="1" applyBorder="1" applyFont="1">
      <alignment horizontal="center" shrinkToFit="0" vertical="bottom" wrapText="0"/>
    </xf>
    <xf borderId="41" fillId="0" fontId="10" numFmtId="165" xfId="0" applyAlignment="1" applyBorder="1" applyFont="1" applyNumberFormat="1">
      <alignment horizontal="center" shrinkToFit="0" vertical="bottom" wrapText="0"/>
    </xf>
    <xf borderId="42" fillId="0" fontId="8" numFmtId="0" xfId="0" applyAlignment="1" applyBorder="1" applyFont="1">
      <alignment horizontal="center" shrinkToFit="0" vertical="bottom" wrapText="0"/>
    </xf>
    <xf borderId="10" fillId="5" fontId="6" numFmtId="0" xfId="0" applyAlignment="1" applyBorder="1" applyFont="1">
      <alignment horizontal="center" shrinkToFit="0" vertical="bottom" wrapText="0"/>
    </xf>
    <xf borderId="11" fillId="5" fontId="6" numFmtId="0" xfId="0" applyAlignment="1" applyBorder="1" applyFont="1">
      <alignment horizontal="center" shrinkToFit="0" vertical="bottom" wrapText="0"/>
    </xf>
    <xf borderId="12" fillId="5" fontId="6" numFmtId="0" xfId="0" applyAlignment="1" applyBorder="1" applyFont="1">
      <alignment horizontal="center" shrinkToFit="0" vertical="bottom" wrapText="0"/>
    </xf>
    <xf borderId="43" fillId="0" fontId="8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44" fillId="5" fontId="13" numFmtId="0" xfId="0" applyAlignment="1" applyBorder="1" applyFont="1">
      <alignment horizontal="center" shrinkToFit="0" vertical="center" wrapText="0"/>
    </xf>
    <xf borderId="1" fillId="6" fontId="8" numFmtId="0" xfId="0" applyAlignment="1" applyBorder="1" applyFont="1">
      <alignment horizontal="center" shrinkToFit="0" vertical="bottom" wrapText="0"/>
    </xf>
    <xf borderId="1" fillId="0" fontId="14" numFmtId="0" xfId="0" applyAlignment="1" applyBorder="1" applyFont="1">
      <alignment horizontal="center" shrinkToFit="0" vertical="bottom" wrapText="0"/>
    </xf>
    <xf borderId="1" fillId="0" fontId="14" numFmtId="2" xfId="0" applyAlignment="1" applyBorder="1" applyFont="1" applyNumberFormat="1">
      <alignment horizontal="center" shrinkToFit="0" vertical="bottom" wrapText="0"/>
    </xf>
    <xf borderId="22" fillId="0" fontId="14" numFmtId="2" xfId="0" applyAlignment="1" applyBorder="1" applyFont="1" applyNumberFormat="1">
      <alignment horizontal="center" shrinkToFit="0" vertical="bottom" wrapText="0"/>
    </xf>
    <xf borderId="45" fillId="0" fontId="8" numFmtId="2" xfId="0" applyAlignment="1" applyBorder="1" applyFont="1" applyNumberFormat="1">
      <alignment horizontal="center" shrinkToFit="0" vertical="bottom" wrapText="0"/>
    </xf>
    <xf borderId="46" fillId="0" fontId="7" numFmtId="0" xfId="0" applyBorder="1" applyFont="1"/>
    <xf borderId="10" fillId="0" fontId="8" numFmtId="166" xfId="0" applyAlignment="1" applyBorder="1" applyFont="1" applyNumberFormat="1">
      <alignment horizontal="center" shrinkToFit="0" vertical="bottom" wrapText="0"/>
    </xf>
    <xf borderId="47" fillId="0" fontId="7" numFmtId="0" xfId="0" applyBorder="1" applyFont="1"/>
    <xf borderId="28" fillId="6" fontId="1" numFmtId="0" xfId="0" applyAlignment="1" applyBorder="1" applyFont="1">
      <alignment horizontal="center" shrinkToFit="0" vertical="bottom" wrapText="0"/>
    </xf>
    <xf borderId="48" fillId="7" fontId="11" numFmtId="0" xfId="0" applyAlignment="1" applyBorder="1" applyFill="1" applyFont="1">
      <alignment horizontal="center" shrinkToFit="0" vertical="bottom" wrapText="0"/>
    </xf>
    <xf borderId="49" fillId="7" fontId="12" numFmtId="0" xfId="0" applyAlignment="1" applyBorder="1" applyFont="1">
      <alignment horizontal="center" shrinkToFit="0" vertical="bottom" wrapText="0"/>
    </xf>
    <xf borderId="2" fillId="8" fontId="15" numFmtId="0" xfId="0" applyAlignment="1" applyBorder="1" applyFill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35" fillId="6" fontId="1" numFmtId="0" xfId="0" applyAlignment="1" applyBorder="1" applyFont="1">
      <alignment horizontal="center" shrinkToFit="0" vertical="bottom" wrapText="0"/>
    </xf>
    <xf borderId="50" fillId="0" fontId="7" numFmtId="0" xfId="0" applyBorder="1" applyFont="1"/>
    <xf borderId="51" fillId="0" fontId="7" numFmtId="0" xfId="0" applyBorder="1" applyFont="1"/>
    <xf borderId="0" fillId="0" fontId="17" numFmtId="0" xfId="0" applyAlignment="1" applyFont="1">
      <alignment shrinkToFit="0" vertical="bottom" wrapText="0"/>
    </xf>
    <xf borderId="52" fillId="0" fontId="1" numFmtId="0" xfId="0" applyAlignment="1" applyBorder="1" applyFont="1">
      <alignment shrinkToFit="0" vertical="bottom" wrapText="0"/>
    </xf>
    <xf borderId="53" fillId="0" fontId="7" numFmtId="0" xfId="0" applyBorder="1" applyFont="1"/>
    <xf borderId="54" fillId="6" fontId="8" numFmtId="0" xfId="0" applyAlignment="1" applyBorder="1" applyFont="1">
      <alignment horizontal="center" shrinkToFit="0" vertical="bottom" wrapText="0"/>
    </xf>
    <xf borderId="54" fillId="0" fontId="14" numFmtId="0" xfId="0" applyAlignment="1" applyBorder="1" applyFont="1">
      <alignment horizontal="center" shrinkToFit="0" vertical="bottom" wrapText="0"/>
    </xf>
    <xf borderId="54" fillId="0" fontId="14" numFmtId="2" xfId="0" applyAlignment="1" applyBorder="1" applyFont="1" applyNumberFormat="1">
      <alignment horizontal="center" shrinkToFit="0" vertical="bottom" wrapText="0"/>
    </xf>
    <xf borderId="55" fillId="0" fontId="14" numFmtId="2" xfId="0" applyAlignment="1" applyBorder="1" applyFont="1" applyNumberFormat="1">
      <alignment horizontal="center" shrinkToFit="0" vertical="bottom" wrapText="0"/>
    </xf>
    <xf borderId="56" fillId="5" fontId="6" numFmtId="0" xfId="0" applyAlignment="1" applyBorder="1" applyFont="1">
      <alignment horizontal="center" shrinkToFit="0" vertical="bottom" wrapText="0"/>
    </xf>
    <xf borderId="0" fillId="0" fontId="17" numFmtId="0" xfId="0" applyAlignment="1" applyFont="1">
      <alignment horizontal="center" shrinkToFit="0" vertical="bottom" wrapText="0"/>
    </xf>
    <xf borderId="2" fillId="7" fontId="1" numFmtId="0" xfId="0" applyAlignment="1" applyBorder="1" applyFont="1">
      <alignment horizontal="center" shrinkToFit="0" vertical="bottom" wrapText="0"/>
    </xf>
    <xf borderId="34" fillId="0" fontId="10" numFmtId="0" xfId="0" applyAlignment="1" applyBorder="1" applyFont="1">
      <alignment horizontal="center" shrinkToFit="0" vertical="bottom" wrapText="1"/>
    </xf>
    <xf borderId="34" fillId="0" fontId="1" numFmtId="0" xfId="0" applyAlignment="1" applyBorder="1" applyFont="1">
      <alignment horizontal="center" shrinkToFit="0" vertical="bottom" wrapText="0"/>
    </xf>
    <xf borderId="57" fillId="0" fontId="1" numFmtId="0" xfId="0" applyAlignment="1" applyBorder="1" applyFont="1">
      <alignment horizontal="center" shrinkToFit="0" vertical="bottom" wrapText="0"/>
    </xf>
    <xf borderId="11" fillId="6" fontId="1" numFmtId="0" xfId="0" applyAlignment="1" applyBorder="1" applyFont="1">
      <alignment horizontal="center" shrinkToFit="0" vertical="bottom" wrapText="0"/>
    </xf>
    <xf borderId="58" fillId="6" fontId="1" numFmtId="0" xfId="0" applyAlignment="1" applyBorder="1" applyFont="1">
      <alignment horizontal="center" shrinkToFit="0" vertical="bottom" wrapText="0"/>
    </xf>
    <xf borderId="2" fillId="9" fontId="2" numFmtId="0" xfId="0" applyAlignment="1" applyBorder="1" applyFill="1" applyFont="1">
      <alignment shrinkToFit="0" vertical="bottom" wrapText="0"/>
    </xf>
    <xf borderId="2" fillId="9" fontId="2" numFmtId="2" xfId="0" applyAlignment="1" applyBorder="1" applyFont="1" applyNumberFormat="1">
      <alignment shrinkToFit="0" vertical="bottom" wrapText="0"/>
    </xf>
    <xf borderId="59" fillId="0" fontId="1" numFmtId="0" xfId="0" applyAlignment="1" applyBorder="1" applyFont="1">
      <alignment shrinkToFit="0" vertical="bottom" wrapText="0"/>
    </xf>
    <xf borderId="0" fillId="0" fontId="10" numFmtId="0" xfId="0" applyAlignment="1" applyFont="1">
      <alignment horizontal="center" shrinkToFit="0" vertical="bottom" wrapText="1"/>
    </xf>
    <xf borderId="26" fillId="0" fontId="10" numFmtId="0" xfId="0" applyAlignment="1" applyBorder="1" applyFont="1">
      <alignment horizontal="center" shrinkToFit="0" vertical="bottom" wrapText="1"/>
    </xf>
    <xf borderId="15" fillId="0" fontId="8" numFmtId="166" xfId="0" applyAlignment="1" applyBorder="1" applyFont="1" applyNumberFormat="1">
      <alignment horizontal="center" shrinkToFit="0" vertical="bottom" wrapText="0"/>
    </xf>
    <xf borderId="28" fillId="6" fontId="18" numFmtId="0" xfId="0" applyAlignment="1" applyBorder="1" applyFont="1">
      <alignment horizontal="center" shrinkToFit="0" vertical="bottom" wrapText="0"/>
    </xf>
    <xf borderId="60" fillId="0" fontId="10" numFmtId="0" xfId="0" applyAlignment="1" applyBorder="1" applyFont="1">
      <alignment horizontal="center" shrinkToFit="0" vertical="bottom" wrapText="0"/>
    </xf>
    <xf borderId="61" fillId="0" fontId="7" numFmtId="0" xfId="0" applyBorder="1" applyFont="1"/>
    <xf borderId="14" fillId="0" fontId="7" numFmtId="0" xfId="0" applyBorder="1" applyFont="1"/>
    <xf borderId="62" fillId="0" fontId="7" numFmtId="0" xfId="0" applyBorder="1" applyFont="1"/>
    <xf borderId="60" fillId="0" fontId="10" numFmtId="2" xfId="0" applyAlignment="1" applyBorder="1" applyFont="1" applyNumberFormat="1">
      <alignment horizontal="center" shrinkToFit="0" vertical="bottom" wrapText="0"/>
    </xf>
    <xf borderId="63" fillId="0" fontId="10" numFmtId="2" xfId="0" applyAlignment="1" applyBorder="1" applyFont="1" applyNumberFormat="1">
      <alignment horizontal="center" shrinkToFit="0" vertical="bottom" wrapText="0"/>
    </xf>
    <xf borderId="64" fillId="0" fontId="7" numFmtId="0" xfId="0" applyBorder="1" applyFont="1"/>
    <xf borderId="38" fillId="0" fontId="7" numFmtId="0" xfId="0" applyBorder="1" applyFont="1"/>
    <xf borderId="65" fillId="0" fontId="7" numFmtId="0" xfId="0" applyBorder="1" applyFont="1"/>
    <xf borderId="66" fillId="0" fontId="1" numFmtId="0" xfId="0" applyAlignment="1" applyBorder="1" applyFont="1">
      <alignment shrinkToFit="0" vertical="bottom" wrapText="0"/>
    </xf>
    <xf borderId="67" fillId="6" fontId="1" numFmtId="0" xfId="0" applyAlignment="1" applyBorder="1" applyFont="1">
      <alignment horizontal="center" shrinkToFit="0" vertical="bottom" wrapText="0"/>
    </xf>
    <xf borderId="2" fillId="7" fontId="11" numFmtId="0" xfId="0" applyAlignment="1" applyBorder="1" applyFont="1">
      <alignment shrinkToFit="0" vertical="bottom" wrapText="0"/>
    </xf>
    <xf borderId="68" fillId="7" fontId="11" numFmtId="0" xfId="0" applyAlignment="1" applyBorder="1" applyFont="1">
      <alignment shrinkToFit="0" vertical="bottom" wrapText="0"/>
    </xf>
    <xf borderId="69" fillId="5" fontId="6" numFmtId="0" xfId="0" applyAlignment="1" applyBorder="1" applyFont="1">
      <alignment horizontal="center" shrinkToFit="0" vertical="bottom" wrapText="0"/>
    </xf>
    <xf borderId="70" fillId="0" fontId="7" numFmtId="0" xfId="0" applyBorder="1" applyFont="1"/>
    <xf borderId="71" fillId="5" fontId="6" numFmtId="0" xfId="0" applyAlignment="1" applyBorder="1" applyFont="1">
      <alignment horizontal="center" shrinkToFit="0" vertical="bottom" wrapText="0"/>
    </xf>
    <xf borderId="72" fillId="0" fontId="7" numFmtId="0" xfId="0" applyBorder="1" applyFont="1"/>
    <xf borderId="73" fillId="0" fontId="7" numFmtId="0" xfId="0" applyBorder="1" applyFont="1"/>
    <xf borderId="74" fillId="0" fontId="7" numFmtId="0" xfId="0" applyBorder="1" applyFont="1"/>
    <xf borderId="75" fillId="0" fontId="7" numFmtId="0" xfId="0" applyBorder="1" applyFont="1"/>
    <xf borderId="28" fillId="0" fontId="1" numFmtId="0" xfId="0" applyAlignment="1" applyBorder="1" applyFont="1">
      <alignment horizontal="center" shrinkToFit="0" vertical="bottom" wrapText="0"/>
    </xf>
    <xf borderId="10" fillId="6" fontId="1" numFmtId="0" xfId="0" applyAlignment="1" applyBorder="1" applyFont="1">
      <alignment horizontal="center" shrinkToFit="0" vertical="bottom" wrapText="0"/>
    </xf>
    <xf borderId="12" fillId="6" fontId="1" numFmtId="0" xfId="0" applyAlignment="1" applyBorder="1" applyFont="1">
      <alignment horizontal="center" shrinkToFit="0" vertical="bottom" wrapText="0"/>
    </xf>
    <xf borderId="76" fillId="0" fontId="1" numFmtId="0" xfId="0" applyAlignment="1" applyBorder="1" applyFont="1">
      <alignment shrinkToFit="0" vertical="bottom" wrapText="0"/>
    </xf>
    <xf borderId="77" fillId="0" fontId="1" numFmtId="0" xfId="0" applyAlignment="1" applyBorder="1" applyFont="1">
      <alignment shrinkToFit="0" vertical="bottom" wrapText="0"/>
    </xf>
    <xf borderId="78" fillId="0" fontId="1" numFmtId="0" xfId="0" applyAlignment="1" applyBorder="1" applyFont="1">
      <alignment shrinkToFit="0" vertical="bottom" wrapText="0"/>
    </xf>
    <xf borderId="26" fillId="0" fontId="8" numFmtId="0" xfId="0" applyAlignment="1" applyBorder="1" applyFont="1">
      <alignment shrinkToFit="0" vertical="bottom" wrapText="0"/>
    </xf>
    <xf borderId="62" fillId="0" fontId="8" numFmtId="0" xfId="0" applyAlignment="1" applyBorder="1" applyFont="1">
      <alignment horizontal="center" readingOrder="1" shrinkToFit="0" vertical="bottom" wrapText="0"/>
    </xf>
    <xf borderId="79" fillId="0" fontId="1" numFmtId="0" xfId="0" applyAlignment="1" applyBorder="1" applyFont="1">
      <alignment shrinkToFit="0" vertical="bottom" wrapText="0"/>
    </xf>
    <xf borderId="80" fillId="0" fontId="5" numFmtId="0" xfId="0" applyAlignment="1" applyBorder="1" applyFont="1">
      <alignment shrinkToFit="0" vertical="bottom" wrapText="0"/>
    </xf>
    <xf borderId="81" fillId="0" fontId="5" numFmtId="0" xfId="0" applyAlignment="1" applyBorder="1" applyFont="1">
      <alignment shrinkToFit="0" vertical="bottom" wrapText="0"/>
    </xf>
    <xf borderId="80" fillId="0" fontId="8" numFmtId="0" xfId="0" applyAlignment="1" applyBorder="1" applyFont="1">
      <alignment horizontal="center" shrinkToFit="0" vertical="bottom" wrapText="0"/>
    </xf>
    <xf borderId="81" fillId="0" fontId="8" numFmtId="0" xfId="0" applyAlignment="1" applyBorder="1" applyFont="1">
      <alignment horizontal="center" shrinkToFit="0" vertical="bottom" wrapText="0"/>
    </xf>
    <xf borderId="75" fillId="0" fontId="8" numFmtId="0" xfId="0" applyAlignment="1" applyBorder="1" applyFont="1">
      <alignment horizontal="center" readingOrder="1" shrinkToFit="0" vertical="bottom" wrapText="0"/>
    </xf>
    <xf borderId="12" fillId="0" fontId="8" numFmtId="0" xfId="0" applyAlignment="1" applyBorder="1" applyFont="1">
      <alignment horizontal="center" shrinkToFit="0" vertical="bottom" wrapText="0"/>
    </xf>
    <xf borderId="75" fillId="0" fontId="8" numFmtId="166" xfId="0" applyAlignment="1" applyBorder="1" applyFont="1" applyNumberFormat="1">
      <alignment horizontal="center" readingOrder="1" shrinkToFit="0" vertical="bottom" wrapText="0"/>
    </xf>
    <xf borderId="28" fillId="6" fontId="19" numFmtId="164" xfId="0" applyAlignment="1" applyBorder="1" applyFont="1" applyNumberForma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81" fillId="0" fontId="8" numFmtId="166" xfId="0" applyAlignment="1" applyBorder="1" applyFont="1" applyNumberFormat="1">
      <alignment horizontal="center" shrinkToFit="0" vertical="bottom" wrapText="0"/>
    </xf>
    <xf borderId="82" fillId="0" fontId="10" numFmtId="0" xfId="0" applyAlignment="1" applyBorder="1" applyFont="1">
      <alignment horizontal="center" shrinkToFit="0" vertical="bottom" wrapText="0"/>
    </xf>
    <xf borderId="83" fillId="0" fontId="10" numFmtId="0" xfId="0" applyAlignment="1" applyBorder="1" applyFont="1">
      <alignment horizontal="center" shrinkToFit="0" vertical="bottom" wrapText="0"/>
    </xf>
    <xf borderId="15" fillId="0" fontId="10" numFmtId="0" xfId="0" applyAlignment="1" applyBorder="1" applyFont="1">
      <alignment horizontal="center" shrinkToFit="0" vertical="bottom" wrapText="0"/>
    </xf>
    <xf borderId="15" fillId="0" fontId="10" numFmtId="2" xfId="0" applyAlignment="1" applyBorder="1" applyFont="1" applyNumberFormat="1">
      <alignment horizontal="center" shrinkToFit="0" vertical="bottom" wrapText="0"/>
    </xf>
    <xf borderId="84" fillId="0" fontId="10" numFmtId="2" xfId="0" applyAlignment="1" applyBorder="1" applyFont="1" applyNumberFormat="1">
      <alignment horizontal="center" shrinkToFit="0" vertical="bottom" wrapText="0"/>
    </xf>
    <xf borderId="85" fillId="10" fontId="20" numFmtId="0" xfId="0" applyAlignment="1" applyBorder="1" applyFill="1" applyFont="1">
      <alignment horizontal="center" shrinkToFit="0" vertical="bottom" wrapText="0"/>
    </xf>
    <xf borderId="86" fillId="10" fontId="20" numFmtId="2" xfId="0" applyAlignment="1" applyBorder="1" applyFont="1" applyNumberFormat="1">
      <alignment horizontal="center" shrinkToFit="0" vertical="bottom" wrapText="0"/>
    </xf>
    <xf borderId="87" fillId="10" fontId="20" numFmtId="0" xfId="0" applyAlignment="1" applyBorder="1" applyFont="1">
      <alignment horizontal="center" shrinkToFit="0" vertical="bottom" wrapText="0"/>
    </xf>
    <xf borderId="88" fillId="10" fontId="20" numFmtId="165" xfId="0" applyAlignment="1" applyBorder="1" applyFont="1" applyNumberFormat="1">
      <alignment horizontal="center" shrinkToFit="0" vertical="bottom" wrapText="0"/>
    </xf>
    <xf borderId="88" fillId="10" fontId="20" numFmtId="2" xfId="0" applyAlignment="1" applyBorder="1" applyFont="1" applyNumberFormat="1">
      <alignment horizontal="center" shrinkToFit="0" vertical="bottom" wrapText="0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0"/>
    </xf>
    <xf borderId="88" fillId="10" fontId="20" numFmtId="0" xfId="0" applyAlignment="1" applyBorder="1" applyFont="1">
      <alignment horizontal="center" shrinkToFit="0" vertical="bottom" wrapText="0"/>
    </xf>
    <xf borderId="89" fillId="10" fontId="20" numFmtId="2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Linearity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Sheet1!$J$8:$J$12</c:f>
            </c:numRef>
          </c:xVal>
          <c:yVal>
            <c:numRef>
              <c:f>Sheet1!$K$8:$K$12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10941"/>
        <c:axId val="733545209"/>
      </c:scatterChart>
      <c:valAx>
        <c:axId val="64771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conc. (ug/ml)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545209"/>
      </c:valAx>
      <c:valAx>
        <c:axId val="733545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Peak 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710941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69</xdr:row>
      <xdr:rowOff>142875</xdr:rowOff>
    </xdr:from>
    <xdr:ext cx="7924800" cy="36671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14.75"/>
    <col customWidth="1" min="3" max="3" width="16.25"/>
    <col customWidth="1" min="4" max="4" width="15.63"/>
    <col customWidth="1" min="5" max="5" width="14.63"/>
    <col customWidth="1" min="6" max="6" width="16.0"/>
    <col customWidth="1" min="7" max="7" width="24.75"/>
    <col customWidth="1" min="8" max="8" width="15.63"/>
    <col customWidth="1" min="9" max="9" width="12.63"/>
    <col customWidth="1" min="10" max="10" width="17.63"/>
    <col customWidth="1" min="11" max="11" width="16.0"/>
    <col customWidth="1" min="12" max="12" width="15.38"/>
    <col customWidth="1" min="13" max="14" width="18.88"/>
    <col customWidth="1" min="15" max="15" width="16.13"/>
    <col customWidth="1" min="16" max="16" width="14.13"/>
    <col customWidth="1" min="17" max="28" width="9.13"/>
  </cols>
  <sheetData>
    <row r="1" ht="12.75" customHeight="1">
      <c r="A1" s="1"/>
      <c r="B1" s="1"/>
      <c r="C1" s="1"/>
      <c r="D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8.75" customHeight="1">
      <c r="A2" s="1"/>
      <c r="B2" s="1"/>
      <c r="C2" s="1"/>
      <c r="L2" s="1"/>
      <c r="M2" s="1"/>
      <c r="N2" s="3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9.5" customHeight="1">
      <c r="A3" s="1"/>
      <c r="B3" s="1"/>
      <c r="C3" s="1"/>
      <c r="D3" s="4" t="s">
        <v>2</v>
      </c>
      <c r="E3" s="4"/>
      <c r="F3" s="5"/>
      <c r="G3" s="5" t="s">
        <v>3</v>
      </c>
      <c r="H3" s="4" t="s">
        <v>4</v>
      </c>
      <c r="I3" s="5"/>
      <c r="J3" s="5" t="s">
        <v>5</v>
      </c>
      <c r="K3" s="4" t="str">
        <f>H3-E3</f>
        <v>#VALUE!</v>
      </c>
      <c r="L3" s="6"/>
      <c r="M3" s="7" t="s">
        <v>6</v>
      </c>
      <c r="N3" s="8" t="s">
        <v>7</v>
      </c>
      <c r="O3" s="9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8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0" t="s">
        <v>9</v>
      </c>
      <c r="M4" s="11">
        <v>2973.49805</v>
      </c>
      <c r="N4" s="11">
        <v>2928.65356</v>
      </c>
      <c r="O4" s="11">
        <v>2977.77881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9.5" customHeight="1">
      <c r="A5" s="1"/>
      <c r="B5" s="12"/>
      <c r="C5" s="13" t="s">
        <v>10</v>
      </c>
      <c r="D5" s="13" t="s">
        <v>11</v>
      </c>
      <c r="E5" s="14" t="s">
        <v>12</v>
      </c>
      <c r="F5" s="13" t="s">
        <v>13</v>
      </c>
      <c r="G5" s="15" t="s">
        <v>14</v>
      </c>
      <c r="H5" s="1"/>
      <c r="I5" s="1"/>
      <c r="J5" s="1"/>
      <c r="K5" s="1"/>
      <c r="L5" s="11" t="s">
        <v>15</v>
      </c>
      <c r="M5" s="11">
        <f>M4/E12*100</f>
        <v>74.45721947</v>
      </c>
      <c r="N5" s="11">
        <f>N4/E12*100</f>
        <v>73.33430095</v>
      </c>
      <c r="O5" s="11">
        <f>O4/E12*100</f>
        <v>74.5644109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8.75" customHeight="1">
      <c r="A6" s="1"/>
      <c r="B6" s="16"/>
      <c r="C6" s="17">
        <v>2037.95728</v>
      </c>
      <c r="D6" s="17">
        <v>3151.93164</v>
      </c>
      <c r="E6" s="18">
        <v>3988.28076</v>
      </c>
      <c r="F6" s="17">
        <v>6349.28174</v>
      </c>
      <c r="G6" s="19">
        <v>7919.42432</v>
      </c>
      <c r="H6" s="1"/>
      <c r="I6" s="1"/>
      <c r="J6" s="1"/>
      <c r="K6" s="1"/>
      <c r="L6" s="11" t="s">
        <v>16</v>
      </c>
      <c r="M6" s="11">
        <f t="shared" ref="M6:O6" si="1">100-M5</f>
        <v>25.54278053</v>
      </c>
      <c r="N6" s="11">
        <f t="shared" si="1"/>
        <v>26.66569905</v>
      </c>
      <c r="O6" s="11">
        <f t="shared" si="1"/>
        <v>25.4355891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7.25" customHeight="1">
      <c r="A7" s="1"/>
      <c r="B7" s="16"/>
      <c r="C7" s="17">
        <v>2038.87622</v>
      </c>
      <c r="D7" s="17">
        <v>3153.9104</v>
      </c>
      <c r="E7" s="18">
        <v>3993.69849</v>
      </c>
      <c r="F7" s="17">
        <v>6342.61426</v>
      </c>
      <c r="G7" s="19">
        <v>7918.84424</v>
      </c>
      <c r="H7" s="1"/>
      <c r="I7" s="20"/>
      <c r="J7" s="21" t="s">
        <v>17</v>
      </c>
      <c r="K7" s="22" t="s">
        <v>18</v>
      </c>
      <c r="L7" s="1"/>
      <c r="M7" s="1"/>
      <c r="N7" s="23" t="s">
        <v>19</v>
      </c>
      <c r="O7" s="24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7.25" customHeight="1">
      <c r="A8" s="1"/>
      <c r="B8" s="16"/>
      <c r="C8" s="17">
        <v>2037.26172</v>
      </c>
      <c r="D8" s="17">
        <v>3159.29395</v>
      </c>
      <c r="E8" s="18">
        <v>3995.34619</v>
      </c>
      <c r="F8" s="18">
        <v>6345.64014</v>
      </c>
      <c r="G8" s="19">
        <v>7986.07275</v>
      </c>
      <c r="H8" s="1"/>
      <c r="I8" s="25" t="s">
        <v>20</v>
      </c>
      <c r="J8" s="26">
        <f>J10*50/100</f>
        <v>85.5</v>
      </c>
      <c r="K8" s="27">
        <f>AVERAGE(C7:C10)</f>
        <v>2038.06897</v>
      </c>
      <c r="L8" s="1"/>
      <c r="M8" s="1"/>
      <c r="N8" s="28" t="s">
        <v>21</v>
      </c>
      <c r="O8" s="29">
        <v>52.17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7.25" customHeight="1">
      <c r="A9" s="1"/>
      <c r="B9" s="16"/>
      <c r="C9" s="17"/>
      <c r="D9" s="1"/>
      <c r="E9" s="17">
        <v>3988.01025</v>
      </c>
      <c r="F9" s="1"/>
      <c r="G9" s="1"/>
      <c r="H9" s="30"/>
      <c r="I9" s="25" t="s">
        <v>22</v>
      </c>
      <c r="J9" s="26">
        <f>J10*80/100</f>
        <v>136.8</v>
      </c>
      <c r="K9" s="27">
        <f>AVERAGE(D7:D9)</f>
        <v>3156.602175</v>
      </c>
      <c r="L9" s="1"/>
      <c r="M9" s="1"/>
      <c r="N9" s="28" t="s">
        <v>23</v>
      </c>
      <c r="O9" s="31">
        <v>53.01</v>
      </c>
      <c r="P9" s="32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7.25" customHeight="1">
      <c r="A10" s="1"/>
      <c r="B10" s="16"/>
      <c r="C10" s="1"/>
      <c r="D10" s="1"/>
      <c r="E10" s="17">
        <v>3997.09766</v>
      </c>
      <c r="F10" s="1"/>
      <c r="G10" s="1"/>
      <c r="H10" s="30"/>
      <c r="I10" s="25" t="s">
        <v>24</v>
      </c>
      <c r="J10" s="33">
        <v>171.0</v>
      </c>
      <c r="K10" s="27">
        <f>AVERAGE(E7:E11)</f>
        <v>3994.622804</v>
      </c>
      <c r="L10" s="32"/>
      <c r="M10" s="1"/>
      <c r="N10" s="28" t="s">
        <v>25</v>
      </c>
      <c r="O10" s="31">
        <v>53.36</v>
      </c>
      <c r="P10" s="3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7.25" customHeight="1">
      <c r="A11" s="1"/>
      <c r="B11" s="34"/>
      <c r="C11" s="1"/>
      <c r="D11" s="1"/>
      <c r="E11" s="17">
        <v>3998.96143</v>
      </c>
      <c r="F11" s="1"/>
      <c r="G11" s="1"/>
      <c r="H11" s="30"/>
      <c r="I11" s="25" t="s">
        <v>26</v>
      </c>
      <c r="J11" s="26">
        <f>J10*160/100</f>
        <v>273.6</v>
      </c>
      <c r="K11" s="27">
        <f>AVERAGE(F7:F9)</f>
        <v>6344.1272</v>
      </c>
      <c r="L11" s="32"/>
      <c r="M11" s="1"/>
      <c r="N11" s="28" t="s">
        <v>27</v>
      </c>
      <c r="O11" s="31">
        <f>AVERAGE(O8:O10)</f>
        <v>52.84666667</v>
      </c>
      <c r="P11" s="3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7.25" customHeight="1">
      <c r="A12" s="1"/>
      <c r="B12" s="35" t="s">
        <v>28</v>
      </c>
      <c r="C12" s="17">
        <f>AVERAGE(C6:C11)</f>
        <v>2038.03174</v>
      </c>
      <c r="D12" s="17">
        <f>AVERAGE(D6:D9)</f>
        <v>3155.04533</v>
      </c>
      <c r="E12" s="36">
        <f t="shared" ref="E12:G12" si="2">AVERAGE(E6:E11)</f>
        <v>3993.565797</v>
      </c>
      <c r="F12" s="17">
        <f t="shared" si="2"/>
        <v>6345.84538</v>
      </c>
      <c r="G12" s="19">
        <f t="shared" si="2"/>
        <v>7941.447103</v>
      </c>
      <c r="H12" s="30"/>
      <c r="I12" s="25" t="s">
        <v>29</v>
      </c>
      <c r="J12" s="26">
        <f>J10*200/100</f>
        <v>342</v>
      </c>
      <c r="K12" s="27">
        <f>AVERAGE(G7:G9)</f>
        <v>7952.458495</v>
      </c>
      <c r="L12" s="32"/>
      <c r="M12" s="1"/>
      <c r="N12" s="28" t="s">
        <v>30</v>
      </c>
      <c r="O12" s="37">
        <f>O11*J10/E12</f>
        <v>2.262834885</v>
      </c>
      <c r="P12" s="3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6.5" customHeight="1">
      <c r="A13" s="1"/>
      <c r="B13" s="35" t="s">
        <v>31</v>
      </c>
      <c r="C13" s="38"/>
      <c r="D13" s="39"/>
      <c r="E13" s="40">
        <f>STDEV(E6:E11)</f>
        <v>4.551264373</v>
      </c>
      <c r="F13" s="38"/>
      <c r="G13" s="41"/>
      <c r="H13" s="1"/>
      <c r="I13" s="42" t="s">
        <v>32</v>
      </c>
      <c r="J13" s="1"/>
      <c r="K13" s="43">
        <f>SLOPE(K8:K12,J8:J12)</f>
        <v>23.1132552</v>
      </c>
      <c r="L13" s="32"/>
      <c r="M13" s="1"/>
      <c r="N13" s="1"/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6.5" customHeight="1">
      <c r="A14" s="1"/>
      <c r="B14" s="45" t="s">
        <v>33</v>
      </c>
      <c r="C14" s="46"/>
      <c r="D14" s="47"/>
      <c r="E14" s="48">
        <f>E13/E12*100</f>
        <v>0.1139649277</v>
      </c>
      <c r="F14" s="46"/>
      <c r="G14" s="49"/>
      <c r="H14" s="1"/>
      <c r="I14" s="42" t="s">
        <v>34</v>
      </c>
      <c r="J14" s="1"/>
      <c r="K14" s="43">
        <f>INTERCEPT(K8:K12,J8:J12)</f>
        <v>33.38329458</v>
      </c>
      <c r="L14" s="3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7.25" customHeight="1">
      <c r="A15" s="1"/>
      <c r="B15" s="1"/>
      <c r="C15" s="50"/>
      <c r="D15" s="50"/>
      <c r="E15" s="51"/>
      <c r="F15" s="50"/>
      <c r="G15" s="52"/>
      <c r="H15" s="1"/>
      <c r="I15" s="53" t="s">
        <v>35</v>
      </c>
      <c r="J15" s="1"/>
      <c r="K15" s="54">
        <f>CORREL(K8:K12,J8:J12)</f>
        <v>0.9999405795</v>
      </c>
      <c r="L15" s="32"/>
      <c r="M15" s="1"/>
      <c r="N15" s="23" t="s">
        <v>36</v>
      </c>
      <c r="O15" s="2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7.25" customHeight="1">
      <c r="A16" s="1"/>
      <c r="B16" s="1"/>
      <c r="C16" s="50"/>
      <c r="D16" s="50"/>
      <c r="E16" s="50"/>
      <c r="F16" s="50"/>
      <c r="G16" s="52"/>
      <c r="H16" s="52"/>
      <c r="I16" s="52"/>
      <c r="J16" s="1"/>
      <c r="K16" s="44"/>
      <c r="L16" s="1"/>
      <c r="M16" s="1"/>
      <c r="N16" s="28" t="s">
        <v>21</v>
      </c>
      <c r="O16" s="55">
        <v>131.9</v>
      </c>
      <c r="P16" s="32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9.5" customHeight="1">
      <c r="A17" s="1"/>
      <c r="B17" s="1"/>
      <c r="C17" s="12"/>
      <c r="D17" s="56" t="s">
        <v>37</v>
      </c>
      <c r="E17" s="57" t="s">
        <v>38</v>
      </c>
      <c r="F17" s="58" t="s">
        <v>39</v>
      </c>
      <c r="G17" s="1"/>
      <c r="H17" s="1"/>
      <c r="I17" s="1"/>
      <c r="J17" s="1"/>
      <c r="K17" s="1"/>
      <c r="L17" s="1"/>
      <c r="M17" s="1"/>
      <c r="N17" s="28" t="s">
        <v>23</v>
      </c>
      <c r="O17" s="59">
        <v>132.73</v>
      </c>
      <c r="P17" s="32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7.25" customHeight="1">
      <c r="A18" s="1"/>
      <c r="B18" s="1"/>
      <c r="C18" s="16"/>
      <c r="D18" s="17">
        <v>3199.53296</v>
      </c>
      <c r="E18" s="60">
        <v>3976.49927</v>
      </c>
      <c r="F18" s="19">
        <v>6363.1001</v>
      </c>
      <c r="G18" s="1"/>
      <c r="H18" s="1"/>
      <c r="I18" s="1"/>
      <c r="J18" s="1"/>
      <c r="K18" s="1"/>
      <c r="L18" s="1"/>
      <c r="M18" s="1"/>
      <c r="N18" s="28"/>
      <c r="O18" s="59"/>
      <c r="P18" s="32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7.25" customHeight="1">
      <c r="A19" s="1"/>
      <c r="B19" s="1"/>
      <c r="C19" s="16"/>
      <c r="D19" s="17">
        <v>3196.67334</v>
      </c>
      <c r="E19" s="18">
        <v>3970.01147</v>
      </c>
      <c r="F19" s="19">
        <v>6367.92969</v>
      </c>
      <c r="G19" s="1"/>
      <c r="H19" s="1"/>
      <c r="I19" s="1"/>
      <c r="J19" s="1"/>
      <c r="K19" s="1"/>
      <c r="L19" s="1"/>
      <c r="M19" s="1"/>
      <c r="N19" s="28" t="s">
        <v>25</v>
      </c>
      <c r="O19" s="59">
        <v>132.41</v>
      </c>
      <c r="P19" s="32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7.25" customHeight="1">
      <c r="A20" s="1"/>
      <c r="B20" s="1"/>
      <c r="C20" s="16"/>
      <c r="D20" s="17">
        <v>3206.35156</v>
      </c>
      <c r="E20" s="17">
        <v>3964.19385</v>
      </c>
      <c r="F20" s="19">
        <v>6369.04004</v>
      </c>
      <c r="G20" s="1"/>
      <c r="H20" s="20"/>
      <c r="I20" s="22" t="s">
        <v>40</v>
      </c>
      <c r="J20" s="22" t="s">
        <v>41</v>
      </c>
      <c r="K20" s="22" t="s">
        <v>42</v>
      </c>
      <c r="L20" s="21" t="s">
        <v>43</v>
      </c>
      <c r="M20" s="1"/>
      <c r="N20" s="28" t="s">
        <v>27</v>
      </c>
      <c r="O20" s="59">
        <f>AVERAGE(O16:O19)</f>
        <v>132.3466667</v>
      </c>
      <c r="P20" s="32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20.25" customHeight="1">
      <c r="A21" s="1"/>
      <c r="B21" s="1"/>
      <c r="C21" s="16"/>
      <c r="D21" s="1"/>
      <c r="E21" s="17">
        <v>3970.7937</v>
      </c>
      <c r="F21" s="1"/>
      <c r="G21" s="1"/>
      <c r="H21" s="61" t="s">
        <v>44</v>
      </c>
      <c r="I21" s="62">
        <f>J9</f>
        <v>136.8</v>
      </c>
      <c r="J21" s="63">
        <f t="shared" ref="J21:J23" si="3">D18</f>
        <v>3199.53296</v>
      </c>
      <c r="K21" s="64">
        <f t="shared" ref="K21:K29" si="4">(J21-$K$14)/$K$13</f>
        <v>136.9841521</v>
      </c>
      <c r="L21" s="65">
        <f t="shared" ref="L21:L29" si="5">K21/I21*100</f>
        <v>100.1346141</v>
      </c>
      <c r="M21" s="30"/>
      <c r="N21" s="28" t="s">
        <v>30</v>
      </c>
      <c r="O21" s="66">
        <f>O20*J10/E12</f>
        <v>5.666935554</v>
      </c>
      <c r="P21" s="32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9.5" customHeight="1">
      <c r="A22" s="1"/>
      <c r="B22" s="1"/>
      <c r="C22" s="16"/>
      <c r="D22" s="1"/>
      <c r="E22" s="17">
        <v>3973.85278</v>
      </c>
      <c r="F22" s="1"/>
      <c r="G22" s="30"/>
      <c r="H22" s="67"/>
      <c r="I22" s="62">
        <f>J9</f>
        <v>136.8</v>
      </c>
      <c r="J22" s="63">
        <f t="shared" si="3"/>
        <v>3196.67334</v>
      </c>
      <c r="K22" s="64">
        <f t="shared" si="4"/>
        <v>136.86043</v>
      </c>
      <c r="L22" s="65">
        <f t="shared" si="5"/>
        <v>100.044174</v>
      </c>
      <c r="M22" s="32"/>
      <c r="N22" s="1"/>
      <c r="O22" s="4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9.5" customHeight="1">
      <c r="A23" s="1"/>
      <c r="B23" s="1"/>
      <c r="C23" s="34"/>
      <c r="D23" s="1"/>
      <c r="E23" s="68">
        <v>3974.33472</v>
      </c>
      <c r="F23" s="1"/>
      <c r="G23" s="30"/>
      <c r="H23" s="69"/>
      <c r="I23" s="62">
        <f t="shared" ref="I23:I24" si="7">J9</f>
        <v>136.8</v>
      </c>
      <c r="J23" s="63">
        <f t="shared" si="3"/>
        <v>3206.35156</v>
      </c>
      <c r="K23" s="64">
        <f t="shared" si="4"/>
        <v>137.2791603</v>
      </c>
      <c r="L23" s="65">
        <f t="shared" si="5"/>
        <v>100.3502634</v>
      </c>
      <c r="M23" s="3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9.5" customHeight="1">
      <c r="A24" s="1"/>
      <c r="B24" s="1"/>
      <c r="C24" s="70" t="s">
        <v>28</v>
      </c>
      <c r="D24" s="17">
        <f>AVERAGE(D18:D21)</f>
        <v>3200.85262</v>
      </c>
      <c r="E24" s="36">
        <f t="shared" ref="E24:F24" si="6">AVERAGE(E18:E23)</f>
        <v>3971.614298</v>
      </c>
      <c r="F24" s="19">
        <f t="shared" si="6"/>
        <v>6366.689943</v>
      </c>
      <c r="G24" s="30"/>
      <c r="H24" s="61" t="s">
        <v>45</v>
      </c>
      <c r="I24" s="62">
        <f t="shared" si="7"/>
        <v>171</v>
      </c>
      <c r="J24" s="63">
        <f t="shared" ref="J24:J26" si="8">E18</f>
        <v>3976.49927</v>
      </c>
      <c r="K24" s="64">
        <f t="shared" si="4"/>
        <v>170.599768</v>
      </c>
      <c r="L24" s="65">
        <f t="shared" si="5"/>
        <v>99.76594621</v>
      </c>
      <c r="M24" s="3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9.5" customHeight="1">
      <c r="A25" s="1"/>
      <c r="B25" s="1"/>
      <c r="C25" s="70" t="s">
        <v>31</v>
      </c>
      <c r="D25" s="71"/>
      <c r="E25" s="40">
        <f>STDEV(E19:E23)</f>
        <v>4.060307819</v>
      </c>
      <c r="F25" s="72"/>
      <c r="G25" s="1"/>
      <c r="H25" s="67"/>
      <c r="I25" s="62">
        <f>J10</f>
        <v>171</v>
      </c>
      <c r="J25" s="63">
        <f t="shared" si="8"/>
        <v>3970.01147</v>
      </c>
      <c r="K25" s="64">
        <f t="shared" si="4"/>
        <v>170.319072</v>
      </c>
      <c r="L25" s="65">
        <f t="shared" si="5"/>
        <v>99.60179646</v>
      </c>
      <c r="M25" s="32"/>
      <c r="N25" s="73" t="s">
        <v>10</v>
      </c>
      <c r="O25" s="74">
        <f>O27*0.5</f>
        <v>1996.782898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9.5" customHeight="1">
      <c r="A26" s="1"/>
      <c r="B26" s="1"/>
      <c r="C26" s="75" t="s">
        <v>33</v>
      </c>
      <c r="D26" s="76"/>
      <c r="E26" s="48">
        <f>E25/E24*100</f>
        <v>0.1022331857</v>
      </c>
      <c r="F26" s="77"/>
      <c r="G26" s="1"/>
      <c r="H26" s="69"/>
      <c r="I26" s="62">
        <f t="shared" ref="I26:I27" si="9">J10</f>
        <v>171</v>
      </c>
      <c r="J26" s="63">
        <f t="shared" si="8"/>
        <v>3964.19385</v>
      </c>
      <c r="K26" s="64">
        <f t="shared" si="4"/>
        <v>170.0673714</v>
      </c>
      <c r="L26" s="65">
        <f t="shared" si="5"/>
        <v>99.45460313</v>
      </c>
      <c r="M26" s="32"/>
      <c r="N26" s="73" t="s">
        <v>11</v>
      </c>
      <c r="O26" s="74">
        <f>O27*0.8</f>
        <v>3194.852637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20.25" customHeight="1">
      <c r="A27" s="1"/>
      <c r="B27" s="1"/>
      <c r="C27" s="1"/>
      <c r="D27" s="1"/>
      <c r="E27" s="44"/>
      <c r="F27" s="1"/>
      <c r="G27" s="1"/>
      <c r="H27" s="61" t="s">
        <v>46</v>
      </c>
      <c r="I27" s="62">
        <f t="shared" si="9"/>
        <v>273.6</v>
      </c>
      <c r="J27" s="63">
        <f t="shared" ref="J27:J29" si="10">F18</f>
        <v>6363.1001</v>
      </c>
      <c r="K27" s="64">
        <f t="shared" si="4"/>
        <v>273.8565706</v>
      </c>
      <c r="L27" s="65">
        <f t="shared" si="5"/>
        <v>100.0937758</v>
      </c>
      <c r="M27" s="1"/>
      <c r="N27" s="73" t="s">
        <v>12</v>
      </c>
      <c r="O27" s="74">
        <f>E12</f>
        <v>3993.565797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9.5" customHeight="1">
      <c r="A28" s="1"/>
      <c r="B28" s="1"/>
      <c r="C28" s="1"/>
      <c r="D28" s="1"/>
      <c r="E28" s="1"/>
      <c r="F28" s="1"/>
      <c r="G28" s="1"/>
      <c r="H28" s="67"/>
      <c r="I28" s="62">
        <f>J11</f>
        <v>273.6</v>
      </c>
      <c r="J28" s="63">
        <f t="shared" si="10"/>
        <v>6367.92969</v>
      </c>
      <c r="K28" s="64">
        <f t="shared" si="4"/>
        <v>274.0655239</v>
      </c>
      <c r="L28" s="65">
        <f t="shared" si="5"/>
        <v>100.1701476</v>
      </c>
      <c r="M28" s="32"/>
      <c r="N28" s="73" t="s">
        <v>13</v>
      </c>
      <c r="O28" s="74">
        <f>O27*1.6</f>
        <v>6389.705275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9.5" customHeight="1">
      <c r="A29" s="1"/>
      <c r="B29" s="1"/>
      <c r="C29" s="1"/>
      <c r="D29" s="1"/>
      <c r="E29" s="1"/>
      <c r="F29" s="78"/>
      <c r="G29" s="79"/>
      <c r="H29" s="80"/>
      <c r="I29" s="81">
        <f>J11</f>
        <v>273.6</v>
      </c>
      <c r="J29" s="82">
        <f t="shared" si="10"/>
        <v>6369.04004</v>
      </c>
      <c r="K29" s="83">
        <f t="shared" si="4"/>
        <v>274.1135634</v>
      </c>
      <c r="L29" s="84">
        <f t="shared" si="5"/>
        <v>100.1877059</v>
      </c>
      <c r="M29" s="32"/>
      <c r="N29" s="73" t="s">
        <v>14</v>
      </c>
      <c r="O29" s="74">
        <f>O27*2</f>
        <v>7987.131593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9.5" customHeight="1">
      <c r="A30" s="1"/>
      <c r="B30" s="29"/>
      <c r="C30" s="85" t="s">
        <v>47</v>
      </c>
      <c r="D30" s="29"/>
      <c r="E30" s="1"/>
      <c r="F30" s="86"/>
      <c r="G30" s="85" t="s">
        <v>48</v>
      </c>
      <c r="H30" s="87"/>
      <c r="I30" s="29"/>
      <c r="J30" s="88"/>
      <c r="K30" s="8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21.75" customHeight="1">
      <c r="A31" s="1"/>
      <c r="B31" s="90"/>
      <c r="C31" s="91" t="s">
        <v>49</v>
      </c>
      <c r="D31" s="92" t="s">
        <v>50</v>
      </c>
      <c r="E31" s="1"/>
      <c r="F31" s="90"/>
      <c r="G31" s="91" t="s">
        <v>51</v>
      </c>
      <c r="H31" s="91" t="s">
        <v>52</v>
      </c>
      <c r="I31" s="92" t="s">
        <v>53</v>
      </c>
      <c r="J31" s="1"/>
      <c r="K31" s="93" t="s">
        <v>54</v>
      </c>
      <c r="L31" s="94">
        <f>MIN(L21:L29)</f>
        <v>99.45460313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21.0" customHeight="1">
      <c r="A32" s="1"/>
      <c r="B32" s="70" t="s">
        <v>21</v>
      </c>
      <c r="C32" s="18">
        <f t="shared" ref="C32:C37" si="11">E6</f>
        <v>3988.28076</v>
      </c>
      <c r="D32" s="19">
        <v>3976.65845</v>
      </c>
      <c r="E32" s="1"/>
      <c r="F32" s="70" t="s">
        <v>21</v>
      </c>
      <c r="G32" s="17">
        <v>4118.29199</v>
      </c>
      <c r="H32" s="18">
        <f t="shared" ref="H32:H37" si="12">E6</f>
        <v>3988.28076</v>
      </c>
      <c r="I32" s="19">
        <v>4008.47217</v>
      </c>
      <c r="J32" s="1"/>
      <c r="K32" s="93"/>
      <c r="L32" s="9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6.5" customHeight="1">
      <c r="A33" s="1"/>
      <c r="B33" s="70" t="s">
        <v>23</v>
      </c>
      <c r="C33" s="18">
        <f t="shared" si="11"/>
        <v>3993.69849</v>
      </c>
      <c r="D33" s="19">
        <v>3981.1311</v>
      </c>
      <c r="E33" s="95"/>
      <c r="F33" s="70" t="s">
        <v>23</v>
      </c>
      <c r="G33" s="17">
        <v>4151.83643</v>
      </c>
      <c r="H33" s="18">
        <f t="shared" si="12"/>
        <v>3993.69849</v>
      </c>
      <c r="I33" s="19">
        <v>4003.12109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21.0" customHeight="1">
      <c r="A34" s="1"/>
      <c r="B34" s="70" t="s">
        <v>25</v>
      </c>
      <c r="C34" s="17">
        <f t="shared" si="11"/>
        <v>3995.34619</v>
      </c>
      <c r="D34" s="19">
        <v>3980.48145</v>
      </c>
      <c r="E34" s="95"/>
      <c r="F34" s="70" t="s">
        <v>25</v>
      </c>
      <c r="G34" s="17">
        <v>4123.63281</v>
      </c>
      <c r="H34" s="17">
        <f t="shared" si="12"/>
        <v>3995.34619</v>
      </c>
      <c r="I34" s="19">
        <v>3998.0293</v>
      </c>
      <c r="J34" s="96"/>
      <c r="K34" s="93" t="s">
        <v>55</v>
      </c>
      <c r="L34" s="94">
        <f>MAX(L21:L29)</f>
        <v>100.3502634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6.5" customHeight="1">
      <c r="A35" s="1"/>
      <c r="B35" s="70" t="s">
        <v>56</v>
      </c>
      <c r="C35" s="17">
        <f t="shared" si="11"/>
        <v>3988.01025</v>
      </c>
      <c r="D35" s="19">
        <v>3977.80981</v>
      </c>
      <c r="E35" s="95"/>
      <c r="F35" s="70" t="s">
        <v>56</v>
      </c>
      <c r="G35" s="17">
        <v>4081.16724</v>
      </c>
      <c r="H35" s="17">
        <f t="shared" si="12"/>
        <v>3988.01025</v>
      </c>
      <c r="I35" s="19">
        <v>4009.38916</v>
      </c>
      <c r="J35" s="9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6.5" customHeight="1">
      <c r="A36" s="1"/>
      <c r="B36" s="70" t="s">
        <v>57</v>
      </c>
      <c r="C36" s="17">
        <f t="shared" si="11"/>
        <v>3997.09766</v>
      </c>
      <c r="D36" s="19">
        <v>3985.63599</v>
      </c>
      <c r="E36" s="95"/>
      <c r="F36" s="70" t="s">
        <v>57</v>
      </c>
      <c r="G36" s="17">
        <v>4038.60547</v>
      </c>
      <c r="H36" s="17">
        <f t="shared" si="12"/>
        <v>3997.09766</v>
      </c>
      <c r="I36" s="19">
        <v>4004.58691</v>
      </c>
      <c r="J36" s="3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6.5" customHeight="1">
      <c r="A37" s="1"/>
      <c r="B37" s="70" t="s">
        <v>58</v>
      </c>
      <c r="C37" s="17">
        <f t="shared" si="11"/>
        <v>3998.96143</v>
      </c>
      <c r="D37" s="98">
        <v>3976.89771</v>
      </c>
      <c r="E37" s="95"/>
      <c r="F37" s="70" t="s">
        <v>58</v>
      </c>
      <c r="G37" s="68">
        <v>4023.62817</v>
      </c>
      <c r="H37" s="17">
        <f t="shared" si="12"/>
        <v>3998.96143</v>
      </c>
      <c r="I37" s="98">
        <v>4014.41504</v>
      </c>
      <c r="J37" s="3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6.5" customHeight="1">
      <c r="A38" s="1"/>
      <c r="B38" s="99" t="s">
        <v>59</v>
      </c>
      <c r="C38" s="100">
        <f>AVERAGE(C32:D37)</f>
        <v>3986.667441</v>
      </c>
      <c r="D38" s="101"/>
      <c r="E38" s="1"/>
      <c r="F38" s="99" t="s">
        <v>59</v>
      </c>
      <c r="G38" s="100">
        <f>AVERAGE(G32:I37)</f>
        <v>4029.809476</v>
      </c>
      <c r="H38" s="102"/>
      <c r="I38" s="10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6.5" customHeight="1">
      <c r="A39" s="1"/>
      <c r="B39" s="70" t="s">
        <v>60</v>
      </c>
      <c r="C39" s="104">
        <f>STDEV(C32:D37)</f>
        <v>8.164003705</v>
      </c>
      <c r="D39" s="101"/>
      <c r="E39" s="1"/>
      <c r="F39" s="70" t="s">
        <v>60</v>
      </c>
      <c r="G39" s="104">
        <f>STDEV(G33:I37)</f>
        <v>50.48041583</v>
      </c>
      <c r="H39" s="102"/>
      <c r="I39" s="10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6.5" customHeight="1">
      <c r="A40" s="1"/>
      <c r="B40" s="75" t="s">
        <v>61</v>
      </c>
      <c r="C40" s="105">
        <f>C39/C38*100</f>
        <v>0.2047826619</v>
      </c>
      <c r="D40" s="106"/>
      <c r="E40" s="95"/>
      <c r="F40" s="75" t="s">
        <v>61</v>
      </c>
      <c r="G40" s="105">
        <f>G39/G38*100</f>
        <v>1.252674999</v>
      </c>
      <c r="H40" s="107"/>
      <c r="I40" s="10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3.5" customHeight="1">
      <c r="A41" s="1"/>
      <c r="B41" s="1"/>
      <c r="C41" s="44"/>
      <c r="D41" s="4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9.5" customHeight="1">
      <c r="A43" s="1"/>
      <c r="B43" s="86"/>
      <c r="C43" s="85" t="s">
        <v>62</v>
      </c>
      <c r="D43" s="29"/>
      <c r="E43" s="2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9.5" customHeight="1">
      <c r="A44" s="1"/>
      <c r="B44" s="90"/>
      <c r="C44" s="91" t="s">
        <v>63</v>
      </c>
      <c r="D44" s="91" t="s">
        <v>52</v>
      </c>
      <c r="E44" s="92" t="s">
        <v>64</v>
      </c>
      <c r="F44" s="1"/>
      <c r="G44" s="29"/>
      <c r="H44" s="85" t="s">
        <v>65</v>
      </c>
      <c r="I44" s="29"/>
      <c r="J44" s="1"/>
      <c r="K44" s="1"/>
      <c r="L44" s="1"/>
      <c r="M44" s="1"/>
      <c r="N44" s="1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9.5" customHeight="1">
      <c r="A45" s="1"/>
      <c r="B45" s="70" t="s">
        <v>21</v>
      </c>
      <c r="C45" s="17">
        <v>4137.77295</v>
      </c>
      <c r="D45" s="18">
        <f t="shared" ref="D45:D50" si="13">E6</f>
        <v>3988.28076</v>
      </c>
      <c r="E45" s="19">
        <v>4013.59399</v>
      </c>
      <c r="F45" s="1"/>
      <c r="G45" s="90"/>
      <c r="H45" s="91" t="s">
        <v>49</v>
      </c>
      <c r="I45" s="92" t="s">
        <v>66</v>
      </c>
      <c r="J45" s="1"/>
      <c r="K45" s="1"/>
      <c r="L45" s="1"/>
      <c r="M45" s="6"/>
      <c r="N45" s="7"/>
      <c r="O45" s="8"/>
      <c r="P45" s="9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8.75" customHeight="1">
      <c r="A46" s="1"/>
      <c r="B46" s="70" t="s">
        <v>23</v>
      </c>
      <c r="C46" s="17">
        <v>4008.14136</v>
      </c>
      <c r="D46" s="18">
        <f t="shared" si="13"/>
        <v>3993.69849</v>
      </c>
      <c r="E46" s="19">
        <v>4037.77905</v>
      </c>
      <c r="F46" s="95"/>
      <c r="G46" s="70" t="s">
        <v>21</v>
      </c>
      <c r="H46" s="18">
        <f t="shared" ref="H46:H51" si="14">E6</f>
        <v>3988.28076</v>
      </c>
      <c r="I46" s="19">
        <v>4007.06274</v>
      </c>
      <c r="J46" s="32"/>
      <c r="K46" s="1"/>
      <c r="L46" s="1"/>
      <c r="M46" s="10"/>
      <c r="N46" s="11"/>
      <c r="O46" s="11"/>
      <c r="P46" s="1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8.75" customHeight="1">
      <c r="A47" s="1"/>
      <c r="B47" s="70" t="s">
        <v>25</v>
      </c>
      <c r="C47" s="17">
        <v>3992.24414</v>
      </c>
      <c r="D47" s="17">
        <f t="shared" si="13"/>
        <v>3995.34619</v>
      </c>
      <c r="E47" s="19">
        <v>4042.10645</v>
      </c>
      <c r="F47" s="95"/>
      <c r="G47" s="70" t="s">
        <v>23</v>
      </c>
      <c r="H47" s="18">
        <f t="shared" si="14"/>
        <v>3993.69849</v>
      </c>
      <c r="I47" s="19">
        <v>4067.34741</v>
      </c>
      <c r="J47" s="32"/>
      <c r="K47" s="1"/>
      <c r="L47" s="1"/>
      <c r="M47" s="11"/>
      <c r="N47" s="11"/>
      <c r="O47" s="11"/>
      <c r="P47" s="1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8.75" customHeight="1">
      <c r="A48" s="1"/>
      <c r="B48" s="70" t="s">
        <v>56</v>
      </c>
      <c r="C48" s="17">
        <v>3997.30054</v>
      </c>
      <c r="D48" s="17">
        <f t="shared" si="13"/>
        <v>3988.01025</v>
      </c>
      <c r="E48" s="19">
        <v>4032.22559</v>
      </c>
      <c r="F48" s="95"/>
      <c r="G48" s="70" t="s">
        <v>25</v>
      </c>
      <c r="H48" s="17">
        <f t="shared" si="14"/>
        <v>3995.34619</v>
      </c>
      <c r="I48" s="19">
        <v>4041.10425</v>
      </c>
      <c r="J48" s="32"/>
      <c r="K48" s="1"/>
      <c r="L48" s="1"/>
      <c r="M48" s="11"/>
      <c r="N48" s="11"/>
      <c r="O48" s="11"/>
      <c r="P48" s="1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6.5" customHeight="1">
      <c r="A49" s="1"/>
      <c r="B49" s="70" t="s">
        <v>57</v>
      </c>
      <c r="C49" s="17">
        <v>4004.52563</v>
      </c>
      <c r="D49" s="17">
        <f t="shared" si="13"/>
        <v>3997.09766</v>
      </c>
      <c r="E49" s="19">
        <v>4031.28662</v>
      </c>
      <c r="F49" s="95"/>
      <c r="G49" s="70" t="s">
        <v>56</v>
      </c>
      <c r="H49" s="17">
        <f t="shared" si="14"/>
        <v>3988.01025</v>
      </c>
      <c r="I49" s="19">
        <v>4025.96216</v>
      </c>
      <c r="J49" s="3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6.5" customHeight="1">
      <c r="A50" s="1"/>
      <c r="B50" s="70" t="s">
        <v>58</v>
      </c>
      <c r="C50" s="68">
        <v>4008.34204</v>
      </c>
      <c r="D50" s="17">
        <f t="shared" si="13"/>
        <v>3998.96143</v>
      </c>
      <c r="E50" s="98">
        <v>4029.82593</v>
      </c>
      <c r="F50" s="95"/>
      <c r="G50" s="70" t="s">
        <v>57</v>
      </c>
      <c r="H50" s="17">
        <f t="shared" si="14"/>
        <v>3997.09766</v>
      </c>
      <c r="I50" s="19">
        <v>4019.74414</v>
      </c>
      <c r="J50" s="3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6.5" customHeight="1">
      <c r="A51" s="1"/>
      <c r="B51" s="99" t="s">
        <v>59</v>
      </c>
      <c r="C51" s="100">
        <f>AVERAGE(C45:E50)</f>
        <v>4016.474393</v>
      </c>
      <c r="D51" s="102"/>
      <c r="E51" s="103"/>
      <c r="F51" s="1"/>
      <c r="G51" s="70" t="s">
        <v>58</v>
      </c>
      <c r="H51" s="17">
        <f t="shared" si="14"/>
        <v>3998.96143</v>
      </c>
      <c r="I51" s="98">
        <v>4006.81714</v>
      </c>
      <c r="J51" s="3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6.5" customHeight="1">
      <c r="A52" s="1"/>
      <c r="B52" s="70" t="s">
        <v>60</v>
      </c>
      <c r="C52" s="104">
        <f>STDEV(C45:E50)</f>
        <v>35.11642428</v>
      </c>
      <c r="D52" s="102"/>
      <c r="E52" s="103"/>
      <c r="F52" s="1"/>
      <c r="G52" s="99" t="s">
        <v>59</v>
      </c>
      <c r="H52" s="100">
        <f>AVERAGE(H46:I51)</f>
        <v>4010.786052</v>
      </c>
      <c r="I52" s="101"/>
      <c r="J52" s="3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6.5" customHeight="1">
      <c r="A53" s="109"/>
      <c r="B53" s="110" t="s">
        <v>61</v>
      </c>
      <c r="C53" s="105">
        <f>C52/C51*100</f>
        <v>0.8743096767</v>
      </c>
      <c r="D53" s="107"/>
      <c r="E53" s="108"/>
      <c r="F53" s="1"/>
      <c r="G53" s="70" t="s">
        <v>60</v>
      </c>
      <c r="H53" s="104">
        <f>STDEV(H46:I51)</f>
        <v>24.0101313</v>
      </c>
      <c r="I53" s="101"/>
      <c r="J53" s="3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7.25" customHeight="1">
      <c r="A54" s="1"/>
      <c r="B54" s="1"/>
      <c r="C54" s="96"/>
      <c r="D54" s="1"/>
      <c r="E54" s="96"/>
      <c r="F54" s="1"/>
      <c r="G54" s="75" t="s">
        <v>61</v>
      </c>
      <c r="H54" s="105">
        <f>H53/H52*100</f>
        <v>0.5986390447</v>
      </c>
      <c r="I54" s="106"/>
      <c r="J54" s="3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50"/>
      <c r="D55" s="50"/>
      <c r="E55" s="50"/>
      <c r="F55" s="1"/>
      <c r="G55" s="111"/>
      <c r="H55" s="112"/>
      <c r="I55" s="44"/>
      <c r="J55" s="5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9.5" customHeight="1">
      <c r="A56" s="1"/>
      <c r="B56" s="113" t="s">
        <v>67</v>
      </c>
      <c r="C56" s="114"/>
      <c r="D56" s="1"/>
      <c r="E56" s="1"/>
      <c r="F56" s="115" t="s">
        <v>68</v>
      </c>
      <c r="G56" s="116"/>
      <c r="H56" s="11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18"/>
      <c r="C57" s="119"/>
      <c r="D57" s="1"/>
      <c r="E57" s="1"/>
      <c r="F57" s="120"/>
      <c r="G57" s="121" t="s">
        <v>49</v>
      </c>
      <c r="H57" s="122" t="s">
        <v>68</v>
      </c>
      <c r="I57" s="1"/>
      <c r="J57" s="123"/>
      <c r="K57" s="124"/>
      <c r="L57" s="1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8.75" customHeight="1">
      <c r="A58" s="1"/>
      <c r="B58" s="70" t="s">
        <v>21</v>
      </c>
      <c r="C58" s="18">
        <f t="shared" ref="C58:C63" si="15">E6</f>
        <v>3988.28076</v>
      </c>
      <c r="D58" s="126"/>
      <c r="E58" s="1"/>
      <c r="F58" s="70" t="s">
        <v>21</v>
      </c>
      <c r="G58" s="18">
        <f t="shared" ref="G58:G63" si="16">E6</f>
        <v>3988.28076</v>
      </c>
      <c r="H58" s="127">
        <v>3974.09351</v>
      </c>
      <c r="I58" s="1"/>
      <c r="J58" s="128"/>
      <c r="K58" s="129" t="s">
        <v>69</v>
      </c>
      <c r="L58" s="130" t="s">
        <v>70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6.5" customHeight="1">
      <c r="A59" s="1"/>
      <c r="B59" s="70" t="s">
        <v>23</v>
      </c>
      <c r="C59" s="18">
        <f t="shared" si="15"/>
        <v>3993.69849</v>
      </c>
      <c r="D59" s="126"/>
      <c r="E59" s="1"/>
      <c r="F59" s="70" t="s">
        <v>23</v>
      </c>
      <c r="G59" s="18">
        <f t="shared" si="16"/>
        <v>3993.69849</v>
      </c>
      <c r="H59" s="127">
        <v>3971.22656</v>
      </c>
      <c r="I59" s="1"/>
      <c r="J59" s="70" t="s">
        <v>21</v>
      </c>
      <c r="K59" s="131">
        <f t="shared" ref="K59:K64" si="17">G58</f>
        <v>3988.28076</v>
      </c>
      <c r="L59" s="132">
        <f t="shared" ref="L59:L65" si="18">E18</f>
        <v>3976.49927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6.5" customHeight="1">
      <c r="A60" s="1"/>
      <c r="B60" s="70" t="s">
        <v>25</v>
      </c>
      <c r="C60" s="17">
        <f t="shared" si="15"/>
        <v>3995.34619</v>
      </c>
      <c r="D60" s="126"/>
      <c r="E60" s="1"/>
      <c r="F60" s="70" t="s">
        <v>25</v>
      </c>
      <c r="G60" s="17">
        <f t="shared" si="16"/>
        <v>3995.34619</v>
      </c>
      <c r="H60" s="133">
        <v>3985.41211</v>
      </c>
      <c r="I60" s="1"/>
      <c r="J60" s="70" t="s">
        <v>23</v>
      </c>
      <c r="K60" s="131">
        <f t="shared" si="17"/>
        <v>3993.69849</v>
      </c>
      <c r="L60" s="132">
        <f t="shared" si="18"/>
        <v>3970.01147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6.5" customHeight="1">
      <c r="A61" s="1"/>
      <c r="B61" s="70" t="s">
        <v>56</v>
      </c>
      <c r="C61" s="17">
        <f t="shared" si="15"/>
        <v>3988.01025</v>
      </c>
      <c r="D61" s="126"/>
      <c r="E61" s="1"/>
      <c r="F61" s="70" t="s">
        <v>56</v>
      </c>
      <c r="G61" s="17">
        <f t="shared" si="16"/>
        <v>3988.01025</v>
      </c>
      <c r="H61" s="134">
        <v>3980.64282</v>
      </c>
      <c r="I61" s="1"/>
      <c r="J61" s="70" t="s">
        <v>25</v>
      </c>
      <c r="K61" s="131">
        <f t="shared" si="17"/>
        <v>3995.34619</v>
      </c>
      <c r="L61" s="132">
        <f t="shared" si="18"/>
        <v>3964.19385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6.5" customHeight="1">
      <c r="A62" s="1"/>
      <c r="B62" s="70" t="s">
        <v>57</v>
      </c>
      <c r="C62" s="17">
        <f t="shared" si="15"/>
        <v>3997.09766</v>
      </c>
      <c r="D62" s="126"/>
      <c r="E62" s="1"/>
      <c r="F62" s="70" t="s">
        <v>57</v>
      </c>
      <c r="G62" s="17">
        <f t="shared" si="16"/>
        <v>3997.09766</v>
      </c>
      <c r="H62" s="133">
        <v>3978.14233</v>
      </c>
      <c r="I62" s="1"/>
      <c r="J62" s="70" t="s">
        <v>56</v>
      </c>
      <c r="K62" s="131">
        <f t="shared" si="17"/>
        <v>3988.01025</v>
      </c>
      <c r="L62" s="132">
        <f t="shared" si="18"/>
        <v>3970.7937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6.5" customHeight="1">
      <c r="A63" s="1"/>
      <c r="B63" s="70" t="s">
        <v>58</v>
      </c>
      <c r="C63" s="19">
        <f t="shared" si="15"/>
        <v>3998.96143</v>
      </c>
      <c r="D63" s="126"/>
      <c r="E63" s="1"/>
      <c r="F63" s="70" t="s">
        <v>58</v>
      </c>
      <c r="G63" s="17">
        <f t="shared" si="16"/>
        <v>3998.96143</v>
      </c>
      <c r="H63" s="135">
        <v>3985.56934</v>
      </c>
      <c r="I63" s="1"/>
      <c r="J63" s="70" t="s">
        <v>57</v>
      </c>
      <c r="K63" s="131">
        <f t="shared" si="17"/>
        <v>3997.09766</v>
      </c>
      <c r="L63" s="132">
        <f t="shared" si="18"/>
        <v>3973.85278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6.5" customHeight="1">
      <c r="A64" s="1"/>
      <c r="B64" s="136">
        <v>0.3600925925925926</v>
      </c>
      <c r="C64" s="19">
        <v>4000.56665</v>
      </c>
      <c r="D64" s="137"/>
      <c r="E64" s="1"/>
      <c r="F64" s="99" t="s">
        <v>59</v>
      </c>
      <c r="G64" s="100">
        <f>AVERAGE(G58:H63)</f>
        <v>3986.373454</v>
      </c>
      <c r="H64" s="101"/>
      <c r="I64" s="32"/>
      <c r="J64" s="70" t="s">
        <v>58</v>
      </c>
      <c r="K64" s="131">
        <f t="shared" si="17"/>
        <v>3998.96143</v>
      </c>
      <c r="L64" s="138">
        <f t="shared" si="18"/>
        <v>3974.33472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6.5" customHeight="1">
      <c r="A65" s="1"/>
      <c r="B65" s="136">
        <v>0.3600925925925926</v>
      </c>
      <c r="C65" s="19">
        <v>3974.52197</v>
      </c>
      <c r="D65" s="137"/>
      <c r="E65" s="1"/>
      <c r="F65" s="70" t="s">
        <v>60</v>
      </c>
      <c r="G65" s="104">
        <f>STDEV(G58:H63)</f>
        <v>9.026912125</v>
      </c>
      <c r="H65" s="101"/>
      <c r="I65" s="32"/>
      <c r="J65" s="75" t="s">
        <v>71</v>
      </c>
      <c r="K65" s="139">
        <f>E12</f>
        <v>3993.565797</v>
      </c>
      <c r="L65" s="140">
        <f t="shared" si="18"/>
        <v>3971.614298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6.5" customHeight="1">
      <c r="A66" s="1"/>
      <c r="B66" s="136">
        <v>0.3600925925925926</v>
      </c>
      <c r="C66" s="19">
        <v>3965.91357</v>
      </c>
      <c r="D66" s="126"/>
      <c r="E66" s="1"/>
      <c r="F66" s="75" t="s">
        <v>61</v>
      </c>
      <c r="G66" s="105">
        <f>G65/G64*100</f>
        <v>0.2264442162</v>
      </c>
      <c r="H66" s="106"/>
      <c r="I66" s="3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6.5" customHeight="1">
      <c r="A67" s="1"/>
      <c r="B67" s="136">
        <v>0.3600925925925926</v>
      </c>
      <c r="C67" s="19">
        <v>3977.01001</v>
      </c>
      <c r="D67" s="3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6.5" customHeight="1">
      <c r="A68" s="1"/>
      <c r="B68" s="136">
        <v>0.3600925925925926</v>
      </c>
      <c r="C68" s="17">
        <v>3965.2915</v>
      </c>
      <c r="D68" s="3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6.5" customHeight="1">
      <c r="A69" s="1"/>
      <c r="B69" s="136">
        <v>0.3600925925925926</v>
      </c>
      <c r="C69" s="68">
        <v>3970.6394</v>
      </c>
      <c r="D69" s="3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6.5" customHeight="1">
      <c r="A70" s="1"/>
      <c r="B70" s="99" t="s">
        <v>59</v>
      </c>
      <c r="C70" s="141">
        <f>AVERAGE(C58:C69)</f>
        <v>3984.61149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6.5" customHeight="1">
      <c r="A71" s="1"/>
      <c r="B71" s="70" t="s">
        <v>60</v>
      </c>
      <c r="C71" s="142">
        <f>STDEV(C58:C69)</f>
        <v>13.20085828</v>
      </c>
      <c r="D71" s="3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6.5" customHeight="1">
      <c r="A72" s="1"/>
      <c r="B72" s="75" t="s">
        <v>61</v>
      </c>
      <c r="C72" s="143">
        <f>C71/C70*100</f>
        <v>0.3312959949</v>
      </c>
      <c r="D72" s="3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21.75" customHeight="1">
      <c r="A75" s="144" t="s">
        <v>72</v>
      </c>
      <c r="B75" s="145">
        <f>E14</f>
        <v>0.1139649277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21.75" customHeight="1">
      <c r="A76" s="146" t="s">
        <v>73</v>
      </c>
      <c r="B76" s="147">
        <f>K15</f>
        <v>0.9999405795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21.75" customHeight="1">
      <c r="A77" s="146" t="s">
        <v>54</v>
      </c>
      <c r="B77" s="148">
        <f>L31</f>
        <v>99.45460313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21.75" customHeight="1">
      <c r="A78" s="146" t="s">
        <v>55</v>
      </c>
      <c r="B78" s="148">
        <f>L34</f>
        <v>100.3502634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21.75" customHeight="1">
      <c r="A79" s="146" t="s">
        <v>74</v>
      </c>
      <c r="B79" s="148">
        <f>E26</f>
        <v>0.1022331857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21.75" customHeight="1">
      <c r="A80" s="146" t="s">
        <v>75</v>
      </c>
      <c r="B80" s="148">
        <f>C40</f>
        <v>0.2047826619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21.75" customHeight="1">
      <c r="A81" s="146" t="s">
        <v>76</v>
      </c>
      <c r="B81" s="148">
        <f>G66</f>
        <v>0.2264442162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21.75" customHeight="1">
      <c r="A82" s="146" t="s">
        <v>77</v>
      </c>
      <c r="B82" s="148">
        <f>H54</f>
        <v>0.5986390447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21.75" customHeight="1">
      <c r="A83" s="146" t="s">
        <v>78</v>
      </c>
      <c r="B83" s="148">
        <f>C72</f>
        <v>0.3312959949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21.75" customHeight="1">
      <c r="A84" s="146" t="s">
        <v>79</v>
      </c>
      <c r="B84" s="148">
        <f t="shared" ref="B84:B85" si="19">K13</f>
        <v>23.1132552</v>
      </c>
      <c r="C84" s="1"/>
      <c r="D84" s="96"/>
      <c r="E84" s="1"/>
      <c r="F84" s="1"/>
      <c r="G84" s="1"/>
      <c r="H84" s="1"/>
      <c r="I84" s="1"/>
      <c r="J84" s="149"/>
      <c r="K84" s="149"/>
      <c r="L84" s="14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21.75" customHeight="1">
      <c r="A85" s="146" t="s">
        <v>80</v>
      </c>
      <c r="B85" s="148">
        <f t="shared" si="19"/>
        <v>33.38329458</v>
      </c>
      <c r="C85" s="1"/>
      <c r="D85" s="1"/>
      <c r="E85" s="1"/>
      <c r="F85" s="15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21.75" customHeight="1">
      <c r="A86" s="146" t="s">
        <v>81</v>
      </c>
      <c r="B86" s="151">
        <f>E19</f>
        <v>3970.01147</v>
      </c>
      <c r="C86" s="1"/>
      <c r="D86" s="1"/>
      <c r="E86" s="1"/>
      <c r="F86" s="9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21.75" customHeight="1">
      <c r="A87" s="146" t="s">
        <v>82</v>
      </c>
      <c r="B87" s="148">
        <f>(J24-$K$14)/$K$13</f>
        <v>170.599768</v>
      </c>
      <c r="C87" s="1"/>
      <c r="D87" s="1"/>
      <c r="E87" s="1"/>
      <c r="F87" s="9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21.75" customHeight="1">
      <c r="A88" s="146" t="s">
        <v>83</v>
      </c>
      <c r="B88" s="152">
        <f>K24/I24*100</f>
        <v>99.76594621</v>
      </c>
      <c r="C88" s="1"/>
      <c r="D88" s="1"/>
      <c r="E88" s="1"/>
      <c r="F88" s="9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6.5" customHeight="1">
      <c r="A89" s="1"/>
      <c r="B89" s="1"/>
      <c r="C89" s="1"/>
      <c r="D89" s="1"/>
      <c r="E89" s="1"/>
      <c r="F89" s="9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9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9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9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9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9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9">
    <mergeCell ref="D1:K2"/>
    <mergeCell ref="B5:B11"/>
    <mergeCell ref="N7:O7"/>
    <mergeCell ref="C13:D14"/>
    <mergeCell ref="F13:G14"/>
    <mergeCell ref="N15:O15"/>
    <mergeCell ref="C17:C23"/>
    <mergeCell ref="C40:D40"/>
    <mergeCell ref="C51:E51"/>
    <mergeCell ref="C52:E52"/>
    <mergeCell ref="C53:E53"/>
    <mergeCell ref="B56:C57"/>
    <mergeCell ref="H21:H23"/>
    <mergeCell ref="H24:H26"/>
    <mergeCell ref="D25:D26"/>
    <mergeCell ref="F25:F26"/>
    <mergeCell ref="H27:H29"/>
    <mergeCell ref="C38:D38"/>
    <mergeCell ref="C39:D39"/>
    <mergeCell ref="G64:H64"/>
    <mergeCell ref="G65:H65"/>
    <mergeCell ref="G66:H66"/>
    <mergeCell ref="G38:I38"/>
    <mergeCell ref="G39:I39"/>
    <mergeCell ref="G40:I40"/>
    <mergeCell ref="H52:I52"/>
    <mergeCell ref="H53:I53"/>
    <mergeCell ref="H54:I54"/>
    <mergeCell ref="F56:H56"/>
  </mergeCells>
  <conditionalFormatting sqref="D66">
    <cfRule type="cellIs" dxfId="0" priority="1" operator="greaterThan">
      <formula>1</formula>
    </cfRule>
  </conditionalFormatting>
  <conditionalFormatting sqref="C72 E14 E26">
    <cfRule type="cellIs" dxfId="0" priority="2" operator="greaterThan">
      <formula>1</formula>
    </cfRule>
  </conditionalFormatting>
  <conditionalFormatting sqref="K15">
    <cfRule type="cellIs" dxfId="0" priority="3" operator="lessThan">
      <formula>0.99</formula>
    </cfRule>
  </conditionalFormatting>
  <conditionalFormatting sqref="B88 L21:L29">
    <cfRule type="cellIs" dxfId="0" priority="4" operator="notBetween">
      <formula>98</formula>
      <formula>102</formula>
    </cfRule>
  </conditionalFormatting>
  <conditionalFormatting sqref="C40:D40 C53:E53 G40:I40 G66:H66 H54:I54">
    <cfRule type="cellIs" dxfId="0" priority="5" operator="greaterThan">
      <formula>6</formula>
    </cfRule>
  </conditionalFormatting>
  <printOptions/>
  <pageMargins bottom="0.75" footer="0.0" header="0.0" left="0.7" right="0.7" top="0.75"/>
  <pageSetup orientation="landscape"/>
  <drawing r:id="rId1"/>
</worksheet>
</file>